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glb" ContentType="model/gltf.binary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S:\OR_GEPOR\1 - Dup\GO210 ENTR GO178 RIO VERDE\R02 REMANESCENTE JAN-26\Volume 2\6 - QUANTITATIVOS\"/>
    </mc:Choice>
  </mc:AlternateContent>
  <xr:revisionPtr revIDLastSave="0" documentId="13_ncr:1_{5B837B79-59C3-4677-A6D7-465FD1AECF8A}" xr6:coauthVersionLast="47" xr6:coauthVersionMax="47" xr10:uidLastSave="{00000000-0000-0000-0000-000000000000}"/>
  <bookViews>
    <workbookView xWindow="-120" yWindow="-120" windowWidth="29040" windowHeight="15720" tabRatio="832" firstSheet="22" activeTab="37" xr2:uid="{A2208B5E-EC2D-41A0-A498-03391DF9586F}"/>
  </bookViews>
  <sheets>
    <sheet name="QUANT. GERAL - RODOVIA" sheetId="25" r:id="rId1"/>
    <sheet name="PV 17-LINEAR DE DISTR. MAT" sheetId="52" r:id="rId2"/>
    <sheet name="RESUMO" sheetId="53" r:id="rId3"/>
    <sheet name="MC Reg_Subleito" sheetId="54" r:id="rId4"/>
    <sheet name="MC BGTC" sheetId="55" r:id="rId5"/>
    <sheet name="MC IMPR" sheetId="56" r:id="rId6"/>
    <sheet name="MC CCP" sheetId="57" r:id="rId7"/>
    <sheet name="MCaço CA-50" sheetId="58" r:id="rId8"/>
    <sheet name="MCaço CA-25" sheetId="59" r:id="rId9"/>
    <sheet name="MCtreliça" sheetId="60" r:id="rId10"/>
    <sheet name="MCtela" sheetId="61" r:id="rId11"/>
    <sheet name="MC serragem" sheetId="62" r:id="rId12"/>
    <sheet name="Transportes" sheetId="63" r:id="rId13"/>
    <sheet name="MIX BRASIL-FORT-KAPIVARI" sheetId="64" r:id="rId14"/>
    <sheet name="Quant. Pav Rodovia" sheetId="65" r:id="rId15"/>
    <sheet name="Modelo 1.0 - NS" sheetId="33" r:id="rId16"/>
    <sheet name="Modelo 2.0 - Cubação" sheetId="34" r:id="rId17"/>
    <sheet name="Modelo 3.0 - Classificação" sheetId="35" r:id="rId18"/>
    <sheet name="4.0 - QDM OK" sheetId="36" r:id="rId19"/>
    <sheet name="Modelo 5.0 - Rebaixos" sheetId="37" r:id="rId20"/>
    <sheet name=" 6.0 - Empréstimos " sheetId="38" r:id="rId21"/>
    <sheet name="Modelo 10.0 - Resumo e Quant." sheetId="39" r:id="rId22"/>
    <sheet name="1 OAC Impressão" sheetId="40" r:id="rId23"/>
    <sheet name="DRENOS" sheetId="41" r:id="rId24"/>
    <sheet name="2 OAC ESCAV. E REATERRO" sheetId="42" r:id="rId25"/>
    <sheet name="VPA" sheetId="43" r:id="rId26"/>
    <sheet name="3 OAC REMOÇAO E DEMOLIÇÃO" sheetId="44" r:id="rId27"/>
    <sheet name="VPAS PISTA" sheetId="66" r:id="rId28"/>
    <sheet name="saidas e sarjetas" sheetId="67" r:id="rId29"/>
    <sheet name="Consumos Drenagem" sheetId="46" r:id="rId30"/>
    <sheet name="Transp. Dre Rodovia" sheetId="47" r:id="rId31"/>
    <sheet name="Quant. Dre Rodovia" sheetId="45" r:id="rId32"/>
    <sheet name=" PA-06 ATERRO E CORTE " sheetId="48" r:id="rId33"/>
    <sheet name=" PA-07  INTERSEÇOES ATERRO" sheetId="49" r:id="rId34"/>
    <sheet name=" PA-08  INTERSEÇOES CORTE" sheetId="50" r:id="rId35"/>
    <sheet name="Quant. OC Rodovia" sheetId="51" r:id="rId36"/>
    <sheet name="Sinalização" sheetId="68" r:id="rId37"/>
    <sheet name="Quant. SIN RODOVIA" sheetId="69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</externalReferences>
  <definedNames>
    <definedName name="\\\" localSheetId="20" hidden="1">{#N/A,#N/A,FALSE,"RESUMO-BB1";#N/A,#N/A,FALSE,"MOD-A01-R - BB1";#N/A,#N/A,FALSE,"URB-BB1"}</definedName>
    <definedName name="\\\" hidden="1">{#N/A,#N/A,FALSE,"RESUMO-BB1";#N/A,#N/A,FALSE,"MOD-A01-R - BB1";#N/A,#N/A,FALSE,"URB-BB1"}</definedName>
    <definedName name="\0" localSheetId="21">#REF!</definedName>
    <definedName name="\0">[1]DR84PCRF!#REF!</definedName>
    <definedName name="\1">#REF!</definedName>
    <definedName name="\2">#REF!</definedName>
    <definedName name="\A">#REF!</definedName>
    <definedName name="\b">[2]SID_NI_5!#REF!</definedName>
    <definedName name="\c">[2]SID_NI_5!#REF!</definedName>
    <definedName name="\Convergence">1000000</definedName>
    <definedName name="\d">#N/A</definedName>
    <definedName name="\E">'[3]Paulo de Carvalho'!#REF!</definedName>
    <definedName name="\f">#N/A</definedName>
    <definedName name="\fagf">#REF!</definedName>
    <definedName name="\I">#REF!</definedName>
    <definedName name="\IterationCount">0</definedName>
    <definedName name="\m">#REF!</definedName>
    <definedName name="\p" localSheetId="21">#REF!</definedName>
    <definedName name="\p">[2]SID_NI_5!#REF!</definedName>
    <definedName name="\s" localSheetId="1">#REF!</definedName>
    <definedName name="\s">#REF!</definedName>
    <definedName name="\SA">[4]COMPOS1!#REF!</definedName>
    <definedName name="\WorstStream">" "</definedName>
    <definedName name="\x" localSheetId="21">#REF!</definedName>
    <definedName name="\x">[5]PLMUSEU!#REF!</definedName>
    <definedName name="\y">#REF!</definedName>
    <definedName name="\z" localSheetId="21">#REF!</definedName>
    <definedName name="\z" localSheetId="1">#REF!</definedName>
    <definedName name="\z">#REF!</definedName>
    <definedName name="_">#REF!</definedName>
    <definedName name="_\0">#REF!</definedName>
    <definedName name="_\1">#REF!</definedName>
    <definedName name="_\2" localSheetId="2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 localSheetId="21">#REF!</definedName>
    <definedName name="________\2">#REF!</definedName>
    <definedName name="________\a">#REF!</definedName>
    <definedName name="________\c">#REF!</definedName>
    <definedName name="________\I">#REF!</definedName>
    <definedName name="________\m">#REF!</definedName>
    <definedName name="________\p">#REF!</definedName>
    <definedName name="________\s">#REF!</definedName>
    <definedName name="________\x">#REF!</definedName>
    <definedName name="________\z">#REF!</definedName>
    <definedName name="__________________________________ltf2" hidden="1">#REF!</definedName>
    <definedName name="_________________________________n2" localSheetId="20" hidden="1">{#N/A,#N/A,FALSE,"PCOL"}</definedName>
    <definedName name="_________________________________n2" hidden="1">{#N/A,#N/A,FALSE,"PCOL"}</definedName>
    <definedName name="_________________________________n2_1" localSheetId="20" hidden="1">{#N/A,#N/A,FALSE,"PCOL"}</definedName>
    <definedName name="_________________________________n2_1" hidden="1">{#N/A,#N/A,FALSE,"PCOL"}</definedName>
    <definedName name="_________________________________n2_1_1" localSheetId="20" hidden="1">{#N/A,#N/A,FALSE,"PCOL"}</definedName>
    <definedName name="_________________________________n2_1_1" hidden="1">{#N/A,#N/A,FALSE,"PCOL"}</definedName>
    <definedName name="_________________________________n2_1_1_1" localSheetId="20" hidden="1">{#N/A,#N/A,FALSE,"PCOL"}</definedName>
    <definedName name="_________________________________n2_1_1_1" hidden="1">{#N/A,#N/A,FALSE,"PCOL"}</definedName>
    <definedName name="_________________________________n2_1_2" localSheetId="20" hidden="1">{#N/A,#N/A,FALSE,"PCOL"}</definedName>
    <definedName name="_________________________________n2_1_2" hidden="1">{#N/A,#N/A,FALSE,"PCOL"}</definedName>
    <definedName name="_________________________________n2_2" localSheetId="20" hidden="1">{#N/A,#N/A,FALSE,"PCOL"}</definedName>
    <definedName name="_________________________________n2_2" hidden="1">{#N/A,#N/A,FALSE,"PCOL"}</definedName>
    <definedName name="_________________________________r" localSheetId="20" hidden="1">{#N/A,#N/A,FALSE,"PCOL"}</definedName>
    <definedName name="_________________________________r" hidden="1">{#N/A,#N/A,FALSE,"PCOL"}</definedName>
    <definedName name="_________________________________r_1" localSheetId="20" hidden="1">{#N/A,#N/A,FALSE,"PCOL"}</definedName>
    <definedName name="_________________________________r_1" hidden="1">{#N/A,#N/A,FALSE,"PCOL"}</definedName>
    <definedName name="_________________________________r_1_1" localSheetId="20" hidden="1">{#N/A,#N/A,FALSE,"PCOL"}</definedName>
    <definedName name="_________________________________r_1_1" hidden="1">{#N/A,#N/A,FALSE,"PCOL"}</definedName>
    <definedName name="_________________________________r_1_1_1" localSheetId="20" hidden="1">{#N/A,#N/A,FALSE,"PCOL"}</definedName>
    <definedName name="_________________________________r_1_1_1" hidden="1">{#N/A,#N/A,FALSE,"PCOL"}</definedName>
    <definedName name="_________________________________r_1_2" localSheetId="20" hidden="1">{#N/A,#N/A,FALSE,"PCOL"}</definedName>
    <definedName name="_________________________________r_1_2" hidden="1">{#N/A,#N/A,FALSE,"PCOL"}</definedName>
    <definedName name="_________________________________r_2" localSheetId="20" hidden="1">{#N/A,#N/A,FALSE,"PCOL"}</definedName>
    <definedName name="_________________________________r_2" hidden="1">{#N/A,#N/A,FALSE,"PCOL"}</definedName>
    <definedName name="________________________________ltf2" hidden="1">#REF!</definedName>
    <definedName name="________________________________n2" localSheetId="20" hidden="1">{#N/A,#N/A,FALSE,"PCOL"}</definedName>
    <definedName name="________________________________n2" hidden="1">{#N/A,#N/A,FALSE,"PCOL"}</definedName>
    <definedName name="________________________________n2_1" localSheetId="20" hidden="1">{#N/A,#N/A,FALSE,"PCOL"}</definedName>
    <definedName name="________________________________n2_1" hidden="1">{#N/A,#N/A,FALSE,"PCOL"}</definedName>
    <definedName name="________________________________n2_1_1" localSheetId="20" hidden="1">{#N/A,#N/A,FALSE,"PCOL"}</definedName>
    <definedName name="________________________________n2_1_1" hidden="1">{#N/A,#N/A,FALSE,"PCOL"}</definedName>
    <definedName name="________________________________n2_1_1_1" localSheetId="20" hidden="1">{#N/A,#N/A,FALSE,"PCOL"}</definedName>
    <definedName name="________________________________n2_1_1_1" hidden="1">{#N/A,#N/A,FALSE,"PCOL"}</definedName>
    <definedName name="________________________________n2_1_2" localSheetId="20" hidden="1">{#N/A,#N/A,FALSE,"PCOL"}</definedName>
    <definedName name="________________________________n2_1_2" hidden="1">{#N/A,#N/A,FALSE,"PCOL"}</definedName>
    <definedName name="________________________________n2_2" localSheetId="20" hidden="1">{#N/A,#N/A,FALSE,"PCOL"}</definedName>
    <definedName name="________________________________n2_2" hidden="1">{#N/A,#N/A,FALSE,"PCOL"}</definedName>
    <definedName name="________________________________r" localSheetId="20" hidden="1">{#N/A,#N/A,FALSE,"PCOL"}</definedName>
    <definedName name="________________________________r" hidden="1">{#N/A,#N/A,FALSE,"PCOL"}</definedName>
    <definedName name="________________________________r_1" localSheetId="20" hidden="1">{#N/A,#N/A,FALSE,"PCOL"}</definedName>
    <definedName name="________________________________r_1" hidden="1">{#N/A,#N/A,FALSE,"PCOL"}</definedName>
    <definedName name="________________________________r_1_1" localSheetId="20" hidden="1">{#N/A,#N/A,FALSE,"PCOL"}</definedName>
    <definedName name="________________________________r_1_1" hidden="1">{#N/A,#N/A,FALSE,"PCOL"}</definedName>
    <definedName name="________________________________r_1_1_1" localSheetId="20" hidden="1">{#N/A,#N/A,FALSE,"PCOL"}</definedName>
    <definedName name="________________________________r_1_1_1" hidden="1">{#N/A,#N/A,FALSE,"PCOL"}</definedName>
    <definedName name="________________________________r_1_2" localSheetId="20" hidden="1">{#N/A,#N/A,FALSE,"PCOL"}</definedName>
    <definedName name="________________________________r_1_2" hidden="1">{#N/A,#N/A,FALSE,"PCOL"}</definedName>
    <definedName name="________________________________r_2" localSheetId="20" hidden="1">{#N/A,#N/A,FALSE,"PCOL"}</definedName>
    <definedName name="________________________________r_2" hidden="1">{#N/A,#N/A,FALSE,"PCOL"}</definedName>
    <definedName name="_______________________________n2" localSheetId="20" hidden="1">{#N/A,#N/A,FALSE,"PCOL"}</definedName>
    <definedName name="_______________________________n2" hidden="1">{#N/A,#N/A,FALSE,"PCOL"}</definedName>
    <definedName name="_______________________________n2_1" localSheetId="20" hidden="1">{#N/A,#N/A,FALSE,"PCOL"}</definedName>
    <definedName name="_______________________________n2_1" hidden="1">{#N/A,#N/A,FALSE,"PCOL"}</definedName>
    <definedName name="_______________________________n2_1_1" localSheetId="20" hidden="1">{#N/A,#N/A,FALSE,"PCOL"}</definedName>
    <definedName name="_______________________________n2_1_1" hidden="1">{#N/A,#N/A,FALSE,"PCOL"}</definedName>
    <definedName name="_______________________________n2_1_1_1" localSheetId="20" hidden="1">{#N/A,#N/A,FALSE,"PCOL"}</definedName>
    <definedName name="_______________________________n2_1_1_1" hidden="1">{#N/A,#N/A,FALSE,"PCOL"}</definedName>
    <definedName name="_______________________________n2_1_2" localSheetId="20" hidden="1">{#N/A,#N/A,FALSE,"PCOL"}</definedName>
    <definedName name="_______________________________n2_1_2" hidden="1">{#N/A,#N/A,FALSE,"PCOL"}</definedName>
    <definedName name="_______________________________n2_2" localSheetId="20" hidden="1">{#N/A,#N/A,FALSE,"PCOL"}</definedName>
    <definedName name="_______________________________n2_2" hidden="1">{#N/A,#N/A,FALSE,"PCOL"}</definedName>
    <definedName name="_______________________________r" localSheetId="20" hidden="1">{#N/A,#N/A,FALSE,"PCOL"}</definedName>
    <definedName name="_______________________________r" hidden="1">{#N/A,#N/A,FALSE,"PCOL"}</definedName>
    <definedName name="_______________________________r_1" localSheetId="20" hidden="1">{#N/A,#N/A,FALSE,"PCOL"}</definedName>
    <definedName name="_______________________________r_1" hidden="1">{#N/A,#N/A,FALSE,"PCOL"}</definedName>
    <definedName name="_______________________________r_1_1" localSheetId="20" hidden="1">{#N/A,#N/A,FALSE,"PCOL"}</definedName>
    <definedName name="_______________________________r_1_1" hidden="1">{#N/A,#N/A,FALSE,"PCOL"}</definedName>
    <definedName name="_______________________________r_1_1_1" localSheetId="20" hidden="1">{#N/A,#N/A,FALSE,"PCOL"}</definedName>
    <definedName name="_______________________________r_1_1_1" hidden="1">{#N/A,#N/A,FALSE,"PCOL"}</definedName>
    <definedName name="_______________________________r_1_2" localSheetId="20" hidden="1">{#N/A,#N/A,FALSE,"PCOL"}</definedName>
    <definedName name="_______________________________r_1_2" hidden="1">{#N/A,#N/A,FALSE,"PCOL"}</definedName>
    <definedName name="_______________________________r_2" localSheetId="20" hidden="1">{#N/A,#N/A,FALSE,"PCOL"}</definedName>
    <definedName name="_______________________________r_2" hidden="1">{#N/A,#N/A,FALSE,"PCOL"}</definedName>
    <definedName name="______________________________ltf2" hidden="1">#REF!</definedName>
    <definedName name="______________________________n2" localSheetId="20" hidden="1">{#N/A,#N/A,FALSE,"PCOL"}</definedName>
    <definedName name="______________________________n2" hidden="1">{#N/A,#N/A,FALSE,"PCOL"}</definedName>
    <definedName name="______________________________n2_1" localSheetId="20" hidden="1">{#N/A,#N/A,FALSE,"PCOL"}</definedName>
    <definedName name="______________________________n2_1" hidden="1">{#N/A,#N/A,FALSE,"PCOL"}</definedName>
    <definedName name="______________________________n2_1_1" localSheetId="20" hidden="1">{#N/A,#N/A,FALSE,"PCOL"}</definedName>
    <definedName name="______________________________n2_1_1" hidden="1">{#N/A,#N/A,FALSE,"PCOL"}</definedName>
    <definedName name="______________________________n2_1_1_1" localSheetId="20" hidden="1">{#N/A,#N/A,FALSE,"PCOL"}</definedName>
    <definedName name="______________________________n2_1_1_1" hidden="1">{#N/A,#N/A,FALSE,"PCOL"}</definedName>
    <definedName name="______________________________n2_1_2" localSheetId="20" hidden="1">{#N/A,#N/A,FALSE,"PCOL"}</definedName>
    <definedName name="______________________________n2_1_2" hidden="1">{#N/A,#N/A,FALSE,"PCOL"}</definedName>
    <definedName name="______________________________n2_2" localSheetId="20" hidden="1">{#N/A,#N/A,FALSE,"PCOL"}</definedName>
    <definedName name="______________________________n2_2" hidden="1">{#N/A,#N/A,FALSE,"PCOL"}</definedName>
    <definedName name="______________________________PL1">#REF!</definedName>
    <definedName name="______________________________r" localSheetId="20" hidden="1">{#N/A,#N/A,FALSE,"PCOL"}</definedName>
    <definedName name="______________________________r" hidden="1">{#N/A,#N/A,FALSE,"PCOL"}</definedName>
    <definedName name="______________________________r_1" localSheetId="20" hidden="1">{#N/A,#N/A,FALSE,"PCOL"}</definedName>
    <definedName name="______________________________r_1" hidden="1">{#N/A,#N/A,FALSE,"PCOL"}</definedName>
    <definedName name="______________________________r_1_1" localSheetId="20" hidden="1">{#N/A,#N/A,FALSE,"PCOL"}</definedName>
    <definedName name="______________________________r_1_1" hidden="1">{#N/A,#N/A,FALSE,"PCOL"}</definedName>
    <definedName name="______________________________r_1_1_1" localSheetId="20" hidden="1">{#N/A,#N/A,FALSE,"PCOL"}</definedName>
    <definedName name="______________________________r_1_1_1" hidden="1">{#N/A,#N/A,FALSE,"PCOL"}</definedName>
    <definedName name="______________________________r_1_2" localSheetId="20" hidden="1">{#N/A,#N/A,FALSE,"PCOL"}</definedName>
    <definedName name="______________________________r_1_2" hidden="1">{#N/A,#N/A,FALSE,"PCOL"}</definedName>
    <definedName name="______________________________r_2" localSheetId="20" hidden="1">{#N/A,#N/A,FALSE,"PCOL"}</definedName>
    <definedName name="______________________________r_2" hidden="1">{#N/A,#N/A,FALSE,"PCOL"}</definedName>
    <definedName name="_____________________________n2" localSheetId="20" hidden="1">{#N/A,#N/A,FALSE,"PCOL"}</definedName>
    <definedName name="_____________________________n2" hidden="1">{#N/A,#N/A,FALSE,"PCOL"}</definedName>
    <definedName name="_____________________________n2_1" localSheetId="20" hidden="1">{#N/A,#N/A,FALSE,"PCOL"}</definedName>
    <definedName name="_____________________________n2_1" hidden="1">{#N/A,#N/A,FALSE,"PCOL"}</definedName>
    <definedName name="_____________________________n2_1_1" localSheetId="20" hidden="1">{#N/A,#N/A,FALSE,"PCOL"}</definedName>
    <definedName name="_____________________________n2_1_1" hidden="1">{#N/A,#N/A,FALSE,"PCOL"}</definedName>
    <definedName name="_____________________________n2_1_1_1" localSheetId="20" hidden="1">{#N/A,#N/A,FALSE,"PCOL"}</definedName>
    <definedName name="_____________________________n2_1_1_1" hidden="1">{#N/A,#N/A,FALSE,"PCOL"}</definedName>
    <definedName name="_____________________________n2_1_2" localSheetId="20" hidden="1">{#N/A,#N/A,FALSE,"PCOL"}</definedName>
    <definedName name="_____________________________n2_1_2" hidden="1">{#N/A,#N/A,FALSE,"PCOL"}</definedName>
    <definedName name="_____________________________n2_2" localSheetId="20" hidden="1">{#N/A,#N/A,FALSE,"PCOL"}</definedName>
    <definedName name="_____________________________n2_2" hidden="1">{#N/A,#N/A,FALSE,"PCOL"}</definedName>
    <definedName name="_____________________________PL1">#REF!</definedName>
    <definedName name="_____________________________r" localSheetId="20" hidden="1">{#N/A,#N/A,FALSE,"PCOL"}</definedName>
    <definedName name="_____________________________r" hidden="1">{#N/A,#N/A,FALSE,"PCOL"}</definedName>
    <definedName name="_____________________________r_1" localSheetId="20" hidden="1">{#N/A,#N/A,FALSE,"PCOL"}</definedName>
    <definedName name="_____________________________r_1" hidden="1">{#N/A,#N/A,FALSE,"PCOL"}</definedName>
    <definedName name="_____________________________r_1_1" localSheetId="20" hidden="1">{#N/A,#N/A,FALSE,"PCOL"}</definedName>
    <definedName name="_____________________________r_1_1" hidden="1">{#N/A,#N/A,FALSE,"PCOL"}</definedName>
    <definedName name="_____________________________r_1_1_1" localSheetId="20" hidden="1">{#N/A,#N/A,FALSE,"PCOL"}</definedName>
    <definedName name="_____________________________r_1_1_1" hidden="1">{#N/A,#N/A,FALSE,"PCOL"}</definedName>
    <definedName name="_____________________________r_1_2" localSheetId="20" hidden="1">{#N/A,#N/A,FALSE,"PCOL"}</definedName>
    <definedName name="_____________________________r_1_2" hidden="1">{#N/A,#N/A,FALSE,"PCOL"}</definedName>
    <definedName name="_____________________________r_2" localSheetId="20" hidden="1">{#N/A,#N/A,FALSE,"PCOL"}</definedName>
    <definedName name="_____________________________r_2" hidden="1">{#N/A,#N/A,FALSE,"PCOL"}</definedName>
    <definedName name="____________________________ltf2" hidden="1">#REF!</definedName>
    <definedName name="____________________________PL1">#REF!</definedName>
    <definedName name="___________________________n2" localSheetId="20" hidden="1">{#N/A,#N/A,FALSE,"PCOL"}</definedName>
    <definedName name="___________________________n2" hidden="1">{#N/A,#N/A,FALSE,"PCOL"}</definedName>
    <definedName name="___________________________n2_1" localSheetId="20" hidden="1">{#N/A,#N/A,FALSE,"PCOL"}</definedName>
    <definedName name="___________________________n2_1" hidden="1">{#N/A,#N/A,FALSE,"PCOL"}</definedName>
    <definedName name="___________________________n2_1_1" localSheetId="20" hidden="1">{#N/A,#N/A,FALSE,"PCOL"}</definedName>
    <definedName name="___________________________n2_1_1" hidden="1">{#N/A,#N/A,FALSE,"PCOL"}</definedName>
    <definedName name="___________________________n2_1_1_1" localSheetId="20" hidden="1">{#N/A,#N/A,FALSE,"PCOL"}</definedName>
    <definedName name="___________________________n2_1_1_1" hidden="1">{#N/A,#N/A,FALSE,"PCOL"}</definedName>
    <definedName name="___________________________n2_1_2" localSheetId="20" hidden="1">{#N/A,#N/A,FALSE,"PCOL"}</definedName>
    <definedName name="___________________________n2_1_2" hidden="1">{#N/A,#N/A,FALSE,"PCOL"}</definedName>
    <definedName name="___________________________n2_2" localSheetId="20" hidden="1">{#N/A,#N/A,FALSE,"PCOL"}</definedName>
    <definedName name="___________________________n2_2" hidden="1">{#N/A,#N/A,FALSE,"PCOL"}</definedName>
    <definedName name="___________________________PL1">#REF!</definedName>
    <definedName name="___________________________r" localSheetId="20" hidden="1">{#N/A,#N/A,FALSE,"PCOL"}</definedName>
    <definedName name="___________________________r" hidden="1">{#N/A,#N/A,FALSE,"PCOL"}</definedName>
    <definedName name="___________________________r_1" localSheetId="20" hidden="1">{#N/A,#N/A,FALSE,"PCOL"}</definedName>
    <definedName name="___________________________r_1" hidden="1">{#N/A,#N/A,FALSE,"PCOL"}</definedName>
    <definedName name="___________________________r_1_1" localSheetId="20" hidden="1">{#N/A,#N/A,FALSE,"PCOL"}</definedName>
    <definedName name="___________________________r_1_1" hidden="1">{#N/A,#N/A,FALSE,"PCOL"}</definedName>
    <definedName name="___________________________r_1_1_1" localSheetId="20" hidden="1">{#N/A,#N/A,FALSE,"PCOL"}</definedName>
    <definedName name="___________________________r_1_1_1" hidden="1">{#N/A,#N/A,FALSE,"PCOL"}</definedName>
    <definedName name="___________________________r_1_2" localSheetId="20" hidden="1">{#N/A,#N/A,FALSE,"PCOL"}</definedName>
    <definedName name="___________________________r_1_2" hidden="1">{#N/A,#N/A,FALSE,"PCOL"}</definedName>
    <definedName name="___________________________r_2" localSheetId="20" hidden="1">{#N/A,#N/A,FALSE,"PCOL"}</definedName>
    <definedName name="___________________________r_2" hidden="1">{#N/A,#N/A,FALSE,"PCOL"}</definedName>
    <definedName name="__________________________ltf2" hidden="1">#REF!</definedName>
    <definedName name="__________________________PL1">#REF!</definedName>
    <definedName name="_________________________ltf2" hidden="1">#REF!</definedName>
    <definedName name="_________________________n2" localSheetId="20" hidden="1">{#N/A,#N/A,FALSE,"PCOL"}</definedName>
    <definedName name="_________________________n2" hidden="1">{#N/A,#N/A,FALSE,"PCOL"}</definedName>
    <definedName name="_________________________n2_1" localSheetId="20" hidden="1">{#N/A,#N/A,FALSE,"PCOL"}</definedName>
    <definedName name="_________________________n2_1" hidden="1">{#N/A,#N/A,FALSE,"PCOL"}</definedName>
    <definedName name="_________________________n2_1_1" localSheetId="20" hidden="1">{#N/A,#N/A,FALSE,"PCOL"}</definedName>
    <definedName name="_________________________n2_1_1" hidden="1">{#N/A,#N/A,FALSE,"PCOL"}</definedName>
    <definedName name="_________________________n2_1_1_1" localSheetId="20" hidden="1">{#N/A,#N/A,FALSE,"PCOL"}</definedName>
    <definedName name="_________________________n2_1_1_1" hidden="1">{#N/A,#N/A,FALSE,"PCOL"}</definedName>
    <definedName name="_________________________n2_1_2" localSheetId="20" hidden="1">{#N/A,#N/A,FALSE,"PCOL"}</definedName>
    <definedName name="_________________________n2_1_2" hidden="1">{#N/A,#N/A,FALSE,"PCOL"}</definedName>
    <definedName name="_________________________n2_2" localSheetId="20" hidden="1">{#N/A,#N/A,FALSE,"PCOL"}</definedName>
    <definedName name="_________________________n2_2" hidden="1">{#N/A,#N/A,FALSE,"PCOL"}</definedName>
    <definedName name="_________________________PL1">#REF!</definedName>
    <definedName name="_________________________r" localSheetId="20" hidden="1">{#N/A,#N/A,FALSE,"PCOL"}</definedName>
    <definedName name="_________________________r" hidden="1">{#N/A,#N/A,FALSE,"PCOL"}</definedName>
    <definedName name="_________________________r_1" localSheetId="20" hidden="1">{#N/A,#N/A,FALSE,"PCOL"}</definedName>
    <definedName name="_________________________r_1" hidden="1">{#N/A,#N/A,FALSE,"PCOL"}</definedName>
    <definedName name="_________________________r_1_1" localSheetId="20" hidden="1">{#N/A,#N/A,FALSE,"PCOL"}</definedName>
    <definedName name="_________________________r_1_1" hidden="1">{#N/A,#N/A,FALSE,"PCOL"}</definedName>
    <definedName name="_________________________r_1_1_1" localSheetId="20" hidden="1">{#N/A,#N/A,FALSE,"PCOL"}</definedName>
    <definedName name="_________________________r_1_1_1" hidden="1">{#N/A,#N/A,FALSE,"PCOL"}</definedName>
    <definedName name="_________________________r_1_2" localSheetId="20" hidden="1">{#N/A,#N/A,FALSE,"PCOL"}</definedName>
    <definedName name="_________________________r_1_2" hidden="1">{#N/A,#N/A,FALSE,"PCOL"}</definedName>
    <definedName name="_________________________r_2" localSheetId="20" hidden="1">{#N/A,#N/A,FALSE,"PCOL"}</definedName>
    <definedName name="_________________________r_2" hidden="1">{#N/A,#N/A,FALSE,"PCOL"}</definedName>
    <definedName name="________________________ltf2" hidden="1">#REF!</definedName>
    <definedName name="________________________n2" localSheetId="20" hidden="1">{#N/A,#N/A,FALSE,"PCOL"}</definedName>
    <definedName name="________________________n2" hidden="1">{#N/A,#N/A,FALSE,"PCOL"}</definedName>
    <definedName name="________________________n2_1" localSheetId="20" hidden="1">{#N/A,#N/A,FALSE,"PCOL"}</definedName>
    <definedName name="________________________n2_1" hidden="1">{#N/A,#N/A,FALSE,"PCOL"}</definedName>
    <definedName name="________________________n2_1_1" localSheetId="20" hidden="1">{#N/A,#N/A,FALSE,"PCOL"}</definedName>
    <definedName name="________________________n2_1_1" hidden="1">{#N/A,#N/A,FALSE,"PCOL"}</definedName>
    <definedName name="________________________n2_1_1_1" localSheetId="20" hidden="1">{#N/A,#N/A,FALSE,"PCOL"}</definedName>
    <definedName name="________________________n2_1_1_1" hidden="1">{#N/A,#N/A,FALSE,"PCOL"}</definedName>
    <definedName name="________________________n2_1_2" localSheetId="20" hidden="1">{#N/A,#N/A,FALSE,"PCOL"}</definedName>
    <definedName name="________________________n2_1_2" hidden="1">{#N/A,#N/A,FALSE,"PCOL"}</definedName>
    <definedName name="________________________n2_2" localSheetId="20" hidden="1">{#N/A,#N/A,FALSE,"PCOL"}</definedName>
    <definedName name="________________________n2_2" hidden="1">{#N/A,#N/A,FALSE,"PCOL"}</definedName>
    <definedName name="________________________PL1">#REF!</definedName>
    <definedName name="________________________r" localSheetId="20" hidden="1">{#N/A,#N/A,FALSE,"PCOL"}</definedName>
    <definedName name="________________________r" hidden="1">{#N/A,#N/A,FALSE,"PCOL"}</definedName>
    <definedName name="________________________r_1" localSheetId="20" hidden="1">{#N/A,#N/A,FALSE,"PCOL"}</definedName>
    <definedName name="________________________r_1" hidden="1">{#N/A,#N/A,FALSE,"PCOL"}</definedName>
    <definedName name="________________________r_1_1" localSheetId="20" hidden="1">{#N/A,#N/A,FALSE,"PCOL"}</definedName>
    <definedName name="________________________r_1_1" hidden="1">{#N/A,#N/A,FALSE,"PCOL"}</definedName>
    <definedName name="________________________r_1_1_1" localSheetId="20" hidden="1">{#N/A,#N/A,FALSE,"PCOL"}</definedName>
    <definedName name="________________________r_1_1_1" hidden="1">{#N/A,#N/A,FALSE,"PCOL"}</definedName>
    <definedName name="________________________r_1_2" localSheetId="20" hidden="1">{#N/A,#N/A,FALSE,"PCOL"}</definedName>
    <definedName name="________________________r_1_2" hidden="1">{#N/A,#N/A,FALSE,"PCOL"}</definedName>
    <definedName name="________________________r_2" localSheetId="20" hidden="1">{#N/A,#N/A,FALSE,"PCOL"}</definedName>
    <definedName name="________________________r_2" hidden="1">{#N/A,#N/A,FALSE,"PCOL"}</definedName>
    <definedName name="_______________________n2" localSheetId="20" hidden="1">{#N/A,#N/A,FALSE,"PCOL"}</definedName>
    <definedName name="_______________________n2" hidden="1">{#N/A,#N/A,FALSE,"PCOL"}</definedName>
    <definedName name="_______________________n2_1" localSheetId="20" hidden="1">{#N/A,#N/A,FALSE,"PCOL"}</definedName>
    <definedName name="_______________________n2_1" hidden="1">{#N/A,#N/A,FALSE,"PCOL"}</definedName>
    <definedName name="_______________________n2_1_1" localSheetId="20" hidden="1">{#N/A,#N/A,FALSE,"PCOL"}</definedName>
    <definedName name="_______________________n2_1_1" hidden="1">{#N/A,#N/A,FALSE,"PCOL"}</definedName>
    <definedName name="_______________________n2_1_1_1" localSheetId="20" hidden="1">{#N/A,#N/A,FALSE,"PCOL"}</definedName>
    <definedName name="_______________________n2_1_1_1" hidden="1">{#N/A,#N/A,FALSE,"PCOL"}</definedName>
    <definedName name="_______________________n2_1_2" localSheetId="20" hidden="1">{#N/A,#N/A,FALSE,"PCOL"}</definedName>
    <definedName name="_______________________n2_1_2" hidden="1">{#N/A,#N/A,FALSE,"PCOL"}</definedName>
    <definedName name="_______________________n2_2" localSheetId="20" hidden="1">{#N/A,#N/A,FALSE,"PCOL"}</definedName>
    <definedName name="_______________________n2_2" hidden="1">{#N/A,#N/A,FALSE,"PCOL"}</definedName>
    <definedName name="_______________________PL1">#REF!</definedName>
    <definedName name="_______________________r" localSheetId="20" hidden="1">{"'CptDifn'!$AA$32:$AG$32"}</definedName>
    <definedName name="_______________________r" hidden="1">{"'CptDifn'!$AA$32:$AG$32"}</definedName>
    <definedName name="_______________________r_1" localSheetId="20" hidden="1">{"'CptDifn'!$AA$32:$AG$32"}</definedName>
    <definedName name="_______________________r_1" hidden="1">{"'CptDifn'!$AA$32:$AG$32"}</definedName>
    <definedName name="_______________________r_1_1" localSheetId="20" hidden="1">{"'CptDifn'!$AA$32:$AG$32"}</definedName>
    <definedName name="_______________________r_1_1" hidden="1">{"'CptDifn'!$AA$32:$AG$32"}</definedName>
    <definedName name="_______________________r_1_1_1" localSheetId="20" hidden="1">{"'CptDifn'!$AA$32:$AG$32"}</definedName>
    <definedName name="_______________________r_1_1_1" hidden="1">{"'CptDifn'!$AA$32:$AG$32"}</definedName>
    <definedName name="_______________________r_1_2" localSheetId="20" hidden="1">{"'CptDifn'!$AA$32:$AG$32"}</definedName>
    <definedName name="_______________________r_1_2" hidden="1">{"'CptDifn'!$AA$32:$AG$32"}</definedName>
    <definedName name="_______________________r_2" localSheetId="20" hidden="1">{"'CptDifn'!$AA$32:$AG$32"}</definedName>
    <definedName name="_______________________r_2" hidden="1">{"'CptDifn'!$AA$32:$AG$32"}</definedName>
    <definedName name="______________________ltf2" hidden="1">#REF!</definedName>
    <definedName name="______________________n2" localSheetId="20" hidden="1">{#N/A,#N/A,FALSE,"PCOL"}</definedName>
    <definedName name="______________________n2" hidden="1">{#N/A,#N/A,FALSE,"PCOL"}</definedName>
    <definedName name="______________________n2_1" localSheetId="20" hidden="1">{#N/A,#N/A,FALSE,"PCOL"}</definedName>
    <definedName name="______________________n2_1" hidden="1">{#N/A,#N/A,FALSE,"PCOL"}</definedName>
    <definedName name="______________________n2_1_1" localSheetId="20" hidden="1">{#N/A,#N/A,FALSE,"PCOL"}</definedName>
    <definedName name="______________________n2_1_1" hidden="1">{#N/A,#N/A,FALSE,"PCOL"}</definedName>
    <definedName name="______________________n2_1_1_1" localSheetId="20" hidden="1">{#N/A,#N/A,FALSE,"PCOL"}</definedName>
    <definedName name="______________________n2_1_1_1" hidden="1">{#N/A,#N/A,FALSE,"PCOL"}</definedName>
    <definedName name="______________________n2_1_2" localSheetId="20" hidden="1">{#N/A,#N/A,FALSE,"PCOL"}</definedName>
    <definedName name="______________________n2_1_2" hidden="1">{#N/A,#N/A,FALSE,"PCOL"}</definedName>
    <definedName name="______________________n2_2" localSheetId="20" hidden="1">{#N/A,#N/A,FALSE,"PCOL"}</definedName>
    <definedName name="______________________n2_2" hidden="1">{#N/A,#N/A,FALSE,"PCOL"}</definedName>
    <definedName name="______________________PL1">#REF!</definedName>
    <definedName name="______________________r" localSheetId="20" hidden="1">{"'CptDifn'!$AA$32:$AG$32"}</definedName>
    <definedName name="______________________r" hidden="1">{"'CptDifn'!$AA$32:$AG$32"}</definedName>
    <definedName name="______________________r_1" localSheetId="20" hidden="1">{"'CptDifn'!$AA$32:$AG$32"}</definedName>
    <definedName name="______________________r_1" hidden="1">{"'CptDifn'!$AA$32:$AG$32"}</definedName>
    <definedName name="______________________r_1_1" localSheetId="20" hidden="1">{"'CptDifn'!$AA$32:$AG$32"}</definedName>
    <definedName name="______________________r_1_1" hidden="1">{"'CptDifn'!$AA$32:$AG$32"}</definedName>
    <definedName name="______________________r_1_1_1" localSheetId="20" hidden="1">{"'CptDifn'!$AA$32:$AG$32"}</definedName>
    <definedName name="______________________r_1_1_1" hidden="1">{"'CptDifn'!$AA$32:$AG$32"}</definedName>
    <definedName name="______________________r_1_2" localSheetId="20" hidden="1">{"'CptDifn'!$AA$32:$AG$32"}</definedName>
    <definedName name="______________________r_1_2" hidden="1">{"'CptDifn'!$AA$32:$AG$32"}</definedName>
    <definedName name="______________________r_2" localSheetId="20" hidden="1">{"'CptDifn'!$AA$32:$AG$32"}</definedName>
    <definedName name="______________________r_2" hidden="1">{"'CptDifn'!$AA$32:$AG$32"}</definedName>
    <definedName name="_____________________ltf2" hidden="1">#REF!</definedName>
    <definedName name="_____________________PL1">#REF!</definedName>
    <definedName name="____________________ltf2" hidden="1">#REF!</definedName>
    <definedName name="____________________n2" localSheetId="20" hidden="1">{#N/A,#N/A,FALSE,"PCOL"}</definedName>
    <definedName name="____________________n2" hidden="1">{#N/A,#N/A,FALSE,"PCOL"}</definedName>
    <definedName name="____________________n2_1" localSheetId="20" hidden="1">{#N/A,#N/A,FALSE,"PCOL"}</definedName>
    <definedName name="____________________n2_1" hidden="1">{#N/A,#N/A,FALSE,"PCOL"}</definedName>
    <definedName name="____________________n2_1_1" localSheetId="20" hidden="1">{#N/A,#N/A,FALSE,"PCOL"}</definedName>
    <definedName name="____________________n2_1_1" hidden="1">{#N/A,#N/A,FALSE,"PCOL"}</definedName>
    <definedName name="____________________n2_1_1_1" localSheetId="20" hidden="1">{#N/A,#N/A,FALSE,"PCOL"}</definedName>
    <definedName name="____________________n2_1_1_1" hidden="1">{#N/A,#N/A,FALSE,"PCOL"}</definedName>
    <definedName name="____________________n2_1_2" localSheetId="20" hidden="1">{#N/A,#N/A,FALSE,"PCOL"}</definedName>
    <definedName name="____________________n2_1_2" hidden="1">{#N/A,#N/A,FALSE,"PCOL"}</definedName>
    <definedName name="____________________n2_2" localSheetId="20" hidden="1">{#N/A,#N/A,FALSE,"PCOL"}</definedName>
    <definedName name="____________________n2_2" hidden="1">{#N/A,#N/A,FALSE,"PCOL"}</definedName>
    <definedName name="____________________PL1">#REF!</definedName>
    <definedName name="____________________r" localSheetId="20" hidden="1">{#N/A,#N/A,FALSE,"PCOL"}</definedName>
    <definedName name="____________________r" hidden="1">{#N/A,#N/A,FALSE,"PCOL"}</definedName>
    <definedName name="____________________r_1" localSheetId="20" hidden="1">{#N/A,#N/A,FALSE,"PCOL"}</definedName>
    <definedName name="____________________r_1" hidden="1">{#N/A,#N/A,FALSE,"PCOL"}</definedName>
    <definedName name="____________________r_1_1" localSheetId="20" hidden="1">{#N/A,#N/A,FALSE,"PCOL"}</definedName>
    <definedName name="____________________r_1_1" hidden="1">{#N/A,#N/A,FALSE,"PCOL"}</definedName>
    <definedName name="____________________r_1_1_1" localSheetId="20" hidden="1">{#N/A,#N/A,FALSE,"PCOL"}</definedName>
    <definedName name="____________________r_1_1_1" hidden="1">{#N/A,#N/A,FALSE,"PCOL"}</definedName>
    <definedName name="____________________r_1_2" localSheetId="20" hidden="1">{#N/A,#N/A,FALSE,"PCOL"}</definedName>
    <definedName name="____________________r_1_2" hidden="1">{#N/A,#N/A,FALSE,"PCOL"}</definedName>
    <definedName name="____________________r_2" localSheetId="20" hidden="1">{#N/A,#N/A,FALSE,"PCOL"}</definedName>
    <definedName name="____________________r_2" hidden="1">{#N/A,#N/A,FALSE,"PCOL"}</definedName>
    <definedName name="___________________ltf2" hidden="1">#REF!</definedName>
    <definedName name="___________________OUT98" localSheetId="20" hidden="1">{#N/A,#N/A,TRUE,"Serviços"}</definedName>
    <definedName name="___________________OUT98" hidden="1">{#N/A,#N/A,TRUE,"Serviços"}</definedName>
    <definedName name="___________________PL1">#REF!</definedName>
    <definedName name="__________________n2" localSheetId="20" hidden="1">{#N/A,#N/A,FALSE,"PCOL"}</definedName>
    <definedName name="__________________n2" hidden="1">{#N/A,#N/A,FALSE,"PCOL"}</definedName>
    <definedName name="__________________n2_1" localSheetId="20" hidden="1">{#N/A,#N/A,FALSE,"PCOL"}</definedName>
    <definedName name="__________________n2_1" hidden="1">{#N/A,#N/A,FALSE,"PCOL"}</definedName>
    <definedName name="__________________n2_1_1" localSheetId="20" hidden="1">{#N/A,#N/A,FALSE,"PCOL"}</definedName>
    <definedName name="__________________n2_1_1" hidden="1">{#N/A,#N/A,FALSE,"PCOL"}</definedName>
    <definedName name="__________________n2_1_1_1" localSheetId="20" hidden="1">{#N/A,#N/A,FALSE,"PCOL"}</definedName>
    <definedName name="__________________n2_1_1_1" hidden="1">{#N/A,#N/A,FALSE,"PCOL"}</definedName>
    <definedName name="__________________n2_1_2" localSheetId="20" hidden="1">{#N/A,#N/A,FALSE,"PCOL"}</definedName>
    <definedName name="__________________n2_1_2" hidden="1">{#N/A,#N/A,FALSE,"PCOL"}</definedName>
    <definedName name="__________________n2_2" localSheetId="20" hidden="1">{#N/A,#N/A,FALSE,"PCOL"}</definedName>
    <definedName name="__________________n2_2" hidden="1">{#N/A,#N/A,FALSE,"PCOL"}</definedName>
    <definedName name="__________________OUT98" localSheetId="20" hidden="1">{#N/A,#N/A,TRUE,"Serviços"}</definedName>
    <definedName name="__________________OUT98" hidden="1">{#N/A,#N/A,TRUE,"Serviços"}</definedName>
    <definedName name="__________________PL1">#REF!</definedName>
    <definedName name="__________________PPU1" localSheetId="20" hidden="1">{#N/A,#N/A,FALSE,"Cronograma";#N/A,#N/A,FALSE,"Cronogr. 2"}</definedName>
    <definedName name="__________________PPU1" hidden="1">{#N/A,#N/A,FALSE,"Cronograma";#N/A,#N/A,FALSE,"Cronogr. 2"}</definedName>
    <definedName name="__________________PPU1_1" localSheetId="20" hidden="1">{#N/A,#N/A,FALSE,"Cronograma";#N/A,#N/A,FALSE,"Cronogr. 2"}</definedName>
    <definedName name="__________________PPU1_1" hidden="1">{#N/A,#N/A,FALSE,"Cronograma";#N/A,#N/A,FALSE,"Cronogr. 2"}</definedName>
    <definedName name="__________________PPU1_1_1" localSheetId="20" hidden="1">{#N/A,#N/A,FALSE,"Cronograma";#N/A,#N/A,FALSE,"Cronogr. 2"}</definedName>
    <definedName name="__________________PPU1_1_1" hidden="1">{#N/A,#N/A,FALSE,"Cronograma";#N/A,#N/A,FALSE,"Cronogr. 2"}</definedName>
    <definedName name="__________________PPU1_1_1_1" localSheetId="20" hidden="1">{#N/A,#N/A,FALSE,"Cronograma";#N/A,#N/A,FALSE,"Cronogr. 2"}</definedName>
    <definedName name="__________________PPU1_1_1_1" hidden="1">{#N/A,#N/A,FALSE,"Cronograma";#N/A,#N/A,FALSE,"Cronogr. 2"}</definedName>
    <definedName name="__________________PPU1_1_2" localSheetId="20" hidden="1">{#N/A,#N/A,FALSE,"Cronograma";#N/A,#N/A,FALSE,"Cronogr. 2"}</definedName>
    <definedName name="__________________PPU1_1_2" hidden="1">{#N/A,#N/A,FALSE,"Cronograma";#N/A,#N/A,FALSE,"Cronogr. 2"}</definedName>
    <definedName name="__________________PPU1_2" localSheetId="20" hidden="1">{#N/A,#N/A,FALSE,"Cronograma";#N/A,#N/A,FALSE,"Cronogr. 2"}</definedName>
    <definedName name="__________________PPU1_2" hidden="1">{#N/A,#N/A,FALSE,"Cronograma";#N/A,#N/A,FALSE,"Cronogr. 2"}</definedName>
    <definedName name="__________________r" localSheetId="20" hidden="1">{"'CptDifn'!$AA$32:$AG$32"}</definedName>
    <definedName name="__________________r" localSheetId="21">#REF!</definedName>
    <definedName name="__________________r">#REF!</definedName>
    <definedName name="__________________r_1" localSheetId="20" hidden="1">{"'CptDifn'!$AA$32:$AG$32"}</definedName>
    <definedName name="__________________r_1" hidden="1">{"'CptDifn'!$AA$32:$AG$32"}</definedName>
    <definedName name="__________________r_1_1" localSheetId="20" hidden="1">{"'CptDifn'!$AA$32:$AG$32"}</definedName>
    <definedName name="__________________r_1_1" hidden="1">{"'CptDifn'!$AA$32:$AG$32"}</definedName>
    <definedName name="__________________r_1_1_1" localSheetId="20" hidden="1">{"'CptDifn'!$AA$32:$AG$32"}</definedName>
    <definedName name="__________________r_1_1_1" hidden="1">{"'CptDifn'!$AA$32:$AG$32"}</definedName>
    <definedName name="__________________r_1_2" localSheetId="20" hidden="1">{"'CptDifn'!$AA$32:$AG$32"}</definedName>
    <definedName name="__________________r_1_2" hidden="1">{"'CptDifn'!$AA$32:$AG$32"}</definedName>
    <definedName name="__________________r_2" localSheetId="20" hidden="1">{"'CptDifn'!$AA$32:$AG$32"}</definedName>
    <definedName name="__________________r_2" hidden="1">{"'CptDifn'!$AA$32:$AG$32"}</definedName>
    <definedName name="_________________ltf2" hidden="1">#REF!</definedName>
    <definedName name="_________________n2" localSheetId="20" hidden="1">{#N/A,#N/A,FALSE,"PCOL"}</definedName>
    <definedName name="_________________n2" hidden="1">{#N/A,#N/A,FALSE,"PCOL"}</definedName>
    <definedName name="_________________n2_1" localSheetId="20" hidden="1">{#N/A,#N/A,FALSE,"PCOL"}</definedName>
    <definedName name="_________________n2_1" hidden="1">{#N/A,#N/A,FALSE,"PCOL"}</definedName>
    <definedName name="_________________n2_1_1" localSheetId="20" hidden="1">{#N/A,#N/A,FALSE,"PCOL"}</definedName>
    <definedName name="_________________n2_1_1" hidden="1">{#N/A,#N/A,FALSE,"PCOL"}</definedName>
    <definedName name="_________________n2_1_1_1" localSheetId="20" hidden="1">{#N/A,#N/A,FALSE,"PCOL"}</definedName>
    <definedName name="_________________n2_1_1_1" hidden="1">{#N/A,#N/A,FALSE,"PCOL"}</definedName>
    <definedName name="_________________n2_1_2" localSheetId="20" hidden="1">{#N/A,#N/A,FALSE,"PCOL"}</definedName>
    <definedName name="_________________n2_1_2" hidden="1">{#N/A,#N/A,FALSE,"PCOL"}</definedName>
    <definedName name="_________________n2_2" localSheetId="20" hidden="1">{#N/A,#N/A,FALSE,"PCOL"}</definedName>
    <definedName name="_________________n2_2" hidden="1">{#N/A,#N/A,FALSE,"PCOL"}</definedName>
    <definedName name="_________________OUT98" localSheetId="20" hidden="1">{#N/A,#N/A,TRUE,"Serviços"}</definedName>
    <definedName name="_________________OUT98" hidden="1">{#N/A,#N/A,TRUE,"Serviços"}</definedName>
    <definedName name="_________________PL1">#REF!</definedName>
    <definedName name="_________________r" localSheetId="20" hidden="1">{"'CptDifn'!$AA$32:$AG$32"}</definedName>
    <definedName name="_________________r" localSheetId="21">#REF!</definedName>
    <definedName name="_________________r">#REF!</definedName>
    <definedName name="_________________r_1" localSheetId="20" hidden="1">{"'CptDifn'!$AA$32:$AG$32"}</definedName>
    <definedName name="_________________r_1" hidden="1">{"'CptDifn'!$AA$32:$AG$32"}</definedName>
    <definedName name="_________________r_1_1" localSheetId="20" hidden="1">{"'CptDifn'!$AA$32:$AG$32"}</definedName>
    <definedName name="_________________r_1_1" hidden="1">{"'CptDifn'!$AA$32:$AG$32"}</definedName>
    <definedName name="_________________r_1_1_1" localSheetId="20" hidden="1">{"'CptDifn'!$AA$32:$AG$32"}</definedName>
    <definedName name="_________________r_1_1_1" hidden="1">{"'CptDifn'!$AA$32:$AG$32"}</definedName>
    <definedName name="_________________r_1_2" localSheetId="20" hidden="1">{"'CptDifn'!$AA$32:$AG$32"}</definedName>
    <definedName name="_________________r_1_2" hidden="1">{"'CptDifn'!$AA$32:$AG$32"}</definedName>
    <definedName name="_________________r_2" localSheetId="20" hidden="1">{"'CptDifn'!$AA$32:$AG$32"}</definedName>
    <definedName name="_________________r_2" hidden="1">{"'CptDifn'!$AA$32:$AG$32"}</definedName>
    <definedName name="________________ltf2" hidden="1">#REF!</definedName>
    <definedName name="________________n2" localSheetId="20" hidden="1">{#N/A,#N/A,FALSE,"PCOL"}</definedName>
    <definedName name="________________n2" hidden="1">{#N/A,#N/A,FALSE,"PCOL"}</definedName>
    <definedName name="________________n2_1" localSheetId="20" hidden="1">{#N/A,#N/A,FALSE,"PCOL"}</definedName>
    <definedName name="________________n2_1" hidden="1">{#N/A,#N/A,FALSE,"PCOL"}</definedName>
    <definedName name="________________n2_1_1" localSheetId="20" hidden="1">{#N/A,#N/A,FALSE,"PCOL"}</definedName>
    <definedName name="________________n2_1_1" hidden="1">{#N/A,#N/A,FALSE,"PCOL"}</definedName>
    <definedName name="________________n2_1_1_1" localSheetId="20" hidden="1">{#N/A,#N/A,FALSE,"PCOL"}</definedName>
    <definedName name="________________n2_1_1_1" hidden="1">{#N/A,#N/A,FALSE,"PCOL"}</definedName>
    <definedName name="________________n2_1_2" localSheetId="20" hidden="1">{#N/A,#N/A,FALSE,"PCOL"}</definedName>
    <definedName name="________________n2_1_2" hidden="1">{#N/A,#N/A,FALSE,"PCOL"}</definedName>
    <definedName name="________________n2_2" localSheetId="20" hidden="1">{#N/A,#N/A,FALSE,"PCOL"}</definedName>
    <definedName name="________________n2_2" hidden="1">{#N/A,#N/A,FALSE,"PCOL"}</definedName>
    <definedName name="________________OUT98" localSheetId="20" hidden="1">{#N/A,#N/A,TRUE,"Serviços"}</definedName>
    <definedName name="________________OUT98" hidden="1">{#N/A,#N/A,TRUE,"Serviços"}</definedName>
    <definedName name="________________PL1">#REF!</definedName>
    <definedName name="________________PPU1" localSheetId="20" hidden="1">{#N/A,#N/A,FALSE,"Cronograma";#N/A,#N/A,FALSE,"Cronogr. 2"}</definedName>
    <definedName name="________________PPU1" hidden="1">{#N/A,#N/A,FALSE,"Cronograma";#N/A,#N/A,FALSE,"Cronogr. 2"}</definedName>
    <definedName name="________________PPU1_1" localSheetId="20" hidden="1">{#N/A,#N/A,FALSE,"Cronograma";#N/A,#N/A,FALSE,"Cronogr. 2"}</definedName>
    <definedName name="________________PPU1_1" hidden="1">{#N/A,#N/A,FALSE,"Cronograma";#N/A,#N/A,FALSE,"Cronogr. 2"}</definedName>
    <definedName name="________________PPU1_1_1" localSheetId="20" hidden="1">{#N/A,#N/A,FALSE,"Cronograma";#N/A,#N/A,FALSE,"Cronogr. 2"}</definedName>
    <definedName name="________________PPU1_1_1" hidden="1">{#N/A,#N/A,FALSE,"Cronograma";#N/A,#N/A,FALSE,"Cronogr. 2"}</definedName>
    <definedName name="________________PPU1_1_1_1" localSheetId="20" hidden="1">{#N/A,#N/A,FALSE,"Cronograma";#N/A,#N/A,FALSE,"Cronogr. 2"}</definedName>
    <definedName name="________________PPU1_1_1_1" hidden="1">{#N/A,#N/A,FALSE,"Cronograma";#N/A,#N/A,FALSE,"Cronogr. 2"}</definedName>
    <definedName name="________________PPU1_1_2" localSheetId="20" hidden="1">{#N/A,#N/A,FALSE,"Cronograma";#N/A,#N/A,FALSE,"Cronogr. 2"}</definedName>
    <definedName name="________________PPU1_1_2" hidden="1">{#N/A,#N/A,FALSE,"Cronograma";#N/A,#N/A,FALSE,"Cronogr. 2"}</definedName>
    <definedName name="________________PPU1_2" localSheetId="20" hidden="1">{#N/A,#N/A,FALSE,"Cronograma";#N/A,#N/A,FALSE,"Cronogr. 2"}</definedName>
    <definedName name="________________PPU1_2" hidden="1">{#N/A,#N/A,FALSE,"Cronograma";#N/A,#N/A,FALSE,"Cronogr. 2"}</definedName>
    <definedName name="________________r" localSheetId="20" hidden="1">{#N/A,#N/A,FALSE,"PCOL"}</definedName>
    <definedName name="________________r" localSheetId="21">#REF!</definedName>
    <definedName name="________________r">#REF!</definedName>
    <definedName name="________________r_1" localSheetId="20" hidden="1">{#N/A,#N/A,FALSE,"PCOL"}</definedName>
    <definedName name="________________r_1" hidden="1">{#N/A,#N/A,FALSE,"PCOL"}</definedName>
    <definedName name="________________r_1_1" localSheetId="20" hidden="1">{#N/A,#N/A,FALSE,"PCOL"}</definedName>
    <definedName name="________________r_1_1" hidden="1">{#N/A,#N/A,FALSE,"PCOL"}</definedName>
    <definedName name="________________r_1_1_1" localSheetId="20" hidden="1">{#N/A,#N/A,FALSE,"PCOL"}</definedName>
    <definedName name="________________r_1_1_1" hidden="1">{#N/A,#N/A,FALSE,"PCOL"}</definedName>
    <definedName name="________________r_1_2" localSheetId="20" hidden="1">{#N/A,#N/A,FALSE,"PCOL"}</definedName>
    <definedName name="________________r_1_2" hidden="1">{#N/A,#N/A,FALSE,"PCOL"}</definedName>
    <definedName name="________________r_2" localSheetId="20" hidden="1">{#N/A,#N/A,FALSE,"PCOL"}</definedName>
    <definedName name="________________r_2" hidden="1">{#N/A,#N/A,FALSE,"PCOL"}</definedName>
    <definedName name="_______________Ext2" localSheetId="21">#REF!</definedName>
    <definedName name="_______________Ext2">'[6]P A T O 99 B'!#REF!</definedName>
    <definedName name="_______________ltf2" hidden="1">#REF!</definedName>
    <definedName name="_______________n2" localSheetId="20" hidden="1">{#N/A,#N/A,FALSE,"PCOL"}</definedName>
    <definedName name="_______________n2" hidden="1">{#N/A,#N/A,FALSE,"PCOL"}</definedName>
    <definedName name="_______________n2_1" localSheetId="20" hidden="1">{#N/A,#N/A,FALSE,"PCOL"}</definedName>
    <definedName name="_______________n2_1" hidden="1">{#N/A,#N/A,FALSE,"PCOL"}</definedName>
    <definedName name="_______________n2_1_1" localSheetId="20" hidden="1">{#N/A,#N/A,FALSE,"PCOL"}</definedName>
    <definedName name="_______________n2_1_1" hidden="1">{#N/A,#N/A,FALSE,"PCOL"}</definedName>
    <definedName name="_______________n2_1_1_1" localSheetId="20" hidden="1">{#N/A,#N/A,FALSE,"PCOL"}</definedName>
    <definedName name="_______________n2_1_1_1" hidden="1">{#N/A,#N/A,FALSE,"PCOL"}</definedName>
    <definedName name="_______________n2_1_2" localSheetId="20" hidden="1">{#N/A,#N/A,FALSE,"PCOL"}</definedName>
    <definedName name="_______________n2_1_2" hidden="1">{#N/A,#N/A,FALSE,"PCOL"}</definedName>
    <definedName name="_______________n2_2" localSheetId="20" hidden="1">{#N/A,#N/A,FALSE,"PCOL"}</definedName>
    <definedName name="_______________n2_2" hidden="1">{#N/A,#N/A,FALSE,"PCOL"}</definedName>
    <definedName name="_______________PL1">#REF!</definedName>
    <definedName name="_______________PPU1" localSheetId="20" hidden="1">{#N/A,#N/A,FALSE,"Cronograma";#N/A,#N/A,FALSE,"Cronogr. 2"}</definedName>
    <definedName name="_______________PPU1" hidden="1">{#N/A,#N/A,FALSE,"Cronograma";#N/A,#N/A,FALSE,"Cronogr. 2"}</definedName>
    <definedName name="_______________PPU1_1" localSheetId="20" hidden="1">{#N/A,#N/A,FALSE,"Cronograma";#N/A,#N/A,FALSE,"Cronogr. 2"}</definedName>
    <definedName name="_______________PPU1_1" hidden="1">{#N/A,#N/A,FALSE,"Cronograma";#N/A,#N/A,FALSE,"Cronogr. 2"}</definedName>
    <definedName name="_______________PPU1_1_1" localSheetId="20" hidden="1">{#N/A,#N/A,FALSE,"Cronograma";#N/A,#N/A,FALSE,"Cronogr. 2"}</definedName>
    <definedName name="_______________PPU1_1_1" hidden="1">{#N/A,#N/A,FALSE,"Cronograma";#N/A,#N/A,FALSE,"Cronogr. 2"}</definedName>
    <definedName name="_______________PPU1_1_1_1" localSheetId="20" hidden="1">{#N/A,#N/A,FALSE,"Cronograma";#N/A,#N/A,FALSE,"Cronogr. 2"}</definedName>
    <definedName name="_______________PPU1_1_1_1" hidden="1">{#N/A,#N/A,FALSE,"Cronograma";#N/A,#N/A,FALSE,"Cronogr. 2"}</definedName>
    <definedName name="_______________PPU1_1_2" localSheetId="20" hidden="1">{#N/A,#N/A,FALSE,"Cronograma";#N/A,#N/A,FALSE,"Cronogr. 2"}</definedName>
    <definedName name="_______________PPU1_1_2" hidden="1">{#N/A,#N/A,FALSE,"Cronograma";#N/A,#N/A,FALSE,"Cronogr. 2"}</definedName>
    <definedName name="_______________PPU1_2" localSheetId="20" hidden="1">{#N/A,#N/A,FALSE,"Cronograma";#N/A,#N/A,FALSE,"Cronogr. 2"}</definedName>
    <definedName name="_______________PPU1_2" hidden="1">{#N/A,#N/A,FALSE,"Cronograma";#N/A,#N/A,FALSE,"Cronogr. 2"}</definedName>
    <definedName name="_______________r" localSheetId="20" hidden="1">{"'CptDifn'!$AA$32:$AG$32"}</definedName>
    <definedName name="_______________r" localSheetId="21">#REF!</definedName>
    <definedName name="_______________r">#REF!</definedName>
    <definedName name="_______________r_1" localSheetId="20" hidden="1">{"'CptDifn'!$AA$32:$AG$32"}</definedName>
    <definedName name="_______________r_1" hidden="1">{"'CptDifn'!$AA$32:$AG$32"}</definedName>
    <definedName name="_______________r_1_1" localSheetId="20" hidden="1">{"'CptDifn'!$AA$32:$AG$32"}</definedName>
    <definedName name="_______________r_1_1" hidden="1">{"'CptDifn'!$AA$32:$AG$32"}</definedName>
    <definedName name="_______________r_1_1_1" localSheetId="20" hidden="1">{"'CptDifn'!$AA$32:$AG$32"}</definedName>
    <definedName name="_______________r_1_1_1" hidden="1">{"'CptDifn'!$AA$32:$AG$32"}</definedName>
    <definedName name="_______________r_1_2" localSheetId="20" hidden="1">{"'CptDifn'!$AA$32:$AG$32"}</definedName>
    <definedName name="_______________r_1_2" hidden="1">{"'CptDifn'!$AA$32:$AG$32"}</definedName>
    <definedName name="_______________r_2" localSheetId="20" hidden="1">{"'CptDifn'!$AA$32:$AG$32"}</definedName>
    <definedName name="_______________r_2" hidden="1">{"'CptDifn'!$AA$32:$AG$32"}</definedName>
    <definedName name="______________Ext2" localSheetId="21">#REF!</definedName>
    <definedName name="______________Ext2">'[6]P A T O 99 B'!#REF!</definedName>
    <definedName name="______________ltf2" hidden="1">#REF!</definedName>
    <definedName name="______________n2" localSheetId="20" hidden="1">{#N/A,#N/A,FALSE,"PCOL"}</definedName>
    <definedName name="______________n2" hidden="1">{#N/A,#N/A,FALSE,"PCOL"}</definedName>
    <definedName name="______________n2_1" localSheetId="20" hidden="1">{#N/A,#N/A,FALSE,"PCOL"}</definedName>
    <definedName name="______________n2_1" hidden="1">{#N/A,#N/A,FALSE,"PCOL"}</definedName>
    <definedName name="______________n2_1_1" localSheetId="20" hidden="1">{#N/A,#N/A,FALSE,"PCOL"}</definedName>
    <definedName name="______________n2_1_1" hidden="1">{#N/A,#N/A,FALSE,"PCOL"}</definedName>
    <definedName name="______________n2_1_1_1" localSheetId="20" hidden="1">{#N/A,#N/A,FALSE,"PCOL"}</definedName>
    <definedName name="______________n2_1_1_1" hidden="1">{#N/A,#N/A,FALSE,"PCOL"}</definedName>
    <definedName name="______________n2_1_2" localSheetId="20" hidden="1">{#N/A,#N/A,FALSE,"PCOL"}</definedName>
    <definedName name="______________n2_1_2" hidden="1">{#N/A,#N/A,FALSE,"PCOL"}</definedName>
    <definedName name="______________n2_2" localSheetId="20" hidden="1">{#N/A,#N/A,FALSE,"PCOL"}</definedName>
    <definedName name="______________n2_2" hidden="1">{#N/A,#N/A,FALSE,"PCOL"}</definedName>
    <definedName name="______________OUT98" localSheetId="20" hidden="1">{#N/A,#N/A,TRUE,"Serviços"}</definedName>
    <definedName name="______________OUT98" hidden="1">{#N/A,#N/A,TRUE,"Serviços"}</definedName>
    <definedName name="______________PL1">#REF!</definedName>
    <definedName name="______________PPU1" localSheetId="20" hidden="1">{#N/A,#N/A,FALSE,"Cronograma";#N/A,#N/A,FALSE,"Cronogr. 2"}</definedName>
    <definedName name="______________PPU1" hidden="1">{#N/A,#N/A,FALSE,"Cronograma";#N/A,#N/A,FALSE,"Cronogr. 2"}</definedName>
    <definedName name="______________PPU1_1" localSheetId="20" hidden="1">{#N/A,#N/A,FALSE,"Cronograma";#N/A,#N/A,FALSE,"Cronogr. 2"}</definedName>
    <definedName name="______________PPU1_1" hidden="1">{#N/A,#N/A,FALSE,"Cronograma";#N/A,#N/A,FALSE,"Cronogr. 2"}</definedName>
    <definedName name="______________PPU1_1_1" localSheetId="20" hidden="1">{#N/A,#N/A,FALSE,"Cronograma";#N/A,#N/A,FALSE,"Cronogr. 2"}</definedName>
    <definedName name="______________PPU1_1_1" hidden="1">{#N/A,#N/A,FALSE,"Cronograma";#N/A,#N/A,FALSE,"Cronogr. 2"}</definedName>
    <definedName name="______________PPU1_1_1_1" localSheetId="20" hidden="1">{#N/A,#N/A,FALSE,"Cronograma";#N/A,#N/A,FALSE,"Cronogr. 2"}</definedName>
    <definedName name="______________PPU1_1_1_1" hidden="1">{#N/A,#N/A,FALSE,"Cronograma";#N/A,#N/A,FALSE,"Cronogr. 2"}</definedName>
    <definedName name="______________PPU1_1_2" localSheetId="20" hidden="1">{#N/A,#N/A,FALSE,"Cronograma";#N/A,#N/A,FALSE,"Cronogr. 2"}</definedName>
    <definedName name="______________PPU1_1_2" hidden="1">{#N/A,#N/A,FALSE,"Cronograma";#N/A,#N/A,FALSE,"Cronogr. 2"}</definedName>
    <definedName name="______________PPU1_2" localSheetId="20" hidden="1">{#N/A,#N/A,FALSE,"Cronograma";#N/A,#N/A,FALSE,"Cronogr. 2"}</definedName>
    <definedName name="______________PPU1_2" hidden="1">{#N/A,#N/A,FALSE,"Cronograma";#N/A,#N/A,FALSE,"Cronogr. 2"}</definedName>
    <definedName name="______________r">#REF!</definedName>
    <definedName name="______________r_1" localSheetId="20" hidden="1">{#N/A,#N/A,FALSE,"PCOL"}</definedName>
    <definedName name="______________r_1" hidden="1">{#N/A,#N/A,FALSE,"PCOL"}</definedName>
    <definedName name="______________r_1_1" localSheetId="20" hidden="1">{#N/A,#N/A,FALSE,"PCOL"}</definedName>
    <definedName name="______________r_1_1" hidden="1">{#N/A,#N/A,FALSE,"PCOL"}</definedName>
    <definedName name="______________r_1_1_1" localSheetId="20" hidden="1">{#N/A,#N/A,FALSE,"PCOL"}</definedName>
    <definedName name="______________r_1_1_1" hidden="1">{#N/A,#N/A,FALSE,"PCOL"}</definedName>
    <definedName name="______________r_1_2" localSheetId="20" hidden="1">{#N/A,#N/A,FALSE,"PCOL"}</definedName>
    <definedName name="______________r_1_2" hidden="1">{#N/A,#N/A,FALSE,"PCOL"}</definedName>
    <definedName name="______________r_2" localSheetId="20" hidden="1">{#N/A,#N/A,FALSE,"PCOL"}</definedName>
    <definedName name="______________r_2" hidden="1">{#N/A,#N/A,FALSE,"PCOL"}</definedName>
    <definedName name="_____________Ext2" localSheetId="21">#REF!</definedName>
    <definedName name="_____________Ext2">'[7]P A T O 99 B'!#REF!</definedName>
    <definedName name="_____________ltf2" hidden="1">#REF!</definedName>
    <definedName name="_____________n2" localSheetId="20" hidden="1">{#N/A,#N/A,FALSE,"PCOL"}</definedName>
    <definedName name="_____________n2" hidden="1">{#N/A,#N/A,FALSE,"PCOL"}</definedName>
    <definedName name="_____________n2_1" localSheetId="20" hidden="1">{#N/A,#N/A,FALSE,"PCOL"}</definedName>
    <definedName name="_____________n2_1" hidden="1">{#N/A,#N/A,FALSE,"PCOL"}</definedName>
    <definedName name="_____________n2_1_1" localSheetId="20" hidden="1">{#N/A,#N/A,FALSE,"PCOL"}</definedName>
    <definedName name="_____________n2_1_1" hidden="1">{#N/A,#N/A,FALSE,"PCOL"}</definedName>
    <definedName name="_____________n2_1_1_1" localSheetId="20" hidden="1">{#N/A,#N/A,FALSE,"PCOL"}</definedName>
    <definedName name="_____________n2_1_1_1" hidden="1">{#N/A,#N/A,FALSE,"PCOL"}</definedName>
    <definedName name="_____________n2_1_2" localSheetId="20" hidden="1">{#N/A,#N/A,FALSE,"PCOL"}</definedName>
    <definedName name="_____________n2_1_2" hidden="1">{#N/A,#N/A,FALSE,"PCOL"}</definedName>
    <definedName name="_____________n2_2" localSheetId="20" hidden="1">{#N/A,#N/A,FALSE,"PCOL"}</definedName>
    <definedName name="_____________n2_2" hidden="1">{#N/A,#N/A,FALSE,"PCOL"}</definedName>
    <definedName name="_____________OUT98" localSheetId="20" hidden="1">{#N/A,#N/A,TRUE,"Serviços"}</definedName>
    <definedName name="_____________OUT98" localSheetId="21">#REF!</definedName>
    <definedName name="_____________OUT98" localSheetId="2" hidden="1">{#N/A,#N/A,TRUE,"Serviços"}</definedName>
    <definedName name="_____________OUT98" hidden="1">{#N/A,#N/A,TRUE,"Serviços"}</definedName>
    <definedName name="_____________OUT98_1" localSheetId="20">{#N/A,#N/A,TRUE,"Serviços"}</definedName>
    <definedName name="_____________OUT98_1" localSheetId="21">#REF!</definedName>
    <definedName name="_____________OUT98_1">#REF!</definedName>
    <definedName name="_____________PL1">#REF!</definedName>
    <definedName name="_____________PL1_11">#REF!</definedName>
    <definedName name="_____________PL1_15">#REF!</definedName>
    <definedName name="_____________r">#REF!</definedName>
    <definedName name="_____________r_1" localSheetId="20" hidden="1">{#N/A,#N/A,FALSE,"PCOL"}</definedName>
    <definedName name="_____________r_1" hidden="1">{#N/A,#N/A,FALSE,"PCOL"}</definedName>
    <definedName name="_____________r_1_1" localSheetId="20" hidden="1">{#N/A,#N/A,FALSE,"PCOL"}</definedName>
    <definedName name="_____________r_1_1" hidden="1">{#N/A,#N/A,FALSE,"PCOL"}</definedName>
    <definedName name="_____________r_1_1_1" localSheetId="20" hidden="1">{#N/A,#N/A,FALSE,"PCOL"}</definedName>
    <definedName name="_____________r_1_1_1" hidden="1">{#N/A,#N/A,FALSE,"PCOL"}</definedName>
    <definedName name="_____________r_1_2" localSheetId="20" hidden="1">{#N/A,#N/A,FALSE,"PCOL"}</definedName>
    <definedName name="_____________r_1_2" hidden="1">{#N/A,#N/A,FALSE,"PCOL"}</definedName>
    <definedName name="_____________r_2" localSheetId="20" hidden="1">{#N/A,#N/A,FALSE,"PCOL"}</definedName>
    <definedName name="_____________r_2" hidden="1">{#N/A,#N/A,FALSE,"PCOL"}</definedName>
    <definedName name="_____________Rbv1">'[8]Página 16'!$C$3:$C$7</definedName>
    <definedName name="_____________SE2">#REF!</definedName>
    <definedName name="______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Ext2" localSheetId="21">#REF!</definedName>
    <definedName name="____________Ext2">'[6]P A T O 99 B'!#REF!</definedName>
    <definedName name="____________Ext2_11">'[9]P A T O 99 B'!#REF!</definedName>
    <definedName name="____________ki5">#REF!</definedName>
    <definedName name="____________ltf2" hidden="1">#REF!</definedName>
    <definedName name="____________n2" localSheetId="20" hidden="1">{#N/A,#N/A,FALSE,"PCOL"}</definedName>
    <definedName name="____________n2" hidden="1">{#N/A,#N/A,FALSE,"PCOL"}</definedName>
    <definedName name="____________n2_1" localSheetId="20" hidden="1">{#N/A,#N/A,FALSE,"PCOL"}</definedName>
    <definedName name="____________n2_1" hidden="1">{#N/A,#N/A,FALSE,"PCOL"}</definedName>
    <definedName name="____________n2_1_1" localSheetId="20" hidden="1">{#N/A,#N/A,FALSE,"PCOL"}</definedName>
    <definedName name="____________n2_1_1" hidden="1">{#N/A,#N/A,FALSE,"PCOL"}</definedName>
    <definedName name="____________n2_1_1_1" localSheetId="20" hidden="1">{#N/A,#N/A,FALSE,"PCOL"}</definedName>
    <definedName name="____________n2_1_1_1" hidden="1">{#N/A,#N/A,FALSE,"PCOL"}</definedName>
    <definedName name="____________n2_1_2" localSheetId="20" hidden="1">{#N/A,#N/A,FALSE,"PCOL"}</definedName>
    <definedName name="____________n2_1_2" hidden="1">{#N/A,#N/A,FALSE,"PCOL"}</definedName>
    <definedName name="____________n2_2" localSheetId="20" hidden="1">{#N/A,#N/A,FALSE,"PCOL"}</definedName>
    <definedName name="____________n2_2" hidden="1">{#N/A,#N/A,FALSE,"PCOL"}</definedName>
    <definedName name="____________OUT98" localSheetId="20" hidden="1">{#N/A,#N/A,TRUE,"Serviços"}</definedName>
    <definedName name="____________OUT98" localSheetId="21">#REF!</definedName>
    <definedName name="____________OUT98" localSheetId="2" hidden="1">{#N/A,#N/A,TRUE,"Serviços"}</definedName>
    <definedName name="____________OUT98" hidden="1">{#N/A,#N/A,TRUE,"Serviços"}</definedName>
    <definedName name="____________OUT98_1" localSheetId="20">{#N/A,#N/A,TRUE,"Serviços"}</definedName>
    <definedName name="____________OUT98_1" localSheetId="21">#REF!</definedName>
    <definedName name="____________OUT98_1">#REF!</definedName>
    <definedName name="____________OUT988" localSheetId="20" hidden="1">{#N/A,#N/A,TRUE,"Serviços"}</definedName>
    <definedName name="____________OUT988" localSheetId="2" hidden="1">{#N/A,#N/A,TRUE,"Serviços"}</definedName>
    <definedName name="____________OUT988" hidden="1">{#N/A,#N/A,TRUE,"Serviços"}</definedName>
    <definedName name="____________PL1">#REF!</definedName>
    <definedName name="____________PPU1" localSheetId="20" hidden="1">{#N/A,#N/A,FALSE,"Cronograma";#N/A,#N/A,FALSE,"Cronogr. 2"}</definedName>
    <definedName name="____________PPU1" hidden="1">{#N/A,#N/A,FALSE,"Cronograma";#N/A,#N/A,FALSE,"Cronogr. 2"}</definedName>
    <definedName name="____________PPU1_1" localSheetId="20" hidden="1">{#N/A,#N/A,FALSE,"Cronograma";#N/A,#N/A,FALSE,"Cronogr. 2"}</definedName>
    <definedName name="____________PPU1_1" hidden="1">{#N/A,#N/A,FALSE,"Cronograma";#N/A,#N/A,FALSE,"Cronogr. 2"}</definedName>
    <definedName name="____________PPU1_1_1" localSheetId="20" hidden="1">{#N/A,#N/A,FALSE,"Cronograma";#N/A,#N/A,FALSE,"Cronogr. 2"}</definedName>
    <definedName name="____________PPU1_1_1" hidden="1">{#N/A,#N/A,FALSE,"Cronograma";#N/A,#N/A,FALSE,"Cronogr. 2"}</definedName>
    <definedName name="____________PPU1_1_1_1" localSheetId="20" hidden="1">{#N/A,#N/A,FALSE,"Cronograma";#N/A,#N/A,FALSE,"Cronogr. 2"}</definedName>
    <definedName name="____________PPU1_1_1_1" hidden="1">{#N/A,#N/A,FALSE,"Cronograma";#N/A,#N/A,FALSE,"Cronogr. 2"}</definedName>
    <definedName name="____________PPU1_1_2" localSheetId="20" hidden="1">{#N/A,#N/A,FALSE,"Cronograma";#N/A,#N/A,FALSE,"Cronogr. 2"}</definedName>
    <definedName name="____________PPU1_1_2" hidden="1">{#N/A,#N/A,FALSE,"Cronograma";#N/A,#N/A,FALSE,"Cronogr. 2"}</definedName>
    <definedName name="____________PPU1_2" localSheetId="20" hidden="1">{#N/A,#N/A,FALSE,"Cronograma";#N/A,#N/A,FALSE,"Cronogr. 2"}</definedName>
    <definedName name="____________PPU1_2" hidden="1">{#N/A,#N/A,FALSE,"Cronograma";#N/A,#N/A,FALSE,"Cronogr. 2"}</definedName>
    <definedName name="____________r">#REF!</definedName>
    <definedName name="____________r_1" localSheetId="20" hidden="1">{#N/A,#N/A,FALSE,"PCOL"}</definedName>
    <definedName name="____________r_1" hidden="1">{#N/A,#N/A,FALSE,"PCOL"}</definedName>
    <definedName name="____________r_1_1" localSheetId="20" hidden="1">{#N/A,#N/A,FALSE,"PCOL"}</definedName>
    <definedName name="____________r_1_1" hidden="1">{#N/A,#N/A,FALSE,"PCOL"}</definedName>
    <definedName name="____________r_1_1_1" localSheetId="20" hidden="1">{#N/A,#N/A,FALSE,"PCOL"}</definedName>
    <definedName name="____________r_1_1_1" hidden="1">{#N/A,#N/A,FALSE,"PCOL"}</definedName>
    <definedName name="____________r_1_2" localSheetId="20" hidden="1">{#N/A,#N/A,FALSE,"PCOL"}</definedName>
    <definedName name="____________r_1_2" hidden="1">{#N/A,#N/A,FALSE,"PCOL"}</definedName>
    <definedName name="____________r_2" localSheetId="20" hidden="1">{#N/A,#N/A,FALSE,"PCOL"}</definedName>
    <definedName name="____________r_2" hidden="1">{#N/A,#N/A,FALSE,"PCOL"}</definedName>
    <definedName name="____________Rbv1">'[8]Página 16'!$C$3:$C$7</definedName>
    <definedName name="____________STC04">#REF!</definedName>
    <definedName name="_____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Ext2" localSheetId="21">#REF!</definedName>
    <definedName name="___________Ext2">'[6]P A T O 99 B'!#REF!</definedName>
    <definedName name="___________Ext2_11">'[9]P A T O 99 B'!#REF!</definedName>
    <definedName name="___________ki5">#REF!</definedName>
    <definedName name="___________ltf2" hidden="1">#REF!</definedName>
    <definedName name="___________n2" localSheetId="20" hidden="1">{#N/A,#N/A,FALSE,"PCOL"}</definedName>
    <definedName name="___________n2" hidden="1">{#N/A,#N/A,FALSE,"PCOL"}</definedName>
    <definedName name="___________n2_1" localSheetId="20" hidden="1">{#N/A,#N/A,FALSE,"PCOL"}</definedName>
    <definedName name="___________n2_1" hidden="1">{#N/A,#N/A,FALSE,"PCOL"}</definedName>
    <definedName name="___________n2_1_1" localSheetId="20" hidden="1">{#N/A,#N/A,FALSE,"PCOL"}</definedName>
    <definedName name="___________n2_1_1" hidden="1">{#N/A,#N/A,FALSE,"PCOL"}</definedName>
    <definedName name="___________n2_1_1_1" localSheetId="20" hidden="1">{#N/A,#N/A,FALSE,"PCOL"}</definedName>
    <definedName name="___________n2_1_1_1" hidden="1">{#N/A,#N/A,FALSE,"PCOL"}</definedName>
    <definedName name="___________n2_1_2" localSheetId="20" hidden="1">{#N/A,#N/A,FALSE,"PCOL"}</definedName>
    <definedName name="___________n2_1_2" hidden="1">{#N/A,#N/A,FALSE,"PCOL"}</definedName>
    <definedName name="___________n2_2" localSheetId="20" hidden="1">{#N/A,#N/A,FALSE,"PCOL"}</definedName>
    <definedName name="___________n2_2" hidden="1">{#N/A,#N/A,FALSE,"PCOL"}</definedName>
    <definedName name="___________NEW2" localSheetId="20" hidden="1">{"'RATEIO RECEITA BRUTA'!$B$77:$C$106"}</definedName>
    <definedName name="___________NEW2" hidden="1">{"'RATEIO RECEITA BRUTA'!$B$77:$C$106"}</definedName>
    <definedName name="___________OUT98" localSheetId="20" hidden="1">{#N/A,#N/A,TRUE,"Serviços"}</definedName>
    <definedName name="___________OUT98" localSheetId="21">#REF!</definedName>
    <definedName name="___________OUT98" localSheetId="2" hidden="1">{#N/A,#N/A,TRUE,"Serviços"}</definedName>
    <definedName name="___________OUT98" hidden="1">{#N/A,#N/A,TRUE,"Serviços"}</definedName>
    <definedName name="___________OUT98_1" localSheetId="20">{#N/A,#N/A,TRUE,"Serviços"}</definedName>
    <definedName name="___________OUT98_1" localSheetId="21">#REF!</definedName>
    <definedName name="___________OUT98_1">#REF!</definedName>
    <definedName name="___________OUT988" localSheetId="20" hidden="1">{#N/A,#N/A,TRUE,"Serviços"}</definedName>
    <definedName name="___________OUT988" localSheetId="2" hidden="1">{#N/A,#N/A,TRUE,"Serviços"}</definedName>
    <definedName name="___________OUT988" hidden="1">{#N/A,#N/A,TRUE,"Serviços"}</definedName>
    <definedName name="___________OUT9888" localSheetId="20" hidden="1">{#N/A,#N/A,TRUE,"Serviços"}</definedName>
    <definedName name="___________OUT9888" localSheetId="2" hidden="1">{#N/A,#N/A,TRUE,"Serviços"}</definedName>
    <definedName name="___________OUT9888" hidden="1">{#N/A,#N/A,TRUE,"Serviços"}</definedName>
    <definedName name="___________PL1">#REF!</definedName>
    <definedName name="___________PL1_11">#REF!</definedName>
    <definedName name="___________PL1_15">#REF!</definedName>
    <definedName name="___________PPU1" localSheetId="20" hidden="1">{#N/A,#N/A,FALSE,"Cronograma";#N/A,#N/A,FALSE,"Cronogr. 2"}</definedName>
    <definedName name="___________PPU1" hidden="1">{#N/A,#N/A,FALSE,"Cronograma";#N/A,#N/A,FALSE,"Cronogr. 2"}</definedName>
    <definedName name="___________PPU1_1" localSheetId="20" hidden="1">{#N/A,#N/A,FALSE,"Cronograma";#N/A,#N/A,FALSE,"Cronogr. 2"}</definedName>
    <definedName name="___________PPU1_1" hidden="1">{#N/A,#N/A,FALSE,"Cronograma";#N/A,#N/A,FALSE,"Cronogr. 2"}</definedName>
    <definedName name="___________PPU1_1_1" localSheetId="20" hidden="1">{#N/A,#N/A,FALSE,"Cronograma";#N/A,#N/A,FALSE,"Cronogr. 2"}</definedName>
    <definedName name="___________PPU1_1_1" hidden="1">{#N/A,#N/A,FALSE,"Cronograma";#N/A,#N/A,FALSE,"Cronogr. 2"}</definedName>
    <definedName name="___________PPU1_1_1_1" localSheetId="20" hidden="1">{#N/A,#N/A,FALSE,"Cronograma";#N/A,#N/A,FALSE,"Cronogr. 2"}</definedName>
    <definedName name="___________PPU1_1_1_1" hidden="1">{#N/A,#N/A,FALSE,"Cronograma";#N/A,#N/A,FALSE,"Cronogr. 2"}</definedName>
    <definedName name="___________PPU1_1_2" localSheetId="20" hidden="1">{#N/A,#N/A,FALSE,"Cronograma";#N/A,#N/A,FALSE,"Cronogr. 2"}</definedName>
    <definedName name="___________PPU1_1_2" hidden="1">{#N/A,#N/A,FALSE,"Cronograma";#N/A,#N/A,FALSE,"Cronogr. 2"}</definedName>
    <definedName name="___________PPU1_2" localSheetId="20" hidden="1">{#N/A,#N/A,FALSE,"Cronograma";#N/A,#N/A,FALSE,"Cronogr. 2"}</definedName>
    <definedName name="___________PPU1_2" hidden="1">{#N/A,#N/A,FALSE,"Cronograma";#N/A,#N/A,FALSE,"Cronogr. 2"}</definedName>
    <definedName name="___________r">#REF!</definedName>
    <definedName name="___________r_11">#REF!</definedName>
    <definedName name="___________r_15">#REF!</definedName>
    <definedName name="___________Rbv1">'[8]Página 16'!$C$3:$C$7</definedName>
    <definedName name="___________SE2">#REF!</definedName>
    <definedName name="____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Ext2" localSheetId="21">#REF!</definedName>
    <definedName name="__________Ext2">'[6]P A T O 99 B'!#REF!</definedName>
    <definedName name="__________Ext2_11">'[9]P A T O 99 B'!#REF!</definedName>
    <definedName name="__________Fev1">#N/A</definedName>
    <definedName name="__________Jan1">#N/A</definedName>
    <definedName name="__________ki5">#REF!</definedName>
    <definedName name="__________ltf2" hidden="1">#REF!</definedName>
    <definedName name="__________Mar1">#N/A</definedName>
    <definedName name="__________n2" localSheetId="20" hidden="1">{#N/A,#N/A,FALSE,"PCOL"}</definedName>
    <definedName name="__________n2" hidden="1">{#N/A,#N/A,FALSE,"PCOL"}</definedName>
    <definedName name="__________n2_1" localSheetId="20" hidden="1">{#N/A,#N/A,FALSE,"PCOL"}</definedName>
    <definedName name="__________n2_1" hidden="1">{#N/A,#N/A,FALSE,"PCOL"}</definedName>
    <definedName name="__________n2_1_1" localSheetId="20" hidden="1">{#N/A,#N/A,FALSE,"PCOL"}</definedName>
    <definedName name="__________n2_1_1" hidden="1">{#N/A,#N/A,FALSE,"PCOL"}</definedName>
    <definedName name="__________n2_1_1_1" localSheetId="20" hidden="1">{#N/A,#N/A,FALSE,"PCOL"}</definedName>
    <definedName name="__________n2_1_1_1" hidden="1">{#N/A,#N/A,FALSE,"PCOL"}</definedName>
    <definedName name="__________n2_1_2" localSheetId="20" hidden="1">{#N/A,#N/A,FALSE,"PCOL"}</definedName>
    <definedName name="__________n2_1_2" hidden="1">{#N/A,#N/A,FALSE,"PCOL"}</definedName>
    <definedName name="__________n2_2" localSheetId="20" hidden="1">{#N/A,#N/A,FALSE,"PCOL"}</definedName>
    <definedName name="__________n2_2" hidden="1">{#N/A,#N/A,FALSE,"PCOL"}</definedName>
    <definedName name="__________OUT98" localSheetId="20" hidden="1">{#N/A,#N/A,TRUE,"Serviços"}</definedName>
    <definedName name="__________OUT98" localSheetId="21">#REF!</definedName>
    <definedName name="__________OUT98" localSheetId="2" hidden="1">{#N/A,#N/A,TRUE,"Serviços"}</definedName>
    <definedName name="__________OUT98" hidden="1">{#N/A,#N/A,TRUE,"Serviços"}</definedName>
    <definedName name="__________OUT98_1" localSheetId="20">{#N/A,#N/A,TRUE,"Serviços"}</definedName>
    <definedName name="__________OUT98_1" localSheetId="21">#REF!</definedName>
    <definedName name="__________OUT98_1">#REF!</definedName>
    <definedName name="__________PL1">#REF!</definedName>
    <definedName name="__________PL1_11">#REF!</definedName>
    <definedName name="__________PL1_15">#REF!</definedName>
    <definedName name="__________PPU1" localSheetId="20" hidden="1">{#N/A,#N/A,FALSE,"Cronograma";#N/A,#N/A,FALSE,"Cronogr. 2"}</definedName>
    <definedName name="__________PPU1" hidden="1">{#N/A,#N/A,FALSE,"Cronograma";#N/A,#N/A,FALSE,"Cronogr. 2"}</definedName>
    <definedName name="__________PPU1_1" localSheetId="20" hidden="1">{#N/A,#N/A,FALSE,"Cronograma";#N/A,#N/A,FALSE,"Cronogr. 2"}</definedName>
    <definedName name="__________PPU1_1" hidden="1">{#N/A,#N/A,FALSE,"Cronograma";#N/A,#N/A,FALSE,"Cronogr. 2"}</definedName>
    <definedName name="__________PPU1_1_1" localSheetId="20" hidden="1">{#N/A,#N/A,FALSE,"Cronograma";#N/A,#N/A,FALSE,"Cronogr. 2"}</definedName>
    <definedName name="__________PPU1_1_1" hidden="1">{#N/A,#N/A,FALSE,"Cronograma";#N/A,#N/A,FALSE,"Cronogr. 2"}</definedName>
    <definedName name="__________PPU1_1_1_1" localSheetId="20" hidden="1">{#N/A,#N/A,FALSE,"Cronograma";#N/A,#N/A,FALSE,"Cronogr. 2"}</definedName>
    <definedName name="__________PPU1_1_1_1" hidden="1">{#N/A,#N/A,FALSE,"Cronograma";#N/A,#N/A,FALSE,"Cronogr. 2"}</definedName>
    <definedName name="__________PPU1_1_2" localSheetId="20" hidden="1">{#N/A,#N/A,FALSE,"Cronograma";#N/A,#N/A,FALSE,"Cronogr. 2"}</definedName>
    <definedName name="__________PPU1_1_2" hidden="1">{#N/A,#N/A,FALSE,"Cronograma";#N/A,#N/A,FALSE,"Cronogr. 2"}</definedName>
    <definedName name="__________PPU1_2" localSheetId="20" hidden="1">{#N/A,#N/A,FALSE,"Cronograma";#N/A,#N/A,FALSE,"Cronogr. 2"}</definedName>
    <definedName name="__________PPU1_2" hidden="1">{#N/A,#N/A,FALSE,"Cronograma";#N/A,#N/A,FALSE,"Cronogr. 2"}</definedName>
    <definedName name="__________r">#REF!</definedName>
    <definedName name="__________r_11">#REF!</definedName>
    <definedName name="__________r_15">#REF!</definedName>
    <definedName name="__________Rbv1">'[8]Página 16'!$C$3:$C$7</definedName>
    <definedName name="__________SE2">#REF!</definedName>
    <definedName name="__________STC04">#REF!</definedName>
    <definedName name="_________0">#REF!</definedName>
    <definedName name="_________1">#REF!</definedName>
    <definedName name="_________2">#REF!</definedName>
    <definedName name="_________a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ago1" localSheetId="20" hidden="1">{"'gráf jan00'!$A$1:$AK$41"}</definedName>
    <definedName name="_________ago1" hidden="1">{"'gráf jan00'!$A$1:$AK$41"}</definedName>
    <definedName name="_________ago10" localSheetId="20" hidden="1">{"'gráf jan00'!$A$1:$AK$41"}</definedName>
    <definedName name="_________ago10" hidden="1">{"'gráf jan00'!$A$1:$AK$41"}</definedName>
    <definedName name="_________ago2" localSheetId="20" hidden="1">{"'gráf jan00'!$A$1:$AK$41"}</definedName>
    <definedName name="_________ago2" hidden="1">{"'gráf jan00'!$A$1:$AK$41"}</definedName>
    <definedName name="_________ago3" localSheetId="20" hidden="1">{"'gráf jan00'!$A$1:$AK$41"}</definedName>
    <definedName name="_________ago3" hidden="1">{"'gráf jan00'!$A$1:$AK$41"}</definedName>
    <definedName name="_________ago4" localSheetId="20" hidden="1">{"'gráf jan00'!$A$1:$AK$41"}</definedName>
    <definedName name="_________ago4" hidden="1">{"'gráf jan00'!$A$1:$AK$41"}</definedName>
    <definedName name="_________ago5" localSheetId="20" hidden="1">{"'gráf jan00'!$A$1:$AK$41"}</definedName>
    <definedName name="_________ago5" hidden="1">{"'gráf jan00'!$A$1:$AK$41"}</definedName>
    <definedName name="_________ago6" localSheetId="20" hidden="1">{"'gráf jan00'!$A$1:$AK$41"}</definedName>
    <definedName name="_________ago6" hidden="1">{"'gráf jan00'!$A$1:$AK$41"}</definedName>
    <definedName name="_________ago7" localSheetId="20" hidden="1">{"'gráf jan00'!$A$1:$AK$41"}</definedName>
    <definedName name="_________ago7" hidden="1">{"'gráf jan00'!$A$1:$AK$41"}</definedName>
    <definedName name="_________ago8" localSheetId="20" hidden="1">{"'gráf jan00'!$A$1:$AK$41"}</definedName>
    <definedName name="_________ago8" hidden="1">{"'gráf jan00'!$A$1:$AK$41"}</definedName>
    <definedName name="_________ago9" localSheetId="20" hidden="1">{"'gráf jan00'!$A$1:$AK$41"}</definedName>
    <definedName name="_________ago9" hidden="1">{"'gráf jan00'!$A$1:$AK$41"}</definedName>
    <definedName name="_________BDI1" localSheetId="20">' 6.0 - Empréstimos '!_________BDI1</definedName>
    <definedName name="_________BDI1">[0]!_________BDI1</definedName>
    <definedName name="_________efc10" localSheetId="20" hidden="1">{"'RR'!$A$2:$E$81"}</definedName>
    <definedName name="_________efc10" hidden="1">{"'RR'!$A$2:$E$81"}</definedName>
    <definedName name="_________EFC2" localSheetId="20" hidden="1">{"'RR'!$A$2:$E$81"}</definedName>
    <definedName name="_________EFC2" hidden="1">{"'RR'!$A$2:$E$81"}</definedName>
    <definedName name="_________EFC2_1" localSheetId="20" hidden="1">{"'RR'!$A$2:$E$81"}</definedName>
    <definedName name="_________EFC2_1" hidden="1">{"'RR'!$A$2:$E$81"}</definedName>
    <definedName name="_________EFC2_1_1" localSheetId="20" hidden="1">{"'RR'!$A$2:$E$81"}</definedName>
    <definedName name="_________EFC2_1_1" hidden="1">{"'RR'!$A$2:$E$81"}</definedName>
    <definedName name="_________EFC2_1_1_1" localSheetId="20" hidden="1">{"'RR'!$A$2:$E$81"}</definedName>
    <definedName name="_________EFC2_1_1_1" hidden="1">{"'RR'!$A$2:$E$81"}</definedName>
    <definedName name="_________EFC2_1_2" localSheetId="20" hidden="1">{"'RR'!$A$2:$E$81"}</definedName>
    <definedName name="_________EFC2_1_2" hidden="1">{"'RR'!$A$2:$E$81"}</definedName>
    <definedName name="_________EFC2_2" localSheetId="20" hidden="1">{"'RR'!$A$2:$E$81"}</definedName>
    <definedName name="_________EFC2_2" hidden="1">{"'RR'!$A$2:$E$81"}</definedName>
    <definedName name="_________EFC3" localSheetId="20" hidden="1">{"'RR'!$A$2:$E$81"}</definedName>
    <definedName name="_________EFC3" hidden="1">{"'RR'!$A$2:$E$81"}</definedName>
    <definedName name="_________EFC3_1" localSheetId="20" hidden="1">{"'RR'!$A$2:$E$81"}</definedName>
    <definedName name="_________EFC3_1" hidden="1">{"'RR'!$A$2:$E$81"}</definedName>
    <definedName name="_________EFC3_1_1" localSheetId="20" hidden="1">{"'RR'!$A$2:$E$81"}</definedName>
    <definedName name="_________EFC3_1_1" hidden="1">{"'RR'!$A$2:$E$81"}</definedName>
    <definedName name="_________EFC3_1_1_1" localSheetId="20" hidden="1">{"'RR'!$A$2:$E$81"}</definedName>
    <definedName name="_________EFC3_1_1_1" hidden="1">{"'RR'!$A$2:$E$81"}</definedName>
    <definedName name="_________EFC3_1_2" localSheetId="20" hidden="1">{"'RR'!$A$2:$E$81"}</definedName>
    <definedName name="_________EFC3_1_2" hidden="1">{"'RR'!$A$2:$E$81"}</definedName>
    <definedName name="_________EFC3_2" localSheetId="20" hidden="1">{"'RR'!$A$2:$E$81"}</definedName>
    <definedName name="_________EFC3_2" hidden="1">{"'RR'!$A$2:$E$81"}</definedName>
    <definedName name="_________EFC4" localSheetId="20" hidden="1">{"'RR'!$A$2:$E$81"}</definedName>
    <definedName name="_________EFC4" hidden="1">{"'RR'!$A$2:$E$81"}</definedName>
    <definedName name="_________Ext2" localSheetId="21">#REF!</definedName>
    <definedName name="_________Ext2">'[6]P A T O 99 B'!#REF!</definedName>
    <definedName name="_________Ext2_11">'[9]P A T O 99 B'!#REF!</definedName>
    <definedName name="_________Fev1">#N/A</definedName>
    <definedName name="_________I">#REF!</definedName>
    <definedName name="_________Jan1">#N/A</definedName>
    <definedName name="_________ki5">#REF!</definedName>
    <definedName name="_________ltf2" hidden="1">#REF!</definedName>
    <definedName name="_________m">#REF!</definedName>
    <definedName name="_________Mar1">#N/A</definedName>
    <definedName name="_________MOD01">#N/A</definedName>
    <definedName name="_________n2" localSheetId="20" hidden="1">{#N/A,#N/A,FALSE,"PCOL"}</definedName>
    <definedName name="_________n2" hidden="1">{#N/A,#N/A,FALSE,"PCOL"}</definedName>
    <definedName name="_________n2_1" localSheetId="20" hidden="1">{#N/A,#N/A,FALSE,"PCOL"}</definedName>
    <definedName name="_________n2_1" hidden="1">{#N/A,#N/A,FALSE,"PCOL"}</definedName>
    <definedName name="_________n2_1_1" localSheetId="20" hidden="1">{#N/A,#N/A,FALSE,"PCOL"}</definedName>
    <definedName name="_________n2_1_1" hidden="1">{#N/A,#N/A,FALSE,"PCOL"}</definedName>
    <definedName name="_________n2_1_1_1" localSheetId="20" hidden="1">{#N/A,#N/A,FALSE,"PCOL"}</definedName>
    <definedName name="_________n2_1_1_1" hidden="1">{#N/A,#N/A,FALSE,"PCOL"}</definedName>
    <definedName name="_________n2_1_2" localSheetId="20" hidden="1">{#N/A,#N/A,FALSE,"PCOL"}</definedName>
    <definedName name="_________n2_1_2" hidden="1">{#N/A,#N/A,FALSE,"PCOL"}</definedName>
    <definedName name="_________n2_2" localSheetId="20" hidden="1">{#N/A,#N/A,FALSE,"PCOL"}</definedName>
    <definedName name="_________n2_2" hidden="1">{#N/A,#N/A,FALSE,"PCOL"}</definedName>
    <definedName name="_________OUT98" localSheetId="20" hidden="1">{#N/A,#N/A,TRUE,"Serviços"}</definedName>
    <definedName name="_________OUT98" localSheetId="21">#REF!</definedName>
    <definedName name="_________OUT98" localSheetId="2" hidden="1">{#N/A,#N/A,TRUE,"Serviços"}</definedName>
    <definedName name="_________OUT98" hidden="1">{#N/A,#N/A,TRUE,"Serviços"}</definedName>
    <definedName name="_________OUT98_1" localSheetId="20">{#N/A,#N/A,TRUE,"Serviços"}</definedName>
    <definedName name="_________OUT98_1" localSheetId="21">#REF!</definedName>
    <definedName name="_________OUT98_1">#REF!</definedName>
    <definedName name="_________OUTT98" localSheetId="20" hidden="1">{#N/A,#N/A,TRUE,"Serviços"}</definedName>
    <definedName name="_________OUTT98" localSheetId="2" hidden="1">{#N/A,#N/A,TRUE,"Serviços"}</definedName>
    <definedName name="_________OUTT98" hidden="1">{#N/A,#N/A,TRUE,"Serviços"}</definedName>
    <definedName name="_________OUTT988" localSheetId="20" hidden="1">{#N/A,#N/A,TRUE,"Serviços"}</definedName>
    <definedName name="_________OUTT988" localSheetId="2" hidden="1">{#N/A,#N/A,TRUE,"Serviços"}</definedName>
    <definedName name="_________OUTT988" hidden="1">{#N/A,#N/A,TRUE,"Serviços"}</definedName>
    <definedName name="_________p">#REF!</definedName>
    <definedName name="_________PL1">#REF!</definedName>
    <definedName name="_________PL1_11">#REF!</definedName>
    <definedName name="_________PL1_15">#REF!</definedName>
    <definedName name="_________PPU1" localSheetId="20" hidden="1">{#N/A,#N/A,FALSE,"Cronograma";#N/A,#N/A,FALSE,"Cronogr. 2"}</definedName>
    <definedName name="_________PPU1" hidden="1">{#N/A,#N/A,FALSE,"Cronograma";#N/A,#N/A,FALSE,"Cronogr. 2"}</definedName>
    <definedName name="_________PPU1_1" localSheetId="20" hidden="1">{#N/A,#N/A,FALSE,"Cronograma";#N/A,#N/A,FALSE,"Cronogr. 2"}</definedName>
    <definedName name="_________PPU1_1" hidden="1">{#N/A,#N/A,FALSE,"Cronograma";#N/A,#N/A,FALSE,"Cronogr. 2"}</definedName>
    <definedName name="_________PPU1_1_1" localSheetId="20" hidden="1">{#N/A,#N/A,FALSE,"Cronograma";#N/A,#N/A,FALSE,"Cronogr. 2"}</definedName>
    <definedName name="_________PPU1_1_1" hidden="1">{#N/A,#N/A,FALSE,"Cronograma";#N/A,#N/A,FALSE,"Cronogr. 2"}</definedName>
    <definedName name="_________PPU1_1_1_1" localSheetId="20" hidden="1">{#N/A,#N/A,FALSE,"Cronograma";#N/A,#N/A,FALSE,"Cronogr. 2"}</definedName>
    <definedName name="_________PPU1_1_1_1" hidden="1">{#N/A,#N/A,FALSE,"Cronograma";#N/A,#N/A,FALSE,"Cronogr. 2"}</definedName>
    <definedName name="_________PPU1_1_2" localSheetId="20" hidden="1">{#N/A,#N/A,FALSE,"Cronograma";#N/A,#N/A,FALSE,"Cronogr. 2"}</definedName>
    <definedName name="_________PPU1_1_2" hidden="1">{#N/A,#N/A,FALSE,"Cronograma";#N/A,#N/A,FALSE,"Cronogr. 2"}</definedName>
    <definedName name="_________PPU1_2" localSheetId="20" hidden="1">{#N/A,#N/A,FALSE,"Cronograma";#N/A,#N/A,FALSE,"Cronogr. 2"}</definedName>
    <definedName name="_________PPU1_2" hidden="1">{#N/A,#N/A,FALSE,"Cronograma";#N/A,#N/A,FALSE,"Cronogr. 2"}</definedName>
    <definedName name="_________r">#REF!</definedName>
    <definedName name="_________r_11">#REF!</definedName>
    <definedName name="_________r_15">#REF!</definedName>
    <definedName name="_________Rbv1">'[8]Página 16'!$C$3:$C$7</definedName>
    <definedName name="_________RP1">#N/A</definedName>
    <definedName name="_________s">#REF!</definedName>
    <definedName name="_________STC04">#REF!</definedName>
    <definedName name="________A1">[10]!________A1</definedName>
    <definedName name="________A10">[10]!________A10</definedName>
    <definedName name="________A11">[10]!________A11</definedName>
    <definedName name="________A12">[10]!________A12</definedName>
    <definedName name="________A13">[10]!________A13</definedName>
    <definedName name="________A14">[10]!________A14</definedName>
    <definedName name="________A15">[10]!________A15</definedName>
    <definedName name="________A16">[10]!________A16</definedName>
    <definedName name="________A17">[10]!________A17</definedName>
    <definedName name="________A19">[10]!________A19</definedName>
    <definedName name="________A2">[10]!________A2</definedName>
    <definedName name="________A20">[10]!________A20</definedName>
    <definedName name="________A21">[10]!________A21</definedName>
    <definedName name="________A22">[10]!________A22</definedName>
    <definedName name="________A23">[10]!________A23</definedName>
    <definedName name="________A24">[10]!________A24</definedName>
    <definedName name="________A25">[10]!________A25</definedName>
    <definedName name="________A3">[10]!________A3</definedName>
    <definedName name="________A4">[10]!________A4</definedName>
    <definedName name="________A5">[10]!________A5</definedName>
    <definedName name="________A6">[10]!________A6</definedName>
    <definedName name="________A7">[10]!________A7</definedName>
    <definedName name="________A9">[10]!________A9</definedName>
    <definedName name="__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ago99999" localSheetId="20" hidden="1">{"'gráf jan00'!$A$1:$AK$41"}</definedName>
    <definedName name="________ago99999" hidden="1">{"'gráf jan00'!$A$1:$AK$41"}</definedName>
    <definedName name="________EFC2" localSheetId="20" hidden="1">{"'RR'!$A$2:$E$81"}</definedName>
    <definedName name="________EFC2" hidden="1">{"'RR'!$A$2:$E$81"}</definedName>
    <definedName name="________EFC2_1" localSheetId="20" hidden="1">{"'RR'!$A$2:$E$81"}</definedName>
    <definedName name="________EFC2_1" hidden="1">{"'RR'!$A$2:$E$81"}</definedName>
    <definedName name="________EFC2_1_1" localSheetId="20" hidden="1">{"'RR'!$A$2:$E$81"}</definedName>
    <definedName name="________EFC2_1_1" hidden="1">{"'RR'!$A$2:$E$81"}</definedName>
    <definedName name="________EFC2_1_1_1" localSheetId="20" hidden="1">{"'RR'!$A$2:$E$81"}</definedName>
    <definedName name="________EFC2_1_1_1" hidden="1">{"'RR'!$A$2:$E$81"}</definedName>
    <definedName name="________EFC2_1_2" localSheetId="20" hidden="1">{"'RR'!$A$2:$E$81"}</definedName>
    <definedName name="________EFC2_1_2" hidden="1">{"'RR'!$A$2:$E$81"}</definedName>
    <definedName name="________EFC2_2" localSheetId="20" hidden="1">{"'RR'!$A$2:$E$81"}</definedName>
    <definedName name="________EFC2_2" hidden="1">{"'RR'!$A$2:$E$81"}</definedName>
    <definedName name="________EFC3" localSheetId="20" hidden="1">{"'RR'!$A$2:$E$81"}</definedName>
    <definedName name="________EFC3" hidden="1">{"'RR'!$A$2:$E$81"}</definedName>
    <definedName name="________EFC3_1" localSheetId="20" hidden="1">{"'RR'!$A$2:$E$81"}</definedName>
    <definedName name="________EFC3_1" hidden="1">{"'RR'!$A$2:$E$81"}</definedName>
    <definedName name="________EFC3_1_1" localSheetId="20" hidden="1">{"'RR'!$A$2:$E$81"}</definedName>
    <definedName name="________EFC3_1_1" hidden="1">{"'RR'!$A$2:$E$81"}</definedName>
    <definedName name="________EFC3_1_1_1" localSheetId="20" hidden="1">{"'RR'!$A$2:$E$81"}</definedName>
    <definedName name="________EFC3_1_1_1" hidden="1">{"'RR'!$A$2:$E$81"}</definedName>
    <definedName name="________EFC3_1_2" localSheetId="20" hidden="1">{"'RR'!$A$2:$E$81"}</definedName>
    <definedName name="________EFC3_1_2" hidden="1">{"'RR'!$A$2:$E$81"}</definedName>
    <definedName name="________EFC3_2" localSheetId="20" hidden="1">{"'RR'!$A$2:$E$81"}</definedName>
    <definedName name="________EFC3_2" hidden="1">{"'RR'!$A$2:$E$81"}</definedName>
    <definedName name="________Ext2" localSheetId="21">#REF!</definedName>
    <definedName name="________Ext2">'[6]P A T O 99 B'!#REF!</definedName>
    <definedName name="________Ext2_11">'[9]P A T O 99 B'!#REF!</definedName>
    <definedName name="________Fev1">[10]!________Fev1</definedName>
    <definedName name="________ffp16" localSheetId="20" hidden="1">{"'gráf jan00'!$A$1:$AK$41"}</definedName>
    <definedName name="________ffp16" hidden="1">{"'gráf jan00'!$A$1:$AK$41"}</definedName>
    <definedName name="________ffp4589" localSheetId="20" hidden="1">{"'gráf jan00'!$A$1:$AK$41"}</definedName>
    <definedName name="________ffp4589" hidden="1">{"'gráf jan00'!$A$1:$AK$41"}</definedName>
    <definedName name="________Jan1">[10]!________Jan1</definedName>
    <definedName name="________jun04" localSheetId="20" hidden="1">{"'gráf jan00'!$A$1:$AK$41"}</definedName>
    <definedName name="________jun04" hidden="1">{"'gráf jan00'!$A$1:$AK$41"}</definedName>
    <definedName name="________ki5">#REF!</definedName>
    <definedName name="________ltf2" hidden="1">#REF!</definedName>
    <definedName name="________Mar1">[10]!________Mar1</definedName>
    <definedName name="________MOD01">[10]!________MOD01</definedName>
    <definedName name="________n2" localSheetId="20" hidden="1">{#N/A,#N/A,FALSE,"PCOL"}</definedName>
    <definedName name="________n2" hidden="1">{#N/A,#N/A,FALSE,"PCOL"}</definedName>
    <definedName name="________n2_1" localSheetId="20" hidden="1">{#N/A,#N/A,FALSE,"PCOL"}</definedName>
    <definedName name="________n2_1" hidden="1">{#N/A,#N/A,FALSE,"PCOL"}</definedName>
    <definedName name="________n2_1_1" localSheetId="20" hidden="1">{#N/A,#N/A,FALSE,"PCOL"}</definedName>
    <definedName name="________n2_1_1" hidden="1">{#N/A,#N/A,FALSE,"PCOL"}</definedName>
    <definedName name="________n2_1_1_1" localSheetId="20" hidden="1">{#N/A,#N/A,FALSE,"PCOL"}</definedName>
    <definedName name="________n2_1_1_1" hidden="1">{#N/A,#N/A,FALSE,"PCOL"}</definedName>
    <definedName name="________n2_1_2" localSheetId="20" hidden="1">{#N/A,#N/A,FALSE,"PCOL"}</definedName>
    <definedName name="________n2_1_2" hidden="1">{#N/A,#N/A,FALSE,"PCOL"}</definedName>
    <definedName name="________n2_2" localSheetId="20" hidden="1">{#N/A,#N/A,FALSE,"PCOL"}</definedName>
    <definedName name="________n2_2" hidden="1">{#N/A,#N/A,FALSE,"PCOL"}</definedName>
    <definedName name="________Obs1">#REF!</definedName>
    <definedName name="________Obs2">#REF!</definedName>
    <definedName name="________OUT98" localSheetId="20" hidden="1">{#N/A,#N/A,TRUE,"Serviços"}</definedName>
    <definedName name="________OUT98" localSheetId="21">#REF!</definedName>
    <definedName name="________OUT98" localSheetId="2" hidden="1">{#N/A,#N/A,TRUE,"Serviços"}</definedName>
    <definedName name="________OUT98" hidden="1">{#N/A,#N/A,TRUE,"Serviços"}</definedName>
    <definedName name="________OUT98_1" localSheetId="20">{#N/A,#N/A,TRUE,"Serviços"}</definedName>
    <definedName name="________OUT98_1" localSheetId="21">#REF!</definedName>
    <definedName name="________OUT98_1">#REF!</definedName>
    <definedName name="________OUTTT98" localSheetId="20" hidden="1">{#N/A,#N/A,TRUE,"Serviços"}</definedName>
    <definedName name="________OUTTT98" localSheetId="2" hidden="1">{#N/A,#N/A,TRUE,"Serviços"}</definedName>
    <definedName name="________OUTTT98" hidden="1">{#N/A,#N/A,TRUE,"Serviços"}</definedName>
    <definedName name="________PL1">#REF!</definedName>
    <definedName name="________PL1_11">#REF!</definedName>
    <definedName name="________PL1_15">#REF!</definedName>
    <definedName name="________PN10" localSheetId="20" hidden="1">{"'gráf jan00'!$A$1:$AK$41"}</definedName>
    <definedName name="________PN10" hidden="1">{"'gráf jan00'!$A$1:$AK$41"}</definedName>
    <definedName name="________PPU1" localSheetId="20" hidden="1">{#N/A,#N/A,FALSE,"Cronograma";#N/A,#N/A,FALSE,"Cronogr. 2"}</definedName>
    <definedName name="________PPU1" hidden="1">{#N/A,#N/A,FALSE,"Cronograma";#N/A,#N/A,FALSE,"Cronogr. 2"}</definedName>
    <definedName name="________PPU1_1" localSheetId="20" hidden="1">{#N/A,#N/A,FALSE,"Cronograma";#N/A,#N/A,FALSE,"Cronogr. 2"}</definedName>
    <definedName name="________PPU1_1" hidden="1">{#N/A,#N/A,FALSE,"Cronograma";#N/A,#N/A,FALSE,"Cronogr. 2"}</definedName>
    <definedName name="________PPU1_1_1" localSheetId="20" hidden="1">{#N/A,#N/A,FALSE,"Cronograma";#N/A,#N/A,FALSE,"Cronogr. 2"}</definedName>
    <definedName name="________PPU1_1_1" hidden="1">{#N/A,#N/A,FALSE,"Cronograma";#N/A,#N/A,FALSE,"Cronogr. 2"}</definedName>
    <definedName name="________PPU1_1_1_1" localSheetId="20" hidden="1">{#N/A,#N/A,FALSE,"Cronograma";#N/A,#N/A,FALSE,"Cronogr. 2"}</definedName>
    <definedName name="________PPU1_1_1_1" hidden="1">{#N/A,#N/A,FALSE,"Cronograma";#N/A,#N/A,FALSE,"Cronogr. 2"}</definedName>
    <definedName name="________PPU1_1_2" localSheetId="20" hidden="1">{#N/A,#N/A,FALSE,"Cronograma";#N/A,#N/A,FALSE,"Cronogr. 2"}</definedName>
    <definedName name="________PPU1_1_2" hidden="1">{#N/A,#N/A,FALSE,"Cronograma";#N/A,#N/A,FALSE,"Cronogr. 2"}</definedName>
    <definedName name="________PPU1_2" localSheetId="20" hidden="1">{#N/A,#N/A,FALSE,"Cronograma";#N/A,#N/A,FALSE,"Cronogr. 2"}</definedName>
    <definedName name="________PPU1_2" hidden="1">{#N/A,#N/A,FALSE,"Cronograma";#N/A,#N/A,FALSE,"Cronogr. 2"}</definedName>
    <definedName name="________r">#REF!</definedName>
    <definedName name="________r_11">#REF!</definedName>
    <definedName name="________r_15">#REF!</definedName>
    <definedName name="________Rbv1">'[8]Página 16'!$C$3:$C$7</definedName>
    <definedName name="________RP1">[10]!________RP1</definedName>
    <definedName name="________SE2">#REF!</definedName>
    <definedName name="________STC04">#REF!</definedName>
    <definedName name="________WX2" localSheetId="20" hidden="1">{#N/A,#N/A,FALSE,"EXPORTAC";#N/A,#N/A,FALSE,"SUPEL94"}</definedName>
    <definedName name="________WX2" hidden="1">{#N/A,#N/A,FALSE,"EXPORTAC";#N/A,#N/A,FALSE,"SUPEL94"}</definedName>
    <definedName name="________WX2_1" localSheetId="20" hidden="1">{#N/A,#N/A,FALSE,"EXPORTAC";#N/A,#N/A,FALSE,"SUPEL94"}</definedName>
    <definedName name="________WX2_1" hidden="1">{#N/A,#N/A,FALSE,"EXPORTAC";#N/A,#N/A,FALSE,"SUPEL94"}</definedName>
    <definedName name="________WX2_1_1" localSheetId="20" hidden="1">{#N/A,#N/A,FALSE,"EXPORTAC";#N/A,#N/A,FALSE,"SUPEL94"}</definedName>
    <definedName name="________WX2_1_1" hidden="1">{#N/A,#N/A,FALSE,"EXPORTAC";#N/A,#N/A,FALSE,"SUPEL94"}</definedName>
    <definedName name="________WX2_1_1_1" localSheetId="20" hidden="1">{#N/A,#N/A,FALSE,"EXPORTAC";#N/A,#N/A,FALSE,"SUPEL94"}</definedName>
    <definedName name="________WX2_1_1_1" hidden="1">{#N/A,#N/A,FALSE,"EXPORTAC";#N/A,#N/A,FALSE,"SUPEL94"}</definedName>
    <definedName name="________WX2_1_2" localSheetId="20" hidden="1">{#N/A,#N/A,FALSE,"EXPORTAC";#N/A,#N/A,FALSE,"SUPEL94"}</definedName>
    <definedName name="________WX2_1_2" hidden="1">{#N/A,#N/A,FALSE,"EXPORTAC";#N/A,#N/A,FALSE,"SUPEL94"}</definedName>
    <definedName name="________WX2_2" localSheetId="20" hidden="1">{#N/A,#N/A,FALSE,"EXPORTAC";#N/A,#N/A,FALSE,"SUPEL94"}</definedName>
    <definedName name="________WX2_2" hidden="1">{#N/A,#N/A,FALSE,"EXPORTAC";#N/A,#N/A,FALSE,"SUPEL94"}</definedName>
    <definedName name="________x1" localSheetId="20" hidden="1">{#N/A,#N/A,FALSE,"EXPORTAC";#N/A,#N/A,FALSE,"SUPEL94"}</definedName>
    <definedName name="________x1" hidden="1">{#N/A,#N/A,FALSE,"EXPORTAC";#N/A,#N/A,FALSE,"SUPEL94"}</definedName>
    <definedName name="________x1_1" localSheetId="20" hidden="1">{#N/A,#N/A,FALSE,"EXPORTAC";#N/A,#N/A,FALSE,"SUPEL94"}</definedName>
    <definedName name="________x1_1" hidden="1">{#N/A,#N/A,FALSE,"EXPORTAC";#N/A,#N/A,FALSE,"SUPEL94"}</definedName>
    <definedName name="________x1_1_1" localSheetId="20" hidden="1">{#N/A,#N/A,FALSE,"EXPORTAC";#N/A,#N/A,FALSE,"SUPEL94"}</definedName>
    <definedName name="________x1_1_1" hidden="1">{#N/A,#N/A,FALSE,"EXPORTAC";#N/A,#N/A,FALSE,"SUPEL94"}</definedName>
    <definedName name="________x1_1_1_1" localSheetId="20" hidden="1">{#N/A,#N/A,FALSE,"EXPORTAC";#N/A,#N/A,FALSE,"SUPEL94"}</definedName>
    <definedName name="________x1_1_1_1" hidden="1">{#N/A,#N/A,FALSE,"EXPORTAC";#N/A,#N/A,FALSE,"SUPEL94"}</definedName>
    <definedName name="________x1_1_2" localSheetId="20" hidden="1">{#N/A,#N/A,FALSE,"EXPORTAC";#N/A,#N/A,FALSE,"SUPEL94"}</definedName>
    <definedName name="________x1_1_2" hidden="1">{#N/A,#N/A,FALSE,"EXPORTAC";#N/A,#N/A,FALSE,"SUPEL94"}</definedName>
    <definedName name="________x1_2" localSheetId="20" hidden="1">{#N/A,#N/A,FALSE,"EXPORTAC";#N/A,#N/A,FALSE,"SUPEL94"}</definedName>
    <definedName name="________x1_2" hidden="1">{#N/A,#N/A,FALSE,"EXPORTAC";#N/A,#N/A,FALSE,"SUPEL94"}</definedName>
    <definedName name="________x2" localSheetId="20" hidden="1">{#N/A,#N/A,FALSE,"GQGEMPRE"}</definedName>
    <definedName name="________x2" hidden="1">{#N/A,#N/A,FALSE,"GQGEMPRE"}</definedName>
    <definedName name="________x2_1" localSheetId="20" hidden="1">{#N/A,#N/A,FALSE,"GQGEMPRE"}</definedName>
    <definedName name="________x2_1" hidden="1">{#N/A,#N/A,FALSE,"GQGEMPRE"}</definedName>
    <definedName name="________x2_1_1" localSheetId="20" hidden="1">{#N/A,#N/A,FALSE,"GQGEMPRE"}</definedName>
    <definedName name="________x2_1_1" hidden="1">{#N/A,#N/A,FALSE,"GQGEMPRE"}</definedName>
    <definedName name="________x2_1_1_1" localSheetId="20" hidden="1">{#N/A,#N/A,FALSE,"GQGEMPRE"}</definedName>
    <definedName name="________x2_1_1_1" hidden="1">{#N/A,#N/A,FALSE,"GQGEMPRE"}</definedName>
    <definedName name="________x2_1_2" localSheetId="20" hidden="1">{#N/A,#N/A,FALSE,"GQGEMPRE"}</definedName>
    <definedName name="________x2_1_2" hidden="1">{#N/A,#N/A,FALSE,"GQGEMPRE"}</definedName>
    <definedName name="________x2_2" localSheetId="20" hidden="1">{#N/A,#N/A,FALSE,"GQGEMPRE"}</definedName>
    <definedName name="________x2_2" hidden="1">{#N/A,#N/A,FALSE,"GQGEMPRE"}</definedName>
    <definedName name="_______A1">[10]!_______A1</definedName>
    <definedName name="_______A10">[10]!_______A10</definedName>
    <definedName name="_______A11">[10]!_______A11</definedName>
    <definedName name="_______A12">[10]!_______A12</definedName>
    <definedName name="_______A13">[10]!_______A13</definedName>
    <definedName name="_______A14">[10]!_______A14</definedName>
    <definedName name="_______A15">[10]!_______A15</definedName>
    <definedName name="_______A16">[10]!_______A16</definedName>
    <definedName name="_______A17">[10]!_______A17</definedName>
    <definedName name="_______A19">[10]!_______A19</definedName>
    <definedName name="_______A2">[10]!_______A2</definedName>
    <definedName name="_______A20">[10]!_______A20</definedName>
    <definedName name="_______A21">[10]!_______A21</definedName>
    <definedName name="_______A22">[10]!_______A22</definedName>
    <definedName name="_______A23">[10]!_______A23</definedName>
    <definedName name="_______A24">[10]!_______A24</definedName>
    <definedName name="_______A25">[10]!_______A25</definedName>
    <definedName name="_______A3">[10]!_______A3</definedName>
    <definedName name="_______A4">[10]!_______A4</definedName>
    <definedName name="_______A5">[10]!_______A5</definedName>
    <definedName name="_______A6">[10]!_______A6</definedName>
    <definedName name="_______A7">[10]!_______A7</definedName>
    <definedName name="_______A9">[10]!_______A9</definedName>
    <definedName name="_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ago1" localSheetId="20" hidden="1">{"'gráf jan00'!$A$1:$AK$41"}</definedName>
    <definedName name="_______ago1" hidden="1">{"'gráf jan00'!$A$1:$AK$41"}</definedName>
    <definedName name="_______ago1_1" localSheetId="20" hidden="1">{"'gráf jan00'!$A$1:$AK$41"}</definedName>
    <definedName name="_______ago1_1" hidden="1">{"'gráf jan00'!$A$1:$AK$41"}</definedName>
    <definedName name="_______ago1_1_1" localSheetId="20" hidden="1">{"'gráf jan00'!$A$1:$AK$41"}</definedName>
    <definedName name="_______ago1_1_1" hidden="1">{"'gráf jan00'!$A$1:$AK$41"}</definedName>
    <definedName name="_______ago1_1_1_1" localSheetId="20" hidden="1">{"'gráf jan00'!$A$1:$AK$41"}</definedName>
    <definedName name="_______ago1_1_1_1" hidden="1">{"'gráf jan00'!$A$1:$AK$41"}</definedName>
    <definedName name="_______ago1_1_2" localSheetId="20" hidden="1">{"'gráf jan00'!$A$1:$AK$41"}</definedName>
    <definedName name="_______ago1_1_2" hidden="1">{"'gráf jan00'!$A$1:$AK$41"}</definedName>
    <definedName name="_______ago1_2" localSheetId="20" hidden="1">{"'gráf jan00'!$A$1:$AK$41"}</definedName>
    <definedName name="_______ago1_2" hidden="1">{"'gráf jan00'!$A$1:$AK$41"}</definedName>
    <definedName name="_______ago10" localSheetId="20" hidden="1">{"'gráf jan00'!$A$1:$AK$41"}</definedName>
    <definedName name="_______ago10" hidden="1">{"'gráf jan00'!$A$1:$AK$41"}</definedName>
    <definedName name="_______ago10_1" localSheetId="20" hidden="1">{"'gráf jan00'!$A$1:$AK$41"}</definedName>
    <definedName name="_______ago10_1" hidden="1">{"'gráf jan00'!$A$1:$AK$41"}</definedName>
    <definedName name="_______ago10_1_1" localSheetId="20" hidden="1">{"'gráf jan00'!$A$1:$AK$41"}</definedName>
    <definedName name="_______ago10_1_1" hidden="1">{"'gráf jan00'!$A$1:$AK$41"}</definedName>
    <definedName name="_______ago10_1_1_1" localSheetId="20" hidden="1">{"'gráf jan00'!$A$1:$AK$41"}</definedName>
    <definedName name="_______ago10_1_1_1" hidden="1">{"'gráf jan00'!$A$1:$AK$41"}</definedName>
    <definedName name="_______ago10_1_2" localSheetId="20" hidden="1">{"'gráf jan00'!$A$1:$AK$41"}</definedName>
    <definedName name="_______ago10_1_2" hidden="1">{"'gráf jan00'!$A$1:$AK$41"}</definedName>
    <definedName name="_______ago10_2" localSheetId="20" hidden="1">{"'gráf jan00'!$A$1:$AK$41"}</definedName>
    <definedName name="_______ago10_2" hidden="1">{"'gráf jan00'!$A$1:$AK$41"}</definedName>
    <definedName name="_______ago2" localSheetId="20" hidden="1">{"'gráf jan00'!$A$1:$AK$41"}</definedName>
    <definedName name="_______ago2" hidden="1">{"'gráf jan00'!$A$1:$AK$41"}</definedName>
    <definedName name="_______ago2_1" localSheetId="20" hidden="1">{"'gráf jan00'!$A$1:$AK$41"}</definedName>
    <definedName name="_______ago2_1" hidden="1">{"'gráf jan00'!$A$1:$AK$41"}</definedName>
    <definedName name="_______ago2_1_1" localSheetId="20" hidden="1">{"'gráf jan00'!$A$1:$AK$41"}</definedName>
    <definedName name="_______ago2_1_1" hidden="1">{"'gráf jan00'!$A$1:$AK$41"}</definedName>
    <definedName name="_______ago2_1_1_1" localSheetId="20" hidden="1">{"'gráf jan00'!$A$1:$AK$41"}</definedName>
    <definedName name="_______ago2_1_1_1" hidden="1">{"'gráf jan00'!$A$1:$AK$41"}</definedName>
    <definedName name="_______ago2_1_2" localSheetId="20" hidden="1">{"'gráf jan00'!$A$1:$AK$41"}</definedName>
    <definedName name="_______ago2_1_2" hidden="1">{"'gráf jan00'!$A$1:$AK$41"}</definedName>
    <definedName name="_______ago2_2" localSheetId="20" hidden="1">{"'gráf jan00'!$A$1:$AK$41"}</definedName>
    <definedName name="_______ago2_2" hidden="1">{"'gráf jan00'!$A$1:$AK$41"}</definedName>
    <definedName name="_______ago3" localSheetId="20" hidden="1">{"'gráf jan00'!$A$1:$AK$41"}</definedName>
    <definedName name="_______ago3" hidden="1">{"'gráf jan00'!$A$1:$AK$41"}</definedName>
    <definedName name="_______ago3_1" localSheetId="20" hidden="1">{"'gráf jan00'!$A$1:$AK$41"}</definedName>
    <definedName name="_______ago3_1" hidden="1">{"'gráf jan00'!$A$1:$AK$41"}</definedName>
    <definedName name="_______ago3_1_1" localSheetId="20" hidden="1">{"'gráf jan00'!$A$1:$AK$41"}</definedName>
    <definedName name="_______ago3_1_1" hidden="1">{"'gráf jan00'!$A$1:$AK$41"}</definedName>
    <definedName name="_______ago3_1_1_1" localSheetId="20" hidden="1">{"'gráf jan00'!$A$1:$AK$41"}</definedName>
    <definedName name="_______ago3_1_1_1" hidden="1">{"'gráf jan00'!$A$1:$AK$41"}</definedName>
    <definedName name="_______ago3_1_2" localSheetId="20" hidden="1">{"'gráf jan00'!$A$1:$AK$41"}</definedName>
    <definedName name="_______ago3_1_2" hidden="1">{"'gráf jan00'!$A$1:$AK$41"}</definedName>
    <definedName name="_______ago3_2" localSheetId="20" hidden="1">{"'gráf jan00'!$A$1:$AK$41"}</definedName>
    <definedName name="_______ago3_2" hidden="1">{"'gráf jan00'!$A$1:$AK$41"}</definedName>
    <definedName name="_______ago4" localSheetId="20" hidden="1">{"'gráf jan00'!$A$1:$AK$41"}</definedName>
    <definedName name="_______ago4" hidden="1">{"'gráf jan00'!$A$1:$AK$41"}</definedName>
    <definedName name="_______ago4_1" localSheetId="20" hidden="1">{"'gráf jan00'!$A$1:$AK$41"}</definedName>
    <definedName name="_______ago4_1" hidden="1">{"'gráf jan00'!$A$1:$AK$41"}</definedName>
    <definedName name="_______ago4_1_1" localSheetId="20" hidden="1">{"'gráf jan00'!$A$1:$AK$41"}</definedName>
    <definedName name="_______ago4_1_1" hidden="1">{"'gráf jan00'!$A$1:$AK$41"}</definedName>
    <definedName name="_______ago4_1_1_1" localSheetId="20" hidden="1">{"'gráf jan00'!$A$1:$AK$41"}</definedName>
    <definedName name="_______ago4_1_1_1" hidden="1">{"'gráf jan00'!$A$1:$AK$41"}</definedName>
    <definedName name="_______ago4_1_2" localSheetId="20" hidden="1">{"'gráf jan00'!$A$1:$AK$41"}</definedName>
    <definedName name="_______ago4_1_2" hidden="1">{"'gráf jan00'!$A$1:$AK$41"}</definedName>
    <definedName name="_______ago4_2" localSheetId="20" hidden="1">{"'gráf jan00'!$A$1:$AK$41"}</definedName>
    <definedName name="_______ago4_2" hidden="1">{"'gráf jan00'!$A$1:$AK$41"}</definedName>
    <definedName name="_______ago5" localSheetId="20" hidden="1">{"'gráf jan00'!$A$1:$AK$41"}</definedName>
    <definedName name="_______ago5" hidden="1">{"'gráf jan00'!$A$1:$AK$41"}</definedName>
    <definedName name="_______ago5_1" localSheetId="20" hidden="1">{"'gráf jan00'!$A$1:$AK$41"}</definedName>
    <definedName name="_______ago5_1" hidden="1">{"'gráf jan00'!$A$1:$AK$41"}</definedName>
    <definedName name="_______ago5_1_1" localSheetId="20" hidden="1">{"'gráf jan00'!$A$1:$AK$41"}</definedName>
    <definedName name="_______ago5_1_1" hidden="1">{"'gráf jan00'!$A$1:$AK$41"}</definedName>
    <definedName name="_______ago5_1_1_1" localSheetId="20" hidden="1">{"'gráf jan00'!$A$1:$AK$41"}</definedName>
    <definedName name="_______ago5_1_1_1" hidden="1">{"'gráf jan00'!$A$1:$AK$41"}</definedName>
    <definedName name="_______ago5_1_2" localSheetId="20" hidden="1">{"'gráf jan00'!$A$1:$AK$41"}</definedName>
    <definedName name="_______ago5_1_2" hidden="1">{"'gráf jan00'!$A$1:$AK$41"}</definedName>
    <definedName name="_______ago5_2" localSheetId="20" hidden="1">{"'gráf jan00'!$A$1:$AK$41"}</definedName>
    <definedName name="_______ago5_2" hidden="1">{"'gráf jan00'!$A$1:$AK$41"}</definedName>
    <definedName name="_______ago6" localSheetId="20" hidden="1">{"'gráf jan00'!$A$1:$AK$41"}</definedName>
    <definedName name="_______ago6" hidden="1">{"'gráf jan00'!$A$1:$AK$41"}</definedName>
    <definedName name="_______ago6_1" localSheetId="20" hidden="1">{"'gráf jan00'!$A$1:$AK$41"}</definedName>
    <definedName name="_______ago6_1" hidden="1">{"'gráf jan00'!$A$1:$AK$41"}</definedName>
    <definedName name="_______ago6_1_1" localSheetId="20" hidden="1">{"'gráf jan00'!$A$1:$AK$41"}</definedName>
    <definedName name="_______ago6_1_1" hidden="1">{"'gráf jan00'!$A$1:$AK$41"}</definedName>
    <definedName name="_______ago6_1_1_1" localSheetId="20" hidden="1">{"'gráf jan00'!$A$1:$AK$41"}</definedName>
    <definedName name="_______ago6_1_1_1" hidden="1">{"'gráf jan00'!$A$1:$AK$41"}</definedName>
    <definedName name="_______ago6_1_2" localSheetId="20" hidden="1">{"'gráf jan00'!$A$1:$AK$41"}</definedName>
    <definedName name="_______ago6_1_2" hidden="1">{"'gráf jan00'!$A$1:$AK$41"}</definedName>
    <definedName name="_______ago6_2" localSheetId="20" hidden="1">{"'gráf jan00'!$A$1:$AK$41"}</definedName>
    <definedName name="_______ago6_2" hidden="1">{"'gráf jan00'!$A$1:$AK$41"}</definedName>
    <definedName name="_______ago7" localSheetId="20" hidden="1">{"'gráf jan00'!$A$1:$AK$41"}</definedName>
    <definedName name="_______ago7" hidden="1">{"'gráf jan00'!$A$1:$AK$41"}</definedName>
    <definedName name="_______ago7_1" localSheetId="20" hidden="1">{"'gráf jan00'!$A$1:$AK$41"}</definedName>
    <definedName name="_______ago7_1" hidden="1">{"'gráf jan00'!$A$1:$AK$41"}</definedName>
    <definedName name="_______ago7_1_1" localSheetId="20" hidden="1">{"'gráf jan00'!$A$1:$AK$41"}</definedName>
    <definedName name="_______ago7_1_1" hidden="1">{"'gráf jan00'!$A$1:$AK$41"}</definedName>
    <definedName name="_______ago7_1_1_1" localSheetId="20" hidden="1">{"'gráf jan00'!$A$1:$AK$41"}</definedName>
    <definedName name="_______ago7_1_1_1" hidden="1">{"'gráf jan00'!$A$1:$AK$41"}</definedName>
    <definedName name="_______ago7_1_2" localSheetId="20" hidden="1">{"'gráf jan00'!$A$1:$AK$41"}</definedName>
    <definedName name="_______ago7_1_2" hidden="1">{"'gráf jan00'!$A$1:$AK$41"}</definedName>
    <definedName name="_______ago7_2" localSheetId="20" hidden="1">{"'gráf jan00'!$A$1:$AK$41"}</definedName>
    <definedName name="_______ago7_2" hidden="1">{"'gráf jan00'!$A$1:$AK$41"}</definedName>
    <definedName name="_______ago8" localSheetId="20" hidden="1">{"'gráf jan00'!$A$1:$AK$41"}</definedName>
    <definedName name="_______ago8" hidden="1">{"'gráf jan00'!$A$1:$AK$41"}</definedName>
    <definedName name="_______ago8_1" localSheetId="20" hidden="1">{"'gráf jan00'!$A$1:$AK$41"}</definedName>
    <definedName name="_______ago8_1" hidden="1">{"'gráf jan00'!$A$1:$AK$41"}</definedName>
    <definedName name="_______ago8_1_1" localSheetId="20" hidden="1">{"'gráf jan00'!$A$1:$AK$41"}</definedName>
    <definedName name="_______ago8_1_1" hidden="1">{"'gráf jan00'!$A$1:$AK$41"}</definedName>
    <definedName name="_______ago8_1_1_1" localSheetId="20" hidden="1">{"'gráf jan00'!$A$1:$AK$41"}</definedName>
    <definedName name="_______ago8_1_1_1" hidden="1">{"'gráf jan00'!$A$1:$AK$41"}</definedName>
    <definedName name="_______ago8_1_2" localSheetId="20" hidden="1">{"'gráf jan00'!$A$1:$AK$41"}</definedName>
    <definedName name="_______ago8_1_2" hidden="1">{"'gráf jan00'!$A$1:$AK$41"}</definedName>
    <definedName name="_______ago8_2" localSheetId="20" hidden="1">{"'gráf jan00'!$A$1:$AK$41"}</definedName>
    <definedName name="_______ago8_2" hidden="1">{"'gráf jan00'!$A$1:$AK$41"}</definedName>
    <definedName name="_______ago9" localSheetId="20" hidden="1">{"'gráf jan00'!$A$1:$AK$41"}</definedName>
    <definedName name="_______ago9" hidden="1">{"'gráf jan00'!$A$1:$AK$41"}</definedName>
    <definedName name="_______ago9_1" localSheetId="20" hidden="1">{"'gráf jan00'!$A$1:$AK$41"}</definedName>
    <definedName name="_______ago9_1" hidden="1">{"'gráf jan00'!$A$1:$AK$41"}</definedName>
    <definedName name="_______ago9_1_1" localSheetId="20" hidden="1">{"'gráf jan00'!$A$1:$AK$41"}</definedName>
    <definedName name="_______ago9_1_1" hidden="1">{"'gráf jan00'!$A$1:$AK$41"}</definedName>
    <definedName name="_______ago9_1_1_1" localSheetId="20" hidden="1">{"'gráf jan00'!$A$1:$AK$41"}</definedName>
    <definedName name="_______ago9_1_1_1" hidden="1">{"'gráf jan00'!$A$1:$AK$41"}</definedName>
    <definedName name="_______ago9_1_2" localSheetId="20" hidden="1">{"'gráf jan00'!$A$1:$AK$41"}</definedName>
    <definedName name="_______ago9_1_2" hidden="1">{"'gráf jan00'!$A$1:$AK$41"}</definedName>
    <definedName name="_______ago9_2" localSheetId="20" hidden="1">{"'gráf jan00'!$A$1:$AK$41"}</definedName>
    <definedName name="_______ago9_2" hidden="1">{"'gráf jan00'!$A$1:$AK$41"}</definedName>
    <definedName name="_______BDI1" localSheetId="20">' 6.0 - Empréstimos '!_______BDI1</definedName>
    <definedName name="_______BDI1">[0]!_______BDI1</definedName>
    <definedName name="_______efc10" localSheetId="20" hidden="1">{"'RR'!$A$2:$E$81"}</definedName>
    <definedName name="_______efc10" hidden="1">{"'RR'!$A$2:$E$81"}</definedName>
    <definedName name="_______EFC2" localSheetId="20" hidden="1">{"'RR'!$A$2:$E$81"}</definedName>
    <definedName name="_______EFC2" hidden="1">{"'RR'!$A$2:$E$81"}</definedName>
    <definedName name="_______EFC2_1" localSheetId="20" hidden="1">{"'RR'!$A$2:$E$81"}</definedName>
    <definedName name="_______EFC2_1" hidden="1">{"'RR'!$A$2:$E$81"}</definedName>
    <definedName name="_______EFC2_1_1" localSheetId="20" hidden="1">{"'RR'!$A$2:$E$81"}</definedName>
    <definedName name="_______EFC2_1_1" hidden="1">{"'RR'!$A$2:$E$81"}</definedName>
    <definedName name="_______EFC2_1_1_1" localSheetId="20" hidden="1">{"'RR'!$A$2:$E$81"}</definedName>
    <definedName name="_______EFC2_1_1_1" hidden="1">{"'RR'!$A$2:$E$81"}</definedName>
    <definedName name="_______EFC2_1_2" localSheetId="20" hidden="1">{"'RR'!$A$2:$E$81"}</definedName>
    <definedName name="_______EFC2_1_2" hidden="1">{"'RR'!$A$2:$E$81"}</definedName>
    <definedName name="_______EFC2_2" localSheetId="20" hidden="1">{"'RR'!$A$2:$E$81"}</definedName>
    <definedName name="_______EFC2_2" hidden="1">{"'RR'!$A$2:$E$81"}</definedName>
    <definedName name="_______EFC3" localSheetId="20" hidden="1">{"'RR'!$A$2:$E$81"}</definedName>
    <definedName name="_______EFC3" hidden="1">{"'RR'!$A$2:$E$81"}</definedName>
    <definedName name="_______EFC3_1" localSheetId="20" hidden="1">{"'RR'!$A$2:$E$81"}</definedName>
    <definedName name="_______EFC3_1" hidden="1">{"'RR'!$A$2:$E$81"}</definedName>
    <definedName name="_______EFC3_1_1" localSheetId="20" hidden="1">{"'RR'!$A$2:$E$81"}</definedName>
    <definedName name="_______EFC3_1_1" hidden="1">{"'RR'!$A$2:$E$81"}</definedName>
    <definedName name="_______EFC3_1_1_1" localSheetId="20" hidden="1">{"'RR'!$A$2:$E$81"}</definedName>
    <definedName name="_______EFC3_1_1_1" hidden="1">{"'RR'!$A$2:$E$81"}</definedName>
    <definedName name="_______EFC3_1_2" localSheetId="20" hidden="1">{"'RR'!$A$2:$E$81"}</definedName>
    <definedName name="_______EFC3_1_2" hidden="1">{"'RR'!$A$2:$E$81"}</definedName>
    <definedName name="_______EFC3_2" localSheetId="20" hidden="1">{"'RR'!$A$2:$E$81"}</definedName>
    <definedName name="_______EFC3_2" hidden="1">{"'RR'!$A$2:$E$81"}</definedName>
    <definedName name="_______EFC4" localSheetId="20" hidden="1">{"'RR'!$A$2:$E$81"}</definedName>
    <definedName name="_______EFC4" hidden="1">{"'RR'!$A$2:$E$81"}</definedName>
    <definedName name="_______Ext2" localSheetId="21">#REF!</definedName>
    <definedName name="_______Ext2">'[9]P A T O 99 B'!#REF!</definedName>
    <definedName name="_______Ext2_11">'[9]P A T O 99 B'!#REF!</definedName>
    <definedName name="_______Fev1">[10]!_______Fev1</definedName>
    <definedName name="_______Jan1">[10]!_______Jan1</definedName>
    <definedName name="_______ki5">#REF!</definedName>
    <definedName name="_______ltf2" hidden="1">#REF!</definedName>
    <definedName name="_______Mar1">[10]!_______Mar1</definedName>
    <definedName name="_______MOD01">[10]!_______MOD01</definedName>
    <definedName name="_______n2" localSheetId="20" hidden="1">{#N/A,#N/A,FALSE,"PCOL"}</definedName>
    <definedName name="_______n2" hidden="1">{#N/A,#N/A,FALSE,"PCOL"}</definedName>
    <definedName name="_______n2_1" localSheetId="20" hidden="1">{#N/A,#N/A,FALSE,"PCOL"}</definedName>
    <definedName name="_______n2_1" hidden="1">{#N/A,#N/A,FALSE,"PCOL"}</definedName>
    <definedName name="_______n2_1_1" localSheetId="20" hidden="1">{#N/A,#N/A,FALSE,"PCOL"}</definedName>
    <definedName name="_______n2_1_1" hidden="1">{#N/A,#N/A,FALSE,"PCOL"}</definedName>
    <definedName name="_______n2_1_1_1" localSheetId="20" hidden="1">{#N/A,#N/A,FALSE,"PCOL"}</definedName>
    <definedName name="_______n2_1_1_1" hidden="1">{#N/A,#N/A,FALSE,"PCOL"}</definedName>
    <definedName name="_______n2_1_2" localSheetId="20" hidden="1">{#N/A,#N/A,FALSE,"PCOL"}</definedName>
    <definedName name="_______n2_1_2" hidden="1">{#N/A,#N/A,FALSE,"PCOL"}</definedName>
    <definedName name="_______n2_2" localSheetId="20" hidden="1">{#N/A,#N/A,FALSE,"PCOL"}</definedName>
    <definedName name="_______n2_2" hidden="1">{#N/A,#N/A,FALSE,"PCOL"}</definedName>
    <definedName name="_______Obs1">#REF!</definedName>
    <definedName name="_______Obs2">#REF!</definedName>
    <definedName name="_______OUT98" localSheetId="20" hidden="1">{#N/A,#N/A,TRUE,"Serviços"}</definedName>
    <definedName name="_______OUT98" localSheetId="21">#REF!</definedName>
    <definedName name="_______OUT98" localSheetId="2" hidden="1">{#N/A,#N/A,TRUE,"Serviços"}</definedName>
    <definedName name="_______OUT98" hidden="1">{#N/A,#N/A,TRUE,"Serviços"}</definedName>
    <definedName name="_______OUT98_1" localSheetId="20">{#N/A,#N/A,TRUE,"Serviços"}</definedName>
    <definedName name="_______OUT98_1" localSheetId="21">#REF!</definedName>
    <definedName name="_______OUT98_1">#REF!</definedName>
    <definedName name="_______OUT9888" localSheetId="20" hidden="1">{#N/A,#N/A,TRUE,"Serviços"}</definedName>
    <definedName name="_______OUT9888" localSheetId="2" hidden="1">{#N/A,#N/A,TRUE,"Serviços"}</definedName>
    <definedName name="_______OUT9888" hidden="1">{#N/A,#N/A,TRUE,"Serviços"}</definedName>
    <definedName name="_______PL1">#REF!</definedName>
    <definedName name="_______PL1_11">#REF!</definedName>
    <definedName name="_______PL1_15">#REF!</definedName>
    <definedName name="_______r">#REF!</definedName>
    <definedName name="_______r_11">#REF!</definedName>
    <definedName name="_______r_15">#REF!</definedName>
    <definedName name="_______Rbv1">'[8]Página 16'!$C$3:$C$7</definedName>
    <definedName name="_______RP1">[10]!_______RP1</definedName>
    <definedName name="_______SE2">#REF!</definedName>
    <definedName name="_______STC04">#REF!</definedName>
    <definedName name="_______WX2" localSheetId="20" hidden="1">{#N/A,#N/A,FALSE,"EXPORTAC";#N/A,#N/A,FALSE,"SUPEL94"}</definedName>
    <definedName name="_______WX2" hidden="1">{#N/A,#N/A,FALSE,"EXPORTAC";#N/A,#N/A,FALSE,"SUPEL94"}</definedName>
    <definedName name="_______WX2_1" localSheetId="20" hidden="1">{#N/A,#N/A,FALSE,"EXPORTAC";#N/A,#N/A,FALSE,"SUPEL94"}</definedName>
    <definedName name="_______WX2_1" hidden="1">{#N/A,#N/A,FALSE,"EXPORTAC";#N/A,#N/A,FALSE,"SUPEL94"}</definedName>
    <definedName name="_______WX2_1_1" localSheetId="20" hidden="1">{#N/A,#N/A,FALSE,"EXPORTAC";#N/A,#N/A,FALSE,"SUPEL94"}</definedName>
    <definedName name="_______WX2_1_1" hidden="1">{#N/A,#N/A,FALSE,"EXPORTAC";#N/A,#N/A,FALSE,"SUPEL94"}</definedName>
    <definedName name="_______WX2_1_1_1" localSheetId="20" hidden="1">{#N/A,#N/A,FALSE,"EXPORTAC";#N/A,#N/A,FALSE,"SUPEL94"}</definedName>
    <definedName name="_______WX2_1_1_1" hidden="1">{#N/A,#N/A,FALSE,"EXPORTAC";#N/A,#N/A,FALSE,"SUPEL94"}</definedName>
    <definedName name="_______WX2_1_2" localSheetId="20" hidden="1">{#N/A,#N/A,FALSE,"EXPORTAC";#N/A,#N/A,FALSE,"SUPEL94"}</definedName>
    <definedName name="_______WX2_1_2" hidden="1">{#N/A,#N/A,FALSE,"EXPORTAC";#N/A,#N/A,FALSE,"SUPEL94"}</definedName>
    <definedName name="_______WX2_2" localSheetId="20" hidden="1">{#N/A,#N/A,FALSE,"EXPORTAC";#N/A,#N/A,FALSE,"SUPEL94"}</definedName>
    <definedName name="_______WX2_2" hidden="1">{#N/A,#N/A,FALSE,"EXPORTAC";#N/A,#N/A,FALSE,"SUPEL94"}</definedName>
    <definedName name="_______x1" localSheetId="20" hidden="1">{#N/A,#N/A,FALSE,"EXPORTAC";#N/A,#N/A,FALSE,"SUPEL94"}</definedName>
    <definedName name="_______x1" hidden="1">{#N/A,#N/A,FALSE,"EXPORTAC";#N/A,#N/A,FALSE,"SUPEL94"}</definedName>
    <definedName name="_______x1_1" localSheetId="20" hidden="1">{#N/A,#N/A,FALSE,"EXPORTAC";#N/A,#N/A,FALSE,"SUPEL94"}</definedName>
    <definedName name="_______x1_1" hidden="1">{#N/A,#N/A,FALSE,"EXPORTAC";#N/A,#N/A,FALSE,"SUPEL94"}</definedName>
    <definedName name="_______x1_1_1" localSheetId="20" hidden="1">{#N/A,#N/A,FALSE,"EXPORTAC";#N/A,#N/A,FALSE,"SUPEL94"}</definedName>
    <definedName name="_______x1_1_1" hidden="1">{#N/A,#N/A,FALSE,"EXPORTAC";#N/A,#N/A,FALSE,"SUPEL94"}</definedName>
    <definedName name="_______x1_1_1_1" localSheetId="20" hidden="1">{#N/A,#N/A,FALSE,"EXPORTAC";#N/A,#N/A,FALSE,"SUPEL94"}</definedName>
    <definedName name="_______x1_1_1_1" hidden="1">{#N/A,#N/A,FALSE,"EXPORTAC";#N/A,#N/A,FALSE,"SUPEL94"}</definedName>
    <definedName name="_______x1_1_2" localSheetId="20" hidden="1">{#N/A,#N/A,FALSE,"EXPORTAC";#N/A,#N/A,FALSE,"SUPEL94"}</definedName>
    <definedName name="_______x1_1_2" hidden="1">{#N/A,#N/A,FALSE,"EXPORTAC";#N/A,#N/A,FALSE,"SUPEL94"}</definedName>
    <definedName name="_______x1_2" localSheetId="20" hidden="1">{#N/A,#N/A,FALSE,"EXPORTAC";#N/A,#N/A,FALSE,"SUPEL94"}</definedName>
    <definedName name="_______x1_2" hidden="1">{#N/A,#N/A,FALSE,"EXPORTAC";#N/A,#N/A,FALSE,"SUPEL94"}</definedName>
    <definedName name="_______x2" localSheetId="20" hidden="1">{#N/A,#N/A,FALSE,"GQGEMPRE"}</definedName>
    <definedName name="_______x2" hidden="1">{#N/A,#N/A,FALSE,"GQGEMPRE"}</definedName>
    <definedName name="_______x2_1" localSheetId="20" hidden="1">{#N/A,#N/A,FALSE,"GQGEMPRE"}</definedName>
    <definedName name="_______x2_1" hidden="1">{#N/A,#N/A,FALSE,"GQGEMPRE"}</definedName>
    <definedName name="_______x2_1_1" localSheetId="20" hidden="1">{#N/A,#N/A,FALSE,"GQGEMPRE"}</definedName>
    <definedName name="_______x2_1_1" hidden="1">{#N/A,#N/A,FALSE,"GQGEMPRE"}</definedName>
    <definedName name="_______x2_1_1_1" localSheetId="20" hidden="1">{#N/A,#N/A,FALSE,"GQGEMPRE"}</definedName>
    <definedName name="_______x2_1_1_1" hidden="1">{#N/A,#N/A,FALSE,"GQGEMPRE"}</definedName>
    <definedName name="_______x2_1_2" localSheetId="20" hidden="1">{#N/A,#N/A,FALSE,"GQGEMPRE"}</definedName>
    <definedName name="_______x2_1_2" hidden="1">{#N/A,#N/A,FALSE,"GQGEMPRE"}</definedName>
    <definedName name="_______x2_2" localSheetId="20" hidden="1">{#N/A,#N/A,FALSE,"GQGEMPRE"}</definedName>
    <definedName name="_______x2_2" hidden="1">{#N/A,#N/A,FALSE,"GQGEMPRE"}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ago1" localSheetId="20" hidden="1">{"'gráf jan00'!$A$1:$AK$41"}</definedName>
    <definedName name="______ago1" hidden="1">{"'gráf jan00'!$A$1:$AK$41"}</definedName>
    <definedName name="______ago1_1" localSheetId="20" hidden="1">{"'gráf jan00'!$A$1:$AK$41"}</definedName>
    <definedName name="______ago1_1" hidden="1">{"'gráf jan00'!$A$1:$AK$41"}</definedName>
    <definedName name="______ago1_1_1" localSheetId="20" hidden="1">{"'gráf jan00'!$A$1:$AK$41"}</definedName>
    <definedName name="______ago1_1_1" hidden="1">{"'gráf jan00'!$A$1:$AK$41"}</definedName>
    <definedName name="______ago1_1_1_1" localSheetId="20" hidden="1">{"'gráf jan00'!$A$1:$AK$41"}</definedName>
    <definedName name="______ago1_1_1_1" hidden="1">{"'gráf jan00'!$A$1:$AK$41"}</definedName>
    <definedName name="______ago1_1_2" localSheetId="20" hidden="1">{"'gráf jan00'!$A$1:$AK$41"}</definedName>
    <definedName name="______ago1_1_2" hidden="1">{"'gráf jan00'!$A$1:$AK$41"}</definedName>
    <definedName name="______ago1_2" localSheetId="20" hidden="1">{"'gráf jan00'!$A$1:$AK$41"}</definedName>
    <definedName name="______ago1_2" hidden="1">{"'gráf jan00'!$A$1:$AK$41"}</definedName>
    <definedName name="______ago10" localSheetId="20" hidden="1">{"'gráf jan00'!$A$1:$AK$41"}</definedName>
    <definedName name="______ago10" hidden="1">{"'gráf jan00'!$A$1:$AK$41"}</definedName>
    <definedName name="______ago10_1" localSheetId="20" hidden="1">{"'gráf jan00'!$A$1:$AK$41"}</definedName>
    <definedName name="______ago10_1" hidden="1">{"'gráf jan00'!$A$1:$AK$41"}</definedName>
    <definedName name="______ago10_1_1" localSheetId="20" hidden="1">{"'gráf jan00'!$A$1:$AK$41"}</definedName>
    <definedName name="______ago10_1_1" hidden="1">{"'gráf jan00'!$A$1:$AK$41"}</definedName>
    <definedName name="______ago10_1_1_1" localSheetId="20" hidden="1">{"'gráf jan00'!$A$1:$AK$41"}</definedName>
    <definedName name="______ago10_1_1_1" hidden="1">{"'gráf jan00'!$A$1:$AK$41"}</definedName>
    <definedName name="______ago10_1_2" localSheetId="20" hidden="1">{"'gráf jan00'!$A$1:$AK$41"}</definedName>
    <definedName name="______ago10_1_2" hidden="1">{"'gráf jan00'!$A$1:$AK$41"}</definedName>
    <definedName name="______ago10_2" localSheetId="20" hidden="1">{"'gráf jan00'!$A$1:$AK$41"}</definedName>
    <definedName name="______ago10_2" hidden="1">{"'gráf jan00'!$A$1:$AK$41"}</definedName>
    <definedName name="______ago2" localSheetId="20" hidden="1">{"'gráf jan00'!$A$1:$AK$41"}</definedName>
    <definedName name="______ago2" hidden="1">{"'gráf jan00'!$A$1:$AK$41"}</definedName>
    <definedName name="______ago2_1" localSheetId="20" hidden="1">{"'gráf jan00'!$A$1:$AK$41"}</definedName>
    <definedName name="______ago2_1" hidden="1">{"'gráf jan00'!$A$1:$AK$41"}</definedName>
    <definedName name="______ago2_1_1" localSheetId="20" hidden="1">{"'gráf jan00'!$A$1:$AK$41"}</definedName>
    <definedName name="______ago2_1_1" hidden="1">{"'gráf jan00'!$A$1:$AK$41"}</definedName>
    <definedName name="______ago2_1_1_1" localSheetId="20" hidden="1">{"'gráf jan00'!$A$1:$AK$41"}</definedName>
    <definedName name="______ago2_1_1_1" hidden="1">{"'gráf jan00'!$A$1:$AK$41"}</definedName>
    <definedName name="______ago2_1_2" localSheetId="20" hidden="1">{"'gráf jan00'!$A$1:$AK$41"}</definedName>
    <definedName name="______ago2_1_2" hidden="1">{"'gráf jan00'!$A$1:$AK$41"}</definedName>
    <definedName name="______ago2_2" localSheetId="20" hidden="1">{"'gráf jan00'!$A$1:$AK$41"}</definedName>
    <definedName name="______ago2_2" hidden="1">{"'gráf jan00'!$A$1:$AK$41"}</definedName>
    <definedName name="______ago3" localSheetId="20" hidden="1">{"'gráf jan00'!$A$1:$AK$41"}</definedName>
    <definedName name="______ago3" hidden="1">{"'gráf jan00'!$A$1:$AK$41"}</definedName>
    <definedName name="______ago3_1" localSheetId="20" hidden="1">{"'gráf jan00'!$A$1:$AK$41"}</definedName>
    <definedName name="______ago3_1" hidden="1">{"'gráf jan00'!$A$1:$AK$41"}</definedName>
    <definedName name="______ago3_1_1" localSheetId="20" hidden="1">{"'gráf jan00'!$A$1:$AK$41"}</definedName>
    <definedName name="______ago3_1_1" hidden="1">{"'gráf jan00'!$A$1:$AK$41"}</definedName>
    <definedName name="______ago3_1_1_1" localSheetId="20" hidden="1">{"'gráf jan00'!$A$1:$AK$41"}</definedName>
    <definedName name="______ago3_1_1_1" hidden="1">{"'gráf jan00'!$A$1:$AK$41"}</definedName>
    <definedName name="______ago3_1_2" localSheetId="20" hidden="1">{"'gráf jan00'!$A$1:$AK$41"}</definedName>
    <definedName name="______ago3_1_2" hidden="1">{"'gráf jan00'!$A$1:$AK$41"}</definedName>
    <definedName name="______ago3_2" localSheetId="20" hidden="1">{"'gráf jan00'!$A$1:$AK$41"}</definedName>
    <definedName name="______ago3_2" hidden="1">{"'gráf jan00'!$A$1:$AK$41"}</definedName>
    <definedName name="______ago4" localSheetId="20" hidden="1">{"'gráf jan00'!$A$1:$AK$41"}</definedName>
    <definedName name="______ago4" hidden="1">{"'gráf jan00'!$A$1:$AK$41"}</definedName>
    <definedName name="______ago4_1" localSheetId="20" hidden="1">{"'gráf jan00'!$A$1:$AK$41"}</definedName>
    <definedName name="______ago4_1" hidden="1">{"'gráf jan00'!$A$1:$AK$41"}</definedName>
    <definedName name="______ago4_1_1" localSheetId="20" hidden="1">{"'gráf jan00'!$A$1:$AK$41"}</definedName>
    <definedName name="______ago4_1_1" hidden="1">{"'gráf jan00'!$A$1:$AK$41"}</definedName>
    <definedName name="______ago4_1_1_1" localSheetId="20" hidden="1">{"'gráf jan00'!$A$1:$AK$41"}</definedName>
    <definedName name="______ago4_1_1_1" hidden="1">{"'gráf jan00'!$A$1:$AK$41"}</definedName>
    <definedName name="______ago4_1_2" localSheetId="20" hidden="1">{"'gráf jan00'!$A$1:$AK$41"}</definedName>
    <definedName name="______ago4_1_2" hidden="1">{"'gráf jan00'!$A$1:$AK$41"}</definedName>
    <definedName name="______ago4_2" localSheetId="20" hidden="1">{"'gráf jan00'!$A$1:$AK$41"}</definedName>
    <definedName name="______ago4_2" hidden="1">{"'gráf jan00'!$A$1:$AK$41"}</definedName>
    <definedName name="______ago5" localSheetId="20" hidden="1">{"'gráf jan00'!$A$1:$AK$41"}</definedName>
    <definedName name="______ago5" hidden="1">{"'gráf jan00'!$A$1:$AK$41"}</definedName>
    <definedName name="______ago5_1" localSheetId="20" hidden="1">{"'gráf jan00'!$A$1:$AK$41"}</definedName>
    <definedName name="______ago5_1" hidden="1">{"'gráf jan00'!$A$1:$AK$41"}</definedName>
    <definedName name="______ago5_1_1" localSheetId="20" hidden="1">{"'gráf jan00'!$A$1:$AK$41"}</definedName>
    <definedName name="______ago5_1_1" hidden="1">{"'gráf jan00'!$A$1:$AK$41"}</definedName>
    <definedName name="______ago5_1_1_1" localSheetId="20" hidden="1">{"'gráf jan00'!$A$1:$AK$41"}</definedName>
    <definedName name="______ago5_1_1_1" hidden="1">{"'gráf jan00'!$A$1:$AK$41"}</definedName>
    <definedName name="______ago5_1_2" localSheetId="20" hidden="1">{"'gráf jan00'!$A$1:$AK$41"}</definedName>
    <definedName name="______ago5_1_2" hidden="1">{"'gráf jan00'!$A$1:$AK$41"}</definedName>
    <definedName name="______ago5_2" localSheetId="20" hidden="1">{"'gráf jan00'!$A$1:$AK$41"}</definedName>
    <definedName name="______ago5_2" hidden="1">{"'gráf jan00'!$A$1:$AK$41"}</definedName>
    <definedName name="______ago6" localSheetId="20" hidden="1">{"'gráf jan00'!$A$1:$AK$41"}</definedName>
    <definedName name="______ago6" hidden="1">{"'gráf jan00'!$A$1:$AK$41"}</definedName>
    <definedName name="______ago6_1" localSheetId="20" hidden="1">{"'gráf jan00'!$A$1:$AK$41"}</definedName>
    <definedName name="______ago6_1" hidden="1">{"'gráf jan00'!$A$1:$AK$41"}</definedName>
    <definedName name="______ago6_1_1" localSheetId="20" hidden="1">{"'gráf jan00'!$A$1:$AK$41"}</definedName>
    <definedName name="______ago6_1_1" hidden="1">{"'gráf jan00'!$A$1:$AK$41"}</definedName>
    <definedName name="______ago6_1_1_1" localSheetId="20" hidden="1">{"'gráf jan00'!$A$1:$AK$41"}</definedName>
    <definedName name="______ago6_1_1_1" hidden="1">{"'gráf jan00'!$A$1:$AK$41"}</definedName>
    <definedName name="______ago6_1_2" localSheetId="20" hidden="1">{"'gráf jan00'!$A$1:$AK$41"}</definedName>
    <definedName name="______ago6_1_2" hidden="1">{"'gráf jan00'!$A$1:$AK$41"}</definedName>
    <definedName name="______ago6_2" localSheetId="20" hidden="1">{"'gráf jan00'!$A$1:$AK$41"}</definedName>
    <definedName name="______ago6_2" hidden="1">{"'gráf jan00'!$A$1:$AK$41"}</definedName>
    <definedName name="______ago7" localSheetId="20" hidden="1">{"'gráf jan00'!$A$1:$AK$41"}</definedName>
    <definedName name="______ago7" hidden="1">{"'gráf jan00'!$A$1:$AK$41"}</definedName>
    <definedName name="______ago7_1" localSheetId="20" hidden="1">{"'gráf jan00'!$A$1:$AK$41"}</definedName>
    <definedName name="______ago7_1" hidden="1">{"'gráf jan00'!$A$1:$AK$41"}</definedName>
    <definedName name="______ago7_1_1" localSheetId="20" hidden="1">{"'gráf jan00'!$A$1:$AK$41"}</definedName>
    <definedName name="______ago7_1_1" hidden="1">{"'gráf jan00'!$A$1:$AK$41"}</definedName>
    <definedName name="______ago7_1_1_1" localSheetId="20" hidden="1">{"'gráf jan00'!$A$1:$AK$41"}</definedName>
    <definedName name="______ago7_1_1_1" hidden="1">{"'gráf jan00'!$A$1:$AK$41"}</definedName>
    <definedName name="______ago7_1_2" localSheetId="20" hidden="1">{"'gráf jan00'!$A$1:$AK$41"}</definedName>
    <definedName name="______ago7_1_2" hidden="1">{"'gráf jan00'!$A$1:$AK$41"}</definedName>
    <definedName name="______ago7_2" localSheetId="20" hidden="1">{"'gráf jan00'!$A$1:$AK$41"}</definedName>
    <definedName name="______ago7_2" hidden="1">{"'gráf jan00'!$A$1:$AK$41"}</definedName>
    <definedName name="______ago8" localSheetId="20" hidden="1">{"'gráf jan00'!$A$1:$AK$41"}</definedName>
    <definedName name="______ago8" hidden="1">{"'gráf jan00'!$A$1:$AK$41"}</definedName>
    <definedName name="______ago8_1" localSheetId="20" hidden="1">{"'gráf jan00'!$A$1:$AK$41"}</definedName>
    <definedName name="______ago8_1" hidden="1">{"'gráf jan00'!$A$1:$AK$41"}</definedName>
    <definedName name="______ago8_1_1" localSheetId="20" hidden="1">{"'gráf jan00'!$A$1:$AK$41"}</definedName>
    <definedName name="______ago8_1_1" hidden="1">{"'gráf jan00'!$A$1:$AK$41"}</definedName>
    <definedName name="______ago8_1_1_1" localSheetId="20" hidden="1">{"'gráf jan00'!$A$1:$AK$41"}</definedName>
    <definedName name="______ago8_1_1_1" hidden="1">{"'gráf jan00'!$A$1:$AK$41"}</definedName>
    <definedName name="______ago8_1_2" localSheetId="20" hidden="1">{"'gráf jan00'!$A$1:$AK$41"}</definedName>
    <definedName name="______ago8_1_2" hidden="1">{"'gráf jan00'!$A$1:$AK$41"}</definedName>
    <definedName name="______ago8_2" localSheetId="20" hidden="1">{"'gráf jan00'!$A$1:$AK$41"}</definedName>
    <definedName name="______ago8_2" hidden="1">{"'gráf jan00'!$A$1:$AK$41"}</definedName>
    <definedName name="______ago9" localSheetId="20" hidden="1">{"'gráf jan00'!$A$1:$AK$41"}</definedName>
    <definedName name="______ago9" hidden="1">{"'gráf jan00'!$A$1:$AK$41"}</definedName>
    <definedName name="______ago9_1" localSheetId="20" hidden="1">{"'gráf jan00'!$A$1:$AK$41"}</definedName>
    <definedName name="______ago9_1" hidden="1">{"'gráf jan00'!$A$1:$AK$41"}</definedName>
    <definedName name="______ago9_1_1" localSheetId="20" hidden="1">{"'gráf jan00'!$A$1:$AK$41"}</definedName>
    <definedName name="______ago9_1_1" hidden="1">{"'gráf jan00'!$A$1:$AK$41"}</definedName>
    <definedName name="______ago9_1_1_1" localSheetId="20" hidden="1">{"'gráf jan00'!$A$1:$AK$41"}</definedName>
    <definedName name="______ago9_1_1_1" hidden="1">{"'gráf jan00'!$A$1:$AK$41"}</definedName>
    <definedName name="______ago9_1_2" localSheetId="20" hidden="1">{"'gráf jan00'!$A$1:$AK$41"}</definedName>
    <definedName name="______ago9_1_2" hidden="1">{"'gráf jan00'!$A$1:$AK$41"}</definedName>
    <definedName name="______ago9_2" localSheetId="20" hidden="1">{"'gráf jan00'!$A$1:$AK$41"}</definedName>
    <definedName name="______ago9_2" hidden="1">{"'gráf jan00'!$A$1:$AK$41"}</definedName>
    <definedName name="______ago99999" localSheetId="20" hidden="1">{"'gráf jan00'!$A$1:$AK$41"}</definedName>
    <definedName name="______ago99999" hidden="1">{"'gráf jan00'!$A$1:$AK$41"}</definedName>
    <definedName name="______BDI1" localSheetId="20">' 6.0 - Empréstimos '!______BDI1</definedName>
    <definedName name="______BDI1">[0]!______BDI1</definedName>
    <definedName name="______efc10" localSheetId="20" hidden="1">{"'RR'!$A$2:$E$81"}</definedName>
    <definedName name="______efc10" hidden="1">{"'RR'!$A$2:$E$81"}</definedName>
    <definedName name="______efc10_1" localSheetId="20" hidden="1">{"'RR'!$A$2:$E$81"}</definedName>
    <definedName name="______efc10_1" hidden="1">{"'RR'!$A$2:$E$81"}</definedName>
    <definedName name="______efc10_1_1" localSheetId="20" hidden="1">{"'RR'!$A$2:$E$81"}</definedName>
    <definedName name="______efc10_1_1" hidden="1">{"'RR'!$A$2:$E$81"}</definedName>
    <definedName name="______efc10_1_1_1" localSheetId="20" hidden="1">{"'RR'!$A$2:$E$81"}</definedName>
    <definedName name="______efc10_1_1_1" hidden="1">{"'RR'!$A$2:$E$81"}</definedName>
    <definedName name="______efc10_1_2" localSheetId="20" hidden="1">{"'RR'!$A$2:$E$81"}</definedName>
    <definedName name="______efc10_1_2" hidden="1">{"'RR'!$A$2:$E$81"}</definedName>
    <definedName name="______efc10_2" localSheetId="20" hidden="1">{"'RR'!$A$2:$E$81"}</definedName>
    <definedName name="______efc10_2" hidden="1">{"'RR'!$A$2:$E$81"}</definedName>
    <definedName name="______EFC2" localSheetId="20" hidden="1">{"'RR'!$A$2:$E$81"}</definedName>
    <definedName name="______EFC2" hidden="1">{"'RR'!$A$2:$E$81"}</definedName>
    <definedName name="______EFC2_1" localSheetId="20" hidden="1">{"'RR'!$A$2:$E$81"}</definedName>
    <definedName name="______EFC2_1" hidden="1">{"'RR'!$A$2:$E$81"}</definedName>
    <definedName name="______EFC2_1_1" localSheetId="20" hidden="1">{"'RR'!$A$2:$E$81"}</definedName>
    <definedName name="______EFC2_1_1" hidden="1">{"'RR'!$A$2:$E$81"}</definedName>
    <definedName name="______EFC2_1_1_1" localSheetId="20" hidden="1">{"'RR'!$A$2:$E$81"}</definedName>
    <definedName name="______EFC2_1_1_1" hidden="1">{"'RR'!$A$2:$E$81"}</definedName>
    <definedName name="______EFC2_1_2" localSheetId="20" hidden="1">{"'RR'!$A$2:$E$81"}</definedName>
    <definedName name="______EFC2_1_2" hidden="1">{"'RR'!$A$2:$E$81"}</definedName>
    <definedName name="______EFC2_2" localSheetId="20" hidden="1">{"'RR'!$A$2:$E$81"}</definedName>
    <definedName name="______EFC2_2" hidden="1">{"'RR'!$A$2:$E$81"}</definedName>
    <definedName name="______EFC3" localSheetId="20" hidden="1">{"'RR'!$A$2:$E$81"}</definedName>
    <definedName name="______EFC3" hidden="1">{"'RR'!$A$2:$E$81"}</definedName>
    <definedName name="______EFC3_1" localSheetId="20" hidden="1">{"'RR'!$A$2:$E$81"}</definedName>
    <definedName name="______EFC3_1" hidden="1">{"'RR'!$A$2:$E$81"}</definedName>
    <definedName name="______EFC3_1_1" localSheetId="20" hidden="1">{"'RR'!$A$2:$E$81"}</definedName>
    <definedName name="______EFC3_1_1" hidden="1">{"'RR'!$A$2:$E$81"}</definedName>
    <definedName name="______EFC3_1_1_1" localSheetId="20" hidden="1">{"'RR'!$A$2:$E$81"}</definedName>
    <definedName name="______EFC3_1_1_1" hidden="1">{"'RR'!$A$2:$E$81"}</definedName>
    <definedName name="______EFC3_1_2" localSheetId="20" hidden="1">{"'RR'!$A$2:$E$81"}</definedName>
    <definedName name="______EFC3_1_2" hidden="1">{"'RR'!$A$2:$E$81"}</definedName>
    <definedName name="______EFC3_2" localSheetId="20" hidden="1">{"'RR'!$A$2:$E$81"}</definedName>
    <definedName name="______EFC3_2" hidden="1">{"'RR'!$A$2:$E$81"}</definedName>
    <definedName name="______EFC4" localSheetId="20" hidden="1">{"'RR'!$A$2:$E$81"}</definedName>
    <definedName name="______EFC4" hidden="1">{"'RR'!$A$2:$E$81"}</definedName>
    <definedName name="______EFC4_1" localSheetId="20" hidden="1">{"'RR'!$A$2:$E$81"}</definedName>
    <definedName name="______EFC4_1" hidden="1">{"'RR'!$A$2:$E$81"}</definedName>
    <definedName name="______EFC4_1_1" localSheetId="20" hidden="1">{"'RR'!$A$2:$E$81"}</definedName>
    <definedName name="______EFC4_1_1" hidden="1">{"'RR'!$A$2:$E$81"}</definedName>
    <definedName name="______EFC4_1_1_1" localSheetId="20" hidden="1">{"'RR'!$A$2:$E$81"}</definedName>
    <definedName name="______EFC4_1_1_1" hidden="1">{"'RR'!$A$2:$E$81"}</definedName>
    <definedName name="______EFC4_1_2" localSheetId="20" hidden="1">{"'RR'!$A$2:$E$81"}</definedName>
    <definedName name="______EFC4_1_2" hidden="1">{"'RR'!$A$2:$E$81"}</definedName>
    <definedName name="______EFC4_2" localSheetId="20" hidden="1">{"'RR'!$A$2:$E$81"}</definedName>
    <definedName name="______EFC4_2" hidden="1">{"'RR'!$A$2:$E$81"}</definedName>
    <definedName name="______Ext2" localSheetId="21">#REF!</definedName>
    <definedName name="______Ext2">'[12]P A T O 99 B'!#REF!</definedName>
    <definedName name="______Ext2_11">'[9]P A T O 99 B'!#REF!</definedName>
    <definedName name="______Fev1">[11]!______Fev1</definedName>
    <definedName name="______ffp16" localSheetId="20" hidden="1">{"'gráf jan00'!$A$1:$AK$41"}</definedName>
    <definedName name="______ffp16" hidden="1">{"'gráf jan00'!$A$1:$AK$41"}</definedName>
    <definedName name="______ffp4589" localSheetId="20" hidden="1">{"'gráf jan00'!$A$1:$AK$41"}</definedName>
    <definedName name="______ffp4589" hidden="1">{"'gráf jan00'!$A$1:$AK$41"}</definedName>
    <definedName name="______Jan1">[11]!______Jan1</definedName>
    <definedName name="______jun04" localSheetId="20" hidden="1">{"'gráf jan00'!$A$1:$AK$41"}</definedName>
    <definedName name="______jun04" hidden="1">{"'gráf jan00'!$A$1:$AK$41"}</definedName>
    <definedName name="______jun04_1" localSheetId="20" hidden="1">{"'gráf jan00'!$A$1:$AK$41"}</definedName>
    <definedName name="______jun04_1" hidden="1">{"'gráf jan00'!$A$1:$AK$41"}</definedName>
    <definedName name="______jun04_1_1" localSheetId="20" hidden="1">{"'gráf jan00'!$A$1:$AK$41"}</definedName>
    <definedName name="______jun04_1_1" hidden="1">{"'gráf jan00'!$A$1:$AK$41"}</definedName>
    <definedName name="______jun04_1_1_1" localSheetId="20" hidden="1">{"'gráf jan00'!$A$1:$AK$41"}</definedName>
    <definedName name="______jun04_1_1_1" hidden="1">{"'gráf jan00'!$A$1:$AK$41"}</definedName>
    <definedName name="______jun04_1_2" localSheetId="20" hidden="1">{"'gráf jan00'!$A$1:$AK$41"}</definedName>
    <definedName name="______jun04_1_2" hidden="1">{"'gráf jan00'!$A$1:$AK$41"}</definedName>
    <definedName name="______jun04_2" localSheetId="20" hidden="1">{"'gráf jan00'!$A$1:$AK$41"}</definedName>
    <definedName name="______jun04_2" hidden="1">{"'gráf jan00'!$A$1:$AK$41"}</definedName>
    <definedName name="______ki5">#REF!</definedName>
    <definedName name="______ltf2" hidden="1">#REF!</definedName>
    <definedName name="______Mar1">[11]!______Mar1</definedName>
    <definedName name="______MOD01">[11]!______MOD01</definedName>
    <definedName name="______n2" localSheetId="20" hidden="1">{#N/A,#N/A,FALSE,"PCOL"}</definedName>
    <definedName name="______n2" hidden="1">{#N/A,#N/A,FALSE,"PCOL"}</definedName>
    <definedName name="______n2_1" localSheetId="20" hidden="1">{#N/A,#N/A,FALSE,"PCOL"}</definedName>
    <definedName name="______n2_1" hidden="1">{#N/A,#N/A,FALSE,"PCOL"}</definedName>
    <definedName name="______n2_1_1" localSheetId="20" hidden="1">{#N/A,#N/A,FALSE,"PCOL"}</definedName>
    <definedName name="______n2_1_1" hidden="1">{#N/A,#N/A,FALSE,"PCOL"}</definedName>
    <definedName name="______n2_1_1_1" localSheetId="20" hidden="1">{#N/A,#N/A,FALSE,"PCOL"}</definedName>
    <definedName name="______n2_1_1_1" hidden="1">{#N/A,#N/A,FALSE,"PCOL"}</definedName>
    <definedName name="______n2_1_2" localSheetId="20" hidden="1">{#N/A,#N/A,FALSE,"PCOL"}</definedName>
    <definedName name="______n2_1_2" hidden="1">{#N/A,#N/A,FALSE,"PCOL"}</definedName>
    <definedName name="______n2_2" localSheetId="20" hidden="1">{#N/A,#N/A,FALSE,"PCOL"}</definedName>
    <definedName name="______n2_2" hidden="1">{#N/A,#N/A,FALSE,"PCOL"}</definedName>
    <definedName name="______Obs1">#REF!</definedName>
    <definedName name="______Obs2">#REF!</definedName>
    <definedName name="______OUT98" localSheetId="20" hidden="1">{#N/A,#N/A,TRUE,"Serviços"}</definedName>
    <definedName name="______OUT98" localSheetId="21">#REF!</definedName>
    <definedName name="______OUT98" localSheetId="2" hidden="1">{#N/A,#N/A,TRUE,"Serviços"}</definedName>
    <definedName name="______OUT98" hidden="1">{#N/A,#N/A,TRUE,"Serviços"}</definedName>
    <definedName name="______OUT98_1" localSheetId="20">{#N/A,#N/A,TRUE,"Serviços"}</definedName>
    <definedName name="______OUT98_1" localSheetId="21">#REF!</definedName>
    <definedName name="______OUT98_1">#REF!</definedName>
    <definedName name="______OUTT98888" localSheetId="20" hidden="1">{#N/A,#N/A,TRUE,"Serviços"}</definedName>
    <definedName name="______OUTT98888" localSheetId="2" hidden="1">{#N/A,#N/A,TRUE,"Serviços"}</definedName>
    <definedName name="______OUTT98888" hidden="1">{#N/A,#N/A,TRUE,"Serviços"}</definedName>
    <definedName name="______PL1">#REF!</definedName>
    <definedName name="______PL1_11">#REF!</definedName>
    <definedName name="______PL1_15">#REF!</definedName>
    <definedName name="______PN10" localSheetId="20" hidden="1">{"'gráf jan00'!$A$1:$AK$41"}</definedName>
    <definedName name="______PN10" hidden="1">{"'gráf jan00'!$A$1:$AK$41"}</definedName>
    <definedName name="______PPU1" localSheetId="20" hidden="1">{#N/A,#N/A,FALSE,"Cronograma";#N/A,#N/A,FALSE,"Cronogr. 2"}</definedName>
    <definedName name="______PPU1" hidden="1">{#N/A,#N/A,FALSE,"Cronograma";#N/A,#N/A,FALSE,"Cronogr. 2"}</definedName>
    <definedName name="______PPU1_1" localSheetId="20" hidden="1">{#N/A,#N/A,FALSE,"Cronograma";#N/A,#N/A,FALSE,"Cronogr. 2"}</definedName>
    <definedName name="______PPU1_1" hidden="1">{#N/A,#N/A,FALSE,"Cronograma";#N/A,#N/A,FALSE,"Cronogr. 2"}</definedName>
    <definedName name="______PPU1_1_1" localSheetId="20" hidden="1">{#N/A,#N/A,FALSE,"Cronograma";#N/A,#N/A,FALSE,"Cronogr. 2"}</definedName>
    <definedName name="______PPU1_1_1" hidden="1">{#N/A,#N/A,FALSE,"Cronograma";#N/A,#N/A,FALSE,"Cronogr. 2"}</definedName>
    <definedName name="______PPU1_1_1_1" localSheetId="20" hidden="1">{#N/A,#N/A,FALSE,"Cronograma";#N/A,#N/A,FALSE,"Cronogr. 2"}</definedName>
    <definedName name="______PPU1_1_1_1" hidden="1">{#N/A,#N/A,FALSE,"Cronograma";#N/A,#N/A,FALSE,"Cronogr. 2"}</definedName>
    <definedName name="______PPU1_1_2" localSheetId="20" hidden="1">{#N/A,#N/A,FALSE,"Cronograma";#N/A,#N/A,FALSE,"Cronogr. 2"}</definedName>
    <definedName name="______PPU1_1_2" hidden="1">{#N/A,#N/A,FALSE,"Cronograma";#N/A,#N/A,FALSE,"Cronogr. 2"}</definedName>
    <definedName name="______PPU1_2" localSheetId="20" hidden="1">{#N/A,#N/A,FALSE,"Cronograma";#N/A,#N/A,FALSE,"Cronogr. 2"}</definedName>
    <definedName name="______PPU1_2" hidden="1">{#N/A,#N/A,FALSE,"Cronograma";#N/A,#N/A,FALSE,"Cronogr. 2"}</definedName>
    <definedName name="______r">#REF!</definedName>
    <definedName name="______r_11">#REF!</definedName>
    <definedName name="______r_15">#REF!</definedName>
    <definedName name="______Rbv1">'[8]Página 16'!$C$3:$C$7</definedName>
    <definedName name="______RP1">[11]!______RP1</definedName>
    <definedName name="______SE2">#REF!</definedName>
    <definedName name="______STC04">#REF!</definedName>
    <definedName name="______WX2" localSheetId="20" hidden="1">{#N/A,#N/A,FALSE,"EXPORTAC";#N/A,#N/A,FALSE,"SUPEL94"}</definedName>
    <definedName name="______WX2" hidden="1">{#N/A,#N/A,FALSE,"EXPORTAC";#N/A,#N/A,FALSE,"SUPEL94"}</definedName>
    <definedName name="______WX2_1" localSheetId="20" hidden="1">{#N/A,#N/A,FALSE,"EXPORTAC";#N/A,#N/A,FALSE,"SUPEL94"}</definedName>
    <definedName name="______WX2_1" hidden="1">{#N/A,#N/A,FALSE,"EXPORTAC";#N/A,#N/A,FALSE,"SUPEL94"}</definedName>
    <definedName name="______WX2_1_1" localSheetId="20" hidden="1">{#N/A,#N/A,FALSE,"EXPORTAC";#N/A,#N/A,FALSE,"SUPEL94"}</definedName>
    <definedName name="______WX2_1_1" hidden="1">{#N/A,#N/A,FALSE,"EXPORTAC";#N/A,#N/A,FALSE,"SUPEL94"}</definedName>
    <definedName name="______WX2_1_1_1" localSheetId="20" hidden="1">{#N/A,#N/A,FALSE,"EXPORTAC";#N/A,#N/A,FALSE,"SUPEL94"}</definedName>
    <definedName name="______WX2_1_1_1" hidden="1">{#N/A,#N/A,FALSE,"EXPORTAC";#N/A,#N/A,FALSE,"SUPEL94"}</definedName>
    <definedName name="______WX2_1_2" localSheetId="20" hidden="1">{#N/A,#N/A,FALSE,"EXPORTAC";#N/A,#N/A,FALSE,"SUPEL94"}</definedName>
    <definedName name="______WX2_1_2" hidden="1">{#N/A,#N/A,FALSE,"EXPORTAC";#N/A,#N/A,FALSE,"SUPEL94"}</definedName>
    <definedName name="______WX2_2" localSheetId="20" hidden="1">{#N/A,#N/A,FALSE,"EXPORTAC";#N/A,#N/A,FALSE,"SUPEL94"}</definedName>
    <definedName name="______WX2_2" hidden="1">{#N/A,#N/A,FALSE,"EXPORTAC";#N/A,#N/A,FALSE,"SUPEL94"}</definedName>
    <definedName name="______x1" localSheetId="20" hidden="1">{#N/A,#N/A,FALSE,"EXPORTAC";#N/A,#N/A,FALSE,"SUPEL94"}</definedName>
    <definedName name="______x1" hidden="1">{#N/A,#N/A,FALSE,"EXPORTAC";#N/A,#N/A,FALSE,"SUPEL94"}</definedName>
    <definedName name="______x1_1" localSheetId="20" hidden="1">{#N/A,#N/A,FALSE,"EXPORTAC";#N/A,#N/A,FALSE,"SUPEL94"}</definedName>
    <definedName name="______x1_1" hidden="1">{#N/A,#N/A,FALSE,"EXPORTAC";#N/A,#N/A,FALSE,"SUPEL94"}</definedName>
    <definedName name="______x1_1_1" localSheetId="20" hidden="1">{#N/A,#N/A,FALSE,"EXPORTAC";#N/A,#N/A,FALSE,"SUPEL94"}</definedName>
    <definedName name="______x1_1_1" hidden="1">{#N/A,#N/A,FALSE,"EXPORTAC";#N/A,#N/A,FALSE,"SUPEL94"}</definedName>
    <definedName name="______x1_1_1_1" localSheetId="20" hidden="1">{#N/A,#N/A,FALSE,"EXPORTAC";#N/A,#N/A,FALSE,"SUPEL94"}</definedName>
    <definedName name="______x1_1_1_1" hidden="1">{#N/A,#N/A,FALSE,"EXPORTAC";#N/A,#N/A,FALSE,"SUPEL94"}</definedName>
    <definedName name="______x1_1_2" localSheetId="20" hidden="1">{#N/A,#N/A,FALSE,"EXPORTAC";#N/A,#N/A,FALSE,"SUPEL94"}</definedName>
    <definedName name="______x1_1_2" hidden="1">{#N/A,#N/A,FALSE,"EXPORTAC";#N/A,#N/A,FALSE,"SUPEL94"}</definedName>
    <definedName name="______x1_2" localSheetId="20" hidden="1">{#N/A,#N/A,FALSE,"EXPORTAC";#N/A,#N/A,FALSE,"SUPEL94"}</definedName>
    <definedName name="______x1_2" hidden="1">{#N/A,#N/A,FALSE,"EXPORTAC";#N/A,#N/A,FALSE,"SUPEL94"}</definedName>
    <definedName name="______x2" localSheetId="20" hidden="1">{#N/A,#N/A,FALSE,"GQGEMPRE"}</definedName>
    <definedName name="______x2" hidden="1">{#N/A,#N/A,FALSE,"GQGEMPRE"}</definedName>
    <definedName name="______x2_1" localSheetId="20" hidden="1">{#N/A,#N/A,FALSE,"GQGEMPRE"}</definedName>
    <definedName name="______x2_1" hidden="1">{#N/A,#N/A,FALSE,"GQGEMPRE"}</definedName>
    <definedName name="______x2_1_1" localSheetId="20" hidden="1">{#N/A,#N/A,FALSE,"GQGEMPRE"}</definedName>
    <definedName name="______x2_1_1" hidden="1">{#N/A,#N/A,FALSE,"GQGEMPRE"}</definedName>
    <definedName name="______x2_1_1_1" localSheetId="20" hidden="1">{#N/A,#N/A,FALSE,"GQGEMPRE"}</definedName>
    <definedName name="______x2_1_1_1" hidden="1">{#N/A,#N/A,FALSE,"GQGEMPRE"}</definedName>
    <definedName name="______x2_1_2" localSheetId="20" hidden="1">{#N/A,#N/A,FALSE,"GQGEMPRE"}</definedName>
    <definedName name="______x2_1_2" hidden="1">{#N/A,#N/A,FALSE,"GQGEMPRE"}</definedName>
    <definedName name="______x2_2" localSheetId="20" hidden="1">{#N/A,#N/A,FALSE,"GQGEMPRE"}</definedName>
    <definedName name="______x2_2" hidden="1">{#N/A,#N/A,FALSE,"GQGEMPRE"}</definedName>
    <definedName name="_____1Excel_BuiltIn_Print_Titles_15_1_1_1_1">#REF!</definedName>
    <definedName name="_____2Excel_BuiltIn_Print_Titles_16_1">#REF!,#REF!</definedName>
    <definedName name="_____3Excel_BuiltIn_Print_Titles_16_1_1_1">#REF!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ACC2" hidden="1">#REF!</definedName>
    <definedName name="_____ago1" localSheetId="20" hidden="1">{"'gráf jan00'!$A$1:$AK$41"}</definedName>
    <definedName name="_____ago1" hidden="1">{"'gráf jan00'!$A$1:$AK$41"}</definedName>
    <definedName name="_____ago1_1" localSheetId="20" hidden="1">{"'gráf jan00'!$A$1:$AK$41"}</definedName>
    <definedName name="_____ago1_1" hidden="1">{"'gráf jan00'!$A$1:$AK$41"}</definedName>
    <definedName name="_____ago1_1_1" localSheetId="20" hidden="1">{"'gráf jan00'!$A$1:$AK$41"}</definedName>
    <definedName name="_____ago1_1_1" hidden="1">{"'gráf jan00'!$A$1:$AK$41"}</definedName>
    <definedName name="_____ago1_1_1_1" localSheetId="20" hidden="1">{"'gráf jan00'!$A$1:$AK$41"}</definedName>
    <definedName name="_____ago1_1_1_1" hidden="1">{"'gráf jan00'!$A$1:$AK$41"}</definedName>
    <definedName name="_____ago1_1_2" localSheetId="20" hidden="1">{"'gráf jan00'!$A$1:$AK$41"}</definedName>
    <definedName name="_____ago1_1_2" hidden="1">{"'gráf jan00'!$A$1:$AK$41"}</definedName>
    <definedName name="_____ago1_2" localSheetId="20" hidden="1">{"'gráf jan00'!$A$1:$AK$41"}</definedName>
    <definedName name="_____ago1_2" hidden="1">{"'gráf jan00'!$A$1:$AK$41"}</definedName>
    <definedName name="_____ago10" localSheetId="20" hidden="1">{"'gráf jan00'!$A$1:$AK$41"}</definedName>
    <definedName name="_____ago10" hidden="1">{"'gráf jan00'!$A$1:$AK$41"}</definedName>
    <definedName name="_____ago10_1" localSheetId="20" hidden="1">{"'gráf jan00'!$A$1:$AK$41"}</definedName>
    <definedName name="_____ago10_1" hidden="1">{"'gráf jan00'!$A$1:$AK$41"}</definedName>
    <definedName name="_____ago10_1_1" localSheetId="20" hidden="1">{"'gráf jan00'!$A$1:$AK$41"}</definedName>
    <definedName name="_____ago10_1_1" hidden="1">{"'gráf jan00'!$A$1:$AK$41"}</definedName>
    <definedName name="_____ago10_1_1_1" localSheetId="20" hidden="1">{"'gráf jan00'!$A$1:$AK$41"}</definedName>
    <definedName name="_____ago10_1_1_1" hidden="1">{"'gráf jan00'!$A$1:$AK$41"}</definedName>
    <definedName name="_____ago10_1_2" localSheetId="20" hidden="1">{"'gráf jan00'!$A$1:$AK$41"}</definedName>
    <definedName name="_____ago10_1_2" hidden="1">{"'gráf jan00'!$A$1:$AK$41"}</definedName>
    <definedName name="_____ago10_2" localSheetId="20" hidden="1">{"'gráf jan00'!$A$1:$AK$41"}</definedName>
    <definedName name="_____ago10_2" hidden="1">{"'gráf jan00'!$A$1:$AK$41"}</definedName>
    <definedName name="_____ago2" localSheetId="20" hidden="1">{"'gráf jan00'!$A$1:$AK$41"}</definedName>
    <definedName name="_____ago2" hidden="1">{"'gráf jan00'!$A$1:$AK$41"}</definedName>
    <definedName name="_____ago2_1" localSheetId="20" hidden="1">{"'gráf jan00'!$A$1:$AK$41"}</definedName>
    <definedName name="_____ago2_1" hidden="1">{"'gráf jan00'!$A$1:$AK$41"}</definedName>
    <definedName name="_____ago2_1_1" localSheetId="20" hidden="1">{"'gráf jan00'!$A$1:$AK$41"}</definedName>
    <definedName name="_____ago2_1_1" hidden="1">{"'gráf jan00'!$A$1:$AK$41"}</definedName>
    <definedName name="_____ago2_1_1_1" localSheetId="20" hidden="1">{"'gráf jan00'!$A$1:$AK$41"}</definedName>
    <definedName name="_____ago2_1_1_1" hidden="1">{"'gráf jan00'!$A$1:$AK$41"}</definedName>
    <definedName name="_____ago2_1_2" localSheetId="20" hidden="1">{"'gráf jan00'!$A$1:$AK$41"}</definedName>
    <definedName name="_____ago2_1_2" hidden="1">{"'gráf jan00'!$A$1:$AK$41"}</definedName>
    <definedName name="_____ago2_2" localSheetId="20" hidden="1">{"'gráf jan00'!$A$1:$AK$41"}</definedName>
    <definedName name="_____ago2_2" hidden="1">{"'gráf jan00'!$A$1:$AK$41"}</definedName>
    <definedName name="_____ago3" localSheetId="20" hidden="1">{"'gráf jan00'!$A$1:$AK$41"}</definedName>
    <definedName name="_____ago3" hidden="1">{"'gráf jan00'!$A$1:$AK$41"}</definedName>
    <definedName name="_____ago3_1" localSheetId="20" hidden="1">{"'gráf jan00'!$A$1:$AK$41"}</definedName>
    <definedName name="_____ago3_1" hidden="1">{"'gráf jan00'!$A$1:$AK$41"}</definedName>
    <definedName name="_____ago3_1_1" localSheetId="20" hidden="1">{"'gráf jan00'!$A$1:$AK$41"}</definedName>
    <definedName name="_____ago3_1_1" hidden="1">{"'gráf jan00'!$A$1:$AK$41"}</definedName>
    <definedName name="_____ago3_1_1_1" localSheetId="20" hidden="1">{"'gráf jan00'!$A$1:$AK$41"}</definedName>
    <definedName name="_____ago3_1_1_1" hidden="1">{"'gráf jan00'!$A$1:$AK$41"}</definedName>
    <definedName name="_____ago3_1_2" localSheetId="20" hidden="1">{"'gráf jan00'!$A$1:$AK$41"}</definedName>
    <definedName name="_____ago3_1_2" hidden="1">{"'gráf jan00'!$A$1:$AK$41"}</definedName>
    <definedName name="_____ago3_2" localSheetId="20" hidden="1">{"'gráf jan00'!$A$1:$AK$41"}</definedName>
    <definedName name="_____ago3_2" hidden="1">{"'gráf jan00'!$A$1:$AK$41"}</definedName>
    <definedName name="_____ago4" localSheetId="20" hidden="1">{"'gráf jan00'!$A$1:$AK$41"}</definedName>
    <definedName name="_____ago4" hidden="1">{"'gráf jan00'!$A$1:$AK$41"}</definedName>
    <definedName name="_____ago4_1" localSheetId="20" hidden="1">{"'gráf jan00'!$A$1:$AK$41"}</definedName>
    <definedName name="_____ago4_1" hidden="1">{"'gráf jan00'!$A$1:$AK$41"}</definedName>
    <definedName name="_____ago4_1_1" localSheetId="20" hidden="1">{"'gráf jan00'!$A$1:$AK$41"}</definedName>
    <definedName name="_____ago4_1_1" hidden="1">{"'gráf jan00'!$A$1:$AK$41"}</definedName>
    <definedName name="_____ago4_1_1_1" localSheetId="20" hidden="1">{"'gráf jan00'!$A$1:$AK$41"}</definedName>
    <definedName name="_____ago4_1_1_1" hidden="1">{"'gráf jan00'!$A$1:$AK$41"}</definedName>
    <definedName name="_____ago4_1_2" localSheetId="20" hidden="1">{"'gráf jan00'!$A$1:$AK$41"}</definedName>
    <definedName name="_____ago4_1_2" hidden="1">{"'gráf jan00'!$A$1:$AK$41"}</definedName>
    <definedName name="_____ago4_2" localSheetId="20" hidden="1">{"'gráf jan00'!$A$1:$AK$41"}</definedName>
    <definedName name="_____ago4_2" hidden="1">{"'gráf jan00'!$A$1:$AK$41"}</definedName>
    <definedName name="_____ago5" localSheetId="20" hidden="1">{"'gráf jan00'!$A$1:$AK$41"}</definedName>
    <definedName name="_____ago5" hidden="1">{"'gráf jan00'!$A$1:$AK$41"}</definedName>
    <definedName name="_____ago5_1" localSheetId="20" hidden="1">{"'gráf jan00'!$A$1:$AK$41"}</definedName>
    <definedName name="_____ago5_1" hidden="1">{"'gráf jan00'!$A$1:$AK$41"}</definedName>
    <definedName name="_____ago5_1_1" localSheetId="20" hidden="1">{"'gráf jan00'!$A$1:$AK$41"}</definedName>
    <definedName name="_____ago5_1_1" hidden="1">{"'gráf jan00'!$A$1:$AK$41"}</definedName>
    <definedName name="_____ago5_1_1_1" localSheetId="20" hidden="1">{"'gráf jan00'!$A$1:$AK$41"}</definedName>
    <definedName name="_____ago5_1_1_1" hidden="1">{"'gráf jan00'!$A$1:$AK$41"}</definedName>
    <definedName name="_____ago5_1_2" localSheetId="20" hidden="1">{"'gráf jan00'!$A$1:$AK$41"}</definedName>
    <definedName name="_____ago5_1_2" hidden="1">{"'gráf jan00'!$A$1:$AK$41"}</definedName>
    <definedName name="_____ago5_2" localSheetId="20" hidden="1">{"'gráf jan00'!$A$1:$AK$41"}</definedName>
    <definedName name="_____ago5_2" hidden="1">{"'gráf jan00'!$A$1:$AK$41"}</definedName>
    <definedName name="_____ago6" localSheetId="20" hidden="1">{"'gráf jan00'!$A$1:$AK$41"}</definedName>
    <definedName name="_____ago6" hidden="1">{"'gráf jan00'!$A$1:$AK$41"}</definedName>
    <definedName name="_____ago6_1" localSheetId="20" hidden="1">{"'gráf jan00'!$A$1:$AK$41"}</definedName>
    <definedName name="_____ago6_1" hidden="1">{"'gráf jan00'!$A$1:$AK$41"}</definedName>
    <definedName name="_____ago6_1_1" localSheetId="20" hidden="1">{"'gráf jan00'!$A$1:$AK$41"}</definedName>
    <definedName name="_____ago6_1_1" hidden="1">{"'gráf jan00'!$A$1:$AK$41"}</definedName>
    <definedName name="_____ago6_1_1_1" localSheetId="20" hidden="1">{"'gráf jan00'!$A$1:$AK$41"}</definedName>
    <definedName name="_____ago6_1_1_1" hidden="1">{"'gráf jan00'!$A$1:$AK$41"}</definedName>
    <definedName name="_____ago6_1_2" localSheetId="20" hidden="1">{"'gráf jan00'!$A$1:$AK$41"}</definedName>
    <definedName name="_____ago6_1_2" hidden="1">{"'gráf jan00'!$A$1:$AK$41"}</definedName>
    <definedName name="_____ago6_2" localSheetId="20" hidden="1">{"'gráf jan00'!$A$1:$AK$41"}</definedName>
    <definedName name="_____ago6_2" hidden="1">{"'gráf jan00'!$A$1:$AK$41"}</definedName>
    <definedName name="_____ago7" localSheetId="20" hidden="1">{"'gráf jan00'!$A$1:$AK$41"}</definedName>
    <definedName name="_____ago7" hidden="1">{"'gráf jan00'!$A$1:$AK$41"}</definedName>
    <definedName name="_____ago7_1" localSheetId="20" hidden="1">{"'gráf jan00'!$A$1:$AK$41"}</definedName>
    <definedName name="_____ago7_1" hidden="1">{"'gráf jan00'!$A$1:$AK$41"}</definedName>
    <definedName name="_____ago7_1_1" localSheetId="20" hidden="1">{"'gráf jan00'!$A$1:$AK$41"}</definedName>
    <definedName name="_____ago7_1_1" hidden="1">{"'gráf jan00'!$A$1:$AK$41"}</definedName>
    <definedName name="_____ago7_1_1_1" localSheetId="20" hidden="1">{"'gráf jan00'!$A$1:$AK$41"}</definedName>
    <definedName name="_____ago7_1_1_1" hidden="1">{"'gráf jan00'!$A$1:$AK$41"}</definedName>
    <definedName name="_____ago7_1_2" localSheetId="20" hidden="1">{"'gráf jan00'!$A$1:$AK$41"}</definedName>
    <definedName name="_____ago7_1_2" hidden="1">{"'gráf jan00'!$A$1:$AK$41"}</definedName>
    <definedName name="_____ago7_2" localSheetId="20" hidden="1">{"'gráf jan00'!$A$1:$AK$41"}</definedName>
    <definedName name="_____ago7_2" hidden="1">{"'gráf jan00'!$A$1:$AK$41"}</definedName>
    <definedName name="_____ago8" localSheetId="20" hidden="1">{"'gráf jan00'!$A$1:$AK$41"}</definedName>
    <definedName name="_____ago8" hidden="1">{"'gráf jan00'!$A$1:$AK$41"}</definedName>
    <definedName name="_____ago8_1" localSheetId="20" hidden="1">{"'gráf jan00'!$A$1:$AK$41"}</definedName>
    <definedName name="_____ago8_1" hidden="1">{"'gráf jan00'!$A$1:$AK$41"}</definedName>
    <definedName name="_____ago8_1_1" localSheetId="20" hidden="1">{"'gráf jan00'!$A$1:$AK$41"}</definedName>
    <definedName name="_____ago8_1_1" hidden="1">{"'gráf jan00'!$A$1:$AK$41"}</definedName>
    <definedName name="_____ago8_1_1_1" localSheetId="20" hidden="1">{"'gráf jan00'!$A$1:$AK$41"}</definedName>
    <definedName name="_____ago8_1_1_1" hidden="1">{"'gráf jan00'!$A$1:$AK$41"}</definedName>
    <definedName name="_____ago8_1_2" localSheetId="20" hidden="1">{"'gráf jan00'!$A$1:$AK$41"}</definedName>
    <definedName name="_____ago8_1_2" hidden="1">{"'gráf jan00'!$A$1:$AK$41"}</definedName>
    <definedName name="_____ago8_2" localSheetId="20" hidden="1">{"'gráf jan00'!$A$1:$AK$41"}</definedName>
    <definedName name="_____ago8_2" hidden="1">{"'gráf jan00'!$A$1:$AK$41"}</definedName>
    <definedName name="_____ago9" localSheetId="20" hidden="1">{"'gráf jan00'!$A$1:$AK$41"}</definedName>
    <definedName name="_____ago9" hidden="1">{"'gráf jan00'!$A$1:$AK$41"}</definedName>
    <definedName name="_____ago9_1" localSheetId="20" hidden="1">{"'gráf jan00'!$A$1:$AK$41"}</definedName>
    <definedName name="_____ago9_1" hidden="1">{"'gráf jan00'!$A$1:$AK$41"}</definedName>
    <definedName name="_____ago9_1_1" localSheetId="20" hidden="1">{"'gráf jan00'!$A$1:$AK$41"}</definedName>
    <definedName name="_____ago9_1_1" hidden="1">{"'gráf jan00'!$A$1:$AK$41"}</definedName>
    <definedName name="_____ago9_1_1_1" localSheetId="20" hidden="1">{"'gráf jan00'!$A$1:$AK$41"}</definedName>
    <definedName name="_____ago9_1_1_1" hidden="1">{"'gráf jan00'!$A$1:$AK$41"}</definedName>
    <definedName name="_____ago9_1_2" localSheetId="20" hidden="1">{"'gráf jan00'!$A$1:$AK$41"}</definedName>
    <definedName name="_____ago9_1_2" hidden="1">{"'gráf jan00'!$A$1:$AK$41"}</definedName>
    <definedName name="_____ago9_2" localSheetId="20" hidden="1">{"'gráf jan00'!$A$1:$AK$41"}</definedName>
    <definedName name="_____ago9_2" hidden="1">{"'gráf jan00'!$A$1:$AK$41"}</definedName>
    <definedName name="_____ago99999" localSheetId="20" hidden="1">{"'gráf jan00'!$A$1:$AK$41"}</definedName>
    <definedName name="_____ago99999" hidden="1">{"'gráf jan00'!$A$1:$AK$41"}</definedName>
    <definedName name="_____ago99999_1" localSheetId="20" hidden="1">{"'gráf jan00'!$A$1:$AK$41"}</definedName>
    <definedName name="_____ago99999_1" hidden="1">{"'gráf jan00'!$A$1:$AK$41"}</definedName>
    <definedName name="_____ago99999_1_1" localSheetId="20" hidden="1">{"'gráf jan00'!$A$1:$AK$41"}</definedName>
    <definedName name="_____ago99999_1_1" hidden="1">{"'gráf jan00'!$A$1:$AK$41"}</definedName>
    <definedName name="_____ago99999_1_1_1" localSheetId="20" hidden="1">{"'gráf jan00'!$A$1:$AK$41"}</definedName>
    <definedName name="_____ago99999_1_1_1" hidden="1">{"'gráf jan00'!$A$1:$AK$41"}</definedName>
    <definedName name="_____ago99999_1_2" localSheetId="20" hidden="1">{"'gráf jan00'!$A$1:$AK$41"}</definedName>
    <definedName name="_____ago99999_1_2" hidden="1">{"'gráf jan00'!$A$1:$AK$41"}</definedName>
    <definedName name="_____ago99999_2" localSheetId="20" hidden="1">{"'gráf jan00'!$A$1:$AK$41"}</definedName>
    <definedName name="_____ago99999_2" hidden="1">{"'gráf jan00'!$A$1:$AK$41"}</definedName>
    <definedName name="_____arq1" localSheetId="20" hidden="1">{"'REL CUSTODIF'!$B$1:$H$72"}</definedName>
    <definedName name="_____arq1" hidden="1">{"'REL CUSTODIF'!$B$1:$H$72"}</definedName>
    <definedName name="_____BDI1" localSheetId="20">' 6.0 - Empréstimos '!_____BDI1</definedName>
    <definedName name="_____BDI1">[0]!_____BDI1</definedName>
    <definedName name="_____DEF2" localSheetId="20" hidden="1">{#N/A,#N/A,FALSE,"DEF1";#N/A,#N/A,FALSE,"DEF2";#N/A,#N/A,FALSE,"DEF3"}</definedName>
    <definedName name="_____DEF2" hidden="1">{#N/A,#N/A,FALSE,"DEF1";#N/A,#N/A,FALSE,"DEF2";#N/A,#N/A,FALSE,"DEF3"}</definedName>
    <definedName name="_____DEF3" localSheetId="20" hidden="1">{#N/A,#N/A,FALSE,"DEF1";#N/A,#N/A,FALSE,"DEF2";#N/A,#N/A,FALSE,"DEF3"}</definedName>
    <definedName name="_____DEF3" hidden="1">{#N/A,#N/A,FALSE,"DEF1";#N/A,#N/A,FALSE,"DEF2";#N/A,#N/A,FALSE,"DEF3"}</definedName>
    <definedName name="_____efc10" localSheetId="20" hidden="1">{"'RR'!$A$2:$E$81"}</definedName>
    <definedName name="_____efc10" hidden="1">{"'RR'!$A$2:$E$81"}</definedName>
    <definedName name="_____efc10_1" localSheetId="20" hidden="1">{"'RR'!$A$2:$E$81"}</definedName>
    <definedName name="_____efc10_1" hidden="1">{"'RR'!$A$2:$E$81"}</definedName>
    <definedName name="_____efc10_1_1" localSheetId="20" hidden="1">{"'RR'!$A$2:$E$81"}</definedName>
    <definedName name="_____efc10_1_1" hidden="1">{"'RR'!$A$2:$E$81"}</definedName>
    <definedName name="_____efc10_1_1_1" localSheetId="20" hidden="1">{"'RR'!$A$2:$E$81"}</definedName>
    <definedName name="_____efc10_1_1_1" hidden="1">{"'RR'!$A$2:$E$81"}</definedName>
    <definedName name="_____efc10_1_2" localSheetId="20" hidden="1">{"'RR'!$A$2:$E$81"}</definedName>
    <definedName name="_____efc10_1_2" hidden="1">{"'RR'!$A$2:$E$81"}</definedName>
    <definedName name="_____efc10_2" localSheetId="20" hidden="1">{"'RR'!$A$2:$E$81"}</definedName>
    <definedName name="_____efc10_2" hidden="1">{"'RR'!$A$2:$E$81"}</definedName>
    <definedName name="_____EFC2" localSheetId="20" hidden="1">{"'RR'!$A$2:$E$81"}</definedName>
    <definedName name="_____EFC2" hidden="1">{"'RR'!$A$2:$E$81"}</definedName>
    <definedName name="_____EFC2_1" localSheetId="20" hidden="1">{"'RR'!$A$2:$E$81"}</definedName>
    <definedName name="_____EFC2_1" hidden="1">{"'RR'!$A$2:$E$81"}</definedName>
    <definedName name="_____EFC2_1_1" localSheetId="20" hidden="1">{"'RR'!$A$2:$E$81"}</definedName>
    <definedName name="_____EFC2_1_1" hidden="1">{"'RR'!$A$2:$E$81"}</definedName>
    <definedName name="_____EFC2_1_1_1" localSheetId="20" hidden="1">{"'RR'!$A$2:$E$81"}</definedName>
    <definedName name="_____EFC2_1_1_1" hidden="1">{"'RR'!$A$2:$E$81"}</definedName>
    <definedName name="_____EFC2_1_2" localSheetId="20" hidden="1">{"'RR'!$A$2:$E$81"}</definedName>
    <definedName name="_____EFC2_1_2" hidden="1">{"'RR'!$A$2:$E$81"}</definedName>
    <definedName name="_____EFC2_2" localSheetId="20" hidden="1">{"'RR'!$A$2:$E$81"}</definedName>
    <definedName name="_____EFC2_2" hidden="1">{"'RR'!$A$2:$E$81"}</definedName>
    <definedName name="_____EFC3" localSheetId="20" hidden="1">{"'RR'!$A$2:$E$81"}</definedName>
    <definedName name="_____EFC3" hidden="1">{"'RR'!$A$2:$E$81"}</definedName>
    <definedName name="_____EFC3_1" localSheetId="20" hidden="1">{"'RR'!$A$2:$E$81"}</definedName>
    <definedName name="_____EFC3_1" hidden="1">{"'RR'!$A$2:$E$81"}</definedName>
    <definedName name="_____EFC3_1_1" localSheetId="20" hidden="1">{"'RR'!$A$2:$E$81"}</definedName>
    <definedName name="_____EFC3_1_1" hidden="1">{"'RR'!$A$2:$E$81"}</definedName>
    <definedName name="_____EFC3_1_1_1" localSheetId="20" hidden="1">{"'RR'!$A$2:$E$81"}</definedName>
    <definedName name="_____EFC3_1_1_1" hidden="1">{"'RR'!$A$2:$E$81"}</definedName>
    <definedName name="_____EFC3_1_2" localSheetId="20" hidden="1">{"'RR'!$A$2:$E$81"}</definedName>
    <definedName name="_____EFC3_1_2" hidden="1">{"'RR'!$A$2:$E$81"}</definedName>
    <definedName name="_____EFC3_2" localSheetId="20" hidden="1">{"'RR'!$A$2:$E$81"}</definedName>
    <definedName name="_____EFC3_2" hidden="1">{"'RR'!$A$2:$E$81"}</definedName>
    <definedName name="_____EFC4" localSheetId="20" hidden="1">{"'RR'!$A$2:$E$81"}</definedName>
    <definedName name="_____EFC4" hidden="1">{"'RR'!$A$2:$E$81"}</definedName>
    <definedName name="_____EFC4_1" localSheetId="20" hidden="1">{"'RR'!$A$2:$E$81"}</definedName>
    <definedName name="_____EFC4_1" hidden="1">{"'RR'!$A$2:$E$81"}</definedName>
    <definedName name="_____EFC4_1_1" localSheetId="20" hidden="1">{"'RR'!$A$2:$E$81"}</definedName>
    <definedName name="_____EFC4_1_1" hidden="1">{"'RR'!$A$2:$E$81"}</definedName>
    <definedName name="_____EFC4_1_1_1" localSheetId="20" hidden="1">{"'RR'!$A$2:$E$81"}</definedName>
    <definedName name="_____EFC4_1_1_1" hidden="1">{"'RR'!$A$2:$E$81"}</definedName>
    <definedName name="_____EFC4_1_2" localSheetId="20" hidden="1">{"'RR'!$A$2:$E$81"}</definedName>
    <definedName name="_____EFC4_1_2" hidden="1">{"'RR'!$A$2:$E$81"}</definedName>
    <definedName name="_____EFC4_2" localSheetId="20" hidden="1">{"'RR'!$A$2:$E$81"}</definedName>
    <definedName name="_____EFC4_2" hidden="1">{"'RR'!$A$2:$E$81"}</definedName>
    <definedName name="_____Ext2" localSheetId="21">#REF!</definedName>
    <definedName name="_____Ext2">'[13]P A T O 99 B'!#REF!</definedName>
    <definedName name="_____Ext2_11">'[9]P A T O 99 B'!#REF!</definedName>
    <definedName name="_____Fev1">[11]!_____Fev1</definedName>
    <definedName name="_____ffp16" localSheetId="20" hidden="1">{"'gráf jan00'!$A$1:$AK$41"}</definedName>
    <definedName name="_____ffp16" hidden="1">{"'gráf jan00'!$A$1:$AK$41"}</definedName>
    <definedName name="_____ffp16_1" localSheetId="20" hidden="1">{"'gráf jan00'!$A$1:$AK$41"}</definedName>
    <definedName name="_____ffp16_1" hidden="1">{"'gráf jan00'!$A$1:$AK$41"}</definedName>
    <definedName name="_____ffp16_1_1" localSheetId="20" hidden="1">{"'gráf jan00'!$A$1:$AK$41"}</definedName>
    <definedName name="_____ffp16_1_1" hidden="1">{"'gráf jan00'!$A$1:$AK$41"}</definedName>
    <definedName name="_____ffp16_1_1_1" localSheetId="20" hidden="1">{"'gráf jan00'!$A$1:$AK$41"}</definedName>
    <definedName name="_____ffp16_1_1_1" hidden="1">{"'gráf jan00'!$A$1:$AK$41"}</definedName>
    <definedName name="_____ffp16_1_2" localSheetId="20" hidden="1">{"'gráf jan00'!$A$1:$AK$41"}</definedName>
    <definedName name="_____ffp16_1_2" hidden="1">{"'gráf jan00'!$A$1:$AK$41"}</definedName>
    <definedName name="_____ffp16_2" localSheetId="20" hidden="1">{"'gráf jan00'!$A$1:$AK$41"}</definedName>
    <definedName name="_____ffp16_2" hidden="1">{"'gráf jan00'!$A$1:$AK$41"}</definedName>
    <definedName name="_____ffp4589" localSheetId="20" hidden="1">{"'gráf jan00'!$A$1:$AK$41"}</definedName>
    <definedName name="_____ffp4589" hidden="1">{"'gráf jan00'!$A$1:$AK$41"}</definedName>
    <definedName name="_____ffp4589_1" localSheetId="20" hidden="1">{"'gráf jan00'!$A$1:$AK$41"}</definedName>
    <definedName name="_____ffp4589_1" hidden="1">{"'gráf jan00'!$A$1:$AK$41"}</definedName>
    <definedName name="_____ffp4589_1_1" localSheetId="20" hidden="1">{"'gráf jan00'!$A$1:$AK$41"}</definedName>
    <definedName name="_____ffp4589_1_1" hidden="1">{"'gráf jan00'!$A$1:$AK$41"}</definedName>
    <definedName name="_____ffp4589_1_1_1" localSheetId="20" hidden="1">{"'gráf jan00'!$A$1:$AK$41"}</definedName>
    <definedName name="_____ffp4589_1_1_1" hidden="1">{"'gráf jan00'!$A$1:$AK$41"}</definedName>
    <definedName name="_____ffp4589_1_2" localSheetId="20" hidden="1">{"'gráf jan00'!$A$1:$AK$41"}</definedName>
    <definedName name="_____ffp4589_1_2" hidden="1">{"'gráf jan00'!$A$1:$AK$41"}</definedName>
    <definedName name="_____ffp4589_2" localSheetId="20" hidden="1">{"'gráf jan00'!$A$1:$AK$41"}</definedName>
    <definedName name="_____ffp4589_2" hidden="1">{"'gráf jan00'!$A$1:$AK$41"}</definedName>
    <definedName name="_____I027611" localSheetId="20" hidden="1">{#N/A,#N/A,FALSE,"지침";#N/A,#N/A,FALSE,"환경분석";#N/A,#N/A,FALSE,"Sheet16"}</definedName>
    <definedName name="_____I027611" hidden="1">{#N/A,#N/A,FALSE,"지침";#N/A,#N/A,FALSE,"환경분석";#N/A,#N/A,FALSE,"Sheet16"}</definedName>
    <definedName name="_____I027611_1" localSheetId="20" hidden="1">{#N/A,#N/A,FALSE,"지침";#N/A,#N/A,FALSE,"환경분석";#N/A,#N/A,FALSE,"Sheet16"}</definedName>
    <definedName name="_____I027611_1" hidden="1">{#N/A,#N/A,FALSE,"지침";#N/A,#N/A,FALSE,"환경분석";#N/A,#N/A,FALSE,"Sheet16"}</definedName>
    <definedName name="_____I027611_1_1" localSheetId="20" hidden="1">{#N/A,#N/A,FALSE,"지침";#N/A,#N/A,FALSE,"환경분석";#N/A,#N/A,FALSE,"Sheet16"}</definedName>
    <definedName name="_____I027611_1_1" hidden="1">{#N/A,#N/A,FALSE,"지침";#N/A,#N/A,FALSE,"환경분석";#N/A,#N/A,FALSE,"Sheet16"}</definedName>
    <definedName name="_____I027611_1_1_1" localSheetId="20" hidden="1">{#N/A,#N/A,FALSE,"지침";#N/A,#N/A,FALSE,"환경분석";#N/A,#N/A,FALSE,"Sheet16"}</definedName>
    <definedName name="_____I027611_1_1_1" hidden="1">{#N/A,#N/A,FALSE,"지침";#N/A,#N/A,FALSE,"환경분석";#N/A,#N/A,FALSE,"Sheet16"}</definedName>
    <definedName name="_____I027611_1_2" localSheetId="20" hidden="1">{#N/A,#N/A,FALSE,"지침";#N/A,#N/A,FALSE,"환경분석";#N/A,#N/A,FALSE,"Sheet16"}</definedName>
    <definedName name="_____I027611_1_2" hidden="1">{#N/A,#N/A,FALSE,"지침";#N/A,#N/A,FALSE,"환경분석";#N/A,#N/A,FALSE,"Sheet16"}</definedName>
    <definedName name="_____I027611_2" localSheetId="20" hidden="1">{#N/A,#N/A,FALSE,"지침";#N/A,#N/A,FALSE,"환경분석";#N/A,#N/A,FALSE,"Sheet16"}</definedName>
    <definedName name="_____I027611_2" hidden="1">{#N/A,#N/A,FALSE,"지침";#N/A,#N/A,FALSE,"환경분석";#N/A,#N/A,FALSE,"Sheet16"}</definedName>
    <definedName name="_____Jan1">[11]!_____Jan1</definedName>
    <definedName name="_____jun04" localSheetId="20" hidden="1">{"'gráf jan00'!$A$1:$AK$41"}</definedName>
    <definedName name="_____jun04" hidden="1">{"'gráf jan00'!$A$1:$AK$41"}</definedName>
    <definedName name="_____jun04_1" localSheetId="20" hidden="1">{"'gráf jan00'!$A$1:$AK$41"}</definedName>
    <definedName name="_____jun04_1" hidden="1">{"'gráf jan00'!$A$1:$AK$41"}</definedName>
    <definedName name="_____jun04_1_1" localSheetId="20" hidden="1">{"'gráf jan00'!$A$1:$AK$41"}</definedName>
    <definedName name="_____jun04_1_1" hidden="1">{"'gráf jan00'!$A$1:$AK$41"}</definedName>
    <definedName name="_____jun04_1_1_1" localSheetId="20" hidden="1">{"'gráf jan00'!$A$1:$AK$41"}</definedName>
    <definedName name="_____jun04_1_1_1" hidden="1">{"'gráf jan00'!$A$1:$AK$41"}</definedName>
    <definedName name="_____jun04_1_2" localSheetId="20" hidden="1">{"'gráf jan00'!$A$1:$AK$41"}</definedName>
    <definedName name="_____jun04_1_2" hidden="1">{"'gráf jan00'!$A$1:$AK$41"}</definedName>
    <definedName name="_____jun04_2" localSheetId="20" hidden="1">{"'gráf jan00'!$A$1:$AK$41"}</definedName>
    <definedName name="_____jun04_2" hidden="1">{"'gráf jan00'!$A$1:$AK$41"}</definedName>
    <definedName name="_____ki5">#REF!</definedName>
    <definedName name="_____ltf2" hidden="1">#REF!</definedName>
    <definedName name="_____MA2" localSheetId="20" hidden="1">{"'REL CUSTODIF'!$B$1:$H$72"}</definedName>
    <definedName name="_____MA2" hidden="1">{"'REL CUSTODIF'!$B$1:$H$72"}</definedName>
    <definedName name="_____MA2_1" localSheetId="20" hidden="1">{"'REL CUSTODIF'!$B$1:$H$72"}</definedName>
    <definedName name="_____MA2_1" hidden="1">{"'REL CUSTODIF'!$B$1:$H$72"}</definedName>
    <definedName name="_____MA2_1_1" localSheetId="20" hidden="1">{"'REL CUSTODIF'!$B$1:$H$72"}</definedName>
    <definedName name="_____MA2_1_1" hidden="1">{"'REL CUSTODIF'!$B$1:$H$72"}</definedName>
    <definedName name="_____MA2_1_1_1" localSheetId="20" hidden="1">{"'REL CUSTODIF'!$B$1:$H$72"}</definedName>
    <definedName name="_____MA2_1_1_1" hidden="1">{"'REL CUSTODIF'!$B$1:$H$72"}</definedName>
    <definedName name="_____MA2_1_2" localSheetId="20" hidden="1">{"'REL CUSTODIF'!$B$1:$H$72"}</definedName>
    <definedName name="_____MA2_1_2" hidden="1">{"'REL CUSTODIF'!$B$1:$H$72"}</definedName>
    <definedName name="_____MA2_2" localSheetId="20" hidden="1">{"'REL CUSTODIF'!$B$1:$H$72"}</definedName>
    <definedName name="_____MA2_2" hidden="1">{"'REL CUSTODIF'!$B$1:$H$72"}</definedName>
    <definedName name="_____Mar1">[11]!_____Mar1</definedName>
    <definedName name="_____MOA1" localSheetId="20" hidden="1">{#N/A,#N/A,FALSE,"DEF1";#N/A,#N/A,FALSE,"DEF2";#N/A,#N/A,FALSE,"DEF3"}</definedName>
    <definedName name="_____MOA1" hidden="1">{#N/A,#N/A,FALSE,"DEF1";#N/A,#N/A,FALSE,"DEF2";#N/A,#N/A,FALSE,"DEF3"}</definedName>
    <definedName name="_____MOA2" localSheetId="20" hidden="1">{#N/A,#N/A,FALSE,"DEF1";#N/A,#N/A,FALSE,"DEF2";#N/A,#N/A,FALSE,"DEF3"}</definedName>
    <definedName name="_____MOA2" hidden="1">{#N/A,#N/A,FALSE,"DEF1";#N/A,#N/A,FALSE,"DEF2";#N/A,#N/A,FALSE,"DEF3"}</definedName>
    <definedName name="_____MOD01">[11]!_____MOD01</definedName>
    <definedName name="_____n2" localSheetId="20" hidden="1">{#N/A,#N/A,FALSE,"PCOL"}</definedName>
    <definedName name="_____n2" hidden="1">{#N/A,#N/A,FALSE,"PCOL"}</definedName>
    <definedName name="_____n2_1" localSheetId="20" hidden="1">{#N/A,#N/A,FALSE,"PCOL"}</definedName>
    <definedName name="_____n2_1" hidden="1">{#N/A,#N/A,FALSE,"PCOL"}</definedName>
    <definedName name="_____n2_1_1" localSheetId="20" hidden="1">{#N/A,#N/A,FALSE,"PCOL"}</definedName>
    <definedName name="_____n2_1_1" hidden="1">{#N/A,#N/A,FALSE,"PCOL"}</definedName>
    <definedName name="_____n2_1_1_1" localSheetId="20" hidden="1">{#N/A,#N/A,FALSE,"PCOL"}</definedName>
    <definedName name="_____n2_1_1_1" hidden="1">{#N/A,#N/A,FALSE,"PCOL"}</definedName>
    <definedName name="_____n2_1_2" localSheetId="20" hidden="1">{#N/A,#N/A,FALSE,"PCOL"}</definedName>
    <definedName name="_____n2_1_2" hidden="1">{#N/A,#N/A,FALSE,"PCOL"}</definedName>
    <definedName name="_____n2_2" localSheetId="20" hidden="1">{#N/A,#N/A,FALSE,"PCOL"}</definedName>
    <definedName name="_____n2_2" hidden="1">{#N/A,#N/A,FALSE,"PCOL"}</definedName>
    <definedName name="_____o1" localSheetId="20" hidden="1">{"det (May)",#N/A,FALSE,"June";"sum (MAY YTD)",#N/A,FALSE,"June YTD"}</definedName>
    <definedName name="_____o1" hidden="1">{"det (May)",#N/A,FALSE,"June";"sum (MAY YTD)",#N/A,FALSE,"June YTD"}</definedName>
    <definedName name="_____o1_1" localSheetId="20" hidden="1">{"det (May)",#N/A,FALSE,"June";"sum (MAY YTD)",#N/A,FALSE,"June YTD"}</definedName>
    <definedName name="_____o1_1" hidden="1">{"det (May)",#N/A,FALSE,"June";"sum (MAY YTD)",#N/A,FALSE,"June YTD"}</definedName>
    <definedName name="_____o1_1_1" localSheetId="20" hidden="1">{"det (May)",#N/A,FALSE,"June";"sum (MAY YTD)",#N/A,FALSE,"June YTD"}</definedName>
    <definedName name="_____o1_1_1" hidden="1">{"det (May)",#N/A,FALSE,"June";"sum (MAY YTD)",#N/A,FALSE,"June YTD"}</definedName>
    <definedName name="_____o1_1_1_1" localSheetId="20" hidden="1">{"det (May)",#N/A,FALSE,"June";"sum (MAY YTD)",#N/A,FALSE,"June YTD"}</definedName>
    <definedName name="_____o1_1_1_1" hidden="1">{"det (May)",#N/A,FALSE,"June";"sum (MAY YTD)",#N/A,FALSE,"June YTD"}</definedName>
    <definedName name="_____o1_1_2" localSheetId="20" hidden="1">{"det (May)",#N/A,FALSE,"June";"sum (MAY YTD)",#N/A,FALSE,"June YTD"}</definedName>
    <definedName name="_____o1_1_2" hidden="1">{"det (May)",#N/A,FALSE,"June";"sum (MAY YTD)",#N/A,FALSE,"June YTD"}</definedName>
    <definedName name="_____o1_2" localSheetId="20" hidden="1">{"det (May)",#N/A,FALSE,"June";"sum (MAY YTD)",#N/A,FALSE,"June YTD"}</definedName>
    <definedName name="_____o1_2" hidden="1">{"det (May)",#N/A,FALSE,"June";"sum (MAY YTD)",#N/A,FALSE,"June YTD"}</definedName>
    <definedName name="_____Obs1">#REF!</definedName>
    <definedName name="_____Obs2">#REF!</definedName>
    <definedName name="_____OUT98" localSheetId="20" hidden="1">{#N/A,#N/A,TRUE,"Serviços"}</definedName>
    <definedName name="_____OUT98" localSheetId="21">#REF!</definedName>
    <definedName name="_____OUT98" localSheetId="2" hidden="1">{#N/A,#N/A,TRUE,"Serviços"}</definedName>
    <definedName name="_____OUT98" hidden="1">{#N/A,#N/A,TRUE,"Serviços"}</definedName>
    <definedName name="_____OUT98_1" localSheetId="20">{#N/A,#N/A,TRUE,"Serviços"}</definedName>
    <definedName name="_____OUT98_1" localSheetId="21">#REF!</definedName>
    <definedName name="_____OUT98_1">#REF!</definedName>
    <definedName name="_____out99" localSheetId="20" hidden="1">{#N/A,#N/A,TRUE,"Serviços"}</definedName>
    <definedName name="_____out99" hidden="1">{#N/A,#N/A,TRUE,"Serviços"}</definedName>
    <definedName name="_____OUTTT988" localSheetId="20" hidden="1">{#N/A,#N/A,TRUE,"Serviços"}</definedName>
    <definedName name="_____OUTTT988" localSheetId="2" hidden="1">{#N/A,#N/A,TRUE,"Serviços"}</definedName>
    <definedName name="_____OUTTT988" hidden="1">{#N/A,#N/A,TRUE,"Serviços"}</definedName>
    <definedName name="_____P0376001" localSheetId="20" hidden="1">{#N/A,#N/A,FALSE,"지침";#N/A,#N/A,FALSE,"환경분석";#N/A,#N/A,FALSE,"Sheet16"}</definedName>
    <definedName name="_____P0376001" hidden="1">{#N/A,#N/A,FALSE,"지침";#N/A,#N/A,FALSE,"환경분석";#N/A,#N/A,FALSE,"Sheet16"}</definedName>
    <definedName name="_____P0376001_1" localSheetId="20" hidden="1">{#N/A,#N/A,FALSE,"지침";#N/A,#N/A,FALSE,"환경분석";#N/A,#N/A,FALSE,"Sheet16"}</definedName>
    <definedName name="_____P0376001_1" hidden="1">{#N/A,#N/A,FALSE,"지침";#N/A,#N/A,FALSE,"환경분석";#N/A,#N/A,FALSE,"Sheet16"}</definedName>
    <definedName name="_____P0376001_1_1" localSheetId="20" hidden="1">{#N/A,#N/A,FALSE,"지침";#N/A,#N/A,FALSE,"환경분석";#N/A,#N/A,FALSE,"Sheet16"}</definedName>
    <definedName name="_____P0376001_1_1" hidden="1">{#N/A,#N/A,FALSE,"지침";#N/A,#N/A,FALSE,"환경분석";#N/A,#N/A,FALSE,"Sheet16"}</definedName>
    <definedName name="_____P0376001_1_1_1" localSheetId="20" hidden="1">{#N/A,#N/A,FALSE,"지침";#N/A,#N/A,FALSE,"환경분석";#N/A,#N/A,FALSE,"Sheet16"}</definedName>
    <definedName name="_____P0376001_1_1_1" hidden="1">{#N/A,#N/A,FALSE,"지침";#N/A,#N/A,FALSE,"환경분석";#N/A,#N/A,FALSE,"Sheet16"}</definedName>
    <definedName name="_____P0376001_1_2" localSheetId="20" hidden="1">{#N/A,#N/A,FALSE,"지침";#N/A,#N/A,FALSE,"환경분석";#N/A,#N/A,FALSE,"Sheet16"}</definedName>
    <definedName name="_____P0376001_1_2" hidden="1">{#N/A,#N/A,FALSE,"지침";#N/A,#N/A,FALSE,"환경분석";#N/A,#N/A,FALSE,"Sheet16"}</definedName>
    <definedName name="_____P0376001_2" localSheetId="20" hidden="1">{#N/A,#N/A,FALSE,"지침";#N/A,#N/A,FALSE,"환경분석";#N/A,#N/A,FALSE,"Sheet16"}</definedName>
    <definedName name="_____P0376001_2" hidden="1">{#N/A,#N/A,FALSE,"지침";#N/A,#N/A,FALSE,"환경분석";#N/A,#N/A,FALSE,"Sheet16"}</definedName>
    <definedName name="_____PA01" localSheetId="20" hidden="1">{"'teste'!$B$2:$R$49"}</definedName>
    <definedName name="_____PA01" hidden="1">{"'teste'!$B$2:$R$49"}</definedName>
    <definedName name="_____PA01_1" localSheetId="20" hidden="1">{"'teste'!$B$2:$R$49"}</definedName>
    <definedName name="_____PA01_1" hidden="1">{"'teste'!$B$2:$R$49"}</definedName>
    <definedName name="_____PA01_1_1" localSheetId="20" hidden="1">{"'teste'!$B$2:$R$49"}</definedName>
    <definedName name="_____PA01_1_1" hidden="1">{"'teste'!$B$2:$R$49"}</definedName>
    <definedName name="_____PA01_1_1_1" localSheetId="20" hidden="1">{"'teste'!$B$2:$R$49"}</definedName>
    <definedName name="_____PA01_1_1_1" hidden="1">{"'teste'!$B$2:$R$49"}</definedName>
    <definedName name="_____PA01_1_2" localSheetId="20" hidden="1">{"'teste'!$B$2:$R$49"}</definedName>
    <definedName name="_____PA01_1_2" hidden="1">{"'teste'!$B$2:$R$49"}</definedName>
    <definedName name="_____PA01_2" localSheetId="20" hidden="1">{"'teste'!$B$2:$R$49"}</definedName>
    <definedName name="_____PA01_2" hidden="1">{"'teste'!$B$2:$R$49"}</definedName>
    <definedName name="_____PL1">#REF!</definedName>
    <definedName name="_____PL1_11">#REF!</definedName>
    <definedName name="_____PL1_15">#REF!</definedName>
    <definedName name="_____PN10" localSheetId="20" hidden="1">{"'gráf jan00'!$A$1:$AK$41"}</definedName>
    <definedName name="_____PN10" hidden="1">{"'gráf jan00'!$A$1:$AK$41"}</definedName>
    <definedName name="_____PN10_1" localSheetId="20" hidden="1">{"'gráf jan00'!$A$1:$AK$41"}</definedName>
    <definedName name="_____PN10_1" hidden="1">{"'gráf jan00'!$A$1:$AK$41"}</definedName>
    <definedName name="_____PN10_1_1" localSheetId="20" hidden="1">{"'gráf jan00'!$A$1:$AK$41"}</definedName>
    <definedName name="_____PN10_1_1" hidden="1">{"'gráf jan00'!$A$1:$AK$41"}</definedName>
    <definedName name="_____PN10_1_1_1" localSheetId="20" hidden="1">{"'gráf jan00'!$A$1:$AK$41"}</definedName>
    <definedName name="_____PN10_1_1_1" hidden="1">{"'gráf jan00'!$A$1:$AK$41"}</definedName>
    <definedName name="_____PN10_1_2" localSheetId="20" hidden="1">{"'gráf jan00'!$A$1:$AK$41"}</definedName>
    <definedName name="_____PN10_1_2" hidden="1">{"'gráf jan00'!$A$1:$AK$41"}</definedName>
    <definedName name="_____PN10_2" localSheetId="20" hidden="1">{"'gráf jan00'!$A$1:$AK$41"}</definedName>
    <definedName name="_____PN10_2" hidden="1">{"'gráf jan00'!$A$1:$AK$41"}</definedName>
    <definedName name="_____PPU1" localSheetId="20" hidden="1">{#N/A,#N/A,FALSE,"Cronograma";#N/A,#N/A,FALSE,"Cronogr. 2"}</definedName>
    <definedName name="_____PPU1" hidden="1">{#N/A,#N/A,FALSE,"Cronograma";#N/A,#N/A,FALSE,"Cronogr. 2"}</definedName>
    <definedName name="_____PPU1_1" localSheetId="20" hidden="1">{#N/A,#N/A,FALSE,"Cronograma";#N/A,#N/A,FALSE,"Cronogr. 2"}</definedName>
    <definedName name="_____PPU1_1" hidden="1">{#N/A,#N/A,FALSE,"Cronograma";#N/A,#N/A,FALSE,"Cronogr. 2"}</definedName>
    <definedName name="_____PPU1_1_1" localSheetId="20" hidden="1">{#N/A,#N/A,FALSE,"Cronograma";#N/A,#N/A,FALSE,"Cronogr. 2"}</definedName>
    <definedName name="_____PPU1_1_1" hidden="1">{#N/A,#N/A,FALSE,"Cronograma";#N/A,#N/A,FALSE,"Cronogr. 2"}</definedName>
    <definedName name="_____PPU1_1_1_1" localSheetId="20" hidden="1">{#N/A,#N/A,FALSE,"Cronograma";#N/A,#N/A,FALSE,"Cronogr. 2"}</definedName>
    <definedName name="_____PPU1_1_1_1" hidden="1">{#N/A,#N/A,FALSE,"Cronograma";#N/A,#N/A,FALSE,"Cronogr. 2"}</definedName>
    <definedName name="_____PPU1_1_2" localSheetId="20" hidden="1">{#N/A,#N/A,FALSE,"Cronograma";#N/A,#N/A,FALSE,"Cronogr. 2"}</definedName>
    <definedName name="_____PPU1_1_2" hidden="1">{#N/A,#N/A,FALSE,"Cronograma";#N/A,#N/A,FALSE,"Cronogr. 2"}</definedName>
    <definedName name="_____PPU1_2" localSheetId="20" hidden="1">{#N/A,#N/A,FALSE,"Cronograma";#N/A,#N/A,FALSE,"Cronogr. 2"}</definedName>
    <definedName name="_____PPU1_2" hidden="1">{#N/A,#N/A,FALSE,"Cronograma";#N/A,#N/A,FALSE,"Cronogr. 2"}</definedName>
    <definedName name="_____r">#REF!</definedName>
    <definedName name="_____r_11">#REF!</definedName>
    <definedName name="_____r_15">#REF!</definedName>
    <definedName name="_____Rbv1">'[8]Página 16'!$C$3:$C$7</definedName>
    <definedName name="_____RP1">[11]!_____RP1</definedName>
    <definedName name="_____SE2">#REF!</definedName>
    <definedName name="_____STC04">#REF!</definedName>
    <definedName name="_____tk2" localSheetId="20" hidden="1">{#N/A,#N/A,FALSE,"지침";#N/A,#N/A,FALSE,"환경분석";#N/A,#N/A,FALSE,"Sheet16"}</definedName>
    <definedName name="_____tk2" hidden="1">{#N/A,#N/A,FALSE,"지침";#N/A,#N/A,FALSE,"환경분석";#N/A,#N/A,FALSE,"Sheet16"}</definedName>
    <definedName name="_____tk2_1" localSheetId="20" hidden="1">{#N/A,#N/A,FALSE,"지침";#N/A,#N/A,FALSE,"환경분석";#N/A,#N/A,FALSE,"Sheet16"}</definedName>
    <definedName name="_____tk2_1" hidden="1">{#N/A,#N/A,FALSE,"지침";#N/A,#N/A,FALSE,"환경분석";#N/A,#N/A,FALSE,"Sheet16"}</definedName>
    <definedName name="_____tk2_1_1" localSheetId="20" hidden="1">{#N/A,#N/A,FALSE,"지침";#N/A,#N/A,FALSE,"환경분석";#N/A,#N/A,FALSE,"Sheet16"}</definedName>
    <definedName name="_____tk2_1_1" hidden="1">{#N/A,#N/A,FALSE,"지침";#N/A,#N/A,FALSE,"환경분석";#N/A,#N/A,FALSE,"Sheet16"}</definedName>
    <definedName name="_____tk2_1_1_1" localSheetId="20" hidden="1">{#N/A,#N/A,FALSE,"지침";#N/A,#N/A,FALSE,"환경분석";#N/A,#N/A,FALSE,"Sheet16"}</definedName>
    <definedName name="_____tk2_1_1_1" hidden="1">{#N/A,#N/A,FALSE,"지침";#N/A,#N/A,FALSE,"환경분석";#N/A,#N/A,FALSE,"Sheet16"}</definedName>
    <definedName name="_____tk2_1_2" localSheetId="20" hidden="1">{#N/A,#N/A,FALSE,"지침";#N/A,#N/A,FALSE,"환경분석";#N/A,#N/A,FALSE,"Sheet16"}</definedName>
    <definedName name="_____tk2_1_2" hidden="1">{#N/A,#N/A,FALSE,"지침";#N/A,#N/A,FALSE,"환경분석";#N/A,#N/A,FALSE,"Sheet16"}</definedName>
    <definedName name="_____tk2_2" localSheetId="20" hidden="1">{#N/A,#N/A,FALSE,"지침";#N/A,#N/A,FALSE,"환경분석";#N/A,#N/A,FALSE,"Sheet16"}</definedName>
    <definedName name="_____tk2_2" hidden="1">{#N/A,#N/A,FALSE,"지침";#N/A,#N/A,FALSE,"환경분석";#N/A,#N/A,FALSE,"Sheet16"}</definedName>
    <definedName name="_____v1" localSheetId="20" hidden="1">{"'REL CUSTODIF'!$B$1:$H$72"}</definedName>
    <definedName name="_____v1" hidden="1">{"'REL CUSTODIF'!$B$1:$H$72"}</definedName>
    <definedName name="_____WX2" localSheetId="20" hidden="1">{#N/A,#N/A,FALSE,"EXPORTAC";#N/A,#N/A,FALSE,"SUPEL94"}</definedName>
    <definedName name="_____WX2" hidden="1">{#N/A,#N/A,FALSE,"EXPORTAC";#N/A,#N/A,FALSE,"SUPEL94"}</definedName>
    <definedName name="_____WX2_1" localSheetId="20" hidden="1">{#N/A,#N/A,FALSE,"EXPORTAC";#N/A,#N/A,FALSE,"SUPEL94"}</definedName>
    <definedName name="_____WX2_1" hidden="1">{#N/A,#N/A,FALSE,"EXPORTAC";#N/A,#N/A,FALSE,"SUPEL94"}</definedName>
    <definedName name="_____WX2_1_1" localSheetId="20" hidden="1">{#N/A,#N/A,FALSE,"EXPORTAC";#N/A,#N/A,FALSE,"SUPEL94"}</definedName>
    <definedName name="_____WX2_1_1" hidden="1">{#N/A,#N/A,FALSE,"EXPORTAC";#N/A,#N/A,FALSE,"SUPEL94"}</definedName>
    <definedName name="_____WX2_1_1_1" localSheetId="20" hidden="1">{#N/A,#N/A,FALSE,"EXPORTAC";#N/A,#N/A,FALSE,"SUPEL94"}</definedName>
    <definedName name="_____WX2_1_1_1" hidden="1">{#N/A,#N/A,FALSE,"EXPORTAC";#N/A,#N/A,FALSE,"SUPEL94"}</definedName>
    <definedName name="_____WX2_1_2" localSheetId="20" hidden="1">{#N/A,#N/A,FALSE,"EXPORTAC";#N/A,#N/A,FALSE,"SUPEL94"}</definedName>
    <definedName name="_____WX2_1_2" hidden="1">{#N/A,#N/A,FALSE,"EXPORTAC";#N/A,#N/A,FALSE,"SUPEL94"}</definedName>
    <definedName name="_____WX2_2" localSheetId="20" hidden="1">{#N/A,#N/A,FALSE,"EXPORTAC";#N/A,#N/A,FALSE,"SUPEL94"}</definedName>
    <definedName name="_____WX2_2" hidden="1">{#N/A,#N/A,FALSE,"EXPORTAC";#N/A,#N/A,FALSE,"SUPEL94"}</definedName>
    <definedName name="_____x1" localSheetId="20" hidden="1">{"'REL CUSTODIF'!$B$1:$H$72"}</definedName>
    <definedName name="_____x1" hidden="1">{"'REL CUSTODIF'!$B$1:$H$72"}</definedName>
    <definedName name="_____x1_1" localSheetId="20" hidden="1">{#N/A,#N/A,FALSE,"EXPORTAC";#N/A,#N/A,FALSE,"SUPEL94"}</definedName>
    <definedName name="_____x1_1" hidden="1">{#N/A,#N/A,FALSE,"EXPORTAC";#N/A,#N/A,FALSE,"SUPEL94"}</definedName>
    <definedName name="_____x1_1_1" localSheetId="20" hidden="1">{#N/A,#N/A,FALSE,"EXPORTAC";#N/A,#N/A,FALSE,"SUPEL94"}</definedName>
    <definedName name="_____x1_1_1" hidden="1">{#N/A,#N/A,FALSE,"EXPORTAC";#N/A,#N/A,FALSE,"SUPEL94"}</definedName>
    <definedName name="_____x1_1_1_1" localSheetId="20" hidden="1">{#N/A,#N/A,FALSE,"EXPORTAC";#N/A,#N/A,FALSE,"SUPEL94"}</definedName>
    <definedName name="_____x1_1_1_1" hidden="1">{#N/A,#N/A,FALSE,"EXPORTAC";#N/A,#N/A,FALSE,"SUPEL94"}</definedName>
    <definedName name="_____x1_1_2" localSheetId="20" hidden="1">{#N/A,#N/A,FALSE,"EXPORTAC";#N/A,#N/A,FALSE,"SUPEL94"}</definedName>
    <definedName name="_____x1_1_2" hidden="1">{#N/A,#N/A,FALSE,"EXPORTAC";#N/A,#N/A,FALSE,"SUPEL94"}</definedName>
    <definedName name="_____x1_2" localSheetId="20" hidden="1">{#N/A,#N/A,FALSE,"EXPORTAC";#N/A,#N/A,FALSE,"SUPEL94"}</definedName>
    <definedName name="_____x1_2" hidden="1">{#N/A,#N/A,FALSE,"EXPORTAC";#N/A,#N/A,FALSE,"SUPEL94"}</definedName>
    <definedName name="_____x10" localSheetId="20" hidden="1">{"'REL CUSTODIF'!$B$1:$H$72"}</definedName>
    <definedName name="_____x10" hidden="1">{"'REL CUSTODIF'!$B$1:$H$72"}</definedName>
    <definedName name="_____x11" localSheetId="20" hidden="1">{"'REL CUSTODIF'!$B$1:$H$72"}</definedName>
    <definedName name="_____x11" hidden="1">{"'REL CUSTODIF'!$B$1:$H$72"}</definedName>
    <definedName name="_____x13" localSheetId="20" hidden="1">{"'REL CUSTODIF'!$B$1:$H$72"}</definedName>
    <definedName name="_____x13" hidden="1">{"'REL CUSTODIF'!$B$1:$H$72"}</definedName>
    <definedName name="_____x2" localSheetId="20" hidden="1">{"'REL CUSTODIF'!$B$1:$H$72"}</definedName>
    <definedName name="_____x2" hidden="1">{"'REL CUSTODIF'!$B$1:$H$72"}</definedName>
    <definedName name="_____x2_1" localSheetId="20" hidden="1">{#N/A,#N/A,FALSE,"GQGEMPRE"}</definedName>
    <definedName name="_____x2_1" hidden="1">{#N/A,#N/A,FALSE,"GQGEMPRE"}</definedName>
    <definedName name="_____x2_1_1" localSheetId="20" hidden="1">{#N/A,#N/A,FALSE,"GQGEMPRE"}</definedName>
    <definedName name="_____x2_1_1" hidden="1">{#N/A,#N/A,FALSE,"GQGEMPRE"}</definedName>
    <definedName name="_____x2_1_1_1" localSheetId="20" hidden="1">{#N/A,#N/A,FALSE,"GQGEMPRE"}</definedName>
    <definedName name="_____x2_1_1_1" hidden="1">{#N/A,#N/A,FALSE,"GQGEMPRE"}</definedName>
    <definedName name="_____x2_1_2" localSheetId="20" hidden="1">{#N/A,#N/A,FALSE,"GQGEMPRE"}</definedName>
    <definedName name="_____x2_1_2" hidden="1">{#N/A,#N/A,FALSE,"GQGEMPRE"}</definedName>
    <definedName name="_____x2_2" localSheetId="20" hidden="1">{#N/A,#N/A,FALSE,"GQGEMPRE"}</definedName>
    <definedName name="_____x2_2" hidden="1">{#N/A,#N/A,FALSE,"GQGEMPRE"}</definedName>
    <definedName name="_____x3" localSheetId="20" hidden="1">{"'REL CUSTODIF'!$B$1:$H$72"}</definedName>
    <definedName name="_____x3" hidden="1">{"'REL CUSTODIF'!$B$1:$H$72"}</definedName>
    <definedName name="_____x4" localSheetId="20" hidden="1">{"'REL CUSTODIF'!$B$1:$H$72"}</definedName>
    <definedName name="_____x4" hidden="1">{"'REL CUSTODIF'!$B$1:$H$72"}</definedName>
    <definedName name="_____x5" localSheetId="20" hidden="1">{"'REL CUSTODIF'!$B$1:$H$72"}</definedName>
    <definedName name="_____x5" hidden="1">{"'REL CUSTODIF'!$B$1:$H$72"}</definedName>
    <definedName name="_____x7" localSheetId="20" hidden="1">{"'REL CUSTODIF'!$B$1:$H$72"}</definedName>
    <definedName name="_____x7" hidden="1">{"'REL CUSTODIF'!$B$1:$H$72"}</definedName>
    <definedName name="_____x8" localSheetId="20" hidden="1">{"'REL CUSTODIF'!$B$1:$H$72"}</definedName>
    <definedName name="_____x8" hidden="1">{"'REL CUSTODIF'!$B$1:$H$72"}</definedName>
    <definedName name="_____xlfn_IFERROR">NA()</definedName>
    <definedName name="_____xlfn_SUMIFS">NA()</definedName>
    <definedName name="_____xx1" localSheetId="20" hidden="1">{"'CptDifn'!$AA$32:$AG$32"}</definedName>
    <definedName name="_____xx1" hidden="1">{"'CptDifn'!$AA$32:$AG$32"}</definedName>
    <definedName name="_____xx1_1" localSheetId="20" hidden="1">{"'CptDifn'!$AA$32:$AG$32"}</definedName>
    <definedName name="_____xx1_1" hidden="1">{"'CptDifn'!$AA$32:$AG$32"}</definedName>
    <definedName name="_____xx1_1_1" localSheetId="20" hidden="1">{"'CptDifn'!$AA$32:$AG$32"}</definedName>
    <definedName name="_____xx1_1_1" hidden="1">{"'CptDifn'!$AA$32:$AG$32"}</definedName>
    <definedName name="_____xx1_1_1_1" localSheetId="20" hidden="1">{"'CptDifn'!$AA$32:$AG$32"}</definedName>
    <definedName name="_____xx1_1_1_1" hidden="1">{"'CptDifn'!$AA$32:$AG$32"}</definedName>
    <definedName name="_____xx1_1_2" localSheetId="20" hidden="1">{"'CptDifn'!$AA$32:$AG$32"}</definedName>
    <definedName name="_____xx1_1_2" hidden="1">{"'CptDifn'!$AA$32:$AG$32"}</definedName>
    <definedName name="_____xx1_2" localSheetId="20" hidden="1">{"'CptDifn'!$AA$32:$AG$32"}</definedName>
    <definedName name="_____xx1_2" hidden="1">{"'CptDifn'!$AA$32:$AG$32"}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4Excel_BuiltIn_Print_Titles_17_1">#REF!,#REF!</definedName>
    <definedName name="____5Excel_BuiltIn_Print_Titles_18_1">#REF!,#REF!</definedName>
    <definedName name="____6Excel_BuiltIn_Print_Titles_19_1">#REF!,#REF!</definedName>
    <definedName name="____7Excel_BuiltIn_Print_Titles_21_1_1_1">#REF!,#REF!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localSheetId="20" hidden="1">{#N/A,#N/A,FALSE,"ANEXO3 99 ERA";#N/A,#N/A,FALSE,"ANEXO3 99 UBÁ2";#N/A,#N/A,FALSE,"ANEXO3 99 DTU";#N/A,#N/A,FALSE,"ANEXO3 99 RDR";#N/A,#N/A,FALSE,"ANEXO3 99 UBÁ4";#N/A,#N/A,FALSE,"ANEXO3 99 UBÁ6"}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CC2" hidden="1">#REF!</definedName>
    <definedName name="____adm1" localSheetId="20" hidden="1">{"'Índice'!$A$1:$K$49"}</definedName>
    <definedName name="____adm1" hidden="1">{"'Índice'!$A$1:$K$49"}</definedName>
    <definedName name="____adm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localSheetId="20" hidden="1">{"'gráf jan00'!$A$1:$AK$41"}</definedName>
    <definedName name="____ago1" hidden="1">{"'gráf jan00'!$A$1:$AK$41"}</definedName>
    <definedName name="____ago1_1" localSheetId="20" hidden="1">{"'gráf jan00'!$A$1:$AK$41"}</definedName>
    <definedName name="____ago1_1" hidden="1">{"'gráf jan00'!$A$1:$AK$41"}</definedName>
    <definedName name="____ago1_1_1" localSheetId="20" hidden="1">{"'gráf jan00'!$A$1:$AK$41"}</definedName>
    <definedName name="____ago1_1_1" hidden="1">{"'gráf jan00'!$A$1:$AK$41"}</definedName>
    <definedName name="____ago1_1_1_1" localSheetId="20" hidden="1">{"'gráf jan00'!$A$1:$AK$41"}</definedName>
    <definedName name="____ago1_1_1_1" hidden="1">{"'gráf jan00'!$A$1:$AK$41"}</definedName>
    <definedName name="____ago1_1_2" localSheetId="20" hidden="1">{"'gráf jan00'!$A$1:$AK$41"}</definedName>
    <definedName name="____ago1_1_2" hidden="1">{"'gráf jan00'!$A$1:$AK$41"}</definedName>
    <definedName name="____ago1_2" localSheetId="20" hidden="1">{"'gráf jan00'!$A$1:$AK$41"}</definedName>
    <definedName name="____ago1_2" hidden="1">{"'gráf jan00'!$A$1:$AK$41"}</definedName>
    <definedName name="____ago10" localSheetId="20" hidden="1">{"'gráf jan00'!$A$1:$AK$41"}</definedName>
    <definedName name="____ago10" hidden="1">{"'gráf jan00'!$A$1:$AK$41"}</definedName>
    <definedName name="____ago10_1" localSheetId="20" hidden="1">{"'gráf jan00'!$A$1:$AK$41"}</definedName>
    <definedName name="____ago10_1" hidden="1">{"'gráf jan00'!$A$1:$AK$41"}</definedName>
    <definedName name="____ago10_1_1" localSheetId="20" hidden="1">{"'gráf jan00'!$A$1:$AK$41"}</definedName>
    <definedName name="____ago10_1_1" hidden="1">{"'gráf jan00'!$A$1:$AK$41"}</definedName>
    <definedName name="____ago10_1_1_1" localSheetId="20" hidden="1">{"'gráf jan00'!$A$1:$AK$41"}</definedName>
    <definedName name="____ago10_1_1_1" hidden="1">{"'gráf jan00'!$A$1:$AK$41"}</definedName>
    <definedName name="____ago10_1_2" localSheetId="20" hidden="1">{"'gráf jan00'!$A$1:$AK$41"}</definedName>
    <definedName name="____ago10_1_2" hidden="1">{"'gráf jan00'!$A$1:$AK$41"}</definedName>
    <definedName name="____ago10_2" localSheetId="20" hidden="1">{"'gráf jan00'!$A$1:$AK$41"}</definedName>
    <definedName name="____ago10_2" hidden="1">{"'gráf jan00'!$A$1:$AK$41"}</definedName>
    <definedName name="____ago2" localSheetId="20" hidden="1">{"'gráf jan00'!$A$1:$AK$41"}</definedName>
    <definedName name="____ago2" hidden="1">{"'gráf jan00'!$A$1:$AK$41"}</definedName>
    <definedName name="____ago2_1" localSheetId="20" hidden="1">{"'gráf jan00'!$A$1:$AK$41"}</definedName>
    <definedName name="____ago2_1" hidden="1">{"'gráf jan00'!$A$1:$AK$41"}</definedName>
    <definedName name="____ago2_1_1" localSheetId="20" hidden="1">{"'gráf jan00'!$A$1:$AK$41"}</definedName>
    <definedName name="____ago2_1_1" hidden="1">{"'gráf jan00'!$A$1:$AK$41"}</definedName>
    <definedName name="____ago2_1_1_1" localSheetId="20" hidden="1">{"'gráf jan00'!$A$1:$AK$41"}</definedName>
    <definedName name="____ago2_1_1_1" hidden="1">{"'gráf jan00'!$A$1:$AK$41"}</definedName>
    <definedName name="____ago2_1_2" localSheetId="20" hidden="1">{"'gráf jan00'!$A$1:$AK$41"}</definedName>
    <definedName name="____ago2_1_2" hidden="1">{"'gráf jan00'!$A$1:$AK$41"}</definedName>
    <definedName name="____ago2_2" localSheetId="20" hidden="1">{"'gráf jan00'!$A$1:$AK$41"}</definedName>
    <definedName name="____ago2_2" hidden="1">{"'gráf jan00'!$A$1:$AK$41"}</definedName>
    <definedName name="____ago3" localSheetId="20" hidden="1">{"'gráf jan00'!$A$1:$AK$41"}</definedName>
    <definedName name="____ago3" hidden="1">{"'gráf jan00'!$A$1:$AK$41"}</definedName>
    <definedName name="____ago3_1" localSheetId="20" hidden="1">{"'gráf jan00'!$A$1:$AK$41"}</definedName>
    <definedName name="____ago3_1" hidden="1">{"'gráf jan00'!$A$1:$AK$41"}</definedName>
    <definedName name="____ago3_1_1" localSheetId="20" hidden="1">{"'gráf jan00'!$A$1:$AK$41"}</definedName>
    <definedName name="____ago3_1_1" hidden="1">{"'gráf jan00'!$A$1:$AK$41"}</definedName>
    <definedName name="____ago3_1_1_1" localSheetId="20" hidden="1">{"'gráf jan00'!$A$1:$AK$41"}</definedName>
    <definedName name="____ago3_1_1_1" hidden="1">{"'gráf jan00'!$A$1:$AK$41"}</definedName>
    <definedName name="____ago3_1_2" localSheetId="20" hidden="1">{"'gráf jan00'!$A$1:$AK$41"}</definedName>
    <definedName name="____ago3_1_2" hidden="1">{"'gráf jan00'!$A$1:$AK$41"}</definedName>
    <definedName name="____ago3_2" localSheetId="20" hidden="1">{"'gráf jan00'!$A$1:$AK$41"}</definedName>
    <definedName name="____ago3_2" hidden="1">{"'gráf jan00'!$A$1:$AK$41"}</definedName>
    <definedName name="____ago4" localSheetId="20" hidden="1">{"'gráf jan00'!$A$1:$AK$41"}</definedName>
    <definedName name="____ago4" hidden="1">{"'gráf jan00'!$A$1:$AK$41"}</definedName>
    <definedName name="____ago4_1" localSheetId="20" hidden="1">{"'gráf jan00'!$A$1:$AK$41"}</definedName>
    <definedName name="____ago4_1" hidden="1">{"'gráf jan00'!$A$1:$AK$41"}</definedName>
    <definedName name="____ago4_1_1" localSheetId="20" hidden="1">{"'gráf jan00'!$A$1:$AK$41"}</definedName>
    <definedName name="____ago4_1_1" hidden="1">{"'gráf jan00'!$A$1:$AK$41"}</definedName>
    <definedName name="____ago4_1_1_1" localSheetId="20" hidden="1">{"'gráf jan00'!$A$1:$AK$41"}</definedName>
    <definedName name="____ago4_1_1_1" hidden="1">{"'gráf jan00'!$A$1:$AK$41"}</definedName>
    <definedName name="____ago4_1_2" localSheetId="20" hidden="1">{"'gráf jan00'!$A$1:$AK$41"}</definedName>
    <definedName name="____ago4_1_2" hidden="1">{"'gráf jan00'!$A$1:$AK$41"}</definedName>
    <definedName name="____ago4_2" localSheetId="20" hidden="1">{"'gráf jan00'!$A$1:$AK$41"}</definedName>
    <definedName name="____ago4_2" hidden="1">{"'gráf jan00'!$A$1:$AK$41"}</definedName>
    <definedName name="____ago5" localSheetId="20" hidden="1">{"'gráf jan00'!$A$1:$AK$41"}</definedName>
    <definedName name="____ago5" hidden="1">{"'gráf jan00'!$A$1:$AK$41"}</definedName>
    <definedName name="____ago5_1" localSheetId="20" hidden="1">{"'gráf jan00'!$A$1:$AK$41"}</definedName>
    <definedName name="____ago5_1" hidden="1">{"'gráf jan00'!$A$1:$AK$41"}</definedName>
    <definedName name="____ago5_1_1" localSheetId="20" hidden="1">{"'gráf jan00'!$A$1:$AK$41"}</definedName>
    <definedName name="____ago5_1_1" hidden="1">{"'gráf jan00'!$A$1:$AK$41"}</definedName>
    <definedName name="____ago5_1_1_1" localSheetId="20" hidden="1">{"'gráf jan00'!$A$1:$AK$41"}</definedName>
    <definedName name="____ago5_1_1_1" hidden="1">{"'gráf jan00'!$A$1:$AK$41"}</definedName>
    <definedName name="____ago5_1_2" localSheetId="20" hidden="1">{"'gráf jan00'!$A$1:$AK$41"}</definedName>
    <definedName name="____ago5_1_2" hidden="1">{"'gráf jan00'!$A$1:$AK$41"}</definedName>
    <definedName name="____ago5_2" localSheetId="20" hidden="1">{"'gráf jan00'!$A$1:$AK$41"}</definedName>
    <definedName name="____ago5_2" hidden="1">{"'gráf jan00'!$A$1:$AK$41"}</definedName>
    <definedName name="____ago6" localSheetId="20" hidden="1">{"'gráf jan00'!$A$1:$AK$41"}</definedName>
    <definedName name="____ago6" hidden="1">{"'gráf jan00'!$A$1:$AK$41"}</definedName>
    <definedName name="____ago6_1" localSheetId="20" hidden="1">{"'gráf jan00'!$A$1:$AK$41"}</definedName>
    <definedName name="____ago6_1" hidden="1">{"'gráf jan00'!$A$1:$AK$41"}</definedName>
    <definedName name="____ago6_1_1" localSheetId="20" hidden="1">{"'gráf jan00'!$A$1:$AK$41"}</definedName>
    <definedName name="____ago6_1_1" hidden="1">{"'gráf jan00'!$A$1:$AK$41"}</definedName>
    <definedName name="____ago6_1_1_1" localSheetId="20" hidden="1">{"'gráf jan00'!$A$1:$AK$41"}</definedName>
    <definedName name="____ago6_1_1_1" hidden="1">{"'gráf jan00'!$A$1:$AK$41"}</definedName>
    <definedName name="____ago6_1_2" localSheetId="20" hidden="1">{"'gráf jan00'!$A$1:$AK$41"}</definedName>
    <definedName name="____ago6_1_2" hidden="1">{"'gráf jan00'!$A$1:$AK$41"}</definedName>
    <definedName name="____ago6_2" localSheetId="20" hidden="1">{"'gráf jan00'!$A$1:$AK$41"}</definedName>
    <definedName name="____ago6_2" hidden="1">{"'gráf jan00'!$A$1:$AK$41"}</definedName>
    <definedName name="____ago7" localSheetId="20" hidden="1">{"'gráf jan00'!$A$1:$AK$41"}</definedName>
    <definedName name="____ago7" hidden="1">{"'gráf jan00'!$A$1:$AK$41"}</definedName>
    <definedName name="____ago7_1" localSheetId="20" hidden="1">{"'gráf jan00'!$A$1:$AK$41"}</definedName>
    <definedName name="____ago7_1" hidden="1">{"'gráf jan00'!$A$1:$AK$41"}</definedName>
    <definedName name="____ago7_1_1" localSheetId="20" hidden="1">{"'gráf jan00'!$A$1:$AK$41"}</definedName>
    <definedName name="____ago7_1_1" hidden="1">{"'gráf jan00'!$A$1:$AK$41"}</definedName>
    <definedName name="____ago7_1_1_1" localSheetId="20" hidden="1">{"'gráf jan00'!$A$1:$AK$41"}</definedName>
    <definedName name="____ago7_1_1_1" hidden="1">{"'gráf jan00'!$A$1:$AK$41"}</definedName>
    <definedName name="____ago7_1_2" localSheetId="20" hidden="1">{"'gráf jan00'!$A$1:$AK$41"}</definedName>
    <definedName name="____ago7_1_2" hidden="1">{"'gráf jan00'!$A$1:$AK$41"}</definedName>
    <definedName name="____ago7_2" localSheetId="20" hidden="1">{"'gráf jan00'!$A$1:$AK$41"}</definedName>
    <definedName name="____ago7_2" hidden="1">{"'gráf jan00'!$A$1:$AK$41"}</definedName>
    <definedName name="____ago8" localSheetId="20" hidden="1">{"'gráf jan00'!$A$1:$AK$41"}</definedName>
    <definedName name="____ago8" hidden="1">{"'gráf jan00'!$A$1:$AK$41"}</definedName>
    <definedName name="____ago8_1" localSheetId="20" hidden="1">{"'gráf jan00'!$A$1:$AK$41"}</definedName>
    <definedName name="____ago8_1" hidden="1">{"'gráf jan00'!$A$1:$AK$41"}</definedName>
    <definedName name="____ago8_1_1" localSheetId="20" hidden="1">{"'gráf jan00'!$A$1:$AK$41"}</definedName>
    <definedName name="____ago8_1_1" hidden="1">{"'gráf jan00'!$A$1:$AK$41"}</definedName>
    <definedName name="____ago8_1_1_1" localSheetId="20" hidden="1">{"'gráf jan00'!$A$1:$AK$41"}</definedName>
    <definedName name="____ago8_1_1_1" hidden="1">{"'gráf jan00'!$A$1:$AK$41"}</definedName>
    <definedName name="____ago8_1_2" localSheetId="20" hidden="1">{"'gráf jan00'!$A$1:$AK$41"}</definedName>
    <definedName name="____ago8_1_2" hidden="1">{"'gráf jan00'!$A$1:$AK$41"}</definedName>
    <definedName name="____ago8_2" localSheetId="20" hidden="1">{"'gráf jan00'!$A$1:$AK$41"}</definedName>
    <definedName name="____ago8_2" hidden="1">{"'gráf jan00'!$A$1:$AK$41"}</definedName>
    <definedName name="____ago9" localSheetId="20" hidden="1">{"'gráf jan00'!$A$1:$AK$41"}</definedName>
    <definedName name="____ago9" hidden="1">{"'gráf jan00'!$A$1:$AK$41"}</definedName>
    <definedName name="____ago9_1" localSheetId="20" hidden="1">{"'gráf jan00'!$A$1:$AK$41"}</definedName>
    <definedName name="____ago9_1" hidden="1">{"'gráf jan00'!$A$1:$AK$41"}</definedName>
    <definedName name="____ago9_1_1" localSheetId="20" hidden="1">{"'gráf jan00'!$A$1:$AK$41"}</definedName>
    <definedName name="____ago9_1_1" hidden="1">{"'gráf jan00'!$A$1:$AK$41"}</definedName>
    <definedName name="____ago9_1_1_1" localSheetId="20" hidden="1">{"'gráf jan00'!$A$1:$AK$41"}</definedName>
    <definedName name="____ago9_1_1_1" hidden="1">{"'gráf jan00'!$A$1:$AK$41"}</definedName>
    <definedName name="____ago9_1_2" localSheetId="20" hidden="1">{"'gráf jan00'!$A$1:$AK$41"}</definedName>
    <definedName name="____ago9_1_2" hidden="1">{"'gráf jan00'!$A$1:$AK$41"}</definedName>
    <definedName name="____ago9_2" localSheetId="20" hidden="1">{"'gráf jan00'!$A$1:$AK$41"}</definedName>
    <definedName name="____ago9_2" hidden="1">{"'gráf jan00'!$A$1:$AK$41"}</definedName>
    <definedName name="____ago99999" localSheetId="20" hidden="1">{"'gráf jan00'!$A$1:$AK$41"}</definedName>
    <definedName name="____ago99999" hidden="1">{"'gráf jan00'!$A$1:$AK$41"}</definedName>
    <definedName name="____ago99999_1" localSheetId="20" hidden="1">{"'gráf jan00'!$A$1:$AK$41"}</definedName>
    <definedName name="____ago99999_1" hidden="1">{"'gráf jan00'!$A$1:$AK$41"}</definedName>
    <definedName name="____ago99999_1_1" localSheetId="20" hidden="1">{"'gráf jan00'!$A$1:$AK$41"}</definedName>
    <definedName name="____ago99999_1_1" hidden="1">{"'gráf jan00'!$A$1:$AK$41"}</definedName>
    <definedName name="____ago99999_1_1_1" localSheetId="20" hidden="1">{"'gráf jan00'!$A$1:$AK$41"}</definedName>
    <definedName name="____ago99999_1_1_1" hidden="1">{"'gráf jan00'!$A$1:$AK$41"}</definedName>
    <definedName name="____ago99999_1_2" localSheetId="20" hidden="1">{"'gráf jan00'!$A$1:$AK$41"}</definedName>
    <definedName name="____ago99999_1_2" hidden="1">{"'gráf jan00'!$A$1:$AK$41"}</definedName>
    <definedName name="____ago99999_2" localSheetId="20" hidden="1">{"'gráf jan00'!$A$1:$AK$41"}</definedName>
    <definedName name="____ago99999_2" hidden="1">{"'gráf jan00'!$A$1:$AK$41"}</definedName>
    <definedName name="____arg13">"$#REF!.$H$31"</definedName>
    <definedName name="____arg16">"$#REF!.$H$55"</definedName>
    <definedName name="____bm03" localSheetId="20" hidden="1">{#N/A,#N/A,FALSE,"CPV";#N/A,#N/A,FALSE,"Pareto";#N/A,#N/A,FALSE,"Gráficos"}</definedName>
    <definedName name="____bm03" hidden="1">{#N/A,#N/A,FALSE,"CPV";#N/A,#N/A,FALSE,"Pareto";#N/A,#N/A,FALSE,"Gráficos"}</definedName>
    <definedName name="____bm03_1" localSheetId="20" hidden="1">{#N/A,#N/A,FALSE,"CPV";#N/A,#N/A,FALSE,"Pareto";#N/A,#N/A,FALSE,"Gráficos"}</definedName>
    <definedName name="____bm03_1" hidden="1">{#N/A,#N/A,FALSE,"CPV";#N/A,#N/A,FALSE,"Pareto";#N/A,#N/A,FALSE,"Gráficos"}</definedName>
    <definedName name="____br4">#REF!</definedName>
    <definedName name="____DEF2" localSheetId="20" hidden="1">{#N/A,#N/A,FALSE,"DEF1";#N/A,#N/A,FALSE,"DEF2";#N/A,#N/A,FALSE,"DEF3"}</definedName>
    <definedName name="____DEF2" hidden="1">{#N/A,#N/A,FALSE,"DEF1";#N/A,#N/A,FALSE,"DEF2";#N/A,#N/A,FALSE,"DEF3"}</definedName>
    <definedName name="____DEF2_1" localSheetId="20" hidden="1">{#N/A,#N/A,FALSE,"DEF1";#N/A,#N/A,FALSE,"DEF2";#N/A,#N/A,FALSE,"DEF3"}</definedName>
    <definedName name="____DEF2_1" hidden="1">{#N/A,#N/A,FALSE,"DEF1";#N/A,#N/A,FALSE,"DEF2";#N/A,#N/A,FALSE,"DEF3"}</definedName>
    <definedName name="____DEF2_1_1" localSheetId="20" hidden="1">{#N/A,#N/A,FALSE,"DEF1";#N/A,#N/A,FALSE,"DEF2";#N/A,#N/A,FALSE,"DEF3"}</definedName>
    <definedName name="____DEF2_1_1" hidden="1">{#N/A,#N/A,FALSE,"DEF1";#N/A,#N/A,FALSE,"DEF2";#N/A,#N/A,FALSE,"DEF3"}</definedName>
    <definedName name="____DEF2_1_1_1" localSheetId="20" hidden="1">{#N/A,#N/A,FALSE,"DEF1";#N/A,#N/A,FALSE,"DEF2";#N/A,#N/A,FALSE,"DEF3"}</definedName>
    <definedName name="____DEF2_1_1_1" hidden="1">{#N/A,#N/A,FALSE,"DEF1";#N/A,#N/A,FALSE,"DEF2";#N/A,#N/A,FALSE,"DEF3"}</definedName>
    <definedName name="____DEF2_1_2" localSheetId="20" hidden="1">{#N/A,#N/A,FALSE,"DEF1";#N/A,#N/A,FALSE,"DEF2";#N/A,#N/A,FALSE,"DEF3"}</definedName>
    <definedName name="____DEF2_1_2" hidden="1">{#N/A,#N/A,FALSE,"DEF1";#N/A,#N/A,FALSE,"DEF2";#N/A,#N/A,FALSE,"DEF3"}</definedName>
    <definedName name="____DEF2_2" localSheetId="20" hidden="1">{#N/A,#N/A,FALSE,"DEF1";#N/A,#N/A,FALSE,"DEF2";#N/A,#N/A,FALSE,"DEF3"}</definedName>
    <definedName name="____DEF2_2" hidden="1">{#N/A,#N/A,FALSE,"DEF1";#N/A,#N/A,FALSE,"DEF2";#N/A,#N/A,FALSE,"DEF3"}</definedName>
    <definedName name="____DEF3" localSheetId="20" hidden="1">{#N/A,#N/A,FALSE,"DEF1";#N/A,#N/A,FALSE,"DEF2";#N/A,#N/A,FALSE,"DEF3"}</definedName>
    <definedName name="____DEF3" hidden="1">{#N/A,#N/A,FALSE,"DEF1";#N/A,#N/A,FALSE,"DEF2";#N/A,#N/A,FALSE,"DEF3"}</definedName>
    <definedName name="____DEF3_1" localSheetId="20" hidden="1">{#N/A,#N/A,FALSE,"DEF1";#N/A,#N/A,FALSE,"DEF2";#N/A,#N/A,FALSE,"DEF3"}</definedName>
    <definedName name="____DEF3_1" hidden="1">{#N/A,#N/A,FALSE,"DEF1";#N/A,#N/A,FALSE,"DEF2";#N/A,#N/A,FALSE,"DEF3"}</definedName>
    <definedName name="____DEF3_1_1" localSheetId="20" hidden="1">{#N/A,#N/A,FALSE,"DEF1";#N/A,#N/A,FALSE,"DEF2";#N/A,#N/A,FALSE,"DEF3"}</definedName>
    <definedName name="____DEF3_1_1" hidden="1">{#N/A,#N/A,FALSE,"DEF1";#N/A,#N/A,FALSE,"DEF2";#N/A,#N/A,FALSE,"DEF3"}</definedName>
    <definedName name="____DEF3_1_1_1" localSheetId="20" hidden="1">{#N/A,#N/A,FALSE,"DEF1";#N/A,#N/A,FALSE,"DEF2";#N/A,#N/A,FALSE,"DEF3"}</definedName>
    <definedName name="____DEF3_1_1_1" hidden="1">{#N/A,#N/A,FALSE,"DEF1";#N/A,#N/A,FALSE,"DEF2";#N/A,#N/A,FALSE,"DEF3"}</definedName>
    <definedName name="____DEF3_1_2" localSheetId="20" hidden="1">{#N/A,#N/A,FALSE,"DEF1";#N/A,#N/A,FALSE,"DEF2";#N/A,#N/A,FALSE,"DEF3"}</definedName>
    <definedName name="____DEF3_1_2" hidden="1">{#N/A,#N/A,FALSE,"DEF1";#N/A,#N/A,FALSE,"DEF2";#N/A,#N/A,FALSE,"DEF3"}</definedName>
    <definedName name="____DEF3_2" localSheetId="20" hidden="1">{#N/A,#N/A,FALSE,"DEF1";#N/A,#N/A,FALSE,"DEF2";#N/A,#N/A,FALSE,"DEF3"}</definedName>
    <definedName name="____DEF3_2" hidden="1">{#N/A,#N/A,FALSE,"DEF1";#N/A,#N/A,FALSE,"DEF2";#N/A,#N/A,FALSE,"DEF3"}</definedName>
    <definedName name="____efc10" localSheetId="20" hidden="1">{"'RR'!$A$2:$E$81"}</definedName>
    <definedName name="____efc10" hidden="1">{"'RR'!$A$2:$E$81"}</definedName>
    <definedName name="____efc10_1" localSheetId="20" hidden="1">{"'RR'!$A$2:$E$81"}</definedName>
    <definedName name="____efc10_1" hidden="1">{"'RR'!$A$2:$E$81"}</definedName>
    <definedName name="____efc10_1_1" localSheetId="20" hidden="1">{"'RR'!$A$2:$E$81"}</definedName>
    <definedName name="____efc10_1_1" hidden="1">{"'RR'!$A$2:$E$81"}</definedName>
    <definedName name="____efc10_1_1_1" localSheetId="20" hidden="1">{"'RR'!$A$2:$E$81"}</definedName>
    <definedName name="____efc10_1_1_1" hidden="1">{"'RR'!$A$2:$E$81"}</definedName>
    <definedName name="____efc10_1_2" localSheetId="20" hidden="1">{"'RR'!$A$2:$E$81"}</definedName>
    <definedName name="____efc10_1_2" hidden="1">{"'RR'!$A$2:$E$81"}</definedName>
    <definedName name="____efc10_2" localSheetId="20" hidden="1">{"'RR'!$A$2:$E$81"}</definedName>
    <definedName name="____efc10_2" hidden="1">{"'RR'!$A$2:$E$81"}</definedName>
    <definedName name="____EFC2" localSheetId="20" hidden="1">{"'RR'!$A$2:$E$81"}</definedName>
    <definedName name="____EFC2" hidden="1">{"'RR'!$A$2:$E$81"}</definedName>
    <definedName name="____EFC2_1" localSheetId="20" hidden="1">{"'RR'!$A$2:$E$81"}</definedName>
    <definedName name="____EFC2_1" hidden="1">{"'RR'!$A$2:$E$81"}</definedName>
    <definedName name="____EFC2_1_1" localSheetId="20" hidden="1">{"'RR'!$A$2:$E$81"}</definedName>
    <definedName name="____EFC2_1_1" hidden="1">{"'RR'!$A$2:$E$81"}</definedName>
    <definedName name="____EFC2_1_1_1" localSheetId="20" hidden="1">{"'RR'!$A$2:$E$81"}</definedName>
    <definedName name="____EFC2_1_1_1" hidden="1">{"'RR'!$A$2:$E$81"}</definedName>
    <definedName name="____EFC2_1_2" localSheetId="20" hidden="1">{"'RR'!$A$2:$E$81"}</definedName>
    <definedName name="____EFC2_1_2" hidden="1">{"'RR'!$A$2:$E$81"}</definedName>
    <definedName name="____EFC2_2" localSheetId="20" hidden="1">{"'RR'!$A$2:$E$81"}</definedName>
    <definedName name="____EFC2_2" hidden="1">{"'RR'!$A$2:$E$81"}</definedName>
    <definedName name="____EFC3" localSheetId="20" hidden="1">{"'RR'!$A$2:$E$81"}</definedName>
    <definedName name="____EFC3" hidden="1">{"'RR'!$A$2:$E$81"}</definedName>
    <definedName name="____EFC3_1" localSheetId="20" hidden="1">{"'RR'!$A$2:$E$81"}</definedName>
    <definedName name="____EFC3_1" hidden="1">{"'RR'!$A$2:$E$81"}</definedName>
    <definedName name="____EFC3_1_1" localSheetId="20" hidden="1">{"'RR'!$A$2:$E$81"}</definedName>
    <definedName name="____EFC3_1_1" hidden="1">{"'RR'!$A$2:$E$81"}</definedName>
    <definedName name="____EFC3_1_1_1" localSheetId="20" hidden="1">{"'RR'!$A$2:$E$81"}</definedName>
    <definedName name="____EFC3_1_1_1" hidden="1">{"'RR'!$A$2:$E$81"}</definedName>
    <definedName name="____EFC3_1_2" localSheetId="20" hidden="1">{"'RR'!$A$2:$E$81"}</definedName>
    <definedName name="____EFC3_1_2" hidden="1">{"'RR'!$A$2:$E$81"}</definedName>
    <definedName name="____EFC3_2" localSheetId="20" hidden="1">{"'RR'!$A$2:$E$81"}</definedName>
    <definedName name="____EFC3_2" hidden="1">{"'RR'!$A$2:$E$81"}</definedName>
    <definedName name="____EFC4" localSheetId="20" hidden="1">{"'RR'!$A$2:$E$81"}</definedName>
    <definedName name="____EFC4" hidden="1">{"'RR'!$A$2:$E$81"}</definedName>
    <definedName name="____EFC4_1" localSheetId="20" hidden="1">{"'RR'!$A$2:$E$81"}</definedName>
    <definedName name="____EFC4_1" hidden="1">{"'RR'!$A$2:$E$81"}</definedName>
    <definedName name="____EFC4_1_1" localSheetId="20" hidden="1">{"'RR'!$A$2:$E$81"}</definedName>
    <definedName name="____EFC4_1_1" hidden="1">{"'RR'!$A$2:$E$81"}</definedName>
    <definedName name="____EFC4_1_1_1" localSheetId="20" hidden="1">{"'RR'!$A$2:$E$81"}</definedName>
    <definedName name="____EFC4_1_1_1" hidden="1">{"'RR'!$A$2:$E$81"}</definedName>
    <definedName name="____EFC4_1_2" localSheetId="20" hidden="1">{"'RR'!$A$2:$E$81"}</definedName>
    <definedName name="____EFC4_1_2" hidden="1">{"'RR'!$A$2:$E$81"}</definedName>
    <definedName name="____EFC4_2" localSheetId="20" hidden="1">{"'RR'!$A$2:$E$81"}</definedName>
    <definedName name="____EFC4_2" hidden="1">{"'RR'!$A$2:$E$81"}</definedName>
    <definedName name="____Ext2">'[12]P A T O 99 B'!#REF!</definedName>
    <definedName name="____F12" localSheetId="20" hidden="1">{#N/A,#N/A,FALSE,"ET-CAPA";#N/A,#N/A,FALSE,"ET-PAG1";#N/A,#N/A,FALSE,"ET-PAG2";#N/A,#N/A,FALSE,"ET-PAG3";#N/A,#N/A,FALSE,"ET-PAG4";#N/A,#N/A,FALSE,"ET-PAG5"}</definedName>
    <definedName name="____F12" hidden="1">{#N/A,#N/A,FALSE,"ET-CAPA";#N/A,#N/A,FALSE,"ET-PAG1";#N/A,#N/A,FALSE,"ET-PAG2";#N/A,#N/A,FALSE,"ET-PAG3";#N/A,#N/A,FALSE,"ET-PAG4";#N/A,#N/A,FALSE,"ET-PAG5"}</definedName>
    <definedName name="____F12_1" localSheetId="20" hidden="1">{#N/A,#N/A,FALSE,"ET-CAPA";#N/A,#N/A,FALSE,"ET-PAG1";#N/A,#N/A,FALSE,"ET-PAG2";#N/A,#N/A,FALSE,"ET-PAG3";#N/A,#N/A,FALSE,"ET-PAG4";#N/A,#N/A,FALSE,"ET-PAG5"}</definedName>
    <definedName name="____F12_1" hidden="1">{#N/A,#N/A,FALSE,"ET-CAPA";#N/A,#N/A,FALSE,"ET-PAG1";#N/A,#N/A,FALSE,"ET-PAG2";#N/A,#N/A,FALSE,"ET-PAG3";#N/A,#N/A,FALSE,"ET-PAG4";#N/A,#N/A,FALSE,"ET-PAG5"}</definedName>
    <definedName name="____F15" localSheetId="20" hidden="1">{#N/A,#N/A,FALSE,"ET-CAPA";#N/A,#N/A,FALSE,"ET-PAG1";#N/A,#N/A,FALSE,"ET-PAG2";#N/A,#N/A,FALSE,"ET-PAG3";#N/A,#N/A,FALSE,"ET-PAG4";#N/A,#N/A,FALSE,"ET-PAG5"}</definedName>
    <definedName name="____F15" hidden="1">{#N/A,#N/A,FALSE,"ET-CAPA";#N/A,#N/A,FALSE,"ET-PAG1";#N/A,#N/A,FALSE,"ET-PAG2";#N/A,#N/A,FALSE,"ET-PAG3";#N/A,#N/A,FALSE,"ET-PAG4";#N/A,#N/A,FALSE,"ET-PAG5"}</definedName>
    <definedName name="____F15_1" localSheetId="20" hidden="1">{#N/A,#N/A,FALSE,"ET-CAPA";#N/A,#N/A,FALSE,"ET-PAG1";#N/A,#N/A,FALSE,"ET-PAG2";#N/A,#N/A,FALSE,"ET-PAG3";#N/A,#N/A,FALSE,"ET-PAG4";#N/A,#N/A,FALSE,"ET-PAG5"}</definedName>
    <definedName name="____F15_1" hidden="1">{#N/A,#N/A,FALSE,"ET-CAPA";#N/A,#N/A,FALSE,"ET-PAG1";#N/A,#N/A,FALSE,"ET-PAG2";#N/A,#N/A,FALSE,"ET-PAG3";#N/A,#N/A,FALSE,"ET-PAG4";#N/A,#N/A,FALSE,"ET-PAG5"}</definedName>
    <definedName name="____Fev1">[11]!____Fev1</definedName>
    <definedName name="____ffp16" localSheetId="20" hidden="1">{"'gráf jan00'!$A$1:$AK$41"}</definedName>
    <definedName name="____ffp16" hidden="1">{"'gráf jan00'!$A$1:$AK$41"}</definedName>
    <definedName name="____ffp16_1" localSheetId="20" hidden="1">{"'gráf jan00'!$A$1:$AK$41"}</definedName>
    <definedName name="____ffp16_1" hidden="1">{"'gráf jan00'!$A$1:$AK$41"}</definedName>
    <definedName name="____ffp16_1_1" localSheetId="20" hidden="1">{"'gráf jan00'!$A$1:$AK$41"}</definedName>
    <definedName name="____ffp16_1_1" hidden="1">{"'gráf jan00'!$A$1:$AK$41"}</definedName>
    <definedName name="____ffp16_1_1_1" localSheetId="20" hidden="1">{"'gráf jan00'!$A$1:$AK$41"}</definedName>
    <definedName name="____ffp16_1_1_1" hidden="1">{"'gráf jan00'!$A$1:$AK$41"}</definedName>
    <definedName name="____ffp16_1_2" localSheetId="20" hidden="1">{"'gráf jan00'!$A$1:$AK$41"}</definedName>
    <definedName name="____ffp16_1_2" hidden="1">{"'gráf jan00'!$A$1:$AK$41"}</definedName>
    <definedName name="____ffp16_2" localSheetId="20" hidden="1">{"'gráf jan00'!$A$1:$AK$41"}</definedName>
    <definedName name="____ffp16_2" hidden="1">{"'gráf jan00'!$A$1:$AK$41"}</definedName>
    <definedName name="____ffp4589" localSheetId="20" hidden="1">{"'gráf jan00'!$A$1:$AK$41"}</definedName>
    <definedName name="____ffp4589" hidden="1">{"'gráf jan00'!$A$1:$AK$41"}</definedName>
    <definedName name="____ffp4589_1" localSheetId="20" hidden="1">{"'gráf jan00'!$A$1:$AK$41"}</definedName>
    <definedName name="____ffp4589_1" hidden="1">{"'gráf jan00'!$A$1:$AK$41"}</definedName>
    <definedName name="____ffp4589_1_1" localSheetId="20" hidden="1">{"'gráf jan00'!$A$1:$AK$41"}</definedName>
    <definedName name="____ffp4589_1_1" hidden="1">{"'gráf jan00'!$A$1:$AK$41"}</definedName>
    <definedName name="____ffp4589_1_1_1" localSheetId="20" hidden="1">{"'gráf jan00'!$A$1:$AK$41"}</definedName>
    <definedName name="____ffp4589_1_1_1" hidden="1">{"'gráf jan00'!$A$1:$AK$41"}</definedName>
    <definedName name="____ffp4589_1_2" localSheetId="20" hidden="1">{"'gráf jan00'!$A$1:$AK$41"}</definedName>
    <definedName name="____ffp4589_1_2" hidden="1">{"'gráf jan00'!$A$1:$AK$41"}</definedName>
    <definedName name="____ffp4589_2" localSheetId="20" hidden="1">{"'gráf jan00'!$A$1:$AK$41"}</definedName>
    <definedName name="____ffp4589_2" hidden="1">{"'gráf jan00'!$A$1:$AK$41"}</definedName>
    <definedName name="____I027611" localSheetId="20" hidden="1">{#N/A,#N/A,FALSE,"지침";#N/A,#N/A,FALSE,"환경분석";#N/A,#N/A,FALSE,"Sheet16"}</definedName>
    <definedName name="____I027611" hidden="1">{#N/A,#N/A,FALSE,"지침";#N/A,#N/A,FALSE,"환경분석";#N/A,#N/A,FALSE,"Sheet16"}</definedName>
    <definedName name="____I027611_1" localSheetId="20" hidden="1">{#N/A,#N/A,FALSE,"지침";#N/A,#N/A,FALSE,"환경분석";#N/A,#N/A,FALSE,"Sheet16"}</definedName>
    <definedName name="____I027611_1" hidden="1">{#N/A,#N/A,FALSE,"지침";#N/A,#N/A,FALSE,"환경분석";#N/A,#N/A,FALSE,"Sheet16"}</definedName>
    <definedName name="____I027611_1_1" localSheetId="20" hidden="1">{#N/A,#N/A,FALSE,"지침";#N/A,#N/A,FALSE,"환경분석";#N/A,#N/A,FALSE,"Sheet16"}</definedName>
    <definedName name="____I027611_1_1" hidden="1">{#N/A,#N/A,FALSE,"지침";#N/A,#N/A,FALSE,"환경분석";#N/A,#N/A,FALSE,"Sheet16"}</definedName>
    <definedName name="____I027611_1_1_1" localSheetId="20" hidden="1">{#N/A,#N/A,FALSE,"지침";#N/A,#N/A,FALSE,"환경분석";#N/A,#N/A,FALSE,"Sheet16"}</definedName>
    <definedName name="____I027611_1_1_1" hidden="1">{#N/A,#N/A,FALSE,"지침";#N/A,#N/A,FALSE,"환경분석";#N/A,#N/A,FALSE,"Sheet16"}</definedName>
    <definedName name="____I027611_1_2" localSheetId="20" hidden="1">{#N/A,#N/A,FALSE,"지침";#N/A,#N/A,FALSE,"환경분석";#N/A,#N/A,FALSE,"Sheet16"}</definedName>
    <definedName name="____I027611_1_2" hidden="1">{#N/A,#N/A,FALSE,"지침";#N/A,#N/A,FALSE,"환경분석";#N/A,#N/A,FALSE,"Sheet16"}</definedName>
    <definedName name="____I027611_2" localSheetId="20" hidden="1">{#N/A,#N/A,FALSE,"지침";#N/A,#N/A,FALSE,"환경분석";#N/A,#N/A,FALSE,"Sheet16"}</definedName>
    <definedName name="____I027611_2" hidden="1">{#N/A,#N/A,FALSE,"지침";#N/A,#N/A,FALSE,"환경분석";#N/A,#N/A,FALSE,"Sheet16"}</definedName>
    <definedName name="____Jan1">[11]!____Jan1</definedName>
    <definedName name="____jun04" localSheetId="20" hidden="1">{"'gráf jan00'!$A$1:$AK$41"}</definedName>
    <definedName name="____jun04" hidden="1">{"'gráf jan00'!$A$1:$AK$41"}</definedName>
    <definedName name="____jun04_1" localSheetId="20" hidden="1">{"'gráf jan00'!$A$1:$AK$41"}</definedName>
    <definedName name="____jun04_1" hidden="1">{"'gráf jan00'!$A$1:$AK$41"}</definedName>
    <definedName name="____jun04_1_1" localSheetId="20" hidden="1">{"'gráf jan00'!$A$1:$AK$41"}</definedName>
    <definedName name="____jun04_1_1" hidden="1">{"'gráf jan00'!$A$1:$AK$41"}</definedName>
    <definedName name="____jun04_1_1_1" localSheetId="20" hidden="1">{"'gráf jan00'!$A$1:$AK$41"}</definedName>
    <definedName name="____jun04_1_1_1" hidden="1">{"'gráf jan00'!$A$1:$AK$41"}</definedName>
    <definedName name="____jun04_1_2" localSheetId="20" hidden="1">{"'gráf jan00'!$A$1:$AK$41"}</definedName>
    <definedName name="____jun04_1_2" hidden="1">{"'gráf jan00'!$A$1:$AK$41"}</definedName>
    <definedName name="____jun04_2" localSheetId="20" hidden="1">{"'gráf jan00'!$A$1:$AK$41"}</definedName>
    <definedName name="____jun04_2" hidden="1">{"'gráf jan00'!$A$1:$AK$41"}</definedName>
    <definedName name="____ki5">#REF!</definedName>
    <definedName name="____la8">#REF!</definedName>
    <definedName name="____ltf2" hidden="1">#REF!</definedName>
    <definedName name="____MA2" localSheetId="20" hidden="1">{"'REL CUSTODIF'!$B$1:$H$72"}</definedName>
    <definedName name="____MA2" hidden="1">{"'REL CUSTODIF'!$B$1:$H$72"}</definedName>
    <definedName name="____MA2_1" localSheetId="20" hidden="1">{"'REL CUSTODIF'!$B$1:$H$72"}</definedName>
    <definedName name="____MA2_1" hidden="1">{"'REL CUSTODIF'!$B$1:$H$72"}</definedName>
    <definedName name="____MA2_1_1" localSheetId="20" hidden="1">{"'REL CUSTODIF'!$B$1:$H$72"}</definedName>
    <definedName name="____MA2_1_1" hidden="1">{"'REL CUSTODIF'!$B$1:$H$72"}</definedName>
    <definedName name="____MA2_1_1_1" localSheetId="20" hidden="1">{"'REL CUSTODIF'!$B$1:$H$72"}</definedName>
    <definedName name="____MA2_1_1_1" hidden="1">{"'REL CUSTODIF'!$B$1:$H$72"}</definedName>
    <definedName name="____MA2_1_2" localSheetId="20" hidden="1">{"'REL CUSTODIF'!$B$1:$H$72"}</definedName>
    <definedName name="____MA2_1_2" hidden="1">{"'REL CUSTODIF'!$B$1:$H$72"}</definedName>
    <definedName name="____MA2_2" localSheetId="20" hidden="1">{"'REL CUSTODIF'!$B$1:$H$72"}</definedName>
    <definedName name="____MA2_2" hidden="1">{"'REL CUSTODIF'!$B$1:$H$72"}</definedName>
    <definedName name="____Mar1">[11]!____Mar1</definedName>
    <definedName name="____MOA1" localSheetId="20" hidden="1">{#N/A,#N/A,FALSE,"DEF1";#N/A,#N/A,FALSE,"DEF2";#N/A,#N/A,FALSE,"DEF3"}</definedName>
    <definedName name="____MOA1" hidden="1">{#N/A,#N/A,FALSE,"DEF1";#N/A,#N/A,FALSE,"DEF2";#N/A,#N/A,FALSE,"DEF3"}</definedName>
    <definedName name="____MOA1_1" localSheetId="20" hidden="1">{#N/A,#N/A,FALSE,"DEF1";#N/A,#N/A,FALSE,"DEF2";#N/A,#N/A,FALSE,"DEF3"}</definedName>
    <definedName name="____MOA1_1" hidden="1">{#N/A,#N/A,FALSE,"DEF1";#N/A,#N/A,FALSE,"DEF2";#N/A,#N/A,FALSE,"DEF3"}</definedName>
    <definedName name="____MOA1_1_1" localSheetId="20" hidden="1">{#N/A,#N/A,FALSE,"DEF1";#N/A,#N/A,FALSE,"DEF2";#N/A,#N/A,FALSE,"DEF3"}</definedName>
    <definedName name="____MOA1_1_1" hidden="1">{#N/A,#N/A,FALSE,"DEF1";#N/A,#N/A,FALSE,"DEF2";#N/A,#N/A,FALSE,"DEF3"}</definedName>
    <definedName name="____MOA1_1_1_1" localSheetId="20" hidden="1">{#N/A,#N/A,FALSE,"DEF1";#N/A,#N/A,FALSE,"DEF2";#N/A,#N/A,FALSE,"DEF3"}</definedName>
    <definedName name="____MOA1_1_1_1" hidden="1">{#N/A,#N/A,FALSE,"DEF1";#N/A,#N/A,FALSE,"DEF2";#N/A,#N/A,FALSE,"DEF3"}</definedName>
    <definedName name="____MOA1_1_2" localSheetId="20" hidden="1">{#N/A,#N/A,FALSE,"DEF1";#N/A,#N/A,FALSE,"DEF2";#N/A,#N/A,FALSE,"DEF3"}</definedName>
    <definedName name="____MOA1_1_2" hidden="1">{#N/A,#N/A,FALSE,"DEF1";#N/A,#N/A,FALSE,"DEF2";#N/A,#N/A,FALSE,"DEF3"}</definedName>
    <definedName name="____MOA1_2" localSheetId="20" hidden="1">{#N/A,#N/A,FALSE,"DEF1";#N/A,#N/A,FALSE,"DEF2";#N/A,#N/A,FALSE,"DEF3"}</definedName>
    <definedName name="____MOA1_2" hidden="1">{#N/A,#N/A,FALSE,"DEF1";#N/A,#N/A,FALSE,"DEF2";#N/A,#N/A,FALSE,"DEF3"}</definedName>
    <definedName name="____MOA2" localSheetId="20" hidden="1">{#N/A,#N/A,FALSE,"DEF1";#N/A,#N/A,FALSE,"DEF2";#N/A,#N/A,FALSE,"DEF3"}</definedName>
    <definedName name="____MOA2" hidden="1">{#N/A,#N/A,FALSE,"DEF1";#N/A,#N/A,FALSE,"DEF2";#N/A,#N/A,FALSE,"DEF3"}</definedName>
    <definedName name="____MOA2_1" localSheetId="20" hidden="1">{#N/A,#N/A,FALSE,"DEF1";#N/A,#N/A,FALSE,"DEF2";#N/A,#N/A,FALSE,"DEF3"}</definedName>
    <definedName name="____MOA2_1" hidden="1">{#N/A,#N/A,FALSE,"DEF1";#N/A,#N/A,FALSE,"DEF2";#N/A,#N/A,FALSE,"DEF3"}</definedName>
    <definedName name="____MOA2_1_1" localSheetId="20" hidden="1">{#N/A,#N/A,FALSE,"DEF1";#N/A,#N/A,FALSE,"DEF2";#N/A,#N/A,FALSE,"DEF3"}</definedName>
    <definedName name="____MOA2_1_1" hidden="1">{#N/A,#N/A,FALSE,"DEF1";#N/A,#N/A,FALSE,"DEF2";#N/A,#N/A,FALSE,"DEF3"}</definedName>
    <definedName name="____MOA2_1_1_1" localSheetId="20" hidden="1">{#N/A,#N/A,FALSE,"DEF1";#N/A,#N/A,FALSE,"DEF2";#N/A,#N/A,FALSE,"DEF3"}</definedName>
    <definedName name="____MOA2_1_1_1" hidden="1">{#N/A,#N/A,FALSE,"DEF1";#N/A,#N/A,FALSE,"DEF2";#N/A,#N/A,FALSE,"DEF3"}</definedName>
    <definedName name="____MOA2_1_2" localSheetId="20" hidden="1">{#N/A,#N/A,FALSE,"DEF1";#N/A,#N/A,FALSE,"DEF2";#N/A,#N/A,FALSE,"DEF3"}</definedName>
    <definedName name="____MOA2_1_2" hidden="1">{#N/A,#N/A,FALSE,"DEF1";#N/A,#N/A,FALSE,"DEF2";#N/A,#N/A,FALSE,"DEF3"}</definedName>
    <definedName name="____MOA2_2" localSheetId="20" hidden="1">{#N/A,#N/A,FALSE,"DEF1";#N/A,#N/A,FALSE,"DEF2";#N/A,#N/A,FALSE,"DEF3"}</definedName>
    <definedName name="____MOA2_2" hidden="1">{#N/A,#N/A,FALSE,"DEF1";#N/A,#N/A,FALSE,"DEF2";#N/A,#N/A,FALSE,"DEF3"}</definedName>
    <definedName name="____MOD01">[11]!____MOD01</definedName>
    <definedName name="____n2" localSheetId="20" hidden="1">{#N/A,#N/A,FALSE,"PCOL"}</definedName>
    <definedName name="____n2" hidden="1">{#N/A,#N/A,FALSE,"PCOL"}</definedName>
    <definedName name="____n2_1" localSheetId="20" hidden="1">{#N/A,#N/A,FALSE,"PCOL"}</definedName>
    <definedName name="____n2_1" hidden="1">{#N/A,#N/A,FALSE,"PCOL"}</definedName>
    <definedName name="____n2_1_1" localSheetId="20" hidden="1">{#N/A,#N/A,FALSE,"PCOL"}</definedName>
    <definedName name="____n2_1_1" hidden="1">{#N/A,#N/A,FALSE,"PCOL"}</definedName>
    <definedName name="____n2_1_1_1" localSheetId="20" hidden="1">{#N/A,#N/A,FALSE,"PCOL"}</definedName>
    <definedName name="____n2_1_1_1" hidden="1">{#N/A,#N/A,FALSE,"PCOL"}</definedName>
    <definedName name="____n2_1_2" localSheetId="20" hidden="1">{#N/A,#N/A,FALSE,"PCOL"}</definedName>
    <definedName name="____n2_1_2" hidden="1">{#N/A,#N/A,FALSE,"PCOL"}</definedName>
    <definedName name="____n2_2" localSheetId="20" hidden="1">{#N/A,#N/A,FALSE,"PCOL"}</definedName>
    <definedName name="____n2_2" hidden="1">{#N/A,#N/A,FALSE,"PCOL"}</definedName>
    <definedName name="____o1" localSheetId="20" hidden="1">{"det (May)",#N/A,FALSE,"June";"sum (MAY YTD)",#N/A,FALSE,"June YTD"}</definedName>
    <definedName name="____o1" hidden="1">{"det (May)",#N/A,FALSE,"June";"sum (MAY YTD)",#N/A,FALSE,"June YTD"}</definedName>
    <definedName name="____o1_1" localSheetId="20" hidden="1">{"det (May)",#N/A,FALSE,"June";"sum (MAY YTD)",#N/A,FALSE,"June YTD"}</definedName>
    <definedName name="____o1_1" hidden="1">{"det (May)",#N/A,FALSE,"June";"sum (MAY YTD)",#N/A,FALSE,"June YTD"}</definedName>
    <definedName name="____o1_1_1" localSheetId="20" hidden="1">{"det (May)",#N/A,FALSE,"June";"sum (MAY YTD)",#N/A,FALSE,"June YTD"}</definedName>
    <definedName name="____o1_1_1" hidden="1">{"det (May)",#N/A,FALSE,"June";"sum (MAY YTD)",#N/A,FALSE,"June YTD"}</definedName>
    <definedName name="____o1_1_1_1" localSheetId="20" hidden="1">{"det (May)",#N/A,FALSE,"June";"sum (MAY YTD)",#N/A,FALSE,"June YTD"}</definedName>
    <definedName name="____o1_1_1_1" hidden="1">{"det (May)",#N/A,FALSE,"June";"sum (MAY YTD)",#N/A,FALSE,"June YTD"}</definedName>
    <definedName name="____o1_1_2" localSheetId="20" hidden="1">{"det (May)",#N/A,FALSE,"June";"sum (MAY YTD)",#N/A,FALSE,"June YTD"}</definedName>
    <definedName name="____o1_1_2" hidden="1">{"det (May)",#N/A,FALSE,"June";"sum (MAY YTD)",#N/A,FALSE,"June YTD"}</definedName>
    <definedName name="____o1_2" localSheetId="20" hidden="1">{"det (May)",#N/A,FALSE,"June";"sum (MAY YTD)",#N/A,FALSE,"June YTD"}</definedName>
    <definedName name="____o1_2" hidden="1">{"det (May)",#N/A,FALSE,"June";"sum (MAY YTD)",#N/A,FALSE,"June YTD"}</definedName>
    <definedName name="____Obs1">#REF!</definedName>
    <definedName name="____Obs2">#REF!</definedName>
    <definedName name="____OUT98" localSheetId="20" hidden="1">{#N/A,#N/A,TRUE,"Serviços"}</definedName>
    <definedName name="____OUT98" localSheetId="21">#REF!</definedName>
    <definedName name="____OUT98" localSheetId="2" hidden="1">{#N/A,#N/A,TRUE,"Serviços"}</definedName>
    <definedName name="____OUT98" hidden="1">{#N/A,#N/A,TRUE,"Serviços"}</definedName>
    <definedName name="____OUT98_1" localSheetId="20">{#N/A,#N/A,TRUE,"Serviços"}</definedName>
    <definedName name="____OUT98_1" localSheetId="21">#REF!</definedName>
    <definedName name="____OUT98_1">#REF!</definedName>
    <definedName name="____out99" localSheetId="20" hidden="1">{#N/A,#N/A,TRUE,"Serviços"}</definedName>
    <definedName name="____out99" localSheetId="2" hidden="1">{#N/A,#N/A,TRUE,"Serviços"}</definedName>
    <definedName name="____out99" hidden="1">{#N/A,#N/A,TRUE,"Serviços"}</definedName>
    <definedName name="____OUTTT98" localSheetId="20" hidden="1">{#N/A,#N/A,TRUE,"Serviços"}</definedName>
    <definedName name="____OUTTT98" localSheetId="2" hidden="1">{#N/A,#N/A,TRUE,"Serviços"}</definedName>
    <definedName name="____OUTTT98" hidden="1">{#N/A,#N/A,TRUE,"Serviços"}</definedName>
    <definedName name="____P0376001" localSheetId="20" hidden="1">{#N/A,#N/A,FALSE,"지침";#N/A,#N/A,FALSE,"환경분석";#N/A,#N/A,FALSE,"Sheet16"}</definedName>
    <definedName name="____P0376001" hidden="1">{#N/A,#N/A,FALSE,"지침";#N/A,#N/A,FALSE,"환경분석";#N/A,#N/A,FALSE,"Sheet16"}</definedName>
    <definedName name="____P0376001_1" localSheetId="20" hidden="1">{#N/A,#N/A,FALSE,"지침";#N/A,#N/A,FALSE,"환경분석";#N/A,#N/A,FALSE,"Sheet16"}</definedName>
    <definedName name="____P0376001_1" hidden="1">{#N/A,#N/A,FALSE,"지침";#N/A,#N/A,FALSE,"환경분석";#N/A,#N/A,FALSE,"Sheet16"}</definedName>
    <definedName name="____P0376001_1_1" localSheetId="20" hidden="1">{#N/A,#N/A,FALSE,"지침";#N/A,#N/A,FALSE,"환경분석";#N/A,#N/A,FALSE,"Sheet16"}</definedName>
    <definedName name="____P0376001_1_1" hidden="1">{#N/A,#N/A,FALSE,"지침";#N/A,#N/A,FALSE,"환경분석";#N/A,#N/A,FALSE,"Sheet16"}</definedName>
    <definedName name="____P0376001_1_1_1" localSheetId="20" hidden="1">{#N/A,#N/A,FALSE,"지침";#N/A,#N/A,FALSE,"환경분석";#N/A,#N/A,FALSE,"Sheet16"}</definedName>
    <definedName name="____P0376001_1_1_1" hidden="1">{#N/A,#N/A,FALSE,"지침";#N/A,#N/A,FALSE,"환경분석";#N/A,#N/A,FALSE,"Sheet16"}</definedName>
    <definedName name="____P0376001_1_2" localSheetId="20" hidden="1">{#N/A,#N/A,FALSE,"지침";#N/A,#N/A,FALSE,"환경분석";#N/A,#N/A,FALSE,"Sheet16"}</definedName>
    <definedName name="____P0376001_1_2" hidden="1">{#N/A,#N/A,FALSE,"지침";#N/A,#N/A,FALSE,"환경분석";#N/A,#N/A,FALSE,"Sheet16"}</definedName>
    <definedName name="____P0376001_2" localSheetId="20" hidden="1">{#N/A,#N/A,FALSE,"지침";#N/A,#N/A,FALSE,"환경분석";#N/A,#N/A,FALSE,"Sheet16"}</definedName>
    <definedName name="____P0376001_2" hidden="1">{#N/A,#N/A,FALSE,"지침";#N/A,#N/A,FALSE,"환경분석";#N/A,#N/A,FALSE,"Sheet16"}</definedName>
    <definedName name="____PA01" localSheetId="20" hidden="1">{"'teste'!$B$2:$R$49"}</definedName>
    <definedName name="____PA01" hidden="1">{"'teste'!$B$2:$R$49"}</definedName>
    <definedName name="____PA01_1" localSheetId="20" hidden="1">{"'teste'!$B$2:$R$49"}</definedName>
    <definedName name="____PA01_1" hidden="1">{"'teste'!$B$2:$R$49"}</definedName>
    <definedName name="____PA01_1_1" localSheetId="20" hidden="1">{"'teste'!$B$2:$R$49"}</definedName>
    <definedName name="____PA01_1_1" hidden="1">{"'teste'!$B$2:$R$49"}</definedName>
    <definedName name="____PA01_1_1_1" localSheetId="20" hidden="1">{"'teste'!$B$2:$R$49"}</definedName>
    <definedName name="____PA01_1_1_1" hidden="1">{"'teste'!$B$2:$R$49"}</definedName>
    <definedName name="____PA01_1_2" localSheetId="20" hidden="1">{"'teste'!$B$2:$R$49"}</definedName>
    <definedName name="____PA01_1_2" hidden="1">{"'teste'!$B$2:$R$49"}</definedName>
    <definedName name="____PA01_2" localSheetId="20" hidden="1">{"'teste'!$B$2:$R$49"}</definedName>
    <definedName name="____PA01_2" hidden="1">{"'teste'!$B$2:$R$49"}</definedName>
    <definedName name="____PL1">#REF!</definedName>
    <definedName name="____PN10" localSheetId="20" hidden="1">{"'gráf jan00'!$A$1:$AK$41"}</definedName>
    <definedName name="____PN10" hidden="1">{"'gráf jan00'!$A$1:$AK$41"}</definedName>
    <definedName name="____PN10_1" localSheetId="20" hidden="1">{"'gráf jan00'!$A$1:$AK$41"}</definedName>
    <definedName name="____PN10_1" hidden="1">{"'gráf jan00'!$A$1:$AK$41"}</definedName>
    <definedName name="____PN10_1_1" localSheetId="20" hidden="1">{"'gráf jan00'!$A$1:$AK$41"}</definedName>
    <definedName name="____PN10_1_1" hidden="1">{"'gráf jan00'!$A$1:$AK$41"}</definedName>
    <definedName name="____PN10_1_1_1" localSheetId="20" hidden="1">{"'gráf jan00'!$A$1:$AK$41"}</definedName>
    <definedName name="____PN10_1_1_1" hidden="1">{"'gráf jan00'!$A$1:$AK$41"}</definedName>
    <definedName name="____PN10_1_2" localSheetId="20" hidden="1">{"'gráf jan00'!$A$1:$AK$41"}</definedName>
    <definedName name="____PN10_1_2" hidden="1">{"'gráf jan00'!$A$1:$AK$41"}</definedName>
    <definedName name="____PN10_2" localSheetId="20" hidden="1">{"'gráf jan00'!$A$1:$AK$41"}</definedName>
    <definedName name="____PN10_2" hidden="1">{"'gráf jan00'!$A$1:$AK$41"}</definedName>
    <definedName name="____r">#REF!</definedName>
    <definedName name="____r_11">#REF!</definedName>
    <definedName name="____r_15">#REF!</definedName>
    <definedName name="____Rbv1">'[8]Página 16'!$C$3:$C$7</definedName>
    <definedName name="____RP1">[11]!____RP1</definedName>
    <definedName name="____SE2">#REF!</definedName>
    <definedName name="____sjp4">#REF!</definedName>
    <definedName name="____STC04">#REF!</definedName>
    <definedName name="____tk2" localSheetId="20" hidden="1">{#N/A,#N/A,FALSE,"지침";#N/A,#N/A,FALSE,"환경분석";#N/A,#N/A,FALSE,"Sheet16"}</definedName>
    <definedName name="____tk2" hidden="1">{#N/A,#N/A,FALSE,"지침";#N/A,#N/A,FALSE,"환경분석";#N/A,#N/A,FALSE,"Sheet16"}</definedName>
    <definedName name="____tk2_1" localSheetId="20" hidden="1">{#N/A,#N/A,FALSE,"지침";#N/A,#N/A,FALSE,"환경분석";#N/A,#N/A,FALSE,"Sheet16"}</definedName>
    <definedName name="____tk2_1" hidden="1">{#N/A,#N/A,FALSE,"지침";#N/A,#N/A,FALSE,"환경분석";#N/A,#N/A,FALSE,"Sheet16"}</definedName>
    <definedName name="____tk2_1_1" localSheetId="20" hidden="1">{#N/A,#N/A,FALSE,"지침";#N/A,#N/A,FALSE,"환경분석";#N/A,#N/A,FALSE,"Sheet16"}</definedName>
    <definedName name="____tk2_1_1" hidden="1">{#N/A,#N/A,FALSE,"지침";#N/A,#N/A,FALSE,"환경분석";#N/A,#N/A,FALSE,"Sheet16"}</definedName>
    <definedName name="____tk2_1_1_1" localSheetId="20" hidden="1">{#N/A,#N/A,FALSE,"지침";#N/A,#N/A,FALSE,"환경분석";#N/A,#N/A,FALSE,"Sheet16"}</definedName>
    <definedName name="____tk2_1_1_1" hidden="1">{#N/A,#N/A,FALSE,"지침";#N/A,#N/A,FALSE,"환경분석";#N/A,#N/A,FALSE,"Sheet16"}</definedName>
    <definedName name="____tk2_1_2" localSheetId="20" hidden="1">{#N/A,#N/A,FALSE,"지침";#N/A,#N/A,FALSE,"환경분석";#N/A,#N/A,FALSE,"Sheet16"}</definedName>
    <definedName name="____tk2_1_2" hidden="1">{#N/A,#N/A,FALSE,"지침";#N/A,#N/A,FALSE,"환경분석";#N/A,#N/A,FALSE,"Sheet16"}</definedName>
    <definedName name="____tk2_2" localSheetId="20" hidden="1">{#N/A,#N/A,FALSE,"지침";#N/A,#N/A,FALSE,"환경분석";#N/A,#N/A,FALSE,"Sheet16"}</definedName>
    <definedName name="____tk2_2" hidden="1">{#N/A,#N/A,FALSE,"지침";#N/A,#N/A,FALSE,"환경분석";#N/A,#N/A,FALSE,"Sheet16"}</definedName>
    <definedName name="____TT1">#REF!</definedName>
    <definedName name="____TT2">#REF!</definedName>
    <definedName name="____TT4">#REF!</definedName>
    <definedName name="____TT5">#REF!</definedName>
    <definedName name="____WX2" localSheetId="20" hidden="1">{#N/A,#N/A,FALSE,"EXPORTAC";#N/A,#N/A,FALSE,"SUPEL94"}</definedName>
    <definedName name="____WX2" hidden="1">{#N/A,#N/A,FALSE,"EXPORTAC";#N/A,#N/A,FALSE,"SUPEL94"}</definedName>
    <definedName name="____WX2_1" localSheetId="20" hidden="1">{#N/A,#N/A,FALSE,"EXPORTAC";#N/A,#N/A,FALSE,"SUPEL94"}</definedName>
    <definedName name="____WX2_1" hidden="1">{#N/A,#N/A,FALSE,"EXPORTAC";#N/A,#N/A,FALSE,"SUPEL94"}</definedName>
    <definedName name="____WX2_1_1" localSheetId="20" hidden="1">{#N/A,#N/A,FALSE,"EXPORTAC";#N/A,#N/A,FALSE,"SUPEL94"}</definedName>
    <definedName name="____WX2_1_1" hidden="1">{#N/A,#N/A,FALSE,"EXPORTAC";#N/A,#N/A,FALSE,"SUPEL94"}</definedName>
    <definedName name="____WX2_1_1_1" localSheetId="20" hidden="1">{#N/A,#N/A,FALSE,"EXPORTAC";#N/A,#N/A,FALSE,"SUPEL94"}</definedName>
    <definedName name="____WX2_1_1_1" hidden="1">{#N/A,#N/A,FALSE,"EXPORTAC";#N/A,#N/A,FALSE,"SUPEL94"}</definedName>
    <definedName name="____WX2_1_2" localSheetId="20" hidden="1">{#N/A,#N/A,FALSE,"EXPORTAC";#N/A,#N/A,FALSE,"SUPEL94"}</definedName>
    <definedName name="____WX2_1_2" hidden="1">{#N/A,#N/A,FALSE,"EXPORTAC";#N/A,#N/A,FALSE,"SUPEL94"}</definedName>
    <definedName name="____WX2_2" localSheetId="20" hidden="1">{#N/A,#N/A,FALSE,"EXPORTAC";#N/A,#N/A,FALSE,"SUPEL94"}</definedName>
    <definedName name="____WX2_2" hidden="1">{#N/A,#N/A,FALSE,"EXPORTAC";#N/A,#N/A,FALSE,"SUPEL94"}</definedName>
    <definedName name="____x1" localSheetId="20" hidden="1">{#N/A,#N/A,FALSE,"EXPORTAC";#N/A,#N/A,FALSE,"SUPEL94"}</definedName>
    <definedName name="____x1" hidden="1">{#N/A,#N/A,FALSE,"EXPORTAC";#N/A,#N/A,FALSE,"SUPEL94"}</definedName>
    <definedName name="____x1_1" localSheetId="20" hidden="1">{#N/A,#N/A,FALSE,"EXPORTAC";#N/A,#N/A,FALSE,"SUPEL94"}</definedName>
    <definedName name="____x1_1" hidden="1">{#N/A,#N/A,FALSE,"EXPORTAC";#N/A,#N/A,FALSE,"SUPEL94"}</definedName>
    <definedName name="____x1_1_1" localSheetId="20" hidden="1">{#N/A,#N/A,FALSE,"EXPORTAC";#N/A,#N/A,FALSE,"SUPEL94"}</definedName>
    <definedName name="____x1_1_1" hidden="1">{#N/A,#N/A,FALSE,"EXPORTAC";#N/A,#N/A,FALSE,"SUPEL94"}</definedName>
    <definedName name="____x1_1_1_1" localSheetId="20" hidden="1">{#N/A,#N/A,FALSE,"EXPORTAC";#N/A,#N/A,FALSE,"SUPEL94"}</definedName>
    <definedName name="____x1_1_1_1" hidden="1">{#N/A,#N/A,FALSE,"EXPORTAC";#N/A,#N/A,FALSE,"SUPEL94"}</definedName>
    <definedName name="____x1_1_2" localSheetId="20" hidden="1">{#N/A,#N/A,FALSE,"EXPORTAC";#N/A,#N/A,FALSE,"SUPEL94"}</definedName>
    <definedName name="____x1_1_2" hidden="1">{#N/A,#N/A,FALSE,"EXPORTAC";#N/A,#N/A,FALSE,"SUPEL94"}</definedName>
    <definedName name="____x1_2" localSheetId="20" hidden="1">{#N/A,#N/A,FALSE,"EXPORTAC";#N/A,#N/A,FALSE,"SUPEL94"}</definedName>
    <definedName name="____x1_2" hidden="1">{#N/A,#N/A,FALSE,"EXPORTAC";#N/A,#N/A,FALSE,"SUPEL94"}</definedName>
    <definedName name="____x2" localSheetId="20" hidden="1">{#N/A,#N/A,FALSE,"GQGEMPRE"}</definedName>
    <definedName name="____x2" hidden="1">{#N/A,#N/A,FALSE,"GQGEMPRE"}</definedName>
    <definedName name="____x2_1" localSheetId="20" hidden="1">{#N/A,#N/A,FALSE,"GQGEMPRE"}</definedName>
    <definedName name="____x2_1" hidden="1">{#N/A,#N/A,FALSE,"GQGEMPRE"}</definedName>
    <definedName name="____x2_1_1" localSheetId="20" hidden="1">{#N/A,#N/A,FALSE,"GQGEMPRE"}</definedName>
    <definedName name="____x2_1_1" hidden="1">{#N/A,#N/A,FALSE,"GQGEMPRE"}</definedName>
    <definedName name="____x2_1_1_1" localSheetId="20" hidden="1">{#N/A,#N/A,FALSE,"GQGEMPRE"}</definedName>
    <definedName name="____x2_1_1_1" hidden="1">{#N/A,#N/A,FALSE,"GQGEMPRE"}</definedName>
    <definedName name="____x2_1_2" localSheetId="20" hidden="1">{#N/A,#N/A,FALSE,"GQGEMPRE"}</definedName>
    <definedName name="____x2_1_2" hidden="1">{#N/A,#N/A,FALSE,"GQGEMPRE"}</definedName>
    <definedName name="____x2_2" localSheetId="20" hidden="1">{#N/A,#N/A,FALSE,"GQGEMPRE"}</definedName>
    <definedName name="____x2_2" hidden="1">{#N/A,#N/A,FALSE,"GQGEMPRE"}</definedName>
    <definedName name="____xlfn_IFERROR">NA()</definedName>
    <definedName name="____xlfn_SUMIFS">#N/A</definedName>
    <definedName name="____xx1" localSheetId="20" hidden="1">{"'CptDifn'!$AA$32:$AG$32"}</definedName>
    <definedName name="____xx1" hidden="1">{"'CptDifn'!$AA$32:$AG$32"}</definedName>
    <definedName name="____xx1_1" localSheetId="20" hidden="1">{"'CptDifn'!$AA$32:$AG$32"}</definedName>
    <definedName name="____xx1_1" hidden="1">{"'CptDifn'!$AA$32:$AG$32"}</definedName>
    <definedName name="____xx1_1_1" localSheetId="20" hidden="1">{"'CptDifn'!$AA$32:$AG$32"}</definedName>
    <definedName name="____xx1_1_1" hidden="1">{"'CptDifn'!$AA$32:$AG$32"}</definedName>
    <definedName name="____xx1_1_1_1" localSheetId="20" hidden="1">{"'CptDifn'!$AA$32:$AG$32"}</definedName>
    <definedName name="____xx1_1_1_1" hidden="1">{"'CptDifn'!$AA$32:$AG$32"}</definedName>
    <definedName name="____xx1_1_2" localSheetId="20" hidden="1">{"'CptDifn'!$AA$32:$AG$32"}</definedName>
    <definedName name="____xx1_1_2" hidden="1">{"'CptDifn'!$AA$32:$AG$32"}</definedName>
    <definedName name="____xx1_2" localSheetId="20" hidden="1">{"'CptDifn'!$AA$32:$AG$32"}</definedName>
    <definedName name="____xx1_2" hidden="1">{"'CptDifn'!$AA$32:$AG$32"}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4Excel_BuiltIn_Print_Titles_17_1">#REF!,#REF!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localSheetId="20" hidden="1">{#N/A,#N/A,FALSE,"ANEXO3 99 ERA";#N/A,#N/A,FALSE,"ANEXO3 99 UBÁ2";#N/A,#N/A,FALSE,"ANEXO3 99 DTU";#N/A,#N/A,FALSE,"ANEXO3 99 RDR";#N/A,#N/A,FALSE,"ANEXO3 99 UBÁ4";#N/A,#N/A,FALSE,"ANEXO3 99 UBÁ6"}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[14]Calendário!$A$15</definedName>
    <definedName name="___ACA25">[15]DADOS!$C$17</definedName>
    <definedName name="___ACA50">[15]DADOS!$C$16</definedName>
    <definedName name="___ACC2" hidden="1">#REF!</definedName>
    <definedName name="___ACM30">#REF!</definedName>
    <definedName name="___adm1" localSheetId="20" hidden="1">{"'Índice'!$A$1:$K$49"}</definedName>
    <definedName name="___adm1" hidden="1">{"'Índice'!$A$1:$K$49"}</definedName>
    <definedName name="___adm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 localSheetId="20" hidden="1">{"'gráf jan00'!$A$1:$AK$41"}</definedName>
    <definedName name="___Ago1" localSheetId="21">#REF!</definedName>
    <definedName name="___Ago1">[14]Calendário!$I$24</definedName>
    <definedName name="___ago1_1" localSheetId="20" hidden="1">{"'gráf jan00'!$A$1:$AK$41"}</definedName>
    <definedName name="___ago1_1" hidden="1">{"'gráf jan00'!$A$1:$AK$41"}</definedName>
    <definedName name="___ago1_1_1" localSheetId="20" hidden="1">{"'gráf jan00'!$A$1:$AK$41"}</definedName>
    <definedName name="___ago1_1_1" hidden="1">{"'gráf jan00'!$A$1:$AK$41"}</definedName>
    <definedName name="___ago1_1_1_1" localSheetId="20" hidden="1">{"'gráf jan00'!$A$1:$AK$41"}</definedName>
    <definedName name="___ago1_1_1_1" hidden="1">{"'gráf jan00'!$A$1:$AK$41"}</definedName>
    <definedName name="___ago1_1_2" localSheetId="20" hidden="1">{"'gráf jan00'!$A$1:$AK$41"}</definedName>
    <definedName name="___ago1_1_2" hidden="1">{"'gráf jan00'!$A$1:$AK$41"}</definedName>
    <definedName name="___ago1_2" localSheetId="20" hidden="1">{"'gráf jan00'!$A$1:$AK$41"}</definedName>
    <definedName name="___ago1_2" hidden="1">{"'gráf jan00'!$A$1:$AK$41"}</definedName>
    <definedName name="___ago10" localSheetId="20" hidden="1">{"'gráf jan00'!$A$1:$AK$41"}</definedName>
    <definedName name="___ago10" hidden="1">{"'gráf jan00'!$A$1:$AK$41"}</definedName>
    <definedName name="___ago10_1" localSheetId="20" hidden="1">{"'gráf jan00'!$A$1:$AK$41"}</definedName>
    <definedName name="___ago10_1" hidden="1">{"'gráf jan00'!$A$1:$AK$41"}</definedName>
    <definedName name="___ago10_1_1" localSheetId="20" hidden="1">{"'gráf jan00'!$A$1:$AK$41"}</definedName>
    <definedName name="___ago10_1_1" hidden="1">{"'gráf jan00'!$A$1:$AK$41"}</definedName>
    <definedName name="___ago10_1_1_1" localSheetId="20" hidden="1">{"'gráf jan00'!$A$1:$AK$41"}</definedName>
    <definedName name="___ago10_1_1_1" hidden="1">{"'gráf jan00'!$A$1:$AK$41"}</definedName>
    <definedName name="___ago10_1_2" localSheetId="20" hidden="1">{"'gráf jan00'!$A$1:$AK$41"}</definedName>
    <definedName name="___ago10_1_2" hidden="1">{"'gráf jan00'!$A$1:$AK$41"}</definedName>
    <definedName name="___ago10_2" localSheetId="20" hidden="1">{"'gráf jan00'!$A$1:$AK$41"}</definedName>
    <definedName name="___ago10_2" hidden="1">{"'gráf jan00'!$A$1:$AK$41"}</definedName>
    <definedName name="___ago2" localSheetId="20" hidden="1">{"'gráf jan00'!$A$1:$AK$41"}</definedName>
    <definedName name="___ago2" hidden="1">{"'gráf jan00'!$A$1:$AK$41"}</definedName>
    <definedName name="___ago2_1" localSheetId="20" hidden="1">{"'gráf jan00'!$A$1:$AK$41"}</definedName>
    <definedName name="___ago2_1" hidden="1">{"'gráf jan00'!$A$1:$AK$41"}</definedName>
    <definedName name="___ago2_1_1" localSheetId="20" hidden="1">{"'gráf jan00'!$A$1:$AK$41"}</definedName>
    <definedName name="___ago2_1_1" hidden="1">{"'gráf jan00'!$A$1:$AK$41"}</definedName>
    <definedName name="___ago2_1_1_1" localSheetId="20" hidden="1">{"'gráf jan00'!$A$1:$AK$41"}</definedName>
    <definedName name="___ago2_1_1_1" hidden="1">{"'gráf jan00'!$A$1:$AK$41"}</definedName>
    <definedName name="___ago2_1_2" localSheetId="20" hidden="1">{"'gráf jan00'!$A$1:$AK$41"}</definedName>
    <definedName name="___ago2_1_2" hidden="1">{"'gráf jan00'!$A$1:$AK$41"}</definedName>
    <definedName name="___ago2_2" localSheetId="20" hidden="1">{"'gráf jan00'!$A$1:$AK$41"}</definedName>
    <definedName name="___ago2_2" hidden="1">{"'gráf jan00'!$A$1:$AK$41"}</definedName>
    <definedName name="___ago3" localSheetId="20" hidden="1">{"'gráf jan00'!$A$1:$AK$41"}</definedName>
    <definedName name="___ago3" hidden="1">{"'gráf jan00'!$A$1:$AK$41"}</definedName>
    <definedName name="___ago3_1" localSheetId="20" hidden="1">{"'gráf jan00'!$A$1:$AK$41"}</definedName>
    <definedName name="___ago3_1" hidden="1">{"'gráf jan00'!$A$1:$AK$41"}</definedName>
    <definedName name="___ago3_1_1" localSheetId="20" hidden="1">{"'gráf jan00'!$A$1:$AK$41"}</definedName>
    <definedName name="___ago3_1_1" hidden="1">{"'gráf jan00'!$A$1:$AK$41"}</definedName>
    <definedName name="___ago3_1_1_1" localSheetId="20" hidden="1">{"'gráf jan00'!$A$1:$AK$41"}</definedName>
    <definedName name="___ago3_1_1_1" hidden="1">{"'gráf jan00'!$A$1:$AK$41"}</definedName>
    <definedName name="___ago3_1_2" localSheetId="20" hidden="1">{"'gráf jan00'!$A$1:$AK$41"}</definedName>
    <definedName name="___ago3_1_2" hidden="1">{"'gráf jan00'!$A$1:$AK$41"}</definedName>
    <definedName name="___ago3_2" localSheetId="20" hidden="1">{"'gráf jan00'!$A$1:$AK$41"}</definedName>
    <definedName name="___ago3_2" hidden="1">{"'gráf jan00'!$A$1:$AK$41"}</definedName>
    <definedName name="___ago4" localSheetId="20" hidden="1">{"'gráf jan00'!$A$1:$AK$41"}</definedName>
    <definedName name="___ago4" hidden="1">{"'gráf jan00'!$A$1:$AK$41"}</definedName>
    <definedName name="___ago4_1" localSheetId="20" hidden="1">{"'gráf jan00'!$A$1:$AK$41"}</definedName>
    <definedName name="___ago4_1" hidden="1">{"'gráf jan00'!$A$1:$AK$41"}</definedName>
    <definedName name="___ago4_1_1" localSheetId="20" hidden="1">{"'gráf jan00'!$A$1:$AK$41"}</definedName>
    <definedName name="___ago4_1_1" hidden="1">{"'gráf jan00'!$A$1:$AK$41"}</definedName>
    <definedName name="___ago4_1_1_1" localSheetId="20" hidden="1">{"'gráf jan00'!$A$1:$AK$41"}</definedName>
    <definedName name="___ago4_1_1_1" hidden="1">{"'gráf jan00'!$A$1:$AK$41"}</definedName>
    <definedName name="___ago4_1_2" localSheetId="20" hidden="1">{"'gráf jan00'!$A$1:$AK$41"}</definedName>
    <definedName name="___ago4_1_2" hidden="1">{"'gráf jan00'!$A$1:$AK$41"}</definedName>
    <definedName name="___ago4_2" localSheetId="20" hidden="1">{"'gráf jan00'!$A$1:$AK$41"}</definedName>
    <definedName name="___ago4_2" hidden="1">{"'gráf jan00'!$A$1:$AK$41"}</definedName>
    <definedName name="___ago5" localSheetId="20" hidden="1">{"'gráf jan00'!$A$1:$AK$41"}</definedName>
    <definedName name="___ago5" hidden="1">{"'gráf jan00'!$A$1:$AK$41"}</definedName>
    <definedName name="___ago5_1" localSheetId="20" hidden="1">{"'gráf jan00'!$A$1:$AK$41"}</definedName>
    <definedName name="___ago5_1" hidden="1">{"'gráf jan00'!$A$1:$AK$41"}</definedName>
    <definedName name="___ago5_1_1" localSheetId="20" hidden="1">{"'gráf jan00'!$A$1:$AK$41"}</definedName>
    <definedName name="___ago5_1_1" hidden="1">{"'gráf jan00'!$A$1:$AK$41"}</definedName>
    <definedName name="___ago5_1_1_1" localSheetId="20" hidden="1">{"'gráf jan00'!$A$1:$AK$41"}</definedName>
    <definedName name="___ago5_1_1_1" hidden="1">{"'gráf jan00'!$A$1:$AK$41"}</definedName>
    <definedName name="___ago5_1_2" localSheetId="20" hidden="1">{"'gráf jan00'!$A$1:$AK$41"}</definedName>
    <definedName name="___ago5_1_2" hidden="1">{"'gráf jan00'!$A$1:$AK$41"}</definedName>
    <definedName name="___ago5_2" localSheetId="20" hidden="1">{"'gráf jan00'!$A$1:$AK$41"}</definedName>
    <definedName name="___ago5_2" hidden="1">{"'gráf jan00'!$A$1:$AK$41"}</definedName>
    <definedName name="___ago6" localSheetId="20" hidden="1">{"'gráf jan00'!$A$1:$AK$41"}</definedName>
    <definedName name="___ago6" hidden="1">{"'gráf jan00'!$A$1:$AK$41"}</definedName>
    <definedName name="___ago6_1" localSheetId="20" hidden="1">{"'gráf jan00'!$A$1:$AK$41"}</definedName>
    <definedName name="___ago6_1" hidden="1">{"'gráf jan00'!$A$1:$AK$41"}</definedName>
    <definedName name="___ago6_1_1" localSheetId="20" hidden="1">{"'gráf jan00'!$A$1:$AK$41"}</definedName>
    <definedName name="___ago6_1_1" hidden="1">{"'gráf jan00'!$A$1:$AK$41"}</definedName>
    <definedName name="___ago6_1_1_1" localSheetId="20" hidden="1">{"'gráf jan00'!$A$1:$AK$41"}</definedName>
    <definedName name="___ago6_1_1_1" hidden="1">{"'gráf jan00'!$A$1:$AK$41"}</definedName>
    <definedName name="___ago6_1_2" localSheetId="20" hidden="1">{"'gráf jan00'!$A$1:$AK$41"}</definedName>
    <definedName name="___ago6_1_2" hidden="1">{"'gráf jan00'!$A$1:$AK$41"}</definedName>
    <definedName name="___ago6_2" localSheetId="20" hidden="1">{"'gráf jan00'!$A$1:$AK$41"}</definedName>
    <definedName name="___ago6_2" hidden="1">{"'gráf jan00'!$A$1:$AK$41"}</definedName>
    <definedName name="___ago7" localSheetId="20" hidden="1">{"'gráf jan00'!$A$1:$AK$41"}</definedName>
    <definedName name="___ago7" hidden="1">{"'gráf jan00'!$A$1:$AK$41"}</definedName>
    <definedName name="___ago7_1" localSheetId="20" hidden="1">{"'gráf jan00'!$A$1:$AK$41"}</definedName>
    <definedName name="___ago7_1" hidden="1">{"'gráf jan00'!$A$1:$AK$41"}</definedName>
    <definedName name="___ago7_1_1" localSheetId="20" hidden="1">{"'gráf jan00'!$A$1:$AK$41"}</definedName>
    <definedName name="___ago7_1_1" hidden="1">{"'gráf jan00'!$A$1:$AK$41"}</definedName>
    <definedName name="___ago7_1_1_1" localSheetId="20" hidden="1">{"'gráf jan00'!$A$1:$AK$41"}</definedName>
    <definedName name="___ago7_1_1_1" hidden="1">{"'gráf jan00'!$A$1:$AK$41"}</definedName>
    <definedName name="___ago7_1_2" localSheetId="20" hidden="1">{"'gráf jan00'!$A$1:$AK$41"}</definedName>
    <definedName name="___ago7_1_2" hidden="1">{"'gráf jan00'!$A$1:$AK$41"}</definedName>
    <definedName name="___ago7_2" localSheetId="20" hidden="1">{"'gráf jan00'!$A$1:$AK$41"}</definedName>
    <definedName name="___ago7_2" hidden="1">{"'gráf jan00'!$A$1:$AK$41"}</definedName>
    <definedName name="___ago8" localSheetId="20" hidden="1">{"'gráf jan00'!$A$1:$AK$41"}</definedName>
    <definedName name="___ago8" hidden="1">{"'gráf jan00'!$A$1:$AK$41"}</definedName>
    <definedName name="___ago8_1" localSheetId="20" hidden="1">{"'gráf jan00'!$A$1:$AK$41"}</definedName>
    <definedName name="___ago8_1" hidden="1">{"'gráf jan00'!$A$1:$AK$41"}</definedName>
    <definedName name="___ago8_1_1" localSheetId="20" hidden="1">{"'gráf jan00'!$A$1:$AK$41"}</definedName>
    <definedName name="___ago8_1_1" hidden="1">{"'gráf jan00'!$A$1:$AK$41"}</definedName>
    <definedName name="___ago8_1_1_1" localSheetId="20" hidden="1">{"'gráf jan00'!$A$1:$AK$41"}</definedName>
    <definedName name="___ago8_1_1_1" hidden="1">{"'gráf jan00'!$A$1:$AK$41"}</definedName>
    <definedName name="___ago8_1_2" localSheetId="20" hidden="1">{"'gráf jan00'!$A$1:$AK$41"}</definedName>
    <definedName name="___ago8_1_2" hidden="1">{"'gráf jan00'!$A$1:$AK$41"}</definedName>
    <definedName name="___ago8_2" localSheetId="20" hidden="1">{"'gráf jan00'!$A$1:$AK$41"}</definedName>
    <definedName name="___ago8_2" hidden="1">{"'gráf jan00'!$A$1:$AK$41"}</definedName>
    <definedName name="___ago9" localSheetId="20" hidden="1">{"'gráf jan00'!$A$1:$AK$41"}</definedName>
    <definedName name="___ago9" hidden="1">{"'gráf jan00'!$A$1:$AK$41"}</definedName>
    <definedName name="___ago9_1" localSheetId="20" hidden="1">{"'gráf jan00'!$A$1:$AK$41"}</definedName>
    <definedName name="___ago9_1" hidden="1">{"'gráf jan00'!$A$1:$AK$41"}</definedName>
    <definedName name="___ago9_1_1" localSheetId="20" hidden="1">{"'gráf jan00'!$A$1:$AK$41"}</definedName>
    <definedName name="___ago9_1_1" hidden="1">{"'gráf jan00'!$A$1:$AK$41"}</definedName>
    <definedName name="___ago9_1_1_1" localSheetId="20" hidden="1">{"'gráf jan00'!$A$1:$AK$41"}</definedName>
    <definedName name="___ago9_1_1_1" hidden="1">{"'gráf jan00'!$A$1:$AK$41"}</definedName>
    <definedName name="___ago9_1_2" localSheetId="20" hidden="1">{"'gráf jan00'!$A$1:$AK$41"}</definedName>
    <definedName name="___ago9_1_2" hidden="1">{"'gráf jan00'!$A$1:$AK$41"}</definedName>
    <definedName name="___ago9_2" localSheetId="20" hidden="1">{"'gráf jan00'!$A$1:$AK$41"}</definedName>
    <definedName name="___ago9_2" hidden="1">{"'gráf jan00'!$A$1:$AK$41"}</definedName>
    <definedName name="___ago99999" localSheetId="20" hidden="1">{"'gráf jan00'!$A$1:$AK$41"}</definedName>
    <definedName name="___ago99999" hidden="1">{"'gráf jan00'!$A$1:$AK$41"}</definedName>
    <definedName name="___ago99999_1" localSheetId="20" hidden="1">{"'gráf jan00'!$A$1:$AK$41"}</definedName>
    <definedName name="___ago99999_1" hidden="1">{"'gráf jan00'!$A$1:$AK$41"}</definedName>
    <definedName name="___ago99999_1_1" localSheetId="20" hidden="1">{"'gráf jan00'!$A$1:$AK$41"}</definedName>
    <definedName name="___ago99999_1_1" hidden="1">{"'gráf jan00'!$A$1:$AK$41"}</definedName>
    <definedName name="___ago99999_1_1_1" localSheetId="20" hidden="1">{"'gráf jan00'!$A$1:$AK$41"}</definedName>
    <definedName name="___ago99999_1_1_1" hidden="1">{"'gráf jan00'!$A$1:$AK$41"}</definedName>
    <definedName name="___ago99999_1_2" localSheetId="20" hidden="1">{"'gráf jan00'!$A$1:$AK$41"}</definedName>
    <definedName name="___ago99999_1_2" hidden="1">{"'gráf jan00'!$A$1:$AK$41"}</definedName>
    <definedName name="___ago99999_2" localSheetId="20" hidden="1">{"'gráf jan00'!$A$1:$AK$41"}</definedName>
    <definedName name="___ago99999_2" hidden="1">{"'gráf jan00'!$A$1:$AK$41"}</definedName>
    <definedName name="___arg13">"$#REF!.$H$31"</definedName>
    <definedName name="___arg16">"$#REF!.$H$55"</definedName>
    <definedName name="___arq1" localSheetId="20" hidden="1">{"'REL CUSTODIF'!$B$1:$H$72"}</definedName>
    <definedName name="___arq1" hidden="1">{"'REL CUSTODIF'!$B$1:$H$72"}</definedName>
    <definedName name="___ATD1">[16]PATO!$G$42</definedName>
    <definedName name="___bm03" localSheetId="20" hidden="1">{#N/A,#N/A,FALSE,"CPV";#N/A,#N/A,FALSE,"Pareto";#N/A,#N/A,FALSE,"Gráficos"}</definedName>
    <definedName name="___bm03" hidden="1">{#N/A,#N/A,FALSE,"CPV";#N/A,#N/A,FALSE,"Pareto";#N/A,#N/A,FALSE,"Gráficos"}</definedName>
    <definedName name="___bm03_1" localSheetId="20" hidden="1">{#N/A,#N/A,FALSE,"CPV";#N/A,#N/A,FALSE,"Pareto";#N/A,#N/A,FALSE,"Gráficos"}</definedName>
    <definedName name="___bm03_1" hidden="1">{#N/A,#N/A,FALSE,"CPV";#N/A,#N/A,FALSE,"Pareto";#N/A,#N/A,FALSE,"Gráficos"}</definedName>
    <definedName name="___br4">#REF!</definedName>
    <definedName name="___CCM30">[16]PATO!#REF!</definedName>
    <definedName name="___ccm30.1">[16]PATO!#REF!</definedName>
    <definedName name="___CMM30">[15]DADOS!$B$39</definedName>
    <definedName name="___COL36">#REF!</definedName>
    <definedName name="___COL37">#REF!</definedName>
    <definedName name="___COL38">#REF!</definedName>
    <definedName name="___DEF2" localSheetId="20" hidden="1">{#N/A,#N/A,FALSE,"DEF1";#N/A,#N/A,FALSE,"DEF2";#N/A,#N/A,FALSE,"DEF3"}</definedName>
    <definedName name="___DEF2" hidden="1">{#N/A,#N/A,FALSE,"DEF1";#N/A,#N/A,FALSE,"DEF2";#N/A,#N/A,FALSE,"DEF3"}</definedName>
    <definedName name="___DEF2_1" localSheetId="20" hidden="1">{#N/A,#N/A,FALSE,"DEF1";#N/A,#N/A,FALSE,"DEF2";#N/A,#N/A,FALSE,"DEF3"}</definedName>
    <definedName name="___DEF2_1" hidden="1">{#N/A,#N/A,FALSE,"DEF1";#N/A,#N/A,FALSE,"DEF2";#N/A,#N/A,FALSE,"DEF3"}</definedName>
    <definedName name="___DEF2_1_1" localSheetId="20" hidden="1">{#N/A,#N/A,FALSE,"DEF1";#N/A,#N/A,FALSE,"DEF2";#N/A,#N/A,FALSE,"DEF3"}</definedName>
    <definedName name="___DEF2_1_1" hidden="1">{#N/A,#N/A,FALSE,"DEF1";#N/A,#N/A,FALSE,"DEF2";#N/A,#N/A,FALSE,"DEF3"}</definedName>
    <definedName name="___DEF2_1_1_1" localSheetId="20" hidden="1">{#N/A,#N/A,FALSE,"DEF1";#N/A,#N/A,FALSE,"DEF2";#N/A,#N/A,FALSE,"DEF3"}</definedName>
    <definedName name="___DEF2_1_1_1" hidden="1">{#N/A,#N/A,FALSE,"DEF1";#N/A,#N/A,FALSE,"DEF2";#N/A,#N/A,FALSE,"DEF3"}</definedName>
    <definedName name="___DEF2_1_2" localSheetId="20" hidden="1">{#N/A,#N/A,FALSE,"DEF1";#N/A,#N/A,FALSE,"DEF2";#N/A,#N/A,FALSE,"DEF3"}</definedName>
    <definedName name="___DEF2_1_2" hidden="1">{#N/A,#N/A,FALSE,"DEF1";#N/A,#N/A,FALSE,"DEF2";#N/A,#N/A,FALSE,"DEF3"}</definedName>
    <definedName name="___DEF2_2" localSheetId="20" hidden="1">{#N/A,#N/A,FALSE,"DEF1";#N/A,#N/A,FALSE,"DEF2";#N/A,#N/A,FALSE,"DEF3"}</definedName>
    <definedName name="___DEF2_2" hidden="1">{#N/A,#N/A,FALSE,"DEF1";#N/A,#N/A,FALSE,"DEF2";#N/A,#N/A,FALSE,"DEF3"}</definedName>
    <definedName name="___DEF3" localSheetId="20" hidden="1">{#N/A,#N/A,FALSE,"DEF1";#N/A,#N/A,FALSE,"DEF2";#N/A,#N/A,FALSE,"DEF3"}</definedName>
    <definedName name="___DEF3" hidden="1">{#N/A,#N/A,FALSE,"DEF1";#N/A,#N/A,FALSE,"DEF2";#N/A,#N/A,FALSE,"DEF3"}</definedName>
    <definedName name="___DEF3_1" localSheetId="20" hidden="1">{#N/A,#N/A,FALSE,"DEF1";#N/A,#N/A,FALSE,"DEF2";#N/A,#N/A,FALSE,"DEF3"}</definedName>
    <definedName name="___DEF3_1" hidden="1">{#N/A,#N/A,FALSE,"DEF1";#N/A,#N/A,FALSE,"DEF2";#N/A,#N/A,FALSE,"DEF3"}</definedName>
    <definedName name="___DEF3_1_1" localSheetId="20" hidden="1">{#N/A,#N/A,FALSE,"DEF1";#N/A,#N/A,FALSE,"DEF2";#N/A,#N/A,FALSE,"DEF3"}</definedName>
    <definedName name="___DEF3_1_1" hidden="1">{#N/A,#N/A,FALSE,"DEF1";#N/A,#N/A,FALSE,"DEF2";#N/A,#N/A,FALSE,"DEF3"}</definedName>
    <definedName name="___DEF3_1_1_1" localSheetId="20" hidden="1">{#N/A,#N/A,FALSE,"DEF1";#N/A,#N/A,FALSE,"DEF2";#N/A,#N/A,FALSE,"DEF3"}</definedName>
    <definedName name="___DEF3_1_1_1" hidden="1">{#N/A,#N/A,FALSE,"DEF1";#N/A,#N/A,FALSE,"DEF2";#N/A,#N/A,FALSE,"DEF3"}</definedName>
    <definedName name="___DEF3_1_2" localSheetId="20" hidden="1">{#N/A,#N/A,FALSE,"DEF1";#N/A,#N/A,FALSE,"DEF2";#N/A,#N/A,FALSE,"DEF3"}</definedName>
    <definedName name="___DEF3_1_2" hidden="1">{#N/A,#N/A,FALSE,"DEF1";#N/A,#N/A,FALSE,"DEF2";#N/A,#N/A,FALSE,"DEF3"}</definedName>
    <definedName name="___DEF3_2" localSheetId="20" hidden="1">{#N/A,#N/A,FALSE,"DEF1";#N/A,#N/A,FALSE,"DEF2";#N/A,#N/A,FALSE,"DEF3"}</definedName>
    <definedName name="___DEF3_2" hidden="1">{#N/A,#N/A,FALSE,"DEF1";#N/A,#N/A,FALSE,"DEF2";#N/A,#N/A,FALSE,"DEF3"}</definedName>
    <definedName name="___Dez1">[14]Calendário!$Q$33</definedName>
    <definedName name="___DFG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CT12">#REF!</definedName>
    <definedName name="___ECT3">#REF!</definedName>
    <definedName name="___efc10" localSheetId="20" hidden="1">{"'RR'!$A$2:$E$81"}</definedName>
    <definedName name="___efc10" hidden="1">{"'RR'!$A$2:$E$81"}</definedName>
    <definedName name="___efc10_1" localSheetId="20" hidden="1">{"'RR'!$A$2:$E$81"}</definedName>
    <definedName name="___efc10_1" hidden="1">{"'RR'!$A$2:$E$81"}</definedName>
    <definedName name="___efc10_1_1" localSheetId="20" hidden="1">{"'RR'!$A$2:$E$81"}</definedName>
    <definedName name="___efc10_1_1" hidden="1">{"'RR'!$A$2:$E$81"}</definedName>
    <definedName name="___efc10_1_1_1" localSheetId="20" hidden="1">{"'RR'!$A$2:$E$81"}</definedName>
    <definedName name="___efc10_1_1_1" hidden="1">{"'RR'!$A$2:$E$81"}</definedName>
    <definedName name="___efc10_1_2" localSheetId="20" hidden="1">{"'RR'!$A$2:$E$81"}</definedName>
    <definedName name="___efc10_1_2" hidden="1">{"'RR'!$A$2:$E$81"}</definedName>
    <definedName name="___efc10_2" localSheetId="20" hidden="1">{"'RR'!$A$2:$E$81"}</definedName>
    <definedName name="___efc10_2" hidden="1">{"'RR'!$A$2:$E$81"}</definedName>
    <definedName name="___EFC2" localSheetId="20" hidden="1">{"'RR'!$A$2:$E$81"}</definedName>
    <definedName name="___EFC2" hidden="1">{"'RR'!$A$2:$E$81"}</definedName>
    <definedName name="___EFC2_1" localSheetId="20" hidden="1">{"'RR'!$A$2:$E$81"}</definedName>
    <definedName name="___EFC2_1" hidden="1">{"'RR'!$A$2:$E$81"}</definedName>
    <definedName name="___EFC2_1_1" localSheetId="20" hidden="1">{"'RR'!$A$2:$E$81"}</definedName>
    <definedName name="___EFC2_1_1" hidden="1">{"'RR'!$A$2:$E$81"}</definedName>
    <definedName name="___EFC2_1_1_1" localSheetId="20" hidden="1">{"'RR'!$A$2:$E$81"}</definedName>
    <definedName name="___EFC2_1_1_1" hidden="1">{"'RR'!$A$2:$E$81"}</definedName>
    <definedName name="___EFC2_1_2" localSheetId="20" hidden="1">{"'RR'!$A$2:$E$81"}</definedName>
    <definedName name="___EFC2_1_2" hidden="1">{"'RR'!$A$2:$E$81"}</definedName>
    <definedName name="___EFC2_2" localSheetId="20" hidden="1">{"'RR'!$A$2:$E$81"}</definedName>
    <definedName name="___EFC2_2" hidden="1">{"'RR'!$A$2:$E$81"}</definedName>
    <definedName name="___EFC3" localSheetId="20" hidden="1">{"'RR'!$A$2:$E$81"}</definedName>
    <definedName name="___EFC3" hidden="1">{"'RR'!$A$2:$E$81"}</definedName>
    <definedName name="___EFC3_1" localSheetId="20" hidden="1">{"'RR'!$A$2:$E$81"}</definedName>
    <definedName name="___EFC3_1" hidden="1">{"'RR'!$A$2:$E$81"}</definedName>
    <definedName name="___EFC3_1_1" localSheetId="20" hidden="1">{"'RR'!$A$2:$E$81"}</definedName>
    <definedName name="___EFC3_1_1" hidden="1">{"'RR'!$A$2:$E$81"}</definedName>
    <definedName name="___EFC3_1_1_1" localSheetId="20" hidden="1">{"'RR'!$A$2:$E$81"}</definedName>
    <definedName name="___EFC3_1_1_1" hidden="1">{"'RR'!$A$2:$E$81"}</definedName>
    <definedName name="___EFC3_1_2" localSheetId="20" hidden="1">{"'RR'!$A$2:$E$81"}</definedName>
    <definedName name="___EFC3_1_2" hidden="1">{"'RR'!$A$2:$E$81"}</definedName>
    <definedName name="___EFC3_2" localSheetId="20" hidden="1">{"'RR'!$A$2:$E$81"}</definedName>
    <definedName name="___EFC3_2" hidden="1">{"'RR'!$A$2:$E$81"}</definedName>
    <definedName name="___EFC4" localSheetId="20" hidden="1">{"'RR'!$A$2:$E$81"}</definedName>
    <definedName name="___EFC4" hidden="1">{"'RR'!$A$2:$E$81"}</definedName>
    <definedName name="___EFC4_1" localSheetId="20" hidden="1">{"'RR'!$A$2:$E$81"}</definedName>
    <definedName name="___EFC4_1" hidden="1">{"'RR'!$A$2:$E$81"}</definedName>
    <definedName name="___EFC4_1_1" localSheetId="20" hidden="1">{"'RR'!$A$2:$E$81"}</definedName>
    <definedName name="___EFC4_1_1" hidden="1">{"'RR'!$A$2:$E$81"}</definedName>
    <definedName name="___EFC4_1_1_1" localSheetId="20" hidden="1">{"'RR'!$A$2:$E$81"}</definedName>
    <definedName name="___EFC4_1_1_1" hidden="1">{"'RR'!$A$2:$E$81"}</definedName>
    <definedName name="___EFC4_1_2" localSheetId="20" hidden="1">{"'RR'!$A$2:$E$81"}</definedName>
    <definedName name="___EFC4_1_2" hidden="1">{"'RR'!$A$2:$E$81"}</definedName>
    <definedName name="___EFC4_2" localSheetId="20" hidden="1">{"'RR'!$A$2:$E$81"}</definedName>
    <definedName name="___EFC4_2" hidden="1">{"'RR'!$A$2:$E$81"}</definedName>
    <definedName name="___Ext2" localSheetId="21">#REF!</definedName>
    <definedName name="___Ext2">'[9]P A T O 99 B'!#REF!</definedName>
    <definedName name="___Ext2_11">'[9]P A T O 99 B'!#REF!</definedName>
    <definedName name="___F12" localSheetId="20" hidden="1">{#N/A,#N/A,FALSE,"ET-CAPA";#N/A,#N/A,FALSE,"ET-PAG1";#N/A,#N/A,FALSE,"ET-PAG2";#N/A,#N/A,FALSE,"ET-PAG3";#N/A,#N/A,FALSE,"ET-PAG4";#N/A,#N/A,FALSE,"ET-PAG5"}</definedName>
    <definedName name="___F12" hidden="1">{#N/A,#N/A,FALSE,"ET-CAPA";#N/A,#N/A,FALSE,"ET-PAG1";#N/A,#N/A,FALSE,"ET-PAG2";#N/A,#N/A,FALSE,"ET-PAG3";#N/A,#N/A,FALSE,"ET-PAG4";#N/A,#N/A,FALSE,"ET-PAG5"}</definedName>
    <definedName name="___F12_1" localSheetId="20" hidden="1">{#N/A,#N/A,FALSE,"ET-CAPA";#N/A,#N/A,FALSE,"ET-PAG1";#N/A,#N/A,FALSE,"ET-PAG2";#N/A,#N/A,FALSE,"ET-PAG3";#N/A,#N/A,FALSE,"ET-PAG4";#N/A,#N/A,FALSE,"ET-PAG5"}</definedName>
    <definedName name="___F12_1" hidden="1">{#N/A,#N/A,FALSE,"ET-CAPA";#N/A,#N/A,FALSE,"ET-PAG1";#N/A,#N/A,FALSE,"ET-PAG2";#N/A,#N/A,FALSE,"ET-PAG3";#N/A,#N/A,FALSE,"ET-PAG4";#N/A,#N/A,FALSE,"ET-PAG5"}</definedName>
    <definedName name="___F15" localSheetId="20" hidden="1">{#N/A,#N/A,FALSE,"ET-CAPA";#N/A,#N/A,FALSE,"ET-PAG1";#N/A,#N/A,FALSE,"ET-PAG2";#N/A,#N/A,FALSE,"ET-PAG3";#N/A,#N/A,FALSE,"ET-PAG4";#N/A,#N/A,FALSE,"ET-PAG5"}</definedName>
    <definedName name="___F15" hidden="1">{#N/A,#N/A,FALSE,"ET-CAPA";#N/A,#N/A,FALSE,"ET-PAG1";#N/A,#N/A,FALSE,"ET-PAG2";#N/A,#N/A,FALSE,"ET-PAG3";#N/A,#N/A,FALSE,"ET-PAG4";#N/A,#N/A,FALSE,"ET-PAG5"}</definedName>
    <definedName name="___F15_1" localSheetId="20" hidden="1">{#N/A,#N/A,FALSE,"ET-CAPA";#N/A,#N/A,FALSE,"ET-PAG1";#N/A,#N/A,FALSE,"ET-PAG2";#N/A,#N/A,FALSE,"ET-PAG3";#N/A,#N/A,FALSE,"ET-PAG4";#N/A,#N/A,FALSE,"ET-PAG5"}</definedName>
    <definedName name="___F15_1" hidden="1">{#N/A,#N/A,FALSE,"ET-CAPA";#N/A,#N/A,FALSE,"ET-PAG1";#N/A,#N/A,FALSE,"ET-PAG2";#N/A,#N/A,FALSE,"ET-PAG3";#N/A,#N/A,FALSE,"ET-PAG4";#N/A,#N/A,FALSE,"ET-PAG5"}</definedName>
    <definedName name="___Fev1">[14]Calendário!$I$6</definedName>
    <definedName name="___ffp16" localSheetId="20" hidden="1">{"'gráf jan00'!$A$1:$AK$41"}</definedName>
    <definedName name="___ffp16" hidden="1">{"'gráf jan00'!$A$1:$AK$41"}</definedName>
    <definedName name="___ffp16_1" localSheetId="20" hidden="1">{"'gráf jan00'!$A$1:$AK$41"}</definedName>
    <definedName name="___ffp16_1" hidden="1">{"'gráf jan00'!$A$1:$AK$41"}</definedName>
    <definedName name="___ffp16_1_1" localSheetId="20" hidden="1">{"'gráf jan00'!$A$1:$AK$41"}</definedName>
    <definedName name="___ffp16_1_1" hidden="1">{"'gráf jan00'!$A$1:$AK$41"}</definedName>
    <definedName name="___ffp16_1_1_1" localSheetId="20" hidden="1">{"'gráf jan00'!$A$1:$AK$41"}</definedName>
    <definedName name="___ffp16_1_1_1" hidden="1">{"'gráf jan00'!$A$1:$AK$41"}</definedName>
    <definedName name="___ffp16_1_2" localSheetId="20" hidden="1">{"'gráf jan00'!$A$1:$AK$41"}</definedName>
    <definedName name="___ffp16_1_2" hidden="1">{"'gráf jan00'!$A$1:$AK$41"}</definedName>
    <definedName name="___ffp16_2" localSheetId="20" hidden="1">{"'gráf jan00'!$A$1:$AK$41"}</definedName>
    <definedName name="___ffp16_2" hidden="1">{"'gráf jan00'!$A$1:$AK$41"}</definedName>
    <definedName name="___ffp4589" localSheetId="20" hidden="1">{"'gráf jan00'!$A$1:$AK$41"}</definedName>
    <definedName name="___ffp4589" hidden="1">{"'gráf jan00'!$A$1:$AK$41"}</definedName>
    <definedName name="___ffp4589_1" localSheetId="20" hidden="1">{"'gráf jan00'!$A$1:$AK$41"}</definedName>
    <definedName name="___ffp4589_1" hidden="1">{"'gráf jan00'!$A$1:$AK$41"}</definedName>
    <definedName name="___ffp4589_1_1" localSheetId="20" hidden="1">{"'gráf jan00'!$A$1:$AK$41"}</definedName>
    <definedName name="___ffp4589_1_1" hidden="1">{"'gráf jan00'!$A$1:$AK$41"}</definedName>
    <definedName name="___ffp4589_1_1_1" localSheetId="20" hidden="1">{"'gráf jan00'!$A$1:$AK$41"}</definedName>
    <definedName name="___ffp4589_1_1_1" hidden="1">{"'gráf jan00'!$A$1:$AK$41"}</definedName>
    <definedName name="___ffp4589_1_2" localSheetId="20" hidden="1">{"'gráf jan00'!$A$1:$AK$41"}</definedName>
    <definedName name="___ffp4589_1_2" hidden="1">{"'gráf jan00'!$A$1:$AK$41"}</definedName>
    <definedName name="___ffp4589_2" localSheetId="20" hidden="1">{"'gráf jan00'!$A$1:$AK$41"}</definedName>
    <definedName name="___ffp4589_2" hidden="1">{"'gráf jan00'!$A$1:$AK$41"}</definedName>
    <definedName name="___HCB5">#REF!</definedName>
    <definedName name="___I027611" localSheetId="20" hidden="1">{#N/A,#N/A,FALSE,"지침";#N/A,#N/A,FALSE,"환경분석";#N/A,#N/A,FALSE,"Sheet16"}</definedName>
    <definedName name="___I027611" hidden="1">{#N/A,#N/A,FALSE,"지침";#N/A,#N/A,FALSE,"환경분석";#N/A,#N/A,FALSE,"Sheet16"}</definedName>
    <definedName name="___I027611_1" localSheetId="20" hidden="1">{#N/A,#N/A,FALSE,"지침";#N/A,#N/A,FALSE,"환경분석";#N/A,#N/A,FALSE,"Sheet16"}</definedName>
    <definedName name="___I027611_1" hidden="1">{#N/A,#N/A,FALSE,"지침";#N/A,#N/A,FALSE,"환경분석";#N/A,#N/A,FALSE,"Sheet16"}</definedName>
    <definedName name="___I027611_1_1" localSheetId="20" hidden="1">{#N/A,#N/A,FALSE,"지침";#N/A,#N/A,FALSE,"환경분석";#N/A,#N/A,FALSE,"Sheet16"}</definedName>
    <definedName name="___I027611_1_1" hidden="1">{#N/A,#N/A,FALSE,"지침";#N/A,#N/A,FALSE,"환경분석";#N/A,#N/A,FALSE,"Sheet16"}</definedName>
    <definedName name="___I027611_1_1_1" localSheetId="20" hidden="1">{#N/A,#N/A,FALSE,"지침";#N/A,#N/A,FALSE,"환경분석";#N/A,#N/A,FALSE,"Sheet16"}</definedName>
    <definedName name="___I027611_1_1_1" hidden="1">{#N/A,#N/A,FALSE,"지침";#N/A,#N/A,FALSE,"환경분석";#N/A,#N/A,FALSE,"Sheet16"}</definedName>
    <definedName name="___I027611_1_2" localSheetId="20" hidden="1">{#N/A,#N/A,FALSE,"지침";#N/A,#N/A,FALSE,"환경분석";#N/A,#N/A,FALSE,"Sheet16"}</definedName>
    <definedName name="___I027611_1_2" hidden="1">{#N/A,#N/A,FALSE,"지침";#N/A,#N/A,FALSE,"환경분석";#N/A,#N/A,FALSE,"Sheet16"}</definedName>
    <definedName name="___I027611_2" localSheetId="20" hidden="1">{#N/A,#N/A,FALSE,"지침";#N/A,#N/A,FALSE,"환경분석";#N/A,#N/A,FALSE,"Sheet16"}</definedName>
    <definedName name="___I027611_2" hidden="1">{#N/A,#N/A,FALSE,"지침";#N/A,#N/A,FALSE,"환경분석";#N/A,#N/A,FALSE,"Sheet16"}</definedName>
    <definedName name="___Jan1">[14]Calendário!$A$6</definedName>
    <definedName name="___JU7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[14]Calendário!$A$24</definedName>
    <definedName name="___jun04" localSheetId="20" hidden="1">{"'gráf jan00'!$A$1:$AK$41"}</definedName>
    <definedName name="___jun04" hidden="1">{"'gráf jan00'!$A$1:$AK$41"}</definedName>
    <definedName name="___jun04_1" localSheetId="20" hidden="1">{"'gráf jan00'!$A$1:$AK$41"}</definedName>
    <definedName name="___jun04_1" hidden="1">{"'gráf jan00'!$A$1:$AK$41"}</definedName>
    <definedName name="___jun04_1_1" localSheetId="20" hidden="1">{"'gráf jan00'!$A$1:$AK$41"}</definedName>
    <definedName name="___jun04_1_1" hidden="1">{"'gráf jan00'!$A$1:$AK$41"}</definedName>
    <definedName name="___jun04_1_1_1" localSheetId="20" hidden="1">{"'gráf jan00'!$A$1:$AK$41"}</definedName>
    <definedName name="___jun04_1_1_1" hidden="1">{"'gráf jan00'!$A$1:$AK$41"}</definedName>
    <definedName name="___jun04_1_2" localSheetId="20" hidden="1">{"'gráf jan00'!$A$1:$AK$41"}</definedName>
    <definedName name="___jun04_1_2" hidden="1">{"'gráf jan00'!$A$1:$AK$41"}</definedName>
    <definedName name="___jun04_2" localSheetId="20" hidden="1">{"'gráf jan00'!$A$1:$AK$41"}</definedName>
    <definedName name="___jun04_2" hidden="1">{"'gráf jan00'!$A$1:$AK$41"}</definedName>
    <definedName name="___Jun1">[14]Calendário!$Q$15</definedName>
    <definedName name="___ki5">#REF!</definedName>
    <definedName name="___kj1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la2">[16]PATO!#REF!</definedName>
    <definedName name="___la31">#REF!</definedName>
    <definedName name="___ltf2" hidden="1">#REF!</definedName>
    <definedName name="___MA2" localSheetId="20" hidden="1">{"'REL CUSTODIF'!$B$1:$H$72"}</definedName>
    <definedName name="___MA2" hidden="1">{"'REL CUSTODIF'!$B$1:$H$72"}</definedName>
    <definedName name="___MA2_1" localSheetId="20" hidden="1">{"'REL CUSTODIF'!$B$1:$H$72"}</definedName>
    <definedName name="___MA2_1" hidden="1">{"'REL CUSTODIF'!$B$1:$H$72"}</definedName>
    <definedName name="___MA2_1_1" localSheetId="20" hidden="1">{"'REL CUSTODIF'!$B$1:$H$72"}</definedName>
    <definedName name="___MA2_1_1" hidden="1">{"'REL CUSTODIF'!$B$1:$H$72"}</definedName>
    <definedName name="___MA2_1_1_1" localSheetId="20" hidden="1">{"'REL CUSTODIF'!$B$1:$H$72"}</definedName>
    <definedName name="___MA2_1_1_1" hidden="1">{"'REL CUSTODIF'!$B$1:$H$72"}</definedName>
    <definedName name="___MA2_1_2" localSheetId="20" hidden="1">{"'REL CUSTODIF'!$B$1:$H$72"}</definedName>
    <definedName name="___MA2_1_2" hidden="1">{"'REL CUSTODIF'!$B$1:$H$72"}</definedName>
    <definedName name="___MA2_2" localSheetId="20" hidden="1">{"'REL CUSTODIF'!$B$1:$H$72"}</definedName>
    <definedName name="___MA2_2" hidden="1">{"'REL CUSTODIF'!$B$1:$H$72"}</definedName>
    <definedName name="___Mai1">[14]Calendário!$I$15</definedName>
    <definedName name="___Mar1">[14]Calendário!$Q$6</definedName>
    <definedName name="___MOA1" localSheetId="20" hidden="1">{#N/A,#N/A,FALSE,"DEF1";#N/A,#N/A,FALSE,"DEF2";#N/A,#N/A,FALSE,"DEF3"}</definedName>
    <definedName name="___MOA1" hidden="1">{#N/A,#N/A,FALSE,"DEF1";#N/A,#N/A,FALSE,"DEF2";#N/A,#N/A,FALSE,"DEF3"}</definedName>
    <definedName name="___MOA1_1" localSheetId="20" hidden="1">{#N/A,#N/A,FALSE,"DEF1";#N/A,#N/A,FALSE,"DEF2";#N/A,#N/A,FALSE,"DEF3"}</definedName>
    <definedName name="___MOA1_1" hidden="1">{#N/A,#N/A,FALSE,"DEF1";#N/A,#N/A,FALSE,"DEF2";#N/A,#N/A,FALSE,"DEF3"}</definedName>
    <definedName name="___MOA1_1_1" localSheetId="20" hidden="1">{#N/A,#N/A,FALSE,"DEF1";#N/A,#N/A,FALSE,"DEF2";#N/A,#N/A,FALSE,"DEF3"}</definedName>
    <definedName name="___MOA1_1_1" hidden="1">{#N/A,#N/A,FALSE,"DEF1";#N/A,#N/A,FALSE,"DEF2";#N/A,#N/A,FALSE,"DEF3"}</definedName>
    <definedName name="___MOA1_1_1_1" localSheetId="20" hidden="1">{#N/A,#N/A,FALSE,"DEF1";#N/A,#N/A,FALSE,"DEF2";#N/A,#N/A,FALSE,"DEF3"}</definedName>
    <definedName name="___MOA1_1_1_1" hidden="1">{#N/A,#N/A,FALSE,"DEF1";#N/A,#N/A,FALSE,"DEF2";#N/A,#N/A,FALSE,"DEF3"}</definedName>
    <definedName name="___MOA1_1_2" localSheetId="20" hidden="1">{#N/A,#N/A,FALSE,"DEF1";#N/A,#N/A,FALSE,"DEF2";#N/A,#N/A,FALSE,"DEF3"}</definedName>
    <definedName name="___MOA1_1_2" hidden="1">{#N/A,#N/A,FALSE,"DEF1";#N/A,#N/A,FALSE,"DEF2";#N/A,#N/A,FALSE,"DEF3"}</definedName>
    <definedName name="___MOA1_2" localSheetId="20" hidden="1">{#N/A,#N/A,FALSE,"DEF1";#N/A,#N/A,FALSE,"DEF2";#N/A,#N/A,FALSE,"DEF3"}</definedName>
    <definedName name="___MOA1_2" hidden="1">{#N/A,#N/A,FALSE,"DEF1";#N/A,#N/A,FALSE,"DEF2";#N/A,#N/A,FALSE,"DEF3"}</definedName>
    <definedName name="___MOA2" localSheetId="20" hidden="1">{#N/A,#N/A,FALSE,"DEF1";#N/A,#N/A,FALSE,"DEF2";#N/A,#N/A,FALSE,"DEF3"}</definedName>
    <definedName name="___MOA2" hidden="1">{#N/A,#N/A,FALSE,"DEF1";#N/A,#N/A,FALSE,"DEF2";#N/A,#N/A,FALSE,"DEF3"}</definedName>
    <definedName name="___MOA2_1" localSheetId="20" hidden="1">{#N/A,#N/A,FALSE,"DEF1";#N/A,#N/A,FALSE,"DEF2";#N/A,#N/A,FALSE,"DEF3"}</definedName>
    <definedName name="___MOA2_1" hidden="1">{#N/A,#N/A,FALSE,"DEF1";#N/A,#N/A,FALSE,"DEF2";#N/A,#N/A,FALSE,"DEF3"}</definedName>
    <definedName name="___MOA2_1_1" localSheetId="20" hidden="1">{#N/A,#N/A,FALSE,"DEF1";#N/A,#N/A,FALSE,"DEF2";#N/A,#N/A,FALSE,"DEF3"}</definedName>
    <definedName name="___MOA2_1_1" hidden="1">{#N/A,#N/A,FALSE,"DEF1";#N/A,#N/A,FALSE,"DEF2";#N/A,#N/A,FALSE,"DEF3"}</definedName>
    <definedName name="___MOA2_1_1_1" localSheetId="20" hidden="1">{#N/A,#N/A,FALSE,"DEF1";#N/A,#N/A,FALSE,"DEF2";#N/A,#N/A,FALSE,"DEF3"}</definedName>
    <definedName name="___MOA2_1_1_1" hidden="1">{#N/A,#N/A,FALSE,"DEF1";#N/A,#N/A,FALSE,"DEF2";#N/A,#N/A,FALSE,"DEF3"}</definedName>
    <definedName name="___MOA2_1_2" localSheetId="20" hidden="1">{#N/A,#N/A,FALSE,"DEF1";#N/A,#N/A,FALSE,"DEF2";#N/A,#N/A,FALSE,"DEF3"}</definedName>
    <definedName name="___MOA2_1_2" hidden="1">{#N/A,#N/A,FALSE,"DEF1";#N/A,#N/A,FALSE,"DEF2";#N/A,#N/A,FALSE,"DEF3"}</definedName>
    <definedName name="___MOA2_2" localSheetId="20" hidden="1">{#N/A,#N/A,FALSE,"DEF1";#N/A,#N/A,FALSE,"DEF2";#N/A,#N/A,FALSE,"DEF3"}</definedName>
    <definedName name="___MOA2_2" hidden="1">{#N/A,#N/A,FALSE,"DEF1";#N/A,#N/A,FALSE,"DEF2";#N/A,#N/A,FALSE,"DEF3"}</definedName>
    <definedName name="___MOD01">[11]!___MOD01</definedName>
    <definedName name="___n2" localSheetId="20" hidden="1">{#N/A,#N/A,FALSE,"PCOL"}</definedName>
    <definedName name="___n2" hidden="1">{#N/A,#N/A,FALSE,"PCOL"}</definedName>
    <definedName name="___n2_1" localSheetId="20" hidden="1">{#N/A,#N/A,FALSE,"PCOL"}</definedName>
    <definedName name="___n2_1" hidden="1">{#N/A,#N/A,FALSE,"PCOL"}</definedName>
    <definedName name="___n2_1_1" localSheetId="20" hidden="1">{#N/A,#N/A,FALSE,"PCOL"}</definedName>
    <definedName name="___n2_1_1" hidden="1">{#N/A,#N/A,FALSE,"PCOL"}</definedName>
    <definedName name="___n2_1_1_1" localSheetId="20" hidden="1">{#N/A,#N/A,FALSE,"PCOL"}</definedName>
    <definedName name="___n2_1_1_1" hidden="1">{#N/A,#N/A,FALSE,"PCOL"}</definedName>
    <definedName name="___n2_1_2" localSheetId="20" hidden="1">{#N/A,#N/A,FALSE,"PCOL"}</definedName>
    <definedName name="___n2_1_2" hidden="1">{#N/A,#N/A,FALSE,"PCOL"}</definedName>
    <definedName name="___n2_2" localSheetId="20" hidden="1">{#N/A,#N/A,FALSE,"PCOL"}</definedName>
    <definedName name="___n2_2" hidden="1">{#N/A,#N/A,FALSE,"PCOL"}</definedName>
    <definedName name="___Nov1">[14]Calendário!$I$33</definedName>
    <definedName name="___o1" localSheetId="20" hidden="1">{"det (May)",#N/A,FALSE,"June";"sum (MAY YTD)",#N/A,FALSE,"June YTD"}</definedName>
    <definedName name="___o1" hidden="1">{"det (May)",#N/A,FALSE,"June";"sum (MAY YTD)",#N/A,FALSE,"June YTD"}</definedName>
    <definedName name="___o1_1" localSheetId="20" hidden="1">{"det (May)",#N/A,FALSE,"June";"sum (MAY YTD)",#N/A,FALSE,"June YTD"}</definedName>
    <definedName name="___o1_1" hidden="1">{"det (May)",#N/A,FALSE,"June";"sum (MAY YTD)",#N/A,FALSE,"June YTD"}</definedName>
    <definedName name="___o1_1_1" localSheetId="20" hidden="1">{"det (May)",#N/A,FALSE,"June";"sum (MAY YTD)",#N/A,FALSE,"June YTD"}</definedName>
    <definedName name="___o1_1_1" hidden="1">{"det (May)",#N/A,FALSE,"June";"sum (MAY YTD)",#N/A,FALSE,"June YTD"}</definedName>
    <definedName name="___o1_1_1_1" localSheetId="20" hidden="1">{"det (May)",#N/A,FALSE,"June";"sum (MAY YTD)",#N/A,FALSE,"June YTD"}</definedName>
    <definedName name="___o1_1_1_1" hidden="1">{"det (May)",#N/A,FALSE,"June";"sum (MAY YTD)",#N/A,FALSE,"June YTD"}</definedName>
    <definedName name="___o1_1_2" localSheetId="20" hidden="1">{"det (May)",#N/A,FALSE,"June";"sum (MAY YTD)",#N/A,FALSE,"June YTD"}</definedName>
    <definedName name="___o1_1_2" hidden="1">{"det (May)",#N/A,FALSE,"June";"sum (MAY YTD)",#N/A,FALSE,"June YTD"}</definedName>
    <definedName name="___o1_2" localSheetId="20" hidden="1">{"det (May)",#N/A,FALSE,"June";"sum (MAY YTD)",#N/A,FALSE,"June YTD"}</definedName>
    <definedName name="___o1_2" hidden="1">{"det (May)",#N/A,FALSE,"June";"sum (MAY YTD)",#N/A,FALSE,"June YTD"}</definedName>
    <definedName name="___Obs1">#REF!</definedName>
    <definedName name="___Obs2">#REF!</definedName>
    <definedName name="___OR1">'[17]orcID nº1'!$A$14:$G$1025</definedName>
    <definedName name="___OR12">'[17]orc ID nº12'!$A$16:$G$181</definedName>
    <definedName name="___OR13">'[17]orc ID nº13'!$A$13:$G$34</definedName>
    <definedName name="___OR14">'[17]orc ID nº 14'!$A$14:$G$16</definedName>
    <definedName name="___OR15">'[17]orc ID nº 15'!$A$14:$G$104</definedName>
    <definedName name="___OR16">'[17]orc ID nº16'!$A$14:$G$33</definedName>
    <definedName name="___OR17">'[17]orc ID nº17'!$A$16:$G$80</definedName>
    <definedName name="___OR18">'[17]orc ID nº 18'!$A$14:$G$123</definedName>
    <definedName name="___OR19">'[17]orc ID nº19'!$A$14:$G$96</definedName>
    <definedName name="___OR2">'[17]orc ID nº2 '!$A$14:$G$70</definedName>
    <definedName name="___OR3">'[17]orc ID nº3'!$A$14:$G$134</definedName>
    <definedName name="___OR4">'[17]orcID nº4'!$A$14:$G$165</definedName>
    <definedName name="___OR5">'[17]orcID nº5'!$A$14:$G$149</definedName>
    <definedName name="___OR6">'[17]orcID nº6'!$A$14:$G$138</definedName>
    <definedName name="___OR7">'[17]orcID nº7'!$A$14:$G$137</definedName>
    <definedName name="___OR8">'[17]orc ID nº8'!$A$14:$G$133</definedName>
    <definedName name="___OR9">'[17]orc ID nº9'!$A$14:$G$157</definedName>
    <definedName name="___Out1">[14]Calendário!$A$33</definedName>
    <definedName name="___OUT98" localSheetId="20" hidden="1">{#N/A,#N/A,TRUE,"Serviços"}</definedName>
    <definedName name="___OUT98" localSheetId="2" hidden="1">{#N/A,#N/A,TRUE,"Serviços"}</definedName>
    <definedName name="___OUT98" hidden="1">{#N/A,#N/A,TRUE,"Serviços"}</definedName>
    <definedName name="___out99" localSheetId="2" hidden="1">{#N/A,#N/A,TRUE,"Serviços"}</definedName>
    <definedName name="___out99" hidden="1">{#N/A,#N/A,TRUE,"Serviços"}</definedName>
    <definedName name="___P0376001" localSheetId="20" hidden="1">{#N/A,#N/A,FALSE,"지침";#N/A,#N/A,FALSE,"환경분석";#N/A,#N/A,FALSE,"Sheet16"}</definedName>
    <definedName name="___P0376001" hidden="1">{#N/A,#N/A,FALSE,"지침";#N/A,#N/A,FALSE,"환경분석";#N/A,#N/A,FALSE,"Sheet16"}</definedName>
    <definedName name="___P0376001_1" localSheetId="20" hidden="1">{#N/A,#N/A,FALSE,"지침";#N/A,#N/A,FALSE,"환경분석";#N/A,#N/A,FALSE,"Sheet16"}</definedName>
    <definedName name="___P0376001_1" hidden="1">{#N/A,#N/A,FALSE,"지침";#N/A,#N/A,FALSE,"환경분석";#N/A,#N/A,FALSE,"Sheet16"}</definedName>
    <definedName name="___P0376001_1_1" localSheetId="20" hidden="1">{#N/A,#N/A,FALSE,"지침";#N/A,#N/A,FALSE,"환경분석";#N/A,#N/A,FALSE,"Sheet16"}</definedName>
    <definedName name="___P0376001_1_1" hidden="1">{#N/A,#N/A,FALSE,"지침";#N/A,#N/A,FALSE,"환경분석";#N/A,#N/A,FALSE,"Sheet16"}</definedName>
    <definedName name="___P0376001_1_1_1" localSheetId="20" hidden="1">{#N/A,#N/A,FALSE,"지침";#N/A,#N/A,FALSE,"환경분석";#N/A,#N/A,FALSE,"Sheet16"}</definedName>
    <definedName name="___P0376001_1_1_1" hidden="1">{#N/A,#N/A,FALSE,"지침";#N/A,#N/A,FALSE,"환경분석";#N/A,#N/A,FALSE,"Sheet16"}</definedName>
    <definedName name="___P0376001_1_2" localSheetId="20" hidden="1">{#N/A,#N/A,FALSE,"지침";#N/A,#N/A,FALSE,"환경분석";#N/A,#N/A,FALSE,"Sheet16"}</definedName>
    <definedName name="___P0376001_1_2" hidden="1">{#N/A,#N/A,FALSE,"지침";#N/A,#N/A,FALSE,"환경분석";#N/A,#N/A,FALSE,"Sheet16"}</definedName>
    <definedName name="___P0376001_2" localSheetId="20" hidden="1">{#N/A,#N/A,FALSE,"지침";#N/A,#N/A,FALSE,"환경분석";#N/A,#N/A,FALSE,"Sheet16"}</definedName>
    <definedName name="___P0376001_2" hidden="1">{#N/A,#N/A,FALSE,"지침";#N/A,#N/A,FALSE,"환경분석";#N/A,#N/A,FALSE,"Sheet16"}</definedName>
    <definedName name="___PA01" localSheetId="20" hidden="1">{"'teste'!$B$2:$R$49"}</definedName>
    <definedName name="___PA01" hidden="1">{"'teste'!$B$2:$R$49"}</definedName>
    <definedName name="___PA01_1" localSheetId="20" hidden="1">{"'teste'!$B$2:$R$49"}</definedName>
    <definedName name="___PA01_1" hidden="1">{"'teste'!$B$2:$R$49"}</definedName>
    <definedName name="___PA01_1_1" localSheetId="20" hidden="1">{"'teste'!$B$2:$R$49"}</definedName>
    <definedName name="___PA01_1_1" hidden="1">{"'teste'!$B$2:$R$49"}</definedName>
    <definedName name="___PA01_1_1_1" localSheetId="20" hidden="1">{"'teste'!$B$2:$R$49"}</definedName>
    <definedName name="___PA01_1_1_1" hidden="1">{"'teste'!$B$2:$R$49"}</definedName>
    <definedName name="___PA01_1_2" localSheetId="20" hidden="1">{"'teste'!$B$2:$R$49"}</definedName>
    <definedName name="___PA01_1_2" hidden="1">{"'teste'!$B$2:$R$49"}</definedName>
    <definedName name="___PA01_2" localSheetId="20" hidden="1">{"'teste'!$B$2:$R$49"}</definedName>
    <definedName name="___PA01_2" hidden="1">{"'teste'!$B$2:$R$49"}</definedName>
    <definedName name="___PCM30">[16]PATO!#REF!</definedName>
    <definedName name="___PL1">#REF!</definedName>
    <definedName name="___PL1_11">#REF!</definedName>
    <definedName name="___PL1_15">#REF!</definedName>
    <definedName name="___PLA2">[16]PATO!#REF!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10" localSheetId="20" hidden="1">{"'gráf jan00'!$A$1:$AK$41"}</definedName>
    <definedName name="___PN10" hidden="1">{"'gráf jan00'!$A$1:$AK$41"}</definedName>
    <definedName name="___PN10_1" localSheetId="20" hidden="1">{"'gráf jan00'!$A$1:$AK$41"}</definedName>
    <definedName name="___PN10_1" hidden="1">{"'gráf jan00'!$A$1:$AK$41"}</definedName>
    <definedName name="___PN10_1_1" localSheetId="20" hidden="1">{"'gráf jan00'!$A$1:$AK$41"}</definedName>
    <definedName name="___PN10_1_1" hidden="1">{"'gráf jan00'!$A$1:$AK$41"}</definedName>
    <definedName name="___PN10_1_1_1" localSheetId="20" hidden="1">{"'gráf jan00'!$A$1:$AK$41"}</definedName>
    <definedName name="___PN10_1_1_1" hidden="1">{"'gráf jan00'!$A$1:$AK$41"}</definedName>
    <definedName name="___PN10_1_2" localSheetId="20" hidden="1">{"'gráf jan00'!$A$1:$AK$41"}</definedName>
    <definedName name="___PN10_1_2" hidden="1">{"'gráf jan00'!$A$1:$AK$41"}</definedName>
    <definedName name="___PN10_2" localSheetId="20" hidden="1">{"'gráf jan00'!$A$1:$AK$41"}</definedName>
    <definedName name="___PN10_2" hidden="1">{"'gráf jan00'!$A$1:$AK$41"}</definedName>
    <definedName name="___PPU1" localSheetId="20" hidden="1">{#N/A,#N/A,FALSE,"Cronograma";#N/A,#N/A,FALSE,"Cronogr. 2"}</definedName>
    <definedName name="___PPU1" hidden="1">{#N/A,#N/A,FALSE,"Cronograma";#N/A,#N/A,FALSE,"Cronogr. 2"}</definedName>
    <definedName name="___PPU1_1" localSheetId="20" hidden="1">{#N/A,#N/A,FALSE,"Cronograma";#N/A,#N/A,FALSE,"Cronogr. 2"}</definedName>
    <definedName name="___PPU1_1" hidden="1">{#N/A,#N/A,FALSE,"Cronograma";#N/A,#N/A,FALSE,"Cronogr. 2"}</definedName>
    <definedName name="___PPU1_1_1" localSheetId="20" hidden="1">{#N/A,#N/A,FALSE,"Cronograma";#N/A,#N/A,FALSE,"Cronogr. 2"}</definedName>
    <definedName name="___PPU1_1_1" hidden="1">{#N/A,#N/A,FALSE,"Cronograma";#N/A,#N/A,FALSE,"Cronogr. 2"}</definedName>
    <definedName name="___PPU1_1_1_1" localSheetId="20" hidden="1">{#N/A,#N/A,FALSE,"Cronograma";#N/A,#N/A,FALSE,"Cronogr. 2"}</definedName>
    <definedName name="___PPU1_1_1_1" hidden="1">{#N/A,#N/A,FALSE,"Cronograma";#N/A,#N/A,FALSE,"Cronogr. 2"}</definedName>
    <definedName name="___PPU1_1_2" localSheetId="20" hidden="1">{#N/A,#N/A,FALSE,"Cronograma";#N/A,#N/A,FALSE,"Cronogr. 2"}</definedName>
    <definedName name="___PPU1_1_2" hidden="1">{#N/A,#N/A,FALSE,"Cronograma";#N/A,#N/A,FALSE,"Cronogr. 2"}</definedName>
    <definedName name="___PPU1_2" localSheetId="20" hidden="1">{#N/A,#N/A,FALSE,"Cronograma";#N/A,#N/A,FALSE,"Cronogr. 2"}</definedName>
    <definedName name="___PPU1_2" hidden="1">{#N/A,#N/A,FALSE,"Cronograma";#N/A,#N/A,FALSE,"Cronogr. 2"}</definedName>
    <definedName name="___PTB10">[16]PATO!#REF!</definedName>
    <definedName name="___QQ2" localSheetId="21">#REF!</definedName>
    <definedName name="___QQ2">#REF!</definedName>
    <definedName name="___r">#REF!</definedName>
    <definedName name="___r_11">#REF!</definedName>
    <definedName name="___r_15">#REF!</definedName>
    <definedName name="___Rbv1">'[8]Página 16'!$C$3:$C$7</definedName>
    <definedName name="___RP1">[11]!___RP1</definedName>
    <definedName name="___SE2">#REF!</definedName>
    <definedName name="___Set1">[14]Calendário!$Q$24</definedName>
    <definedName name="___sjp4">#REF!</definedName>
    <definedName name="___STC04">#REF!</definedName>
    <definedName name="___STC04_10">#REF!</definedName>
    <definedName name="___STC04_12">#REF!</definedName>
    <definedName name="___STC04_9">#REF!</definedName>
    <definedName name="___tab0198">'[18]DER janeiro98'!$A$1:$D$810</definedName>
    <definedName name="___TB10">#REF!</definedName>
    <definedName name="___TCB5">[16]TLCB5!$I$34</definedName>
    <definedName name="___TCM30">#REF!</definedName>
    <definedName name="___TEB4">[16]TLMR!$I$25</definedName>
    <definedName name="___tk2" localSheetId="20" hidden="1">{#N/A,#N/A,FALSE,"지침";#N/A,#N/A,FALSE,"환경분석";#N/A,#N/A,FALSE,"Sheet16"}</definedName>
    <definedName name="___tk2" hidden="1">{#N/A,#N/A,FALSE,"지침";#N/A,#N/A,FALSE,"환경분석";#N/A,#N/A,FALSE,"Sheet16"}</definedName>
    <definedName name="___tk2_1" localSheetId="20" hidden="1">{#N/A,#N/A,FALSE,"지침";#N/A,#N/A,FALSE,"환경분석";#N/A,#N/A,FALSE,"Sheet16"}</definedName>
    <definedName name="___tk2_1" hidden="1">{#N/A,#N/A,FALSE,"지침";#N/A,#N/A,FALSE,"환경분석";#N/A,#N/A,FALSE,"Sheet16"}</definedName>
    <definedName name="___tk2_1_1" localSheetId="20" hidden="1">{#N/A,#N/A,FALSE,"지침";#N/A,#N/A,FALSE,"환경분석";#N/A,#N/A,FALSE,"Sheet16"}</definedName>
    <definedName name="___tk2_1_1" hidden="1">{#N/A,#N/A,FALSE,"지침";#N/A,#N/A,FALSE,"환경분석";#N/A,#N/A,FALSE,"Sheet16"}</definedName>
    <definedName name="___tk2_1_1_1" localSheetId="20" hidden="1">{#N/A,#N/A,FALSE,"지침";#N/A,#N/A,FALSE,"환경분석";#N/A,#N/A,FALSE,"Sheet16"}</definedName>
    <definedName name="___tk2_1_1_1" hidden="1">{#N/A,#N/A,FALSE,"지침";#N/A,#N/A,FALSE,"환경분석";#N/A,#N/A,FALSE,"Sheet16"}</definedName>
    <definedName name="___tk2_1_2" localSheetId="20" hidden="1">{#N/A,#N/A,FALSE,"지침";#N/A,#N/A,FALSE,"환경분석";#N/A,#N/A,FALSE,"Sheet16"}</definedName>
    <definedName name="___tk2_1_2" hidden="1">{#N/A,#N/A,FALSE,"지침";#N/A,#N/A,FALSE,"환경분석";#N/A,#N/A,FALSE,"Sheet16"}</definedName>
    <definedName name="___tk2_2" localSheetId="20" hidden="1">{#N/A,#N/A,FALSE,"지침";#N/A,#N/A,FALSE,"환경분석";#N/A,#N/A,FALSE,"Sheet16"}</definedName>
    <definedName name="___tk2_2" hidden="1">{#N/A,#N/A,FALSE,"지침";#N/A,#N/A,FALSE,"환경분석";#N/A,#N/A,FALSE,"Sheet16"}</definedName>
    <definedName name="___TOT1">[16]PATO!#REF!</definedName>
    <definedName name="___TOT2">[16]PATO!#REF!</definedName>
    <definedName name="___TOT3">[16]PATO!#REF!</definedName>
    <definedName name="___TOT4">[16]PATO!#REF!</definedName>
    <definedName name="___TOT5">[16]PATO!#REF!</definedName>
    <definedName name="___TOT6">[16]PATO!#REF!</definedName>
    <definedName name="___TOT7">[16]PATO!#REF!</definedName>
    <definedName name="___TSD2">[16]PATO!#REF!</definedName>
    <definedName name="___TT1">#REF!</definedName>
    <definedName name="___TT2">#REF!</definedName>
    <definedName name="___TT4">#REF!</definedName>
    <definedName name="___TT5">#REF!</definedName>
    <definedName name="___v1" localSheetId="20" hidden="1">{"'REL CUSTODIF'!$B$1:$H$72"}</definedName>
    <definedName name="___v1" hidden="1">{"'REL CUSTODIF'!$B$1:$H$72"}</definedName>
    <definedName name="___WX2" localSheetId="20" hidden="1">{#N/A,#N/A,FALSE,"EXPORTAC";#N/A,#N/A,FALSE,"SUPEL94"}</definedName>
    <definedName name="___WX2" hidden="1">{#N/A,#N/A,FALSE,"EXPORTAC";#N/A,#N/A,FALSE,"SUPEL94"}</definedName>
    <definedName name="___WX2_1" localSheetId="20" hidden="1">{#N/A,#N/A,FALSE,"EXPORTAC";#N/A,#N/A,FALSE,"SUPEL94"}</definedName>
    <definedName name="___WX2_1" hidden="1">{#N/A,#N/A,FALSE,"EXPORTAC";#N/A,#N/A,FALSE,"SUPEL94"}</definedName>
    <definedName name="___WX2_1_1" localSheetId="20" hidden="1">{#N/A,#N/A,FALSE,"EXPORTAC";#N/A,#N/A,FALSE,"SUPEL94"}</definedName>
    <definedName name="___WX2_1_1" hidden="1">{#N/A,#N/A,FALSE,"EXPORTAC";#N/A,#N/A,FALSE,"SUPEL94"}</definedName>
    <definedName name="___WX2_1_1_1" localSheetId="20" hidden="1">{#N/A,#N/A,FALSE,"EXPORTAC";#N/A,#N/A,FALSE,"SUPEL94"}</definedName>
    <definedName name="___WX2_1_1_1" hidden="1">{#N/A,#N/A,FALSE,"EXPORTAC";#N/A,#N/A,FALSE,"SUPEL94"}</definedName>
    <definedName name="___WX2_1_2" localSheetId="20" hidden="1">{#N/A,#N/A,FALSE,"EXPORTAC";#N/A,#N/A,FALSE,"SUPEL94"}</definedName>
    <definedName name="___WX2_1_2" hidden="1">{#N/A,#N/A,FALSE,"EXPORTAC";#N/A,#N/A,FALSE,"SUPEL94"}</definedName>
    <definedName name="___WX2_2" localSheetId="20" hidden="1">{#N/A,#N/A,FALSE,"EXPORTAC";#N/A,#N/A,FALSE,"SUPEL94"}</definedName>
    <definedName name="___WX2_2" hidden="1">{#N/A,#N/A,FALSE,"EXPORTAC";#N/A,#N/A,FALSE,"SUPEL94"}</definedName>
    <definedName name="___x1" localSheetId="20" hidden="1">{"'REL CUSTODIF'!$B$1:$H$72"}</definedName>
    <definedName name="___x1" hidden="1">{"'REL CUSTODIF'!$B$1:$H$72"}</definedName>
    <definedName name="___x1_1" localSheetId="20" hidden="1">{#N/A,#N/A,FALSE,"EXPORTAC";#N/A,#N/A,FALSE,"SUPEL94"}</definedName>
    <definedName name="___x1_1" hidden="1">{#N/A,#N/A,FALSE,"EXPORTAC";#N/A,#N/A,FALSE,"SUPEL94"}</definedName>
    <definedName name="___x1_1_1" localSheetId="20" hidden="1">{#N/A,#N/A,FALSE,"EXPORTAC";#N/A,#N/A,FALSE,"SUPEL94"}</definedName>
    <definedName name="___x1_1_1" hidden="1">{#N/A,#N/A,FALSE,"EXPORTAC";#N/A,#N/A,FALSE,"SUPEL94"}</definedName>
    <definedName name="___x1_1_1_1" localSheetId="20" hidden="1">{#N/A,#N/A,FALSE,"EXPORTAC";#N/A,#N/A,FALSE,"SUPEL94"}</definedName>
    <definedName name="___x1_1_1_1" hidden="1">{#N/A,#N/A,FALSE,"EXPORTAC";#N/A,#N/A,FALSE,"SUPEL94"}</definedName>
    <definedName name="___x1_1_2" localSheetId="20" hidden="1">{#N/A,#N/A,FALSE,"EXPORTAC";#N/A,#N/A,FALSE,"SUPEL94"}</definedName>
    <definedName name="___x1_1_2" hidden="1">{#N/A,#N/A,FALSE,"EXPORTAC";#N/A,#N/A,FALSE,"SUPEL94"}</definedName>
    <definedName name="___x1_2" localSheetId="20" hidden="1">{#N/A,#N/A,FALSE,"EXPORTAC";#N/A,#N/A,FALSE,"SUPEL94"}</definedName>
    <definedName name="___x1_2" hidden="1">{#N/A,#N/A,FALSE,"EXPORTAC";#N/A,#N/A,FALSE,"SUPEL94"}</definedName>
    <definedName name="___x10" localSheetId="20" hidden="1">{"'REL CUSTODIF'!$B$1:$H$72"}</definedName>
    <definedName name="___x10" hidden="1">{"'REL CUSTODIF'!$B$1:$H$72"}</definedName>
    <definedName name="___x11" localSheetId="20" hidden="1">{"'REL CUSTODIF'!$B$1:$H$72"}</definedName>
    <definedName name="___x11" hidden="1">{"'REL CUSTODIF'!$B$1:$H$72"}</definedName>
    <definedName name="___x13" localSheetId="20" hidden="1">{"'REL CUSTODIF'!$B$1:$H$72"}</definedName>
    <definedName name="___x13" hidden="1">{"'REL CUSTODIF'!$B$1:$H$72"}</definedName>
    <definedName name="___x2" localSheetId="20" hidden="1">{"'REL CUSTODIF'!$B$1:$H$72"}</definedName>
    <definedName name="___x2" hidden="1">{"'REL CUSTODIF'!$B$1:$H$72"}</definedName>
    <definedName name="___x2_1" localSheetId="20" hidden="1">{#N/A,#N/A,FALSE,"GQGEMPRE"}</definedName>
    <definedName name="___x2_1" hidden="1">{#N/A,#N/A,FALSE,"GQGEMPRE"}</definedName>
    <definedName name="___x2_1_1" localSheetId="20" hidden="1">{#N/A,#N/A,FALSE,"GQGEMPRE"}</definedName>
    <definedName name="___x2_1_1" hidden="1">{#N/A,#N/A,FALSE,"GQGEMPRE"}</definedName>
    <definedName name="___x2_1_1_1" localSheetId="20" hidden="1">{#N/A,#N/A,FALSE,"GQGEMPRE"}</definedName>
    <definedName name="___x2_1_1_1" hidden="1">{#N/A,#N/A,FALSE,"GQGEMPRE"}</definedName>
    <definedName name="___x2_1_2" localSheetId="20" hidden="1">{#N/A,#N/A,FALSE,"GQGEMPRE"}</definedName>
    <definedName name="___x2_1_2" hidden="1">{#N/A,#N/A,FALSE,"GQGEMPRE"}</definedName>
    <definedName name="___x2_2" localSheetId="20" hidden="1">{#N/A,#N/A,FALSE,"GQGEMPRE"}</definedName>
    <definedName name="___x2_2" hidden="1">{#N/A,#N/A,FALSE,"GQGEMPRE"}</definedName>
    <definedName name="___x3" localSheetId="20" hidden="1">{"'REL CUSTODIF'!$B$1:$H$72"}</definedName>
    <definedName name="___x3" hidden="1">{"'REL CUSTODIF'!$B$1:$H$72"}</definedName>
    <definedName name="___x4" localSheetId="20" hidden="1">{"'REL CUSTODIF'!$B$1:$H$72"}</definedName>
    <definedName name="___x4" hidden="1">{"'REL CUSTODIF'!$B$1:$H$72"}</definedName>
    <definedName name="___x5" localSheetId="20" hidden="1">{"'REL CUSTODIF'!$B$1:$H$72"}</definedName>
    <definedName name="___x5" hidden="1">{"'REL CUSTODIF'!$B$1:$H$72"}</definedName>
    <definedName name="___x7" localSheetId="20" hidden="1">{"'REL CUSTODIF'!$B$1:$H$72"}</definedName>
    <definedName name="___x7" hidden="1">{"'REL CUSTODIF'!$B$1:$H$72"}</definedName>
    <definedName name="___x8" localSheetId="20" hidden="1">{"'REL CUSTODIF'!$B$1:$H$72"}</definedName>
    <definedName name="___x8" hidden="1">{"'REL CUSTODIF'!$B$1:$H$72"}</definedName>
    <definedName name="___xlfn.IFERROR" hidden="1">#NAME?</definedName>
    <definedName name="___xlfn.RTD" hidden="1">#NAME?</definedName>
    <definedName name="___xlfn_IFERROR">NA()</definedName>
    <definedName name="___xlfn_SUMIFS">#N/A</definedName>
    <definedName name="___xlnm.Print_Area_4">NA()</definedName>
    <definedName name="___xx1" localSheetId="20" hidden="1">{"'CptDifn'!$AA$32:$AG$32"}</definedName>
    <definedName name="___xx1" hidden="1">{"'CptDifn'!$AA$32:$AG$32"}</definedName>
    <definedName name="___xx1_1" localSheetId="20" hidden="1">{"'CptDifn'!$AA$32:$AG$32"}</definedName>
    <definedName name="___xx1_1" hidden="1">{"'CptDifn'!$AA$32:$AG$32"}</definedName>
    <definedName name="___xx1_1_1" localSheetId="20" hidden="1">{"'CptDifn'!$AA$32:$AG$32"}</definedName>
    <definedName name="___xx1_1_1" hidden="1">{"'CptDifn'!$AA$32:$AG$32"}</definedName>
    <definedName name="___xx1_1_1_1" localSheetId="20" hidden="1">{"'CptDifn'!$AA$32:$AG$32"}</definedName>
    <definedName name="___xx1_1_1_1" hidden="1">{"'CptDifn'!$AA$32:$AG$32"}</definedName>
    <definedName name="___xx1_1_2" localSheetId="20" hidden="1">{"'CptDifn'!$AA$32:$AG$32"}</definedName>
    <definedName name="___xx1_1_2" hidden="1">{"'CptDifn'!$AA$32:$AG$32"}</definedName>
    <definedName name="___xx1_2" localSheetId="20" hidden="1">{"'CptDifn'!$AA$32:$AG$32"}</definedName>
    <definedName name="___xx1_2" hidden="1">{"'CptDifn'!$AA$32:$AG$32"}</definedName>
    <definedName name="__0">#REF!</definedName>
    <definedName name="__1">#REF!</definedName>
    <definedName name="__1__123Graph_ACHART_1" localSheetId="18" hidden="1">#REF!</definedName>
    <definedName name="__1__123Graph_ACHART_1" hidden="1">#REF!</definedName>
    <definedName name="__1__123Graph_BGrßfico_10C" hidden="1">#REF!</definedName>
    <definedName name="__123Graph_A" localSheetId="18" hidden="1">#REF!</definedName>
    <definedName name="__123Graph_A" localSheetId="21" hidden="1">#REF!</definedName>
    <definedName name="__123Graph_A" hidden="1">[19]A!$B$4:$E$4</definedName>
    <definedName name="__123Graph_AGraph1" localSheetId="21" hidden="1">#REF!</definedName>
    <definedName name="__123Graph_AGraph1" hidden="1">[19]A!$B$4:$B$8</definedName>
    <definedName name="__123Graph_AGraph10" localSheetId="21" hidden="1">#REF!</definedName>
    <definedName name="__123Graph_AGraph10" hidden="1">[20]aux!$I$24:$M$24</definedName>
    <definedName name="__123Graph_AGraph11" localSheetId="21" hidden="1">#REF!</definedName>
    <definedName name="__123Graph_AGraph11" hidden="1">[20]aux!$I$26:$M$26</definedName>
    <definedName name="__123Graph_AGraph12" localSheetId="21" hidden="1">#REF!</definedName>
    <definedName name="__123Graph_AGraph12" hidden="1">[20]aux!$I$28:$M$28</definedName>
    <definedName name="__123Graph_AGraph2" localSheetId="21" hidden="1">#REF!</definedName>
    <definedName name="__123Graph_AGraph2" hidden="1">[19]A!$C$4:$C$8</definedName>
    <definedName name="__123Graph_AGraph3" localSheetId="21" hidden="1">#REF!</definedName>
    <definedName name="__123Graph_AGraph3" hidden="1">[19]A!$D$4:$D$8</definedName>
    <definedName name="__123Graph_AGraph4" localSheetId="21" hidden="1">#REF!</definedName>
    <definedName name="__123Graph_AGraph4" hidden="1">[19]A!$B$4:$B$9</definedName>
    <definedName name="__123Graph_AGraph5" localSheetId="21" hidden="1">#REF!</definedName>
    <definedName name="__123Graph_AGraph5" hidden="1">[19]A!$B$4:$B$9</definedName>
    <definedName name="__123Graph_AGraph6" localSheetId="21" hidden="1">#REF!</definedName>
    <definedName name="__123Graph_AGraph6" hidden="1">[19]A!$E$4:$E$8</definedName>
    <definedName name="__123Graph_AGraph7" localSheetId="21" hidden="1">#REF!</definedName>
    <definedName name="__123Graph_AGraph7" hidden="1">[19]A!$B$4:$E$4</definedName>
    <definedName name="__123Graph_AGraph8" localSheetId="21" hidden="1">#REF!</definedName>
    <definedName name="__123Graph_AGraph8" hidden="1">[19]A!$B$4:$E$4</definedName>
    <definedName name="__123Graph_AGraph9" localSheetId="21" hidden="1">#REF!</definedName>
    <definedName name="__123Graph_AGraph9" hidden="1">[20]aux!$I$22:$M$22</definedName>
    <definedName name="__123Graph_ASIDECO" hidden="1">#REF!</definedName>
    <definedName name="__123Graph_B" localSheetId="21" hidden="1">#REF!</definedName>
    <definedName name="__123Graph_B" hidden="1">[19]A!$B$5:$E$5</definedName>
    <definedName name="__123Graph_BGraph1" localSheetId="21" hidden="1">#REF!</definedName>
    <definedName name="__123Graph_BGraph1" hidden="1">[20]aux!$B$6:$F$6</definedName>
    <definedName name="__123Graph_BGraph10" localSheetId="21" hidden="1">#REF!</definedName>
    <definedName name="__123Graph_BGraph10" hidden="1">[20]aux!$B$24:$F$24</definedName>
    <definedName name="__123Graph_BGraph11" localSheetId="21" hidden="1">#REF!</definedName>
    <definedName name="__123Graph_BGraph11" hidden="1">[20]aux!$B$26:$F$26</definedName>
    <definedName name="__123Graph_BGraph12" localSheetId="21" hidden="1">#REF!</definedName>
    <definedName name="__123Graph_BGraph12" hidden="1">[20]aux!$B$28:$F$28</definedName>
    <definedName name="__123Graph_BGraph2" localSheetId="21" hidden="1">#REF!</definedName>
    <definedName name="__123Graph_BGraph2" hidden="1">[20]aux!$B$8:$F$8</definedName>
    <definedName name="__123Graph_BGraph3" localSheetId="21" hidden="1">#REF!</definedName>
    <definedName name="__123Graph_BGraph3" hidden="1">[20]aux!$B$10:$F$10</definedName>
    <definedName name="__123Graph_BGraph4" localSheetId="21" hidden="1">#REF!</definedName>
    <definedName name="__123Graph_BGraph4" hidden="1">[20]aux!$B$12:$F$12</definedName>
    <definedName name="__123Graph_BGraph5" localSheetId="21" hidden="1">#REF!</definedName>
    <definedName name="__123Graph_BGraph5" hidden="1">[20]aux!$B$14:$F$14</definedName>
    <definedName name="__123Graph_BGraph6" localSheetId="21" hidden="1">#REF!</definedName>
    <definedName name="__123Graph_BGraph6" hidden="1">[20]aux!$B$16:$F$16</definedName>
    <definedName name="__123Graph_BGraph7" localSheetId="21" hidden="1">#REF!</definedName>
    <definedName name="__123Graph_BGraph7" hidden="1">[19]A!$B$5:$E$5</definedName>
    <definedName name="__123Graph_BGraph8" localSheetId="21" hidden="1">#REF!</definedName>
    <definedName name="__123Graph_BGraph8" hidden="1">[19]A!$B$5:$E$5</definedName>
    <definedName name="__123Graph_BGraph9" localSheetId="21" hidden="1">#REF!</definedName>
    <definedName name="__123Graph_BGraph9" hidden="1">[20]aux!$B$22:$F$22</definedName>
    <definedName name="__123Graph_BSIDECO" hidden="1">#REF!</definedName>
    <definedName name="__123Graph_C" localSheetId="21" hidden="1">#REF!</definedName>
    <definedName name="__123Graph_C" hidden="1">[19]A!$B$6:$E$6</definedName>
    <definedName name="__123Graph_CGraph7" localSheetId="21" hidden="1">#REF!</definedName>
    <definedName name="__123Graph_CGraph7" hidden="1">[19]A!$B$6:$E$6</definedName>
    <definedName name="__123Graph_CGraph8" localSheetId="21" hidden="1">#REF!</definedName>
    <definedName name="__123Graph_CGraph8" hidden="1">[19]A!$B$6:$E$6</definedName>
    <definedName name="__123Graph_CSIDECO" hidden="1">#REF!</definedName>
    <definedName name="__123Graph_D" localSheetId="21" hidden="1">#REF!</definedName>
    <definedName name="__123Graph_D" hidden="1">[19]A!$B$7:$E$7</definedName>
    <definedName name="__123Graph_DGraph7" localSheetId="21" hidden="1">#REF!</definedName>
    <definedName name="__123Graph_DGraph7" hidden="1">[19]A!$B$7:$E$7</definedName>
    <definedName name="__123Graph_DGraph8" localSheetId="21" hidden="1">#REF!</definedName>
    <definedName name="__123Graph_DGraph8" hidden="1">[19]A!$B$7:$E$7</definedName>
    <definedName name="__123Graph_E" localSheetId="21" hidden="1">#REF!</definedName>
    <definedName name="__123Graph_E" hidden="1">[19]A!$B$8:$E$8</definedName>
    <definedName name="__123Graph_EGraph7" localSheetId="21" hidden="1">#REF!</definedName>
    <definedName name="__123Graph_EGraph7" hidden="1">[19]A!$B$8:$E$8</definedName>
    <definedName name="__123Graph_EGraph8" localSheetId="21" hidden="1">#REF!</definedName>
    <definedName name="__123Graph_EGraph8" hidden="1">[19]A!$B$8:$E$8</definedName>
    <definedName name="__123Graph_F" hidden="1">#REF!</definedName>
    <definedName name="__123Graph_X" localSheetId="18" hidden="1">#REF!</definedName>
    <definedName name="__123Graph_X" localSheetId="21" hidden="1">#REF!</definedName>
    <definedName name="__123Graph_X" hidden="1">[19]A!$B$3:$E$3</definedName>
    <definedName name="__123Graph_XGraph1" localSheetId="21" hidden="1">#REF!</definedName>
    <definedName name="__123Graph_XGraph1" hidden="1">[19]A!$A$4:$A$8</definedName>
    <definedName name="__123Graph_XGraph10" localSheetId="21" hidden="1">#REF!</definedName>
    <definedName name="__123Graph_XGraph10" hidden="1">[20]aux!$B$25:$F$25</definedName>
    <definedName name="__123Graph_XGraph11" localSheetId="21" hidden="1">#REF!</definedName>
    <definedName name="__123Graph_XGraph11" hidden="1">[20]aux!$B$27:$F$27</definedName>
    <definedName name="__123Graph_XGraph12" localSheetId="21" hidden="1">#REF!</definedName>
    <definedName name="__123Graph_XGraph12" hidden="1">[20]aux!$B$29:$F$29</definedName>
    <definedName name="__123Graph_XGraph2" localSheetId="21" hidden="1">#REF!</definedName>
    <definedName name="__123Graph_XGraph2" hidden="1">[19]A!$A$4:$A$8</definedName>
    <definedName name="__123Graph_XGraph3" localSheetId="21" hidden="1">#REF!</definedName>
    <definedName name="__123Graph_XGraph3" hidden="1">[19]A!$A$4:$A$8</definedName>
    <definedName name="__123Graph_XGraph4" localSheetId="21" hidden="1">#REF!</definedName>
    <definedName name="__123Graph_XGraph4" hidden="1">[19]A!$A$4:$A$9</definedName>
    <definedName name="__123Graph_XGraph5" localSheetId="21" hidden="1">#REF!</definedName>
    <definedName name="__123Graph_XGraph5" hidden="1">[19]A!$A$4:$A$9</definedName>
    <definedName name="__123Graph_XGraph6" localSheetId="21" hidden="1">#REF!</definedName>
    <definedName name="__123Graph_XGraph6" hidden="1">[19]A!$A$4:$A$8</definedName>
    <definedName name="__123Graph_XGraph7" localSheetId="21" hidden="1">#REF!</definedName>
    <definedName name="__123Graph_XGraph7" hidden="1">[19]A!$B$3:$E$3</definedName>
    <definedName name="__123Graph_XGraph8" localSheetId="21" hidden="1">#REF!</definedName>
    <definedName name="__123Graph_XGraph8" hidden="1">[19]A!$B$3:$E$3</definedName>
    <definedName name="__123Graph_XGraph9" localSheetId="21" hidden="1">#REF!</definedName>
    <definedName name="__123Graph_XGraph9" hidden="1">[20]aux!$B$23:$F$23</definedName>
    <definedName name="__123Graph_XSIDECO" hidden="1">#REF!</definedName>
    <definedName name="__12Excel_BuiltIn_Print_Titles_19_1">#REF!,#REF!</definedName>
    <definedName name="__14Excel_BuiltIn_Print_Titles_21_1_1_1">#REF!,#REF!</definedName>
    <definedName name="__1Excel_BuiltIn_Print_Titles_1">#REF!</definedName>
    <definedName name="__1Excel_BuiltIn_Print_Titles_15_1_1_1_1">#REF!</definedName>
    <definedName name="__1Excel_BuiltIn_Print_Titles_16_1">#REF!,#REF!</definedName>
    <definedName name="__2">#REF!</definedName>
    <definedName name="__2__123Graph_ACHART_3" hidden="1">#REF!</definedName>
    <definedName name="__2__123Graph_BCHART_1" localSheetId="18" hidden="1">#REF!</definedName>
    <definedName name="__2__123Graph_BCHART_1" hidden="1">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__123Graph_BCHART_1" hidden="1">#REF!</definedName>
    <definedName name="__3Excel_BuiltIn_Print_Titles_16_1_1_1">#REF!</definedName>
    <definedName name="__3Excel_BuiltIn_Print_Titles_18_1">#REF!,#REF!</definedName>
    <definedName name="__4__123Graph_CCHART_1" hidden="1">#REF!</definedName>
    <definedName name="__4Excel_BuiltIn_Print_Titles_16_1">#REF!,#REF!</definedName>
    <definedName name="__4Excel_BuiltIn_Print_Titles_17_1">#REF!,#REF!</definedName>
    <definedName name="__4Excel_BuiltIn_Print_Titles_19_1">#REF!,#REF!</definedName>
    <definedName name="__5__123Graph_DCHART_1" hidden="1">#REF!</definedName>
    <definedName name="__5Excel_BuiltIn_Print_Titles_18_1">#REF!,#REF!</definedName>
    <definedName name="__5Excel_BuiltIn_Print_Titles_21_1_1_1">#REF!,#REF!</definedName>
    <definedName name="__6__123Graph_ECHART_1" hidden="1">#REF!</definedName>
    <definedName name="__6Excel_BuiltIn_Print_Titles_16_1_1_1">#REF!</definedName>
    <definedName name="__6Excel_BuiltIn_Print_Titles_19_1">#REF!,#REF!</definedName>
    <definedName name="__7__123Graph_FCHART_1" hidden="1">#REF!</definedName>
    <definedName name="__7Excel_BuiltIn_Print_Titles_21_1_1_1">#REF!,#REF!</definedName>
    <definedName name="__8__123Graph_XCHART_3" hidden="1">#REF!</definedName>
    <definedName name="__8Excel_BuiltIn_Print_Titles_17_1">#REF!,#REF!</definedName>
    <definedName name="__a">#REF!</definedName>
    <definedName name="__a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" localSheetId="21">#N/A</definedName>
    <definedName name="__A1">#N/A</definedName>
    <definedName name="__a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[15]DADOS!$C$17</definedName>
    <definedName name="__ACA50">[15]DADOS!$C$16</definedName>
    <definedName name="__ACC2" hidden="1">#REF!</definedName>
    <definedName name="__ACM30">[16]MB!$E$12</definedName>
    <definedName name="__adm1" localSheetId="20" hidden="1">{"'Índice'!$A$1:$K$49"}</definedName>
    <definedName name="__adm1" hidden="1">{"'Índice'!$A$1:$K$49"}</definedName>
    <definedName name="__adm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localSheetId="20" hidden="1">{"'gráf jan00'!$A$1:$AK$41"}</definedName>
    <definedName name="__ago1" hidden="1">{"'gráf jan00'!$A$1:$AK$41"}</definedName>
    <definedName name="__ago1_1" localSheetId="20" hidden="1">{"'gráf jan00'!$A$1:$AK$41"}</definedName>
    <definedName name="__ago1_1" hidden="1">{"'gráf jan00'!$A$1:$AK$41"}</definedName>
    <definedName name="__ago1_1_1" localSheetId="20" hidden="1">{"'gráf jan00'!$A$1:$AK$41"}</definedName>
    <definedName name="__ago1_1_1" hidden="1">{"'gráf jan00'!$A$1:$AK$41"}</definedName>
    <definedName name="__ago1_1_1_1" localSheetId="20" hidden="1">{"'gráf jan00'!$A$1:$AK$41"}</definedName>
    <definedName name="__ago1_1_1_1" hidden="1">{"'gráf jan00'!$A$1:$AK$41"}</definedName>
    <definedName name="__ago1_1_2" localSheetId="20" hidden="1">{"'gráf jan00'!$A$1:$AK$41"}</definedName>
    <definedName name="__ago1_1_2" hidden="1">{"'gráf jan00'!$A$1:$AK$41"}</definedName>
    <definedName name="__ago1_2" localSheetId="20" hidden="1">{"'gráf jan00'!$A$1:$AK$41"}</definedName>
    <definedName name="__ago1_2" hidden="1">{"'gráf jan00'!$A$1:$AK$41"}</definedName>
    <definedName name="__ago10" localSheetId="20" hidden="1">{"'gráf jan00'!$A$1:$AK$41"}</definedName>
    <definedName name="__ago10" hidden="1">{"'gráf jan00'!$A$1:$AK$41"}</definedName>
    <definedName name="__ago10_1" localSheetId="20" hidden="1">{"'gráf jan00'!$A$1:$AK$41"}</definedName>
    <definedName name="__ago10_1" hidden="1">{"'gráf jan00'!$A$1:$AK$41"}</definedName>
    <definedName name="__ago10_1_1" localSheetId="20" hidden="1">{"'gráf jan00'!$A$1:$AK$41"}</definedName>
    <definedName name="__ago10_1_1" hidden="1">{"'gráf jan00'!$A$1:$AK$41"}</definedName>
    <definedName name="__ago10_1_1_1" localSheetId="20" hidden="1">{"'gráf jan00'!$A$1:$AK$41"}</definedName>
    <definedName name="__ago10_1_1_1" hidden="1">{"'gráf jan00'!$A$1:$AK$41"}</definedName>
    <definedName name="__ago10_1_2" localSheetId="20" hidden="1">{"'gráf jan00'!$A$1:$AK$41"}</definedName>
    <definedName name="__ago10_1_2" hidden="1">{"'gráf jan00'!$A$1:$AK$41"}</definedName>
    <definedName name="__ago10_2" localSheetId="20" hidden="1">{"'gráf jan00'!$A$1:$AK$41"}</definedName>
    <definedName name="__ago10_2" hidden="1">{"'gráf jan00'!$A$1:$AK$41"}</definedName>
    <definedName name="__ago2" localSheetId="20" hidden="1">{"'gráf jan00'!$A$1:$AK$41"}</definedName>
    <definedName name="__ago2" hidden="1">{"'gráf jan00'!$A$1:$AK$41"}</definedName>
    <definedName name="__ago2_1" localSheetId="20" hidden="1">{"'gráf jan00'!$A$1:$AK$41"}</definedName>
    <definedName name="__ago2_1" hidden="1">{"'gráf jan00'!$A$1:$AK$41"}</definedName>
    <definedName name="__ago2_1_1" localSheetId="20" hidden="1">{"'gráf jan00'!$A$1:$AK$41"}</definedName>
    <definedName name="__ago2_1_1" hidden="1">{"'gráf jan00'!$A$1:$AK$41"}</definedName>
    <definedName name="__ago2_1_1_1" localSheetId="20" hidden="1">{"'gráf jan00'!$A$1:$AK$41"}</definedName>
    <definedName name="__ago2_1_1_1" hidden="1">{"'gráf jan00'!$A$1:$AK$41"}</definedName>
    <definedName name="__ago2_1_2" localSheetId="20" hidden="1">{"'gráf jan00'!$A$1:$AK$41"}</definedName>
    <definedName name="__ago2_1_2" hidden="1">{"'gráf jan00'!$A$1:$AK$41"}</definedName>
    <definedName name="__ago2_2" localSheetId="20" hidden="1">{"'gráf jan00'!$A$1:$AK$41"}</definedName>
    <definedName name="__ago2_2" hidden="1">{"'gráf jan00'!$A$1:$AK$41"}</definedName>
    <definedName name="__ago3" localSheetId="20" hidden="1">{"'gráf jan00'!$A$1:$AK$41"}</definedName>
    <definedName name="__ago3" hidden="1">{"'gráf jan00'!$A$1:$AK$41"}</definedName>
    <definedName name="__ago3_1" localSheetId="20" hidden="1">{"'gráf jan00'!$A$1:$AK$41"}</definedName>
    <definedName name="__ago3_1" hidden="1">{"'gráf jan00'!$A$1:$AK$41"}</definedName>
    <definedName name="__ago3_1_1" localSheetId="20" hidden="1">{"'gráf jan00'!$A$1:$AK$41"}</definedName>
    <definedName name="__ago3_1_1" hidden="1">{"'gráf jan00'!$A$1:$AK$41"}</definedName>
    <definedName name="__ago3_1_1_1" localSheetId="20" hidden="1">{"'gráf jan00'!$A$1:$AK$41"}</definedName>
    <definedName name="__ago3_1_1_1" hidden="1">{"'gráf jan00'!$A$1:$AK$41"}</definedName>
    <definedName name="__ago3_1_2" localSheetId="20" hidden="1">{"'gráf jan00'!$A$1:$AK$41"}</definedName>
    <definedName name="__ago3_1_2" hidden="1">{"'gráf jan00'!$A$1:$AK$41"}</definedName>
    <definedName name="__ago3_2" localSheetId="20" hidden="1">{"'gráf jan00'!$A$1:$AK$41"}</definedName>
    <definedName name="__ago3_2" hidden="1">{"'gráf jan00'!$A$1:$AK$41"}</definedName>
    <definedName name="__ago4" localSheetId="20" hidden="1">{"'gráf jan00'!$A$1:$AK$41"}</definedName>
    <definedName name="__ago4" hidden="1">{"'gráf jan00'!$A$1:$AK$41"}</definedName>
    <definedName name="__ago4_1" localSheetId="20" hidden="1">{"'gráf jan00'!$A$1:$AK$41"}</definedName>
    <definedName name="__ago4_1" hidden="1">{"'gráf jan00'!$A$1:$AK$41"}</definedName>
    <definedName name="__ago4_1_1" localSheetId="20" hidden="1">{"'gráf jan00'!$A$1:$AK$41"}</definedName>
    <definedName name="__ago4_1_1" hidden="1">{"'gráf jan00'!$A$1:$AK$41"}</definedName>
    <definedName name="__ago4_1_1_1" localSheetId="20" hidden="1">{"'gráf jan00'!$A$1:$AK$41"}</definedName>
    <definedName name="__ago4_1_1_1" hidden="1">{"'gráf jan00'!$A$1:$AK$41"}</definedName>
    <definedName name="__ago4_1_2" localSheetId="20" hidden="1">{"'gráf jan00'!$A$1:$AK$41"}</definedName>
    <definedName name="__ago4_1_2" hidden="1">{"'gráf jan00'!$A$1:$AK$41"}</definedName>
    <definedName name="__ago4_2" localSheetId="20" hidden="1">{"'gráf jan00'!$A$1:$AK$41"}</definedName>
    <definedName name="__ago4_2" hidden="1">{"'gráf jan00'!$A$1:$AK$41"}</definedName>
    <definedName name="__ago5" localSheetId="20" hidden="1">{"'gráf jan00'!$A$1:$AK$41"}</definedName>
    <definedName name="__ago5" hidden="1">{"'gráf jan00'!$A$1:$AK$41"}</definedName>
    <definedName name="__ago5_1" localSheetId="20" hidden="1">{"'gráf jan00'!$A$1:$AK$41"}</definedName>
    <definedName name="__ago5_1" hidden="1">{"'gráf jan00'!$A$1:$AK$41"}</definedName>
    <definedName name="__ago5_1_1" localSheetId="20" hidden="1">{"'gráf jan00'!$A$1:$AK$41"}</definedName>
    <definedName name="__ago5_1_1" hidden="1">{"'gráf jan00'!$A$1:$AK$41"}</definedName>
    <definedName name="__ago5_1_1_1" localSheetId="20" hidden="1">{"'gráf jan00'!$A$1:$AK$41"}</definedName>
    <definedName name="__ago5_1_1_1" hidden="1">{"'gráf jan00'!$A$1:$AK$41"}</definedName>
    <definedName name="__ago5_1_2" localSheetId="20" hidden="1">{"'gráf jan00'!$A$1:$AK$41"}</definedName>
    <definedName name="__ago5_1_2" hidden="1">{"'gráf jan00'!$A$1:$AK$41"}</definedName>
    <definedName name="__ago5_2" localSheetId="20" hidden="1">{"'gráf jan00'!$A$1:$AK$41"}</definedName>
    <definedName name="__ago5_2" hidden="1">{"'gráf jan00'!$A$1:$AK$41"}</definedName>
    <definedName name="__ago6" localSheetId="20" hidden="1">{"'gráf jan00'!$A$1:$AK$41"}</definedName>
    <definedName name="__ago6" hidden="1">{"'gráf jan00'!$A$1:$AK$41"}</definedName>
    <definedName name="__ago6_1" localSheetId="20" hidden="1">{"'gráf jan00'!$A$1:$AK$41"}</definedName>
    <definedName name="__ago6_1" hidden="1">{"'gráf jan00'!$A$1:$AK$41"}</definedName>
    <definedName name="__ago6_1_1" localSheetId="20" hidden="1">{"'gráf jan00'!$A$1:$AK$41"}</definedName>
    <definedName name="__ago6_1_1" hidden="1">{"'gráf jan00'!$A$1:$AK$41"}</definedName>
    <definedName name="__ago6_1_1_1" localSheetId="20" hidden="1">{"'gráf jan00'!$A$1:$AK$41"}</definedName>
    <definedName name="__ago6_1_1_1" hidden="1">{"'gráf jan00'!$A$1:$AK$41"}</definedName>
    <definedName name="__ago6_1_2" localSheetId="20" hidden="1">{"'gráf jan00'!$A$1:$AK$41"}</definedName>
    <definedName name="__ago6_1_2" hidden="1">{"'gráf jan00'!$A$1:$AK$41"}</definedName>
    <definedName name="__ago6_2" localSheetId="20" hidden="1">{"'gráf jan00'!$A$1:$AK$41"}</definedName>
    <definedName name="__ago6_2" hidden="1">{"'gráf jan00'!$A$1:$AK$41"}</definedName>
    <definedName name="__ago7" localSheetId="20" hidden="1">{"'gráf jan00'!$A$1:$AK$41"}</definedName>
    <definedName name="__ago7" hidden="1">{"'gráf jan00'!$A$1:$AK$41"}</definedName>
    <definedName name="__ago7_1" localSheetId="20" hidden="1">{"'gráf jan00'!$A$1:$AK$41"}</definedName>
    <definedName name="__ago7_1" hidden="1">{"'gráf jan00'!$A$1:$AK$41"}</definedName>
    <definedName name="__ago7_1_1" localSheetId="20" hidden="1">{"'gráf jan00'!$A$1:$AK$41"}</definedName>
    <definedName name="__ago7_1_1" hidden="1">{"'gráf jan00'!$A$1:$AK$41"}</definedName>
    <definedName name="__ago7_1_1_1" localSheetId="20" hidden="1">{"'gráf jan00'!$A$1:$AK$41"}</definedName>
    <definedName name="__ago7_1_1_1" hidden="1">{"'gráf jan00'!$A$1:$AK$41"}</definedName>
    <definedName name="__ago7_1_2" localSheetId="20" hidden="1">{"'gráf jan00'!$A$1:$AK$41"}</definedName>
    <definedName name="__ago7_1_2" hidden="1">{"'gráf jan00'!$A$1:$AK$41"}</definedName>
    <definedName name="__ago7_2" localSheetId="20" hidden="1">{"'gráf jan00'!$A$1:$AK$41"}</definedName>
    <definedName name="__ago7_2" hidden="1">{"'gráf jan00'!$A$1:$AK$41"}</definedName>
    <definedName name="__ago8" localSheetId="20" hidden="1">{"'gráf jan00'!$A$1:$AK$41"}</definedName>
    <definedName name="__ago8" hidden="1">{"'gráf jan00'!$A$1:$AK$41"}</definedName>
    <definedName name="__ago8_1" localSheetId="20" hidden="1">{"'gráf jan00'!$A$1:$AK$41"}</definedName>
    <definedName name="__ago8_1" hidden="1">{"'gráf jan00'!$A$1:$AK$41"}</definedName>
    <definedName name="__ago8_1_1" localSheetId="20" hidden="1">{"'gráf jan00'!$A$1:$AK$41"}</definedName>
    <definedName name="__ago8_1_1" hidden="1">{"'gráf jan00'!$A$1:$AK$41"}</definedName>
    <definedName name="__ago8_1_1_1" localSheetId="20" hidden="1">{"'gráf jan00'!$A$1:$AK$41"}</definedName>
    <definedName name="__ago8_1_1_1" hidden="1">{"'gráf jan00'!$A$1:$AK$41"}</definedName>
    <definedName name="__ago8_1_2" localSheetId="20" hidden="1">{"'gráf jan00'!$A$1:$AK$41"}</definedName>
    <definedName name="__ago8_1_2" hidden="1">{"'gráf jan00'!$A$1:$AK$41"}</definedName>
    <definedName name="__ago8_2" localSheetId="20" hidden="1">{"'gráf jan00'!$A$1:$AK$41"}</definedName>
    <definedName name="__ago8_2" hidden="1">{"'gráf jan00'!$A$1:$AK$41"}</definedName>
    <definedName name="__ago9" localSheetId="20" hidden="1">{"'gráf jan00'!$A$1:$AK$41"}</definedName>
    <definedName name="__ago9" hidden="1">{"'gráf jan00'!$A$1:$AK$41"}</definedName>
    <definedName name="__ago9_1" localSheetId="20" hidden="1">{"'gráf jan00'!$A$1:$AK$41"}</definedName>
    <definedName name="__ago9_1" hidden="1">{"'gráf jan00'!$A$1:$AK$41"}</definedName>
    <definedName name="__ago9_1_1" localSheetId="20" hidden="1">{"'gráf jan00'!$A$1:$AK$41"}</definedName>
    <definedName name="__ago9_1_1" hidden="1">{"'gráf jan00'!$A$1:$AK$41"}</definedName>
    <definedName name="__ago9_1_1_1" localSheetId="20" hidden="1">{"'gráf jan00'!$A$1:$AK$41"}</definedName>
    <definedName name="__ago9_1_1_1" hidden="1">{"'gráf jan00'!$A$1:$AK$41"}</definedName>
    <definedName name="__ago9_1_2" localSheetId="20" hidden="1">{"'gráf jan00'!$A$1:$AK$41"}</definedName>
    <definedName name="__ago9_1_2" hidden="1">{"'gráf jan00'!$A$1:$AK$41"}</definedName>
    <definedName name="__ago9_2" localSheetId="20" hidden="1">{"'gráf jan00'!$A$1:$AK$41"}</definedName>
    <definedName name="__ago9_2" hidden="1">{"'gráf jan00'!$A$1:$AK$41"}</definedName>
    <definedName name="__ago99999" localSheetId="20" hidden="1">{"'gráf jan00'!$A$1:$AK$41"}</definedName>
    <definedName name="__ago99999" hidden="1">{"'gráf jan00'!$A$1:$AK$41"}</definedName>
    <definedName name="__ago99999_1" localSheetId="20" hidden="1">{"'gráf jan00'!$A$1:$AK$41"}</definedName>
    <definedName name="__ago99999_1" hidden="1">{"'gráf jan00'!$A$1:$AK$41"}</definedName>
    <definedName name="__ago99999_1_1" localSheetId="20" hidden="1">{"'gráf jan00'!$A$1:$AK$41"}</definedName>
    <definedName name="__ago99999_1_1" hidden="1">{"'gráf jan00'!$A$1:$AK$41"}</definedName>
    <definedName name="__ago99999_1_1_1" localSheetId="20" hidden="1">{"'gráf jan00'!$A$1:$AK$41"}</definedName>
    <definedName name="__ago99999_1_1_1" hidden="1">{"'gráf jan00'!$A$1:$AK$41"}</definedName>
    <definedName name="__ago99999_1_2" localSheetId="20" hidden="1">{"'gráf jan00'!$A$1:$AK$41"}</definedName>
    <definedName name="__ago99999_1_2" hidden="1">{"'gráf jan00'!$A$1:$AK$41"}</definedName>
    <definedName name="__ago99999_2" localSheetId="20" hidden="1">{"'gráf jan00'!$A$1:$AK$41"}</definedName>
    <definedName name="__ago99999_2" hidden="1">{"'gráf jan00'!$A$1:$AK$41"}</definedName>
    <definedName name="__arg13">"$#REF!.$H$31"</definedName>
    <definedName name="__arg16">"$#REF!.$H$55"</definedName>
    <definedName name="__arq1" localSheetId="20" hidden="1">{"'REL CUSTODIF'!$B$1:$H$72"}</definedName>
    <definedName name="__arq1" hidden="1">{"'REL CUSTODIF'!$B$1:$H$72"}</definedName>
    <definedName name="__ATD1">[16]PATO!$G$42</definedName>
    <definedName name="__B106440">#REF!</definedName>
    <definedName name="__B106441">#REF!</definedName>
    <definedName name="__bar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BB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DI1">[21]Dados!#REF!</definedName>
    <definedName name="__bm03" localSheetId="20" hidden="1">{#N/A,#N/A,FALSE,"CPV";#N/A,#N/A,FALSE,"Pareto";#N/A,#N/A,FALSE,"Gráficos"}</definedName>
    <definedName name="__bm03" hidden="1">{#N/A,#N/A,FALSE,"CPV";#N/A,#N/A,FALSE,"Pareto";#N/A,#N/A,FALSE,"Gráficos"}</definedName>
    <definedName name="__bm03_1" localSheetId="20" hidden="1">{#N/A,#N/A,FALSE,"CPV";#N/A,#N/A,FALSE,"Pareto";#N/A,#N/A,FALSE,"Gráficos"}</definedName>
    <definedName name="__bm03_1" hidden="1">{#N/A,#N/A,FALSE,"CPV";#N/A,#N/A,FALSE,"Pareto";#N/A,#N/A,FALSE,"Gráficos"}</definedName>
    <definedName name="__br4">#REF!</definedName>
    <definedName name="__Brz1">[22]Feriados!$B$4:$B$14</definedName>
    <definedName name="__Brz2">[22]Feriados!$B$17:$B$24</definedName>
    <definedName name="__CCC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M30">[16]PATO!#REF!</definedName>
    <definedName name="__CMM30">[15]DADOS!$B$39</definedName>
    <definedName name="__d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EF2" localSheetId="20" hidden="1">{#N/A,#N/A,FALSE,"DEF1";#N/A,#N/A,FALSE,"DEF2";#N/A,#N/A,FALSE,"DEF3"}</definedName>
    <definedName name="__DEF2" hidden="1">{#N/A,#N/A,FALSE,"DEF1";#N/A,#N/A,FALSE,"DEF2";#N/A,#N/A,FALSE,"DEF3"}</definedName>
    <definedName name="__DEF2_1" localSheetId="20" hidden="1">{#N/A,#N/A,FALSE,"DEF1";#N/A,#N/A,FALSE,"DEF2";#N/A,#N/A,FALSE,"DEF3"}</definedName>
    <definedName name="__DEF2_1" hidden="1">{#N/A,#N/A,FALSE,"DEF1";#N/A,#N/A,FALSE,"DEF2";#N/A,#N/A,FALSE,"DEF3"}</definedName>
    <definedName name="__DEF2_1_1" localSheetId="20" hidden="1">{#N/A,#N/A,FALSE,"DEF1";#N/A,#N/A,FALSE,"DEF2";#N/A,#N/A,FALSE,"DEF3"}</definedName>
    <definedName name="__DEF2_1_1" hidden="1">{#N/A,#N/A,FALSE,"DEF1";#N/A,#N/A,FALSE,"DEF2";#N/A,#N/A,FALSE,"DEF3"}</definedName>
    <definedName name="__DEF2_1_1_1" localSheetId="20" hidden="1">{#N/A,#N/A,FALSE,"DEF1";#N/A,#N/A,FALSE,"DEF2";#N/A,#N/A,FALSE,"DEF3"}</definedName>
    <definedName name="__DEF2_1_1_1" hidden="1">{#N/A,#N/A,FALSE,"DEF1";#N/A,#N/A,FALSE,"DEF2";#N/A,#N/A,FALSE,"DEF3"}</definedName>
    <definedName name="__DEF2_1_2" localSheetId="20" hidden="1">{#N/A,#N/A,FALSE,"DEF1";#N/A,#N/A,FALSE,"DEF2";#N/A,#N/A,FALSE,"DEF3"}</definedName>
    <definedName name="__DEF2_1_2" hidden="1">{#N/A,#N/A,FALSE,"DEF1";#N/A,#N/A,FALSE,"DEF2";#N/A,#N/A,FALSE,"DEF3"}</definedName>
    <definedName name="__DEF2_2" localSheetId="20" hidden="1">{#N/A,#N/A,FALSE,"DEF1";#N/A,#N/A,FALSE,"DEF2";#N/A,#N/A,FALSE,"DEF3"}</definedName>
    <definedName name="__DEF2_2" hidden="1">{#N/A,#N/A,FALSE,"DEF1";#N/A,#N/A,FALSE,"DEF2";#N/A,#N/A,FALSE,"DEF3"}</definedName>
    <definedName name="__DEF3" localSheetId="20" hidden="1">{#N/A,#N/A,FALSE,"DEF1";#N/A,#N/A,FALSE,"DEF2";#N/A,#N/A,FALSE,"DEF3"}</definedName>
    <definedName name="__DEF3" hidden="1">{#N/A,#N/A,FALSE,"DEF1";#N/A,#N/A,FALSE,"DEF2";#N/A,#N/A,FALSE,"DEF3"}</definedName>
    <definedName name="__DEF3_1" localSheetId="20" hidden="1">{#N/A,#N/A,FALSE,"DEF1";#N/A,#N/A,FALSE,"DEF2";#N/A,#N/A,FALSE,"DEF3"}</definedName>
    <definedName name="__DEF3_1" hidden="1">{#N/A,#N/A,FALSE,"DEF1";#N/A,#N/A,FALSE,"DEF2";#N/A,#N/A,FALSE,"DEF3"}</definedName>
    <definedName name="__DEF3_1_1" localSheetId="20" hidden="1">{#N/A,#N/A,FALSE,"DEF1";#N/A,#N/A,FALSE,"DEF2";#N/A,#N/A,FALSE,"DEF3"}</definedName>
    <definedName name="__DEF3_1_1" hidden="1">{#N/A,#N/A,FALSE,"DEF1";#N/A,#N/A,FALSE,"DEF2";#N/A,#N/A,FALSE,"DEF3"}</definedName>
    <definedName name="__DEF3_1_1_1" localSheetId="20" hidden="1">{#N/A,#N/A,FALSE,"DEF1";#N/A,#N/A,FALSE,"DEF2";#N/A,#N/A,FALSE,"DEF3"}</definedName>
    <definedName name="__DEF3_1_1_1" hidden="1">{#N/A,#N/A,FALSE,"DEF1";#N/A,#N/A,FALSE,"DEF2";#N/A,#N/A,FALSE,"DEF3"}</definedName>
    <definedName name="__DEF3_1_2" localSheetId="20" hidden="1">{#N/A,#N/A,FALSE,"DEF1";#N/A,#N/A,FALSE,"DEF2";#N/A,#N/A,FALSE,"DEF3"}</definedName>
    <definedName name="__DEF3_1_2" hidden="1">{#N/A,#N/A,FALSE,"DEF1";#N/A,#N/A,FALSE,"DEF2";#N/A,#N/A,FALSE,"DEF3"}</definedName>
    <definedName name="__DEF3_2" localSheetId="20" hidden="1">{#N/A,#N/A,FALSE,"DEF1";#N/A,#N/A,FALSE,"DEF2";#N/A,#N/A,FALSE,"DEF3"}</definedName>
    <definedName name="__DEF3_2" hidden="1">{#N/A,#N/A,FALSE,"DEF1";#N/A,#N/A,FALSE,"DEF2";#N/A,#N/A,FALSE,"DEF3"}</definedName>
    <definedName name="__DFG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ECT12">#REF!</definedName>
    <definedName name="__ECT3">#REF!</definedName>
    <definedName name="__ee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fc10" localSheetId="20" hidden="1">{"'RR'!$A$2:$E$81"}</definedName>
    <definedName name="__efc10" hidden="1">{"'RR'!$A$2:$E$81"}</definedName>
    <definedName name="__efc10_1" localSheetId="20" hidden="1">{"'RR'!$A$2:$E$81"}</definedName>
    <definedName name="__efc10_1" hidden="1">{"'RR'!$A$2:$E$81"}</definedName>
    <definedName name="__efc10_1_1" localSheetId="20" hidden="1">{"'RR'!$A$2:$E$81"}</definedName>
    <definedName name="__efc10_1_1" hidden="1">{"'RR'!$A$2:$E$81"}</definedName>
    <definedName name="__efc10_1_1_1" localSheetId="20" hidden="1">{"'RR'!$A$2:$E$81"}</definedName>
    <definedName name="__efc10_1_1_1" hidden="1">{"'RR'!$A$2:$E$81"}</definedName>
    <definedName name="__efc10_1_2" localSheetId="20" hidden="1">{"'RR'!$A$2:$E$81"}</definedName>
    <definedName name="__efc10_1_2" hidden="1">{"'RR'!$A$2:$E$81"}</definedName>
    <definedName name="__efc10_2" localSheetId="20" hidden="1">{"'RR'!$A$2:$E$81"}</definedName>
    <definedName name="__efc10_2" hidden="1">{"'RR'!$A$2:$E$81"}</definedName>
    <definedName name="__EFC2" localSheetId="20" hidden="1">{"'RR'!$A$2:$E$81"}</definedName>
    <definedName name="__EFC2" hidden="1">{"'RR'!$A$2:$E$81"}</definedName>
    <definedName name="__EFC2_1" localSheetId="20" hidden="1">{"'RR'!$A$2:$E$81"}</definedName>
    <definedName name="__EFC2_1" hidden="1">{"'RR'!$A$2:$E$81"}</definedName>
    <definedName name="__EFC2_1_1" localSheetId="20" hidden="1">{"'RR'!$A$2:$E$81"}</definedName>
    <definedName name="__EFC2_1_1" hidden="1">{"'RR'!$A$2:$E$81"}</definedName>
    <definedName name="__EFC2_1_1_1" localSheetId="20" hidden="1">{"'RR'!$A$2:$E$81"}</definedName>
    <definedName name="__EFC2_1_1_1" hidden="1">{"'RR'!$A$2:$E$81"}</definedName>
    <definedName name="__EFC2_1_2" localSheetId="20" hidden="1">{"'RR'!$A$2:$E$81"}</definedName>
    <definedName name="__EFC2_1_2" hidden="1">{"'RR'!$A$2:$E$81"}</definedName>
    <definedName name="__EFC2_2" localSheetId="20" hidden="1">{"'RR'!$A$2:$E$81"}</definedName>
    <definedName name="__EFC2_2" hidden="1">{"'RR'!$A$2:$E$81"}</definedName>
    <definedName name="__EFC3" localSheetId="20" hidden="1">{"'RR'!$A$2:$E$81"}</definedName>
    <definedName name="__EFC3" hidden="1">{"'RR'!$A$2:$E$81"}</definedName>
    <definedName name="__EFC3_1" localSheetId="20" hidden="1">{"'RR'!$A$2:$E$81"}</definedName>
    <definedName name="__EFC3_1" hidden="1">{"'RR'!$A$2:$E$81"}</definedName>
    <definedName name="__EFC3_1_1" localSheetId="20" hidden="1">{"'RR'!$A$2:$E$81"}</definedName>
    <definedName name="__EFC3_1_1" hidden="1">{"'RR'!$A$2:$E$81"}</definedName>
    <definedName name="__EFC3_1_1_1" localSheetId="20" hidden="1">{"'RR'!$A$2:$E$81"}</definedName>
    <definedName name="__EFC3_1_1_1" hidden="1">{"'RR'!$A$2:$E$81"}</definedName>
    <definedName name="__EFC3_1_2" localSheetId="20" hidden="1">{"'RR'!$A$2:$E$81"}</definedName>
    <definedName name="__EFC3_1_2" hidden="1">{"'RR'!$A$2:$E$81"}</definedName>
    <definedName name="__EFC3_2" localSheetId="20" hidden="1">{"'RR'!$A$2:$E$81"}</definedName>
    <definedName name="__EFC3_2" hidden="1">{"'RR'!$A$2:$E$81"}</definedName>
    <definedName name="__EFC4" localSheetId="20" hidden="1">{"'RR'!$A$2:$E$81"}</definedName>
    <definedName name="__EFC4" hidden="1">{"'RR'!$A$2:$E$81"}</definedName>
    <definedName name="__EFC4_1" localSheetId="20" hidden="1">{"'RR'!$A$2:$E$81"}</definedName>
    <definedName name="__EFC4_1" hidden="1">{"'RR'!$A$2:$E$81"}</definedName>
    <definedName name="__EFC4_1_1" localSheetId="20" hidden="1">{"'RR'!$A$2:$E$81"}</definedName>
    <definedName name="__EFC4_1_1" hidden="1">{"'RR'!$A$2:$E$81"}</definedName>
    <definedName name="__EFC4_1_1_1" localSheetId="20" hidden="1">{"'RR'!$A$2:$E$81"}</definedName>
    <definedName name="__EFC4_1_1_1" hidden="1">{"'RR'!$A$2:$E$81"}</definedName>
    <definedName name="__EFC4_1_2" localSheetId="20" hidden="1">{"'RR'!$A$2:$E$81"}</definedName>
    <definedName name="__EFC4_1_2" hidden="1">{"'RR'!$A$2:$E$81"}</definedName>
    <definedName name="__EFC4_2" localSheetId="20" hidden="1">{"'RR'!$A$2:$E$81"}</definedName>
    <definedName name="__EFC4_2" hidden="1">{"'RR'!$A$2:$E$81"}</definedName>
    <definedName name="__Ext2">'[12]P A T O 99 B'!#REF!</definedName>
    <definedName name="__F12" localSheetId="20" hidden="1">{#N/A,#N/A,FALSE,"ET-CAPA";#N/A,#N/A,FALSE,"ET-PAG1";#N/A,#N/A,FALSE,"ET-PAG2";#N/A,#N/A,FALSE,"ET-PAG3";#N/A,#N/A,FALSE,"ET-PAG4";#N/A,#N/A,FALSE,"ET-PAG5"}</definedName>
    <definedName name="__F12" hidden="1">{#N/A,#N/A,FALSE,"ET-CAPA";#N/A,#N/A,FALSE,"ET-PAG1";#N/A,#N/A,FALSE,"ET-PAG2";#N/A,#N/A,FALSE,"ET-PAG3";#N/A,#N/A,FALSE,"ET-PAG4";#N/A,#N/A,FALSE,"ET-PAG5"}</definedName>
    <definedName name="__F12_1" localSheetId="20" hidden="1">{#N/A,#N/A,FALSE,"ET-CAPA";#N/A,#N/A,FALSE,"ET-PAG1";#N/A,#N/A,FALSE,"ET-PAG2";#N/A,#N/A,FALSE,"ET-PAG3";#N/A,#N/A,FALSE,"ET-PAG4";#N/A,#N/A,FALSE,"ET-PAG5"}</definedName>
    <definedName name="__F12_1" hidden="1">{#N/A,#N/A,FALSE,"ET-CAPA";#N/A,#N/A,FALSE,"ET-PAG1";#N/A,#N/A,FALSE,"ET-PAG2";#N/A,#N/A,FALSE,"ET-PAG3";#N/A,#N/A,FALSE,"ET-PAG4";#N/A,#N/A,FALSE,"ET-PAG5"}</definedName>
    <definedName name="__F15" localSheetId="20" hidden="1">{#N/A,#N/A,FALSE,"ET-CAPA";#N/A,#N/A,FALSE,"ET-PAG1";#N/A,#N/A,FALSE,"ET-PAG2";#N/A,#N/A,FALSE,"ET-PAG3";#N/A,#N/A,FALSE,"ET-PAG4";#N/A,#N/A,FALSE,"ET-PAG5"}</definedName>
    <definedName name="__F15" hidden="1">{#N/A,#N/A,FALSE,"ET-CAPA";#N/A,#N/A,FALSE,"ET-PAG1";#N/A,#N/A,FALSE,"ET-PAG2";#N/A,#N/A,FALSE,"ET-PAG3";#N/A,#N/A,FALSE,"ET-PAG4";#N/A,#N/A,FALSE,"ET-PAG5"}</definedName>
    <definedName name="__F15_1" localSheetId="20" hidden="1">{#N/A,#N/A,FALSE,"ET-CAPA";#N/A,#N/A,FALSE,"ET-PAG1";#N/A,#N/A,FALSE,"ET-PAG2";#N/A,#N/A,FALSE,"ET-PAG3";#N/A,#N/A,FALSE,"ET-PAG4";#N/A,#N/A,FALSE,"ET-PAG5"}</definedName>
    <definedName name="__F15_1" hidden="1">{#N/A,#N/A,FALSE,"ET-CAPA";#N/A,#N/A,FALSE,"ET-PAG1";#N/A,#N/A,FALSE,"ET-PAG2";#N/A,#N/A,FALSE,"ET-PAG3";#N/A,#N/A,FALSE,"ET-PAG4";#N/A,#N/A,FALSE,"ET-PAG5"}</definedName>
    <definedName name="__f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DS_HYPERLINK_TOGGLE_STATE__" hidden="1">"ON"</definedName>
    <definedName name="__Fev1">#N/A</definedName>
    <definedName name="__ffp16" localSheetId="20" hidden="1">{"'gráf jan00'!$A$1:$AK$41"}</definedName>
    <definedName name="__ffp16" hidden="1">{"'gráf jan00'!$A$1:$AK$41"}</definedName>
    <definedName name="__ffp16_1" localSheetId="20" hidden="1">{"'gráf jan00'!$A$1:$AK$41"}</definedName>
    <definedName name="__ffp16_1" hidden="1">{"'gráf jan00'!$A$1:$AK$41"}</definedName>
    <definedName name="__ffp16_1_1" localSheetId="20" hidden="1">{"'gráf jan00'!$A$1:$AK$41"}</definedName>
    <definedName name="__ffp16_1_1" hidden="1">{"'gráf jan00'!$A$1:$AK$41"}</definedName>
    <definedName name="__ffp16_1_1_1" localSheetId="20" hidden="1">{"'gráf jan00'!$A$1:$AK$41"}</definedName>
    <definedName name="__ffp16_1_1_1" hidden="1">{"'gráf jan00'!$A$1:$AK$41"}</definedName>
    <definedName name="__ffp16_1_2" localSheetId="20" hidden="1">{"'gráf jan00'!$A$1:$AK$41"}</definedName>
    <definedName name="__ffp16_1_2" hidden="1">{"'gráf jan00'!$A$1:$AK$41"}</definedName>
    <definedName name="__ffp16_2" localSheetId="20" hidden="1">{"'gráf jan00'!$A$1:$AK$41"}</definedName>
    <definedName name="__ffp16_2" hidden="1">{"'gráf jan00'!$A$1:$AK$41"}</definedName>
    <definedName name="__ffp4589" localSheetId="20" hidden="1">{"'gráf jan00'!$A$1:$AK$41"}</definedName>
    <definedName name="__ffp4589" hidden="1">{"'gráf jan00'!$A$1:$AK$41"}</definedName>
    <definedName name="__ffp4589_1" localSheetId="20" hidden="1">{"'gráf jan00'!$A$1:$AK$41"}</definedName>
    <definedName name="__ffp4589_1" hidden="1">{"'gráf jan00'!$A$1:$AK$41"}</definedName>
    <definedName name="__ffp4589_1_1" localSheetId="20" hidden="1">{"'gráf jan00'!$A$1:$AK$41"}</definedName>
    <definedName name="__ffp4589_1_1" hidden="1">{"'gráf jan00'!$A$1:$AK$41"}</definedName>
    <definedName name="__ffp4589_1_1_1" localSheetId="20" hidden="1">{"'gráf jan00'!$A$1:$AK$41"}</definedName>
    <definedName name="__ffp4589_1_1_1" hidden="1">{"'gráf jan00'!$A$1:$AK$41"}</definedName>
    <definedName name="__ffp4589_1_2" localSheetId="20" hidden="1">{"'gráf jan00'!$A$1:$AK$41"}</definedName>
    <definedName name="__ffp4589_1_2" hidden="1">{"'gráf jan00'!$A$1:$AK$41"}</definedName>
    <definedName name="__ffp4589_2" localSheetId="20" hidden="1">{"'gráf jan00'!$A$1:$AK$41"}</definedName>
    <definedName name="__ffp4589_2" hidden="1">{"'gráf jan00'!$A$1:$AK$41"}</definedName>
    <definedName name="__HCB5">#REF!</definedName>
    <definedName name="__I">#REF!</definedName>
    <definedName name="__I027611" localSheetId="20" hidden="1">{#N/A,#N/A,FALSE,"지침";#N/A,#N/A,FALSE,"환경분석";#N/A,#N/A,FALSE,"Sheet16"}</definedName>
    <definedName name="__I027611" hidden="1">{#N/A,#N/A,FALSE,"지침";#N/A,#N/A,FALSE,"환경분석";#N/A,#N/A,FALSE,"Sheet16"}</definedName>
    <definedName name="__I027611_1" localSheetId="20" hidden="1">{#N/A,#N/A,FALSE,"지침";#N/A,#N/A,FALSE,"환경분석";#N/A,#N/A,FALSE,"Sheet16"}</definedName>
    <definedName name="__I027611_1" hidden="1">{#N/A,#N/A,FALSE,"지침";#N/A,#N/A,FALSE,"환경분석";#N/A,#N/A,FALSE,"Sheet16"}</definedName>
    <definedName name="__I027611_1_1" localSheetId="20" hidden="1">{#N/A,#N/A,FALSE,"지침";#N/A,#N/A,FALSE,"환경분석";#N/A,#N/A,FALSE,"Sheet16"}</definedName>
    <definedName name="__I027611_1_1" hidden="1">{#N/A,#N/A,FALSE,"지침";#N/A,#N/A,FALSE,"환경분석";#N/A,#N/A,FALSE,"Sheet16"}</definedName>
    <definedName name="__I027611_1_1_1" localSheetId="20" hidden="1">{#N/A,#N/A,FALSE,"지침";#N/A,#N/A,FALSE,"환경분석";#N/A,#N/A,FALSE,"Sheet16"}</definedName>
    <definedName name="__I027611_1_1_1" hidden="1">{#N/A,#N/A,FALSE,"지침";#N/A,#N/A,FALSE,"환경분석";#N/A,#N/A,FALSE,"Sheet16"}</definedName>
    <definedName name="__I027611_1_2" localSheetId="20" hidden="1">{#N/A,#N/A,FALSE,"지침";#N/A,#N/A,FALSE,"환경분석";#N/A,#N/A,FALSE,"Sheet16"}</definedName>
    <definedName name="__I027611_1_2" hidden="1">{#N/A,#N/A,FALSE,"지침";#N/A,#N/A,FALSE,"환경분석";#N/A,#N/A,FALSE,"Sheet16"}</definedName>
    <definedName name="__I027611_2" localSheetId="20" hidden="1">{#N/A,#N/A,FALSE,"지침";#N/A,#N/A,FALSE,"환경분석";#N/A,#N/A,FALSE,"Sheet16"}</definedName>
    <definedName name="__I027611_2" hidden="1">{#N/A,#N/A,FALSE,"지침";#N/A,#N/A,FALSE,"환경분석";#N/A,#N/A,FALSE,"Sheet16"}</definedName>
    <definedName name="__IntlFixup" hidden="1">TRUE</definedName>
    <definedName name="__IntlFixupTable" hidden="1">#REF!</definedName>
    <definedName name="__JAN0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U7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n04" localSheetId="20" hidden="1">{"'gráf jan00'!$A$1:$AK$41"}</definedName>
    <definedName name="__jun04" hidden="1">{"'gráf jan00'!$A$1:$AK$41"}</definedName>
    <definedName name="__jun04_1" localSheetId="20" hidden="1">{"'gráf jan00'!$A$1:$AK$41"}</definedName>
    <definedName name="__jun04_1" hidden="1">{"'gráf jan00'!$A$1:$AK$41"}</definedName>
    <definedName name="__jun04_1_1" localSheetId="20" hidden="1">{"'gráf jan00'!$A$1:$AK$41"}</definedName>
    <definedName name="__jun04_1_1" hidden="1">{"'gráf jan00'!$A$1:$AK$41"}</definedName>
    <definedName name="__jun04_1_1_1" localSheetId="20" hidden="1">{"'gráf jan00'!$A$1:$AK$41"}</definedName>
    <definedName name="__jun04_1_1_1" hidden="1">{"'gráf jan00'!$A$1:$AK$41"}</definedName>
    <definedName name="__jun04_1_2" localSheetId="20" hidden="1">{"'gráf jan00'!$A$1:$AK$41"}</definedName>
    <definedName name="__jun04_1_2" hidden="1">{"'gráf jan00'!$A$1:$AK$41"}</definedName>
    <definedName name="__jun04_2" localSheetId="20" hidden="1">{"'gráf jan00'!$A$1:$AK$41"}</definedName>
    <definedName name="__jun04_2" hidden="1">{"'gráf jan00'!$A$1:$AK$41"}</definedName>
    <definedName name="__ki5">#REF!</definedName>
    <definedName name="__kj1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la2">[16]PATO!#REF!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ltf2" hidden="1">#REF!</definedName>
    <definedName name="__m">#REF!</definedName>
    <definedName name="__MA2" localSheetId="20" hidden="1">{"'REL CUSTODIF'!$B$1:$H$72"}</definedName>
    <definedName name="__MA2" hidden="1">{"'REL CUSTODIF'!$B$1:$H$72"}</definedName>
    <definedName name="__MA2_1" localSheetId="20" hidden="1">{"'REL CUSTODIF'!$B$1:$H$72"}</definedName>
    <definedName name="__MA2_1" hidden="1">{"'REL CUSTODIF'!$B$1:$H$72"}</definedName>
    <definedName name="__MA2_1_1" localSheetId="20" hidden="1">{"'REL CUSTODIF'!$B$1:$H$72"}</definedName>
    <definedName name="__MA2_1_1" hidden="1">{"'REL CUSTODIF'!$B$1:$H$72"}</definedName>
    <definedName name="__MA2_1_1_1" localSheetId="20" hidden="1">{"'REL CUSTODIF'!$B$1:$H$72"}</definedName>
    <definedName name="__MA2_1_1_1" hidden="1">{"'REL CUSTODIF'!$B$1:$H$72"}</definedName>
    <definedName name="__MA2_1_2" localSheetId="20" hidden="1">{"'REL CUSTODIF'!$B$1:$H$72"}</definedName>
    <definedName name="__MA2_1_2" hidden="1">{"'REL CUSTODIF'!$B$1:$H$72"}</definedName>
    <definedName name="__MA2_2" localSheetId="20" hidden="1">{"'REL CUSTODIF'!$B$1:$H$72"}</definedName>
    <definedName name="__MA2_2" hidden="1">{"'REL CUSTODIF'!$B$1:$H$72"}</definedName>
    <definedName name="__Mar1">#N/A</definedName>
    <definedName name="__MOA1" localSheetId="20" hidden="1">{#N/A,#N/A,FALSE,"DEF1";#N/A,#N/A,FALSE,"DEF2";#N/A,#N/A,FALSE,"DEF3"}</definedName>
    <definedName name="__MOA1" hidden="1">{#N/A,#N/A,FALSE,"DEF1";#N/A,#N/A,FALSE,"DEF2";#N/A,#N/A,FALSE,"DEF3"}</definedName>
    <definedName name="__MOA1_1" localSheetId="20" hidden="1">{#N/A,#N/A,FALSE,"DEF1";#N/A,#N/A,FALSE,"DEF2";#N/A,#N/A,FALSE,"DEF3"}</definedName>
    <definedName name="__MOA1_1" hidden="1">{#N/A,#N/A,FALSE,"DEF1";#N/A,#N/A,FALSE,"DEF2";#N/A,#N/A,FALSE,"DEF3"}</definedName>
    <definedName name="__MOA1_1_1" localSheetId="20" hidden="1">{#N/A,#N/A,FALSE,"DEF1";#N/A,#N/A,FALSE,"DEF2";#N/A,#N/A,FALSE,"DEF3"}</definedName>
    <definedName name="__MOA1_1_1" hidden="1">{#N/A,#N/A,FALSE,"DEF1";#N/A,#N/A,FALSE,"DEF2";#N/A,#N/A,FALSE,"DEF3"}</definedName>
    <definedName name="__MOA1_1_1_1" localSheetId="20" hidden="1">{#N/A,#N/A,FALSE,"DEF1";#N/A,#N/A,FALSE,"DEF2";#N/A,#N/A,FALSE,"DEF3"}</definedName>
    <definedName name="__MOA1_1_1_1" hidden="1">{#N/A,#N/A,FALSE,"DEF1";#N/A,#N/A,FALSE,"DEF2";#N/A,#N/A,FALSE,"DEF3"}</definedName>
    <definedName name="__MOA1_1_2" localSheetId="20" hidden="1">{#N/A,#N/A,FALSE,"DEF1";#N/A,#N/A,FALSE,"DEF2";#N/A,#N/A,FALSE,"DEF3"}</definedName>
    <definedName name="__MOA1_1_2" hidden="1">{#N/A,#N/A,FALSE,"DEF1";#N/A,#N/A,FALSE,"DEF2";#N/A,#N/A,FALSE,"DEF3"}</definedName>
    <definedName name="__MOA1_2" localSheetId="20" hidden="1">{#N/A,#N/A,FALSE,"DEF1";#N/A,#N/A,FALSE,"DEF2";#N/A,#N/A,FALSE,"DEF3"}</definedName>
    <definedName name="__MOA1_2" hidden="1">{#N/A,#N/A,FALSE,"DEF1";#N/A,#N/A,FALSE,"DEF2";#N/A,#N/A,FALSE,"DEF3"}</definedName>
    <definedName name="__MOA2" localSheetId="20" hidden="1">{#N/A,#N/A,FALSE,"DEF1";#N/A,#N/A,FALSE,"DEF2";#N/A,#N/A,FALSE,"DEF3"}</definedName>
    <definedName name="__MOA2" hidden="1">{#N/A,#N/A,FALSE,"DEF1";#N/A,#N/A,FALSE,"DEF2";#N/A,#N/A,FALSE,"DEF3"}</definedName>
    <definedName name="__MOA2_1" localSheetId="20" hidden="1">{#N/A,#N/A,FALSE,"DEF1";#N/A,#N/A,FALSE,"DEF2";#N/A,#N/A,FALSE,"DEF3"}</definedName>
    <definedName name="__MOA2_1" hidden="1">{#N/A,#N/A,FALSE,"DEF1";#N/A,#N/A,FALSE,"DEF2";#N/A,#N/A,FALSE,"DEF3"}</definedName>
    <definedName name="__MOA2_1_1" localSheetId="20" hidden="1">{#N/A,#N/A,FALSE,"DEF1";#N/A,#N/A,FALSE,"DEF2";#N/A,#N/A,FALSE,"DEF3"}</definedName>
    <definedName name="__MOA2_1_1" hidden="1">{#N/A,#N/A,FALSE,"DEF1";#N/A,#N/A,FALSE,"DEF2";#N/A,#N/A,FALSE,"DEF3"}</definedName>
    <definedName name="__MOA2_1_1_1" localSheetId="20" hidden="1">{#N/A,#N/A,FALSE,"DEF1";#N/A,#N/A,FALSE,"DEF2";#N/A,#N/A,FALSE,"DEF3"}</definedName>
    <definedName name="__MOA2_1_1_1" hidden="1">{#N/A,#N/A,FALSE,"DEF1";#N/A,#N/A,FALSE,"DEF2";#N/A,#N/A,FALSE,"DEF3"}</definedName>
    <definedName name="__MOA2_1_2" localSheetId="20" hidden="1">{#N/A,#N/A,FALSE,"DEF1";#N/A,#N/A,FALSE,"DEF2";#N/A,#N/A,FALSE,"DEF3"}</definedName>
    <definedName name="__MOA2_1_2" hidden="1">{#N/A,#N/A,FALSE,"DEF1";#N/A,#N/A,FALSE,"DEF2";#N/A,#N/A,FALSE,"DEF3"}</definedName>
    <definedName name="__MOA2_2" localSheetId="20" hidden="1">{#N/A,#N/A,FALSE,"DEF1";#N/A,#N/A,FALSE,"DEF2";#N/A,#N/A,FALSE,"DEF3"}</definedName>
    <definedName name="__MOA2_2" hidden="1">{#N/A,#N/A,FALSE,"DEF1";#N/A,#N/A,FALSE,"DEF2";#N/A,#N/A,FALSE,"DEF3"}</definedName>
    <definedName name="__MOD01">#N/A</definedName>
    <definedName name="__n2" localSheetId="20" hidden="1">{#N/A,#N/A,FALSE,"PCOL"}</definedName>
    <definedName name="__n2" hidden="1">{#N/A,#N/A,FALSE,"PCOL"}</definedName>
    <definedName name="__n2_1" localSheetId="20" hidden="1">{#N/A,#N/A,FALSE,"PCOL"}</definedName>
    <definedName name="__n2_1" hidden="1">{#N/A,#N/A,FALSE,"PCOL"}</definedName>
    <definedName name="__n2_1_1" localSheetId="20" hidden="1">{#N/A,#N/A,FALSE,"PCOL"}</definedName>
    <definedName name="__n2_1_1" hidden="1">{#N/A,#N/A,FALSE,"PCOL"}</definedName>
    <definedName name="__n2_1_1_1" localSheetId="20" hidden="1">{#N/A,#N/A,FALSE,"PCOL"}</definedName>
    <definedName name="__n2_1_1_1" hidden="1">{#N/A,#N/A,FALSE,"PCOL"}</definedName>
    <definedName name="__n2_1_2" localSheetId="20" hidden="1">{#N/A,#N/A,FALSE,"PCOL"}</definedName>
    <definedName name="__n2_1_2" hidden="1">{#N/A,#N/A,FALSE,"PCOL"}</definedName>
    <definedName name="__n2_2" localSheetId="20" hidden="1">{#N/A,#N/A,FALSE,"PCOL"}</definedName>
    <definedName name="__n2_2" hidden="1">{#N/A,#N/A,FALSE,"PCOL"}</definedName>
    <definedName name="__n2_2_1" localSheetId="20" hidden="1">{#N/A,#N/A,FALSE,"PCOL"}</definedName>
    <definedName name="__n2_2_1" hidden="1">{#N/A,#N/A,FALSE,"PCOL"}</definedName>
    <definedName name="__n2_3" localSheetId="20" hidden="1">{#N/A,#N/A,FALSE,"PCOL"}</definedName>
    <definedName name="__n2_3" hidden="1">{#N/A,#N/A,FALSE,"PCOL"}</definedName>
    <definedName name="__NNN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o1" localSheetId="20" hidden="1">{"det (May)",#N/A,FALSE,"June";"sum (MAY YTD)",#N/A,FALSE,"June YTD"}</definedName>
    <definedName name="__o1" hidden="1">{"det (May)",#N/A,FALSE,"June";"sum (MAY YTD)",#N/A,FALSE,"June YTD"}</definedName>
    <definedName name="__o1_1" localSheetId="20" hidden="1">{"det (May)",#N/A,FALSE,"June";"sum (MAY YTD)",#N/A,FALSE,"June YTD"}</definedName>
    <definedName name="__o1_1" hidden="1">{"det (May)",#N/A,FALSE,"June";"sum (MAY YTD)",#N/A,FALSE,"June YTD"}</definedName>
    <definedName name="__o1_1_1" localSheetId="20" hidden="1">{"det (May)",#N/A,FALSE,"June";"sum (MAY YTD)",#N/A,FALSE,"June YTD"}</definedName>
    <definedName name="__o1_1_1" hidden="1">{"det (May)",#N/A,FALSE,"June";"sum (MAY YTD)",#N/A,FALSE,"June YTD"}</definedName>
    <definedName name="__o1_1_1_1" localSheetId="20" hidden="1">{"det (May)",#N/A,FALSE,"June";"sum (MAY YTD)",#N/A,FALSE,"June YTD"}</definedName>
    <definedName name="__o1_1_1_1" hidden="1">{"det (May)",#N/A,FALSE,"June";"sum (MAY YTD)",#N/A,FALSE,"June YTD"}</definedName>
    <definedName name="__o1_1_2" localSheetId="20" hidden="1">{"det (May)",#N/A,FALSE,"June";"sum (MAY YTD)",#N/A,FALSE,"June YTD"}</definedName>
    <definedName name="__o1_1_2" hidden="1">{"det (May)",#N/A,FALSE,"June";"sum (MAY YTD)",#N/A,FALSE,"June YTD"}</definedName>
    <definedName name="__o1_2" localSheetId="20" hidden="1">{"det (May)",#N/A,FALSE,"June";"sum (MAY YTD)",#N/A,FALSE,"June YTD"}</definedName>
    <definedName name="__o1_2" hidden="1">{"det (May)",#N/A,FALSE,"June";"sum (MAY YTD)",#N/A,FALSE,"June YTD"}</definedName>
    <definedName name="__Obs1">#REF!</definedName>
    <definedName name="__Obs2">#REF!</definedName>
    <definedName name="__OR1">'[23]orcID nº1'!$A$14:$G$1025</definedName>
    <definedName name="__OR12">'[23]orc ID nº12'!$A$16:$G$181</definedName>
    <definedName name="__OR13">'[23]orc ID nº13'!$A$13:$G$34</definedName>
    <definedName name="__OR14">'[23]orc ID nº 14'!$A$14:$G$16</definedName>
    <definedName name="__OR15">'[23]orc ID nº 15'!$A$14:$G$104</definedName>
    <definedName name="__OR16">'[23]orc ID nº16'!$A$14:$G$33</definedName>
    <definedName name="__OR17">'[23]orc ID nº17'!$A$16:$G$80</definedName>
    <definedName name="__OR18">'[23]orc ID nº 18'!$A$14:$G$123</definedName>
    <definedName name="__OR19">'[23]orc ID nº19'!$A$14:$G$96</definedName>
    <definedName name="__OR2">'[23]orc ID nº2 '!$A$14:$G$70</definedName>
    <definedName name="__OR3">'[23]orc ID nº3'!$A$14:$G$134</definedName>
    <definedName name="__OR4">'[23]orcID nº4'!$A$14:$G$165</definedName>
    <definedName name="__OR5">'[23]orcID nº5'!$A$14:$G$149</definedName>
    <definedName name="__OR6">'[23]orcID nº6'!$A$14:$G$138</definedName>
    <definedName name="__OR7">'[23]orcID nº7'!$A$14:$G$137</definedName>
    <definedName name="__OR8">'[23]orc ID nº8'!$A$14:$G$133</definedName>
    <definedName name="__OR9">'[23]orc ID nº9'!$A$14:$G$157</definedName>
    <definedName name="__OUT98" localSheetId="20" hidden="1">{#N/A,#N/A,TRUE,"Serviços"}</definedName>
    <definedName name="__OUT98" localSheetId="21">#REF!</definedName>
    <definedName name="__OUT98" localSheetId="2" hidden="1">{#N/A,#N/A,TRUE,"Serviços"}</definedName>
    <definedName name="__OUT98" hidden="1">{#N/A,#N/A,TRUE,"Serviços"}</definedName>
    <definedName name="__OUT98_1" localSheetId="20">{#N/A,#N/A,TRUE,"Serviços"}</definedName>
    <definedName name="__OUT98_1" localSheetId="21">#REF!</definedName>
    <definedName name="__OUT98_1">#REF!</definedName>
    <definedName name="__OUT988888" localSheetId="20" hidden="1">{#N/A,#N/A,TRUE,"Serviços"}</definedName>
    <definedName name="__OUT988888" localSheetId="2" hidden="1">{#N/A,#N/A,TRUE,"Serviços"}</definedName>
    <definedName name="__OUT988888" hidden="1">{#N/A,#N/A,TRUE,"Serviços"}</definedName>
    <definedName name="__p">#REF!</definedName>
    <definedName name="__P0376001" localSheetId="20" hidden="1">{#N/A,#N/A,FALSE,"지침";#N/A,#N/A,FALSE,"환경분석";#N/A,#N/A,FALSE,"Sheet16"}</definedName>
    <definedName name="__P0376001" hidden="1">{#N/A,#N/A,FALSE,"지침";#N/A,#N/A,FALSE,"환경분석";#N/A,#N/A,FALSE,"Sheet16"}</definedName>
    <definedName name="__P0376001_1" localSheetId="20" hidden="1">{#N/A,#N/A,FALSE,"지침";#N/A,#N/A,FALSE,"환경분석";#N/A,#N/A,FALSE,"Sheet16"}</definedName>
    <definedName name="__P0376001_1" hidden="1">{#N/A,#N/A,FALSE,"지침";#N/A,#N/A,FALSE,"환경분석";#N/A,#N/A,FALSE,"Sheet16"}</definedName>
    <definedName name="__P0376001_1_1" localSheetId="20" hidden="1">{#N/A,#N/A,FALSE,"지침";#N/A,#N/A,FALSE,"환경분석";#N/A,#N/A,FALSE,"Sheet16"}</definedName>
    <definedName name="__P0376001_1_1" hidden="1">{#N/A,#N/A,FALSE,"지침";#N/A,#N/A,FALSE,"환경분석";#N/A,#N/A,FALSE,"Sheet16"}</definedName>
    <definedName name="__P0376001_1_1_1" localSheetId="20" hidden="1">{#N/A,#N/A,FALSE,"지침";#N/A,#N/A,FALSE,"환경분석";#N/A,#N/A,FALSE,"Sheet16"}</definedName>
    <definedName name="__P0376001_1_1_1" hidden="1">{#N/A,#N/A,FALSE,"지침";#N/A,#N/A,FALSE,"환경분석";#N/A,#N/A,FALSE,"Sheet16"}</definedName>
    <definedName name="__P0376001_1_2" localSheetId="20" hidden="1">{#N/A,#N/A,FALSE,"지침";#N/A,#N/A,FALSE,"환경분석";#N/A,#N/A,FALSE,"Sheet16"}</definedName>
    <definedName name="__P0376001_1_2" hidden="1">{#N/A,#N/A,FALSE,"지침";#N/A,#N/A,FALSE,"환경분석";#N/A,#N/A,FALSE,"Sheet16"}</definedName>
    <definedName name="__P0376001_2" localSheetId="20" hidden="1">{#N/A,#N/A,FALSE,"지침";#N/A,#N/A,FALSE,"환경분석";#N/A,#N/A,FALSE,"Sheet16"}</definedName>
    <definedName name="__P0376001_2" hidden="1">{#N/A,#N/A,FALSE,"지침";#N/A,#N/A,FALSE,"환경분석";#N/A,#N/A,FALSE,"Sheet16"}</definedName>
    <definedName name="__PA01" localSheetId="20" hidden="1">{"'teste'!$B$2:$R$49"}</definedName>
    <definedName name="__PA01" hidden="1">{"'teste'!$B$2:$R$49"}</definedName>
    <definedName name="__PA01_1" localSheetId="20" hidden="1">{"'teste'!$B$2:$R$49"}</definedName>
    <definedName name="__PA01_1" hidden="1">{"'teste'!$B$2:$R$49"}</definedName>
    <definedName name="__PA01_1_1" localSheetId="20" hidden="1">{"'teste'!$B$2:$R$49"}</definedName>
    <definedName name="__PA01_1_1" hidden="1">{"'teste'!$B$2:$R$49"}</definedName>
    <definedName name="__PA01_1_1_1" localSheetId="20" hidden="1">{"'teste'!$B$2:$R$49"}</definedName>
    <definedName name="__PA01_1_1_1" hidden="1">{"'teste'!$B$2:$R$49"}</definedName>
    <definedName name="__PA01_1_2" localSheetId="20" hidden="1">{"'teste'!$B$2:$R$49"}</definedName>
    <definedName name="__PA01_1_2" hidden="1">{"'teste'!$B$2:$R$49"}</definedName>
    <definedName name="__PA01_2" localSheetId="20" hidden="1">{"'teste'!$B$2:$R$49"}</definedName>
    <definedName name="__PA01_2" hidden="1">{"'teste'!$B$2:$R$49"}</definedName>
    <definedName name="__PCM30">[16]PATO!#REF!</definedName>
    <definedName name="__PE412">#NAME?</definedName>
    <definedName name="__PL1">#REF!</definedName>
    <definedName name="__PL1_15">#REF!</definedName>
    <definedName name="__PLA2">[16]PATO!#REF!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N10" localSheetId="20" hidden="1">{"'gráf jan00'!$A$1:$AK$41"}</definedName>
    <definedName name="__PN10" hidden="1">{"'gráf jan00'!$A$1:$AK$41"}</definedName>
    <definedName name="__PN10_1" localSheetId="20" hidden="1">{"'gráf jan00'!$A$1:$AK$41"}</definedName>
    <definedName name="__PN10_1" hidden="1">{"'gráf jan00'!$A$1:$AK$41"}</definedName>
    <definedName name="__PN10_1_1" localSheetId="20" hidden="1">{"'gráf jan00'!$A$1:$AK$41"}</definedName>
    <definedName name="__PN10_1_1" hidden="1">{"'gráf jan00'!$A$1:$AK$41"}</definedName>
    <definedName name="__PN10_1_1_1" localSheetId="20" hidden="1">{"'gráf jan00'!$A$1:$AK$41"}</definedName>
    <definedName name="__PN10_1_1_1" hidden="1">{"'gráf jan00'!$A$1:$AK$41"}</definedName>
    <definedName name="__PN10_1_2" localSheetId="20" hidden="1">{"'gráf jan00'!$A$1:$AK$41"}</definedName>
    <definedName name="__PN10_1_2" hidden="1">{"'gráf jan00'!$A$1:$AK$41"}</definedName>
    <definedName name="__PN10_2" localSheetId="20" hidden="1">{"'gráf jan00'!$A$1:$AK$41"}</definedName>
    <definedName name="__PN10_2" hidden="1">{"'gráf jan00'!$A$1:$AK$41"}</definedName>
    <definedName name="__PNV2002">#REF!</definedName>
    <definedName name="__PNV2003">#REF!</definedName>
    <definedName name="__PNV2009">#REF!</definedName>
    <definedName name="__PPU1" localSheetId="20" hidden="1">{#N/A,#N/A,FALSE,"Cronograma";#N/A,#N/A,FALSE,"Cronogr. 2"}</definedName>
    <definedName name="__PPU1" hidden="1">{#N/A,#N/A,FALSE,"Cronograma";#N/A,#N/A,FALSE,"Cronogr. 2"}</definedName>
    <definedName name="__PPU1_1" localSheetId="20" hidden="1">{#N/A,#N/A,FALSE,"Cronograma";#N/A,#N/A,FALSE,"Cronogr. 2"}</definedName>
    <definedName name="__PPU1_1" hidden="1">{#N/A,#N/A,FALSE,"Cronograma";#N/A,#N/A,FALSE,"Cronogr. 2"}</definedName>
    <definedName name="__PPU1_1_1" localSheetId="20" hidden="1">{#N/A,#N/A,FALSE,"Cronograma";#N/A,#N/A,FALSE,"Cronogr. 2"}</definedName>
    <definedName name="__PPU1_1_1" hidden="1">{#N/A,#N/A,FALSE,"Cronograma";#N/A,#N/A,FALSE,"Cronogr. 2"}</definedName>
    <definedName name="__PPU1_1_1_1" localSheetId="20" hidden="1">{#N/A,#N/A,FALSE,"Cronograma";#N/A,#N/A,FALSE,"Cronogr. 2"}</definedName>
    <definedName name="__PPU1_1_1_1" hidden="1">{#N/A,#N/A,FALSE,"Cronograma";#N/A,#N/A,FALSE,"Cronogr. 2"}</definedName>
    <definedName name="__PPU1_1_2" localSheetId="20" hidden="1">{#N/A,#N/A,FALSE,"Cronograma";#N/A,#N/A,FALSE,"Cronogr. 2"}</definedName>
    <definedName name="__PPU1_1_2" hidden="1">{#N/A,#N/A,FALSE,"Cronograma";#N/A,#N/A,FALSE,"Cronogr. 2"}</definedName>
    <definedName name="__PPU1_2" localSheetId="20" hidden="1">{#N/A,#N/A,FALSE,"Cronograma";#N/A,#N/A,FALSE,"Cronogr. 2"}</definedName>
    <definedName name="__PPU1_2" hidden="1">{#N/A,#N/A,FALSE,"Cronograma";#N/A,#N/A,FALSE,"Cronogr. 2"}</definedName>
    <definedName name="__PTB10">[16]PATO!#REF!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 localSheetId="21">#REF!</definedName>
    <definedName name="__QQ2">#N/A</definedName>
    <definedName name="__qq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">#REF!</definedName>
    <definedName name="__r_11">#REF!</definedName>
    <definedName name="__r_15">#REF!</definedName>
    <definedName name="__Rbv1">'[8]Página 16'!$C$3:$C$7</definedName>
    <definedName name="__RP1">#N/A</definedName>
    <definedName name="__rr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">#REF!</definedName>
    <definedName name="__s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2">#REF!</definedName>
    <definedName name="__sjp4">#REF!</definedName>
    <definedName name="__STC04">#REF!</definedName>
    <definedName name="__STC04_10">#REF!</definedName>
    <definedName name="__STC04_12">#REF!</definedName>
    <definedName name="__STC04_9">#REF!</definedName>
    <definedName name="__tab0198">'[18]DER janeiro98'!$A$1:$D$810</definedName>
    <definedName name="__TB10">#REF!</definedName>
    <definedName name="__TCB5">[16]TLCB5!$I$34</definedName>
    <definedName name="__TCM30">[16]MB!$F$25</definedName>
    <definedName name="__TEB4">[16]TLMR!$I$25</definedName>
    <definedName name="__TI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k2" localSheetId="20" hidden="1">{#N/A,#N/A,FALSE,"지침";#N/A,#N/A,FALSE,"환경분석";#N/A,#N/A,FALSE,"Sheet16"}</definedName>
    <definedName name="__tk2" hidden="1">{#N/A,#N/A,FALSE,"지침";#N/A,#N/A,FALSE,"환경분석";#N/A,#N/A,FALSE,"Sheet16"}</definedName>
    <definedName name="__tk2_1" localSheetId="20" hidden="1">{#N/A,#N/A,FALSE,"지침";#N/A,#N/A,FALSE,"환경분석";#N/A,#N/A,FALSE,"Sheet16"}</definedName>
    <definedName name="__tk2_1" hidden="1">{#N/A,#N/A,FALSE,"지침";#N/A,#N/A,FALSE,"환경분석";#N/A,#N/A,FALSE,"Sheet16"}</definedName>
    <definedName name="__tk2_1_1" localSheetId="20" hidden="1">{#N/A,#N/A,FALSE,"지침";#N/A,#N/A,FALSE,"환경분석";#N/A,#N/A,FALSE,"Sheet16"}</definedName>
    <definedName name="__tk2_1_1" hidden="1">{#N/A,#N/A,FALSE,"지침";#N/A,#N/A,FALSE,"환경분석";#N/A,#N/A,FALSE,"Sheet16"}</definedName>
    <definedName name="__tk2_1_1_1" localSheetId="20" hidden="1">{#N/A,#N/A,FALSE,"지침";#N/A,#N/A,FALSE,"환경분석";#N/A,#N/A,FALSE,"Sheet16"}</definedName>
    <definedName name="__tk2_1_1_1" hidden="1">{#N/A,#N/A,FALSE,"지침";#N/A,#N/A,FALSE,"환경분석";#N/A,#N/A,FALSE,"Sheet16"}</definedName>
    <definedName name="__tk2_1_2" localSheetId="20" hidden="1">{#N/A,#N/A,FALSE,"지침";#N/A,#N/A,FALSE,"환경분석";#N/A,#N/A,FALSE,"Sheet16"}</definedName>
    <definedName name="__tk2_1_2" hidden="1">{#N/A,#N/A,FALSE,"지침";#N/A,#N/A,FALSE,"환경분석";#N/A,#N/A,FALSE,"Sheet16"}</definedName>
    <definedName name="__tk2_2" localSheetId="20" hidden="1">{#N/A,#N/A,FALSE,"지침";#N/A,#N/A,FALSE,"환경분석";#N/A,#N/A,FALSE,"Sheet16"}</definedName>
    <definedName name="__tk2_2" hidden="1">{#N/A,#N/A,FALSE,"지침";#N/A,#N/A,FALSE,"환경분석";#N/A,#N/A,FALSE,"Sheet16"}</definedName>
    <definedName name="__TOT1">[16]PATO!#REF!</definedName>
    <definedName name="__TOT2">[16]PATO!#REF!</definedName>
    <definedName name="__TOT3">[16]PATO!#REF!</definedName>
    <definedName name="__TOT4">[16]PATO!#REF!</definedName>
    <definedName name="__TOT5">[16]PATO!#REF!</definedName>
    <definedName name="__TOT6">[16]PATO!#REF!</definedName>
    <definedName name="__TOT7">[16]PATO!#REF!</definedName>
    <definedName name="__TP10">#REF!</definedName>
    <definedName name="__TP5">#REF!</definedName>
    <definedName name="__TSD2">[16]PATO!#REF!</definedName>
    <definedName name="__tt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1" localSheetId="20" hidden="1">{"'REL CUSTODIF'!$B$1:$H$72"}</definedName>
    <definedName name="__v1" hidden="1">{"'REL CUSTODIF'!$B$1:$H$72"}</definedName>
    <definedName name="__VVV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X2" localSheetId="20" hidden="1">{#N/A,#N/A,FALSE,"EXPORTAC";#N/A,#N/A,FALSE,"SUPEL94"}</definedName>
    <definedName name="__WX2" hidden="1">{#N/A,#N/A,FALSE,"EXPORTAC";#N/A,#N/A,FALSE,"SUPEL94"}</definedName>
    <definedName name="__WX2_1" localSheetId="20" hidden="1">{#N/A,#N/A,FALSE,"EXPORTAC";#N/A,#N/A,FALSE,"SUPEL94"}</definedName>
    <definedName name="__WX2_1" hidden="1">{#N/A,#N/A,FALSE,"EXPORTAC";#N/A,#N/A,FALSE,"SUPEL94"}</definedName>
    <definedName name="__WX2_1_1" localSheetId="20" hidden="1">{#N/A,#N/A,FALSE,"EXPORTAC";#N/A,#N/A,FALSE,"SUPEL94"}</definedName>
    <definedName name="__WX2_1_1" hidden="1">{#N/A,#N/A,FALSE,"EXPORTAC";#N/A,#N/A,FALSE,"SUPEL94"}</definedName>
    <definedName name="__WX2_1_1_1" localSheetId="20" hidden="1">{#N/A,#N/A,FALSE,"EXPORTAC";#N/A,#N/A,FALSE,"SUPEL94"}</definedName>
    <definedName name="__WX2_1_1_1" hidden="1">{#N/A,#N/A,FALSE,"EXPORTAC";#N/A,#N/A,FALSE,"SUPEL94"}</definedName>
    <definedName name="__WX2_1_2" localSheetId="20" hidden="1">{#N/A,#N/A,FALSE,"EXPORTAC";#N/A,#N/A,FALSE,"SUPEL94"}</definedName>
    <definedName name="__WX2_1_2" hidden="1">{#N/A,#N/A,FALSE,"EXPORTAC";#N/A,#N/A,FALSE,"SUPEL94"}</definedName>
    <definedName name="__WX2_2" localSheetId="20" hidden="1">{#N/A,#N/A,FALSE,"EXPORTAC";#N/A,#N/A,FALSE,"SUPEL94"}</definedName>
    <definedName name="__WX2_2" hidden="1">{#N/A,#N/A,FALSE,"EXPORTAC";#N/A,#N/A,FALSE,"SUPEL94"}</definedName>
    <definedName name="__x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1_1" localSheetId="20" hidden="1">{#N/A,#N/A,FALSE,"EXPORTAC";#N/A,#N/A,FALSE,"SUPEL94"}</definedName>
    <definedName name="__x1_1" hidden="1">{#N/A,#N/A,FALSE,"EXPORTAC";#N/A,#N/A,FALSE,"SUPEL94"}</definedName>
    <definedName name="__x1_1_1" localSheetId="20" hidden="1">{#N/A,#N/A,FALSE,"EXPORTAC";#N/A,#N/A,FALSE,"SUPEL94"}</definedName>
    <definedName name="__x1_1_1" hidden="1">{#N/A,#N/A,FALSE,"EXPORTAC";#N/A,#N/A,FALSE,"SUPEL94"}</definedName>
    <definedName name="__x1_1_1_1" localSheetId="20" hidden="1">{#N/A,#N/A,FALSE,"EXPORTAC";#N/A,#N/A,FALSE,"SUPEL94"}</definedName>
    <definedName name="__x1_1_1_1" hidden="1">{#N/A,#N/A,FALSE,"EXPORTAC";#N/A,#N/A,FALSE,"SUPEL94"}</definedName>
    <definedName name="__x1_1_2" localSheetId="20" hidden="1">{#N/A,#N/A,FALSE,"EXPORTAC";#N/A,#N/A,FALSE,"SUPEL94"}</definedName>
    <definedName name="__x1_1_2" hidden="1">{#N/A,#N/A,FALSE,"EXPORTAC";#N/A,#N/A,FALSE,"SUPEL94"}</definedName>
    <definedName name="__x1_2" localSheetId="20" hidden="1">{#N/A,#N/A,FALSE,"EXPORTAC";#N/A,#N/A,FALSE,"SUPEL94"}</definedName>
    <definedName name="__x1_2" hidden="1">{#N/A,#N/A,FALSE,"EXPORTAC";#N/A,#N/A,FALSE,"SUPEL94"}</definedName>
    <definedName name="__x10" localSheetId="20" hidden="1">{"'REL CUSTODIF'!$B$1:$H$72"}</definedName>
    <definedName name="__x10" hidden="1">{"'REL CUSTODIF'!$B$1:$H$72"}</definedName>
    <definedName name="__x11" localSheetId="20" hidden="1">{"'REL CUSTODIF'!$B$1:$H$72"}</definedName>
    <definedName name="__x11" hidden="1">{"'REL CUSTODIF'!$B$1:$H$72"}</definedName>
    <definedName name="__x12">#REF!</definedName>
    <definedName name="__x13" localSheetId="20" hidden="1">{"'REL CUSTODIF'!$B$1:$H$72"}</definedName>
    <definedName name="__x13" hidden="1">{"'REL CUSTODIF'!$B$1:$H$72"}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2_1" localSheetId="20" hidden="1">{#N/A,#N/A,FALSE,"GQGEMPRE"}</definedName>
    <definedName name="__x2_1" hidden="1">{#N/A,#N/A,FALSE,"GQGEMPRE"}</definedName>
    <definedName name="__x2_1_1" localSheetId="20" hidden="1">{#N/A,#N/A,FALSE,"GQGEMPRE"}</definedName>
    <definedName name="__x2_1_1" hidden="1">{#N/A,#N/A,FALSE,"GQGEMPRE"}</definedName>
    <definedName name="__x2_1_1_1" localSheetId="20" hidden="1">{#N/A,#N/A,FALSE,"GQGEMPRE"}</definedName>
    <definedName name="__x2_1_1_1" hidden="1">{#N/A,#N/A,FALSE,"GQGEMPRE"}</definedName>
    <definedName name="__x2_1_2" localSheetId="20" hidden="1">{#N/A,#N/A,FALSE,"GQGEMPRE"}</definedName>
    <definedName name="__x2_1_2" hidden="1">{#N/A,#N/A,FALSE,"GQGEMPRE"}</definedName>
    <definedName name="__x2_2" localSheetId="20" hidden="1">{#N/A,#N/A,FALSE,"GQGEMPRE"}</definedName>
    <definedName name="__x2_2" hidden="1">{#N/A,#N/A,FALSE,"GQGEMPRE"}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2">#REF!</definedName>
    <definedName name="__x4" localSheetId="20" hidden="1">{"'REL CUSTODIF'!$B$1:$H$72"}</definedName>
    <definedName name="__x4" hidden="1">{"'REL CUSTODIF'!$B$1:$H$72"}</definedName>
    <definedName name="__x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7" localSheetId="20" hidden="1">{"'REL CUSTODIF'!$B$1:$H$72"}</definedName>
    <definedName name="__x7" hidden="1">{"'REL CUSTODIF'!$B$1:$H$72"}</definedName>
    <definedName name="__x8" localSheetId="20" hidden="1">{"'REL CUSTODIF'!$B$1:$H$72"}</definedName>
    <definedName name="__x8" hidden="1">{"'REL CUSTODIF'!$B$1:$H$72"}</definedName>
    <definedName name="__x9">#REF!</definedName>
    <definedName name="__xlcn.WorksheetConnection_Tabela21" localSheetId="20" hidden="1">Tabela2</definedName>
    <definedName name="__xlcn.WorksheetConnection_Tabela21" hidden="1">Tabela2</definedName>
    <definedName name="__xlfn.AVERAGEIF" hidden="1">#NAME?</definedName>
    <definedName name="__xlfn.IFERROR" hidden="1">#NAME?</definedName>
    <definedName name="__xlfn.RTD" hidden="1">#NAME?</definedName>
    <definedName name="__xlfn_IFERROR">NA()</definedName>
    <definedName name="__xlfn_SUMIFS" localSheetId="21">NA()</definedName>
    <definedName name="__xlfn_SUMIFS">NA()</definedName>
    <definedName name="__xlnm.Database" localSheetId="21">#REF!</definedName>
    <definedName name="__xlnm.Database">#REF!</definedName>
    <definedName name="__xlnm.Database_5" localSheetId="21">#REF!</definedName>
    <definedName name="__xlnm.Database_5">#REF!</definedName>
    <definedName name="__xlnm.Database_7" localSheetId="21">#REF!</definedName>
    <definedName name="__xlnm.Database_7">#REF!</definedName>
    <definedName name="__xlnm.Database_8" localSheetId="21">#REF!</definedName>
    <definedName name="__xlnm.Database_8">#REF!</definedName>
    <definedName name="__xlnm.Database_9" localSheetId="21">#REF!</definedName>
    <definedName name="__xlnm.Database_9">#REF!</definedName>
    <definedName name="__xlnm.Print_Area_1">#REF!</definedName>
    <definedName name="__xlnm.Print_Area_10">#REF!</definedName>
    <definedName name="__xlnm.Print_Area_11">#REF!</definedName>
    <definedName name="__xlnm.Print_Area_12">#REF!</definedName>
    <definedName name="__xlnm.Print_Area_2">#REF!</definedName>
    <definedName name="__xlnm.Print_Area_3">#REF!</definedName>
    <definedName name="__xlnm.Print_Area_4">NA()</definedName>
    <definedName name="__xlnm.Print_Area_5">#REF!</definedName>
    <definedName name="__xlnm.Print_Area_6" localSheetId="21">#REF!</definedName>
    <definedName name="__xlnm.Print_Area_6">#REF!</definedName>
    <definedName name="__xlnm.Print_Area_7" localSheetId="21">#REF!</definedName>
    <definedName name="__xlnm.Print_Area_7">#REF!</definedName>
    <definedName name="__xlnm.Print_Area_8">#REF!</definedName>
    <definedName name="__xlnm.Print_Area_9">#REF!</definedName>
    <definedName name="__xlnm.Print_Area_9_15">#REF!</definedName>
    <definedName name="__xlnm.Print_Titles_3">#REF!</definedName>
    <definedName name="__xlnm.Print_Titles_6" localSheetId="21">#REF!</definedName>
    <definedName name="__xlnm.Print_Titles_6">#REF!</definedName>
    <definedName name="__xlnm.Print_Titles_7" localSheetId="21">#REF!</definedName>
    <definedName name="__xlnm.Print_Titles_7">#REF!</definedName>
    <definedName name="__xlnm.Print_Titles_8">#REF!</definedName>
    <definedName name="__xlnm_Database">NA()</definedName>
    <definedName name="__xlnm_Database_5">NA()</definedName>
    <definedName name="__xlnm_Database_7">NA()</definedName>
    <definedName name="__xlnm_Database_8">NA()</definedName>
    <definedName name="__xlnm_Database_9">NA()</definedName>
    <definedName name="__xlnm_Print_Area_6">"$#REF!.$B$2:$AA$586"</definedName>
    <definedName name="__xlnm_Print_Area_7">"$#REF!.$B$2:$Q$164"</definedName>
    <definedName name="__xlnm_Print_Area_8">#REF!</definedName>
    <definedName name="__xlnm_Print_Titles_6">"$#REF!.$A$2:$AMJ$9"</definedName>
    <definedName name="__xlnm_Print_Titles_7">"$#REF!.$A$2:$AMJ$9"</definedName>
    <definedName name="__xlnm_Print_Titles_8">#REF!</definedName>
    <definedName name="__xx1" localSheetId="20" hidden="1">{"'CptDifn'!$AA$32:$AG$32"}</definedName>
    <definedName name="__xx1" hidden="1">{"'CptDifn'!$AA$32:$AG$32"}</definedName>
    <definedName name="__xx1_1" localSheetId="20" hidden="1">{"'CptDifn'!$AA$32:$AG$32"}</definedName>
    <definedName name="__xx1_1" hidden="1">{"'CptDifn'!$AA$32:$AG$32"}</definedName>
    <definedName name="__xx1_1_1" localSheetId="20" hidden="1">{"'CptDifn'!$AA$32:$AG$32"}</definedName>
    <definedName name="__xx1_1_1" hidden="1">{"'CptDifn'!$AA$32:$AG$32"}</definedName>
    <definedName name="__xx1_1_1_1" localSheetId="20" hidden="1">{"'CptDifn'!$AA$32:$AG$32"}</definedName>
    <definedName name="__xx1_1_1_1" hidden="1">{"'CptDifn'!$AA$32:$AG$32"}</definedName>
    <definedName name="__xx1_1_2" localSheetId="20" hidden="1">{"'CptDifn'!$AA$32:$AG$32"}</definedName>
    <definedName name="__xx1_1_2" hidden="1">{"'CptDifn'!$AA$32:$AG$32"}</definedName>
    <definedName name="__xx1_2" localSheetId="20" hidden="1">{"'CptDifn'!$AA$32:$AG$32"}</definedName>
    <definedName name="__xx1_2" hidden="1">{"'CptDifn'!$AA$32:$AG$32"}</definedName>
    <definedName name="__z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 localSheetId="21">#REF!</definedName>
    <definedName name="_0_14">#REF!</definedName>
    <definedName name="_0_14_1" localSheetId="21">#REF!</definedName>
    <definedName name="_0_14_1">#REF!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 localSheetId="21">#REF!</definedName>
    <definedName name="_0_7_14">#REF!</definedName>
    <definedName name="_0_9">#REF!</definedName>
    <definedName name="_01_09_96">#REF!</definedName>
    <definedName name="_01_09_96_11">#REF!</definedName>
    <definedName name="_01_09_96_12">#REF!</definedName>
    <definedName name="_01_09_96_13">#REF!</definedName>
    <definedName name="_01_09_96_15">#REF!</definedName>
    <definedName name="_01_09_96_2">#REF!</definedName>
    <definedName name="_01_09_96_4">#REF!</definedName>
    <definedName name="_01_09_96_5">#REF!</definedName>
    <definedName name="_01_09_96_6">#REF!</definedName>
    <definedName name="_01_09_96_7">#REF!</definedName>
    <definedName name="_01_09_96_8">#REF!</definedName>
    <definedName name="_01_09_96_9">#REF!</definedName>
    <definedName name="_01_09_966">#REF!</definedName>
    <definedName name="_08.302.01">#REF!</definedName>
    <definedName name="_08.302.01_1">#REF!</definedName>
    <definedName name="_08_302_01">#REF!</definedName>
    <definedName name="_08_302_01_1">#REF!</definedName>
    <definedName name="_1____123Graph_BCHART_1" hidden="1">#REF!</definedName>
    <definedName name="_1___123Graph_ACHART_1" hidden="1">#REF!</definedName>
    <definedName name="_1__123Graph_ACHART_1" localSheetId="18" hidden="1">#REF!</definedName>
    <definedName name="_1__123Graph_ACHART_1" hidden="1">#REF!</definedName>
    <definedName name="_1__123Graph_BGrßfico_10C" hidden="1">#REF!</definedName>
    <definedName name="_1__123Graph_ECHART_1" hidden="1">#REF!</definedName>
    <definedName name="_1_0_1" localSheetId="21">#REF!</definedName>
    <definedName name="_1_0_1">#REF!</definedName>
    <definedName name="_1_c_1">[5]PLMUSEU!#REF!</definedName>
    <definedName name="_1_I_1">#REF!</definedName>
    <definedName name="_10__123Graph_BCHART_1" hidden="1">#REF!</definedName>
    <definedName name="_10__123Graph_BCHART_2" hidden="1">#REF!</definedName>
    <definedName name="_10__123Graph_CCHART_1" hidden="1">#REF!</definedName>
    <definedName name="_10__123Graph_ECHART_1" hidden="1">#REF!</definedName>
    <definedName name="_10__123Graph_FCHART_1" hidden="1">#REF!</definedName>
    <definedName name="_10__123Graph_XCHART_1" localSheetId="18" hidden="1">#REF!</definedName>
    <definedName name="_10__123Graph_XCHART_1" hidden="1">#REF!</definedName>
    <definedName name="_10_c_12_1">#REF!</definedName>
    <definedName name="_101__123Graph_FCHART_1" hidden="1">#REF!</definedName>
    <definedName name="_102_____123Graph_CCHART_1" hidden="1">#REF!</definedName>
    <definedName name="_107_____123Graph_DCHART_1" hidden="1">#REF!</definedName>
    <definedName name="_10Aut_resumo_4_1">[24]RESUMO_AUT1!#REF!</definedName>
    <definedName name="_10Excel_BuiltIn_Print_Area_2_1">'[25]resumo transporte'!#REF!</definedName>
    <definedName name="_10Excel_BuiltIn_Print_Titles_16_1">#REF!,#REF!</definedName>
    <definedName name="_10Excel_BuiltIn_Print_Titles_17_1">#REF!,#REF!</definedName>
    <definedName name="_10Excel_BuiltIn_Print_Titles_18_1">#REF!,#REF!</definedName>
    <definedName name="_10Excel_BuiltIn_Print_Titles_5_1">('[26]Capa Mapa'!$A:$F,'[26]Capa Mapa'!#REF!)</definedName>
    <definedName name="_10PassaExtenso_7_1">"#NAME!PassaExtenso"</definedName>
    <definedName name="_11__123Graph_ACHART_3" hidden="1">#REF!</definedName>
    <definedName name="_11__123Graph_ECHART_1" hidden="1">#REF!</definedName>
    <definedName name="_11__123Graph_XCHART_3" hidden="1">#REF!</definedName>
    <definedName name="_11_c_13_1">#REF!</definedName>
    <definedName name="_112_____123Graph_ECHART_1" hidden="1">#REF!</definedName>
    <definedName name="_117_____123Graph_FCHART_1" hidden="1">#REF!</definedName>
    <definedName name="_11Excel_BuiltIn_Print_Titles_18_1">#REF!,#REF!</definedName>
    <definedName name="_11Excel_BuiltIn_Print_Titles_7_1">('[26]Capa Premissas'!$A:$F,'[26]Capa Premissas'!#REF!)</definedName>
    <definedName name="_11Print_4_1">[27]QuQuant!#REF!</definedName>
    <definedName name="_12__123Graph_ACHART_3" hidden="1">#REF!</definedName>
    <definedName name="_12__123Graph_ECHART_1" hidden="1">#REF!</definedName>
    <definedName name="_12__123Graph_FCHART_1" hidden="1">#REF!</definedName>
    <definedName name="_12__123Graph_XLTQ_SEM" hidden="1">#REF!</definedName>
    <definedName name="_12_c_15_1">#REF!</definedName>
    <definedName name="_120__123Graph_XCHART_3" hidden="1">#REF!</definedName>
    <definedName name="_122_____123Graph_XCHART_3" hidden="1">#REF!</definedName>
    <definedName name="_123____123Graph_ACHART_1" hidden="1">#REF!</definedName>
    <definedName name="_124____123Graph_ACHART_3" hidden="1">#REF!</definedName>
    <definedName name="_12Excel_BuiltIn_Criteria_1">#REF!</definedName>
    <definedName name="_12Excel_BuiltIn_Print_Titles_17_1">#REF!,#REF!</definedName>
    <definedName name="_12Excel_BuiltIn_Print_Titles_19_1">#REF!,#REF!</definedName>
    <definedName name="_12Excel_BuiltIn_Print_Titles_9_1">('[26]Capa Caract. Seg.'!$A:$F,'[26]Capa Caract. Seg.'!#REF!)</definedName>
    <definedName name="_12Print_Area_MI_4_1">#REF!</definedName>
    <definedName name="_13__123Graph_BCHART_1" hidden="1">#REF!</definedName>
    <definedName name="_13__123Graph_CCHART_1" hidden="1">#REF!</definedName>
    <definedName name="_13_c_16_1">#REF!</definedName>
    <definedName name="_13Excel_BuiltIn_Database_1">#REF!</definedName>
    <definedName name="_13Excel_BuiltIn_Print_Titles_21_1_1_1">#REF!,#REF!</definedName>
    <definedName name="_14__123Graph_BCHART_1" hidden="1">#REF!</definedName>
    <definedName name="_14__123Graph_CCHART_1" hidden="1">#REF!</definedName>
    <definedName name="_14__123Graph_DCHART_1" hidden="1">#REF!</definedName>
    <definedName name="_14__123Graph_XCHART_3" hidden="1">#REF!</definedName>
    <definedName name="_14_c_17_1">#REF!</definedName>
    <definedName name="_14Excel_BuiltIn_Print_Area_12_1">"$#REF!.$A$1:$C$24"</definedName>
    <definedName name="_14Excel_BuiltIn_Print_Titles_21_1_1_1">#REF!,#REF!</definedName>
    <definedName name="_14totmsa_4_1">#REF!</definedName>
    <definedName name="_15__123Graph_ACHART_1" hidden="1">#REF!</definedName>
    <definedName name="_15__123Graph_CCHART_2" hidden="1">#REF!</definedName>
    <definedName name="_15_c_19_1">#REF!</definedName>
    <definedName name="_15Excel_BuiltIn_Print_Area_5_1">"$#REF!.$A$1:$I$70"</definedName>
    <definedName name="_15Excel_BuiltIn_Print_Titles_17_1">#REF!,#REF!</definedName>
    <definedName name="_15totmsa2_4_1">#REF!</definedName>
    <definedName name="_16__123Graph_ACHART_3" hidden="1">#REF!</definedName>
    <definedName name="_16_c_2_1">#REF!</definedName>
    <definedName name="_165____123Graph_BCHART_1" hidden="1">#REF!</definedName>
    <definedName name="_16Excel_BuiltIn_Print_Area_8_1">"$#REF!.$A$1:$I$17"</definedName>
    <definedName name="_16Excel_BuiltIn_Print_Titles_18_1">#REF!,#REF!</definedName>
    <definedName name="_16totsma_4_1">#REF!</definedName>
    <definedName name="_17__123Graph_DCHART_1" hidden="1">#REF!</definedName>
    <definedName name="_17_c_28_1">#REF!</definedName>
    <definedName name="_17Excel_BuiltIn_Print_Titles_11_1">"$'Cubação aterros'.$#REF!$#REF!:$#REF!$#REF!"</definedName>
    <definedName name="_17Excel_BuiltIn_Print_Titles_18_1">#REF!,#REF!</definedName>
    <definedName name="_17Excel_BuiltIn_Print_Titles_19_1">#REF!,#REF!</definedName>
    <definedName name="_18__123Graph_ACHART_3" hidden="1">#REF!</definedName>
    <definedName name="_18__123Graph_BCHART_1" hidden="1">#REF!</definedName>
    <definedName name="_18__123Graph_DCHART_1" hidden="1">#REF!</definedName>
    <definedName name="_18__123Graph_ECHART_1" hidden="1">#REF!</definedName>
    <definedName name="_18_c_3_1">#REF!</definedName>
    <definedName name="_1830201" hidden="1">#N/A</definedName>
    <definedName name="_1830201_26">NA()</definedName>
    <definedName name="_1830201_27">NA()</definedName>
    <definedName name="_18Excel_BuiltIn_Print_Titles_21_1_1_1">#REF!,#REF!</definedName>
    <definedName name="_18PassaExtenso_1_1_1">#N/A</definedName>
    <definedName name="_19__123Graph_CCHART_1" hidden="1">#REF!</definedName>
    <definedName name="_19_c_4_1">#REF!</definedName>
    <definedName name="_19PassaExtenso_1_1_33_1">#N/A</definedName>
    <definedName name="_1Excel_BuiltIn_Print_Area_1_1">#REF!</definedName>
    <definedName name="_1Excel_BuiltIn_Print_Area_1_1_1">#REF!</definedName>
    <definedName name="_1Excel_BuiltIn_Print_Area_12_1">"$#REF!.$A$1:$C$24"</definedName>
    <definedName name="_1Excel_BuiltIn_Print_Area_13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Excel_BuiltIn_Print_Titles_1">#REF!</definedName>
    <definedName name="_1Excel_BuiltIn_Print_Titles_15_1_1_1_1">#REF!</definedName>
    <definedName name="_1Excel_BuiltIn_Print_Titles_16_1">#REF!,#REF!</definedName>
    <definedName name="_1Sem_nome">"$#REF!.$A$1:$I$567"</definedName>
    <definedName name="_2">#REF!</definedName>
    <definedName name="_2____123Graph_CCHART_1" hidden="1">#REF!</definedName>
    <definedName name="_2___123Graph_BCHART_1" hidden="1">#REF!</definedName>
    <definedName name="_2__123Graph_ACHART_1" hidden="1">#REF!</definedName>
    <definedName name="_2__123Graph_ACHART_3" hidden="1">#REF!</definedName>
    <definedName name="_2__123Graph_BCHART_1" localSheetId="18" hidden="1">#REF!</definedName>
    <definedName name="_2__123Graph_BCHART_1" hidden="1">#REF!</definedName>
    <definedName name="_2__123Graph_FCHART_1" localSheetId="18" hidden="1">#REF!</definedName>
    <definedName name="_2__123Graph_FCHART_1" hidden="1">#REF!</definedName>
    <definedName name="_2__123Graph_XCHART_1" hidden="1">#REF!</definedName>
    <definedName name="_2__123Graph_XDEC_SEM" hidden="1">#REF!</definedName>
    <definedName name="_2_0__123Grap" hidden="1">#REF!</definedName>
    <definedName name="_2_0_1_1" localSheetId="21">#REF!</definedName>
    <definedName name="_2_0_1_1">#REF!</definedName>
    <definedName name="_2_11">#REF!</definedName>
    <definedName name="_2_12">#REF!</definedName>
    <definedName name="_2_13">#REF!</definedName>
    <definedName name="_2_14" localSheetId="21">#REF!</definedName>
    <definedName name="_2_14">#REF!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c_1">[5]PLMUSEU!#REF!</definedName>
    <definedName name="_2_S_1">[28]COMPOS1!#REF!</definedName>
    <definedName name="_2_x_1">[5]PLMUSEU!#REF!</definedName>
    <definedName name="_20__123Graph_BCHART_1" hidden="1">#REF!</definedName>
    <definedName name="_20__123Graph_DCHART_2" hidden="1">#REF!</definedName>
    <definedName name="_20_c_7_1">#REF!</definedName>
    <definedName name="_206____123Graph_CCHART_1" hidden="1">#REF!</definedName>
    <definedName name="_20Excel_BuiltIn_Print_Titles_17_1">#REF!,#REF!</definedName>
    <definedName name="_20PassaExtenso_1_1_35_1">#N/A</definedName>
    <definedName name="_21__123Graph_ACHART_3" hidden="1">#REF!</definedName>
    <definedName name="_21__123Graph_ECHART_1" hidden="1">#REF!</definedName>
    <definedName name="_21_c_9_1">#REF!</definedName>
    <definedName name="_21PassaExtenso_4_1">NA()</definedName>
    <definedName name="_22__123Graph_CCHART_1" hidden="1">#REF!</definedName>
    <definedName name="_22__123Graph_ECHART_1" hidden="1">#REF!</definedName>
    <definedName name="_22__123Graph_FCHART_1" hidden="1">#REF!</definedName>
    <definedName name="_22_I_1">#REF!</definedName>
    <definedName name="_22Excel_BuiltIn_Print_Titles_19_1">#REF!,#REF!</definedName>
    <definedName name="_22PassaExtenso_6_1">"#NAME!PassaExtenso"</definedName>
    <definedName name="_23_I_1_1" localSheetId="21">#REF!</definedName>
    <definedName name="_23_I_1_1">#REF!</definedName>
    <definedName name="_23Excel_BuiltIn_Print_Titles_17_1">#REF!,#REF!</definedName>
    <definedName name="_23PassaExtenso_7_1">"#NAME!PassaExtenso"</definedName>
    <definedName name="_24__123Graph_CCHART_1" hidden="1">#REF!</definedName>
    <definedName name="_24__123Graph_DCHART_1" hidden="1">#REF!</definedName>
    <definedName name="_24_I_1_2" localSheetId="21">#REF!</definedName>
    <definedName name="_24_I_1_2">#REF!</definedName>
    <definedName name="_247____123Graph_DCHART_1" hidden="1">#REF!</definedName>
    <definedName name="_24Excel_BuiltIn_Print_Titles_18_1">#REF!,#REF!</definedName>
    <definedName name="_25__123Graph_BCHART_1" hidden="1">#REF!</definedName>
    <definedName name="_25__123Graph_FCHART_1" hidden="1">#REF!</definedName>
    <definedName name="_25Excel_BuiltIn_Print_Titles_19_1">#REF!,#REF!</definedName>
    <definedName name="_25Print_4_1">[29]QuQuant!#REF!</definedName>
    <definedName name="_26__123Graph_FCHART_1" hidden="1">#REF!</definedName>
    <definedName name="_26__123Graph_XCHART_3" hidden="1">#REF!</definedName>
    <definedName name="_26_S_1">#REF!</definedName>
    <definedName name="_26Excel_BuiltIn_Print_Titles_21_1_1_1">#REF!,#REF!</definedName>
    <definedName name="_27_S_1_1" localSheetId="21">#REF!</definedName>
    <definedName name="_27_S_1_1">#REF!</definedName>
    <definedName name="_27Excel_BuiltIn_Print_Titles_21_1_1_1">#REF!,#REF!</definedName>
    <definedName name="_27Print_Area_MI_4_1">#REF!</definedName>
    <definedName name="_28__123Graph_DCHART_1" hidden="1">#REF!</definedName>
    <definedName name="_28__123Graph_XCHART_3" hidden="1">#REF!</definedName>
    <definedName name="_28_S_1_2" localSheetId="21">#REF!</definedName>
    <definedName name="_28_S_1_2">#REF!</definedName>
    <definedName name="_288____123Graph_ECHART_1" hidden="1">#REF!</definedName>
    <definedName name="_29__123Graph_ECHART_1" hidden="1">#REF!</definedName>
    <definedName name="_29__123Graph_XCHART_3" hidden="1">#REF!</definedName>
    <definedName name="_29_x_1">#REF!</definedName>
    <definedName name="_29TES_4_1">'[30]8ª MP_BR_459'!#REF!</definedName>
    <definedName name="_2Excel_BuiltIn_Print_Area_24_1">#REF!</definedName>
    <definedName name="_2Excel_BuiltIn_Print_Area_5_1">"$#REF!.$A$1:$I$70"</definedName>
    <definedName name="_2Excel_BuiltIn_Print_Area_7_1">#REF!</definedName>
    <definedName name="_2Excel_BuiltIn_Print_Area_8_1">#REF!</definedName>
    <definedName name="_2Excel_BuiltIn_Print_Titles_13_1">('[26]Capa Memória de Calc'!$A:$F,'[26]Capa Memória de Calc'!#REF!)</definedName>
    <definedName name="_2Excel_BuiltIn_Print_Titles_15_1_1_1_1">#REF!</definedName>
    <definedName name="_2Excel_BuiltIn_Print_Titles_16_1">#REF!,#REF!</definedName>
    <definedName name="_2Excel_BuiltIn_Print_Titles_17_1">#REF!,#REF!</definedName>
    <definedName name="_3____123Graph_DCHART_1" hidden="1">#REF!</definedName>
    <definedName name="_3___123Graph_ACHART_3" hidden="1">#REF!</definedName>
    <definedName name="_3___123Graph_XCHART_1" hidden="1">#REF!</definedName>
    <definedName name="_3__123Graph_ACHART_1" hidden="1">#REF!</definedName>
    <definedName name="_3__123Graph_ACHART_3" hidden="1">#REF!</definedName>
    <definedName name="_3__123Graph_BCHART_1" hidden="1">#REF!</definedName>
    <definedName name="_3__123Graph_XCHART_1" hidden="1">#REF!</definedName>
    <definedName name="_3__123Graph_XCHART_3" hidden="1">#REF!</definedName>
    <definedName name="_3_0_7_1" localSheetId="21">#REF!</definedName>
    <definedName name="_3_0_7_1">#REF!</definedName>
    <definedName name="_3_z_1">[5]PLMUSEU!#REF!</definedName>
    <definedName name="_30__123Graph_DCHART_1" hidden="1">#REF!</definedName>
    <definedName name="_30__123Graph_XCHART_3" hidden="1">#REF!</definedName>
    <definedName name="_30_x_11_1">#REF!</definedName>
    <definedName name="_30Excel_BuiltIn_Print_Titles_18_1">#REF!,#REF!</definedName>
    <definedName name="_31_x_12_1">#REF!</definedName>
    <definedName name="_31totmsa_4_1">#REF!</definedName>
    <definedName name="_32__123Graph_DCHART_1" hidden="1">#REF!</definedName>
    <definedName name="_32__123Graph_ECHART_1" hidden="1">#REF!</definedName>
    <definedName name="_32_x_13_1">#REF!</definedName>
    <definedName name="_329____123Graph_FCHART_1" hidden="1">#REF!</definedName>
    <definedName name="_33_x_15_1">#REF!</definedName>
    <definedName name="_33totmsa2_4_1">#REF!</definedName>
    <definedName name="_34__123Graph_FCHART_1" hidden="1">#REF!</definedName>
    <definedName name="_34_x_16_1">#REF!</definedName>
    <definedName name="_35_______123Graph_BCHART_1" hidden="1">#REF!</definedName>
    <definedName name="_35__123Graph_DCHART_1" hidden="1">#REF!</definedName>
    <definedName name="_35__123Graph_XCHART_3" hidden="1">#REF!</definedName>
    <definedName name="_35_x_17_1">#REF!</definedName>
    <definedName name="_35totsma_4_1">#REF!</definedName>
    <definedName name="_36__123Graph_FCHART_1" hidden="1">#REF!</definedName>
    <definedName name="_36_x_19_1">#REF!</definedName>
    <definedName name="_37_x_2_1">#REF!</definedName>
    <definedName name="_370____123Graph_XCHART_3" hidden="1">#REF!</definedName>
    <definedName name="_371___123Graph_ACHART_1" hidden="1">#REF!</definedName>
    <definedName name="_372___123Graph_ACHART_3" hidden="1">#REF!</definedName>
    <definedName name="_376__123Graph_ACHART_1" hidden="1">#REF!</definedName>
    <definedName name="_38_x_28_1">#REF!</definedName>
    <definedName name="_380__123Graph_ACHART_3" hidden="1">#REF!</definedName>
    <definedName name="_39_x_3_1">#REF!</definedName>
    <definedName name="_3Excel_BuiltIn_Print_Area_8_1">"$#REF!.$A$1:$I$17"</definedName>
    <definedName name="_3Excel_BuiltIn_Print_Titles_16_1_1_1">#REF!</definedName>
    <definedName name="_3Excel_BuiltIn_Print_Titles_18_1">#REF!,#REF!</definedName>
    <definedName name="_3Excel_BuiltIn_Print_Titles_21_1">('[26]Capa Resumo'!$A:$F,'[26]Capa Resumo'!#REF!)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__123Graph_ECHART_1" hidden="1">#REF!</definedName>
    <definedName name="_4__123Graph_ACHART_1" hidden="1">#REF!</definedName>
    <definedName name="_4__123Graph_ACHART_3" hidden="1">#REF!</definedName>
    <definedName name="_4__123Graph_BCHART_1" hidden="1">#REF!</definedName>
    <definedName name="_4__123Graph_CCHART_1" hidden="1">#REF!</definedName>
    <definedName name="_4__123Graph_XCHART_1" localSheetId="18" hidden="1">#REF!</definedName>
    <definedName name="_4__123Graph_XCHART_1" hidden="1">#REF!</definedName>
    <definedName name="_4__123Graph_XDEC_SEM" hidden="1">#REF!</definedName>
    <definedName name="_4__123Graph_XLTQ_SEM" hidden="1">#REF!</definedName>
    <definedName name="_4_2_1" localSheetId="21">#REF!</definedName>
    <definedName name="_4_2_1">#REF!</definedName>
    <definedName name="_4_x_1">[5]PLMUSEU!#REF!</definedName>
    <definedName name="_40_______123Graph_CCHART_1" hidden="1">#REF!</definedName>
    <definedName name="_40__123Graph_XCHART_3" hidden="1">#REF!</definedName>
    <definedName name="_40_x_4_1">#REF!</definedName>
    <definedName name="_40Excel_BuiltIn_Print_Titles_19_1">#REF!,#REF!</definedName>
    <definedName name="_41_x_7_1">#REF!</definedName>
    <definedName name="_42_x_9_1">#REF!</definedName>
    <definedName name="_425__123Graph_BCHART_1" hidden="1">#REF!</definedName>
    <definedName name="_43_z_1" localSheetId="21">#REF!</definedName>
    <definedName name="_43_z_1">#REF!</definedName>
    <definedName name="_44__123Graph_CCHART_1" hidden="1">#REF!</definedName>
    <definedName name="_44_z_1_1" localSheetId="21">#REF!</definedName>
    <definedName name="_44_z_1_1">#REF!</definedName>
    <definedName name="_45_______123Graph_DCHART_1" hidden="1">#REF!</definedName>
    <definedName name="_45Excel_BuiltIn_Criteria_1">#REF!</definedName>
    <definedName name="_46__123Graph_ECHART_1" hidden="1">#REF!</definedName>
    <definedName name="_46Excel_BuiltIn_Criteria_11_1">#REF!</definedName>
    <definedName name="_470__123Graph_CCHART_1" hidden="1">#REF!</definedName>
    <definedName name="_47Excel_BuiltIn_Criteria_12_1">#REF!</definedName>
    <definedName name="_48Excel_BuiltIn_Criteria_13_1">#REF!</definedName>
    <definedName name="_49Excel_BuiltIn_Criteria_15_1">#REF!</definedName>
    <definedName name="_4Aut_original_4_1">[31]PROJETO!#REF!</definedName>
    <definedName name="_4Excel_BuiltIn_Print_Titles_1_1">#REF!</definedName>
    <definedName name="_4Excel_BuiltIn_Print_Titles_11_1">"$'Cubação aterros'.$#REF!$#REF!:$#REF!$#REF!"</definedName>
    <definedName name="_4Excel_BuiltIn_Print_Titles_16_1">#REF!,#REF!</definedName>
    <definedName name="_4Excel_BuiltIn_Print_Titles_17_1">#REF!,#REF!</definedName>
    <definedName name="_4Excel_BuiltIn_Print_Titles_19_1">#REF!,#REF!</definedName>
    <definedName name="_4Excel_BuiltIn_Print_Titles_29_1">('[26]Capa Documentação'!$A:$F,'[26]Capa Documentação'!#REF!)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___123Graph_FCHART_1" hidden="1">#REF!</definedName>
    <definedName name="_5__123Graph_ACHART_2" hidden="1">#REF!</definedName>
    <definedName name="_5__123Graph_ACHART_3" hidden="1">#REF!</definedName>
    <definedName name="_5__123Graph_BCHART_1" hidden="1">#REF!</definedName>
    <definedName name="_5__123Graph_DCHART_1" hidden="1">#REF!</definedName>
    <definedName name="_5__123Graph_FCHART_1" localSheetId="18" hidden="1">#REF!</definedName>
    <definedName name="_5__123Graph_FCHART_1" hidden="1">#REF!</definedName>
    <definedName name="_5_a_1" localSheetId="21">#REF!</definedName>
    <definedName name="_5_a_1">#REF!</definedName>
    <definedName name="_50_______123Graph_ECHART_1" hidden="1">#REF!</definedName>
    <definedName name="_50Excel_BuiltIn_Criteria_16_1">#REF!</definedName>
    <definedName name="_50Excel_BuiltIn_Print_Titles_21_1_1_1">#REF!,#REF!</definedName>
    <definedName name="_515__123Graph_DCHART_1" hidden="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_______123Graph_FCHART_1" hidden="1">#REF!</definedName>
    <definedName name="_55Excel_BuiltIn_Criteria_3_1">#REF!</definedName>
    <definedName name="_560__123Graph_ECHART_1" hidden="1">#REF!</definedName>
    <definedName name="_56Excel_BuiltIn_Criteria_4_1">#REF!</definedName>
    <definedName name="_57__123Graph_FCHART_1" hidden="1">#REF!</definedName>
    <definedName name="_57Excel_BuiltIn_Criteria_7_1">#REF!</definedName>
    <definedName name="_58Excel_BuiltIn_Criteria_9_1">#REF!</definedName>
    <definedName name="_59Excel_BuiltIn_Database_1" localSheetId="21">#REF!</definedName>
    <definedName name="_59Excel_BuiltIn_Database_1">#REF!</definedName>
    <definedName name="_5Aut_resumo_4_1">[32]RESUMO_AUT1!#REF!</definedName>
    <definedName name="_5Excel_BuiltIn_Print_Area_1_1_1">#REF!</definedName>
    <definedName name="_5Excel_BuiltIn_Print_Titles_17_1">#REF!,#REF!</definedName>
    <definedName name="_5Excel_BuiltIn_Print_Titles_18_1">#REF!,#REF!</definedName>
    <definedName name="_5Excel_BuiltIn_Print_Titles_21_1_1_1">#REF!,#REF!</definedName>
    <definedName name="_5Excel_BuiltIn_Print_Titles_3_1">('[26]Capa Apres'!$A:$F,'[26]Capa Apres'!#REF!)</definedName>
    <definedName name="_5PassaExtenso_1_1_1">#N/A</definedName>
    <definedName name="_6____123Graph_XCHART_3" hidden="1">#REF!</definedName>
    <definedName name="_6__123Graph_ACHART_3" hidden="1">#REF!</definedName>
    <definedName name="_6__123Graph_BCHART_1" hidden="1">#REF!</definedName>
    <definedName name="_6__123Graph_CCHART_1" hidden="1">#REF!</definedName>
    <definedName name="_6__123Graph_ECHART_1" hidden="1">#REF!</definedName>
    <definedName name="_6__123Graph_XDEC_SEM" hidden="1">#REF!</definedName>
    <definedName name="_6_a_1_1" localSheetId="21">#REF!</definedName>
    <definedName name="_6_a_1_1">#REF!</definedName>
    <definedName name="_6_z_1">[5]PLMUSEU!#REF!</definedName>
    <definedName name="_60_______123Graph_XCHART_3" hidden="1">#REF!</definedName>
    <definedName name="_605__123Graph_FCHART_1" hidden="1">#REF!</definedName>
    <definedName name="_60Excel_BuiltIn_Database_1_1" localSheetId="21">#REF!</definedName>
    <definedName name="_60Excel_BuiltIn_Database_1_1">#REF!</definedName>
    <definedName name="_61Excel_BuiltIn_Print_Area_1_1">#REF!</definedName>
    <definedName name="_62Excel_BuiltIn_Print_Area_1_1_1" localSheetId="21">#REF!</definedName>
    <definedName name="_62Excel_BuiltIn_Print_Area_1_1_1">#REF!</definedName>
    <definedName name="_63__123Graph_DCHART_1" hidden="1">#REF!</definedName>
    <definedName name="_63Excel_BuiltIn_Print_Area_1_1_1_1">#REF!</definedName>
    <definedName name="_64Excel_BuiltIn_Print_Area_1_1_1_1_1" localSheetId="21">#REF!</definedName>
    <definedName name="_64Excel_BuiltIn_Print_Area_1_1_1_1_1">#REF!</definedName>
    <definedName name="_65______123Graph_BCHART_1" hidden="1">#REF!</definedName>
    <definedName name="_650__123Graph_XCHART_3" hidden="1">#REF!</definedName>
    <definedName name="_65Excel_BuiltIn_Print_Area_1_1_1_1_1_1" localSheetId="21">#REF!</definedName>
    <definedName name="_65Excel_BuiltIn_Print_Area_1_1_1_1_1_1">#REF!</definedName>
    <definedName name="_66Excel_BuiltIn_Print_Area_1_1_1_1_1_1_1" localSheetId="21">#REF!</definedName>
    <definedName name="_66Excel_BuiltIn_Print_Area_1_1_1_1_1_1_1">#REF!</definedName>
    <definedName name="_67Excel_BuiltIn_Print_Area_1_1_1_1_1_1_1_1" localSheetId="21">#REF!</definedName>
    <definedName name="_67Excel_BuiltIn_Print_Area_1_1_1_1_1_1_1_1">#REF!</definedName>
    <definedName name="_68__123Graph_XCHART_3" hidden="1">#REF!</definedName>
    <definedName name="_68Excel_BuiltIn_Print_Area_1_1_1_1_1_1_1_1_1" localSheetId="21">#REF!</definedName>
    <definedName name="_68Excel_BuiltIn_Print_Area_1_1_1_1_1_1_1_1_1">#REF!</definedName>
    <definedName name="_69Excel_BuiltIn_Print_Area_1_1_1_1_1_1_1_1_1_1" localSheetId="21">#REF!</definedName>
    <definedName name="_69Excel_BuiltIn_Print_Area_1_1_1_1_1_1_1_1_1_1">#REF!</definedName>
    <definedName name="_6Excel_BuiltIn_Criteria_1">#REF!</definedName>
    <definedName name="_6Excel_BuiltIn_Print_Titles_16_1">#REF!,#REF!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6Excel_BuiltIn_Print_Titles_30_1">('[26]Capa Anexo I'!$A:$F,'[26]Capa Anexo I'!#REF!)</definedName>
    <definedName name="_6PassaExtenso_1_1_33_1">#N/A</definedName>
    <definedName name="_7___123Graph_ACHART_1" hidden="1">#REF!</definedName>
    <definedName name="_7__123Graph_CCHART_1" hidden="1">#REF!</definedName>
    <definedName name="_7__123Graph_FCHART_1" hidden="1">#REF!</definedName>
    <definedName name="_7_a_7_1" localSheetId="21">#REF!</definedName>
    <definedName name="_7_a_7_1">#REF!</definedName>
    <definedName name="_70______123Graph_CCHART_1" hidden="1">#REF!</definedName>
    <definedName name="_70Excel_BuiltIn_Print_Area_2_1">#REF!</definedName>
    <definedName name="_71Excel_BuiltIn_Print_Area_2_1_1">#NAME?</definedName>
    <definedName name="_72Excel_BuiltIn_Print_Area_2_1_1_1_1_1_1" localSheetId="21">#REF!</definedName>
    <definedName name="_72Excel_BuiltIn_Print_Area_2_1_1_1_1_1_1">#REF!</definedName>
    <definedName name="_73Excel_BuiltIn_Print_Area_2_1_1_1_1_1_1_1" localSheetId="21">#REF!</definedName>
    <definedName name="_73Excel_BuiltIn_Print_Area_2_1_1_1_1_1_1_1">#REF!</definedName>
    <definedName name="_74Excel_BuiltIn_Print_Area_2_1_1_1_1_1_1_1_1" localSheetId="21">#REF!</definedName>
    <definedName name="_74Excel_BuiltIn_Print_Area_2_1_1_1_1_1_1_1_1">#REF!</definedName>
    <definedName name="_75______123Graph_DCHART_1" hidden="1">#REF!</definedName>
    <definedName name="_75Excel_BuiltIn_Print_Area_20_1">#REF!</definedName>
    <definedName name="_76Excel_BuiltIn_Print_Area_3_1">#REF!</definedName>
    <definedName name="_77Excel_BuiltIn_Print_Area_3_1_1" localSheetId="21">#REF!</definedName>
    <definedName name="_77Excel_BuiltIn_Print_Area_3_1_1">#REF!</definedName>
    <definedName name="_78Excel_BuiltIn_Print_Area_3_1_1_1" localSheetId="21">#REF!</definedName>
    <definedName name="_78Excel_BuiltIn_Print_Area_3_1_1_1">#REF!</definedName>
    <definedName name="_79Excel_BuiltIn_Print_Area_3_1_1_1_1" localSheetId="21">#REF!</definedName>
    <definedName name="_79Excel_BuiltIn_Print_Area_3_1_1_1_1">#REF!</definedName>
    <definedName name="_7Excel_BuiltIn_Database_1">#REF!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7Excel_BuiltIn_Print_Titles_32_1">('[26]Capa Anexo II'!$A:$F,'[26]Capa Anexo II'!#REF!)</definedName>
    <definedName name="_7œ_0__123Grap" hidden="1">#REF!</definedName>
    <definedName name="_7PassaExtenso_1_1_35_1">#N/A</definedName>
    <definedName name="_8___123Graph_ACHART_3" hidden="1">#REF!</definedName>
    <definedName name="_8__123Graph_ACHART_1" hidden="1">#REF!</definedName>
    <definedName name="_8__123Graph_ACHART_3" hidden="1">#REF!</definedName>
    <definedName name="_8__123Graph_CCHART_1" hidden="1">#REF!</definedName>
    <definedName name="_8__123Graph_DCHART_1" hidden="1">#REF!</definedName>
    <definedName name="_8__123Graph_XCHART_3" hidden="1">#REF!</definedName>
    <definedName name="_8__123Graph_XLTQ_SEM" hidden="1">#REF!</definedName>
    <definedName name="_8_c_1">#REF!</definedName>
    <definedName name="_80______123Graph_ECHART_1" hidden="1">#REF!</definedName>
    <definedName name="_80Excel_BuiltIn_Print_Area_3_1_1_1_1_1" localSheetId="21">#REF!</definedName>
    <definedName name="_80Excel_BuiltIn_Print_Area_3_1_1_1_1_1">#REF!</definedName>
    <definedName name="_81Excel_BuiltIn_Print_Area_6_1">#REF!</definedName>
    <definedName name="_82__123Graph_ECHART_1" hidden="1">#REF!</definedName>
    <definedName name="_82Excel_BuiltIn_Print_Area_7_1">#REF!</definedName>
    <definedName name="_83Excel_BuiltIn_Print_Area_7_1_1">#REF!</definedName>
    <definedName name="_84Excel_BuiltIn_Print_Area_7_1_1_1" localSheetId="21">#REF!</definedName>
    <definedName name="_84Excel_BuiltIn_Print_Area_7_1_1_1">#REF!</definedName>
    <definedName name="_85______123Graph_FCHART_1" hidden="1">#REF!</definedName>
    <definedName name="_85Excel_BuiltIn_Print_Area_7_1_1_2" localSheetId="21">#REF!</definedName>
    <definedName name="_85Excel_BuiltIn_Print_Area_7_1_1_2">#REF!</definedName>
    <definedName name="_86Excel_BuiltIn_Print_Area_8_1">#REF!</definedName>
    <definedName name="_87Excel_BuiltIn_Print_Area_8_1_1" localSheetId="21">#REF!</definedName>
    <definedName name="_87Excel_BuiltIn_Print_Area_8_1_1">#REF!</definedName>
    <definedName name="_88Excel_BuiltIn_Print_Area_8_1_1_1" localSheetId="21">#REF!</definedName>
    <definedName name="_88Excel_BuiltIn_Print_Area_8_1_1_1">#REF!</definedName>
    <definedName name="_899" hidden="1">#REF!</definedName>
    <definedName name="_89Excel_BuiltIn_Print_Titles_1_1">#REF!</definedName>
    <definedName name="_8Aut_original_4_1">[33]PROJETO!#REF!</definedName>
    <definedName name="_8Excel_BuiltIn_Print_Titles_17_1">#REF!,#REF!</definedName>
    <definedName name="_8Excel_BuiltIn_Print_Titles_21_1_1_1">#REF!,#REF!</definedName>
    <definedName name="_8Excel_BuiltIn_Print_Titles_33_1">('[26]Capa Anexo III'!$A:$F,'[26]Capa Anexo III'!#REF!)</definedName>
    <definedName name="_8PassaExtenso_4_1">NA()</definedName>
    <definedName name="_9__123Graph_ACHART_3" hidden="1">#REF!</definedName>
    <definedName name="_9__123Graph_BCHART_1" hidden="1">#REF!</definedName>
    <definedName name="_9__123Graph_DCHART_1" hidden="1">#REF!</definedName>
    <definedName name="_9__123Graph_ECHART_1" hidden="1">#REF!</definedName>
    <definedName name="_9_c_11_1">#REF!</definedName>
    <definedName name="_90______123Graph_XCHART_3" hidden="1">#REF!</definedName>
    <definedName name="_90Excel_BuiltIn_Print_Titles_1_1_1">#REF!</definedName>
    <definedName name="_91_____123Graph_ACHART_1" hidden="1">#REF!</definedName>
    <definedName name="_91Excel_BuiltIn_Print_Titles_1_1_1_1" localSheetId="21">#REF!</definedName>
    <definedName name="_91Excel_BuiltIn_Print_Titles_1_1_1_1">#REF!</definedName>
    <definedName name="_92_____123Graph_ACHART_3" hidden="1">#REF!</definedName>
    <definedName name="_92Excel_BuiltIn_Print_Titles_1_1_1_2" localSheetId="21">#REF!</definedName>
    <definedName name="_92Excel_BuiltIn_Print_Titles_1_1_1_2">#REF!</definedName>
    <definedName name="_93Print_Area_MI_1_1">#REF!</definedName>
    <definedName name="_97_____123Graph_BCHART_1" hidden="1">#REF!</definedName>
    <definedName name="_9Excel_BuiltIn_Print_Titles_34_1">('[26]Capa Anexo IV'!$A:$F,'[26]Capa Anexo IV'!#REF!)</definedName>
    <definedName name="_9PassaExtenso_6_1">"#NAME!PassaExtenso"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 localSheetId="21">#REF!</definedName>
    <definedName name="_a_14">#REF!</definedName>
    <definedName name="_a_14_1" localSheetId="21">#REF!</definedName>
    <definedName name="_a_14_1">#REF!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 localSheetId="21">#REF!</definedName>
    <definedName name="_a_7_14">#REF!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[34]!_A14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70000">#REF!</definedName>
    <definedName name="_A80000">#REF!</definedName>
    <definedName name="_A9">#N/A</definedName>
    <definedName name="_a999" localSheetId="20" hidden="1">{#N/A,#N/A,FALSE,"ANEXO3 99 ERA";#N/A,#N/A,FALSE,"ANEXO3 99 UBÁ2";#N/A,#N/A,FALSE,"ANEXO3 99 DTU";#N/A,#N/A,FALSE,"ANEXO3 99 RDR";#N/A,#N/A,FALSE,"ANEXO3 99 UBÁ4";#N/A,#N/A,FALSE,"ANEXO3 99 UBÁ6"}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99999">#REF!</definedName>
    <definedName name="_AA" hidden="1">#REF!</definedName>
    <definedName name="_Abr1">#REF!</definedName>
    <definedName name="_ABR95">[35]Consultoria!#REF!</definedName>
    <definedName name="_ABR96">[35]Consultoria!#REF!</definedName>
    <definedName name="_ABR97">[35]Consultoria!#REF!</definedName>
    <definedName name="_ABR98">[35]Consultoria!#REF!</definedName>
    <definedName name="_ABR99">[35]Consultoria!#REF!</definedName>
    <definedName name="_ACA25">[15]DADOS!$C$17</definedName>
    <definedName name="_ACA50">[15]DADOS!$C$16</definedName>
    <definedName name="_ACC2" hidden="1">#REF!</definedName>
    <definedName name="_ACM30">#REF!</definedName>
    <definedName name="_adm1" localSheetId="20" hidden="1">{"'Índice'!$A$1:$K$49"}</definedName>
    <definedName name="_adm1" hidden="1">{"'Índice'!$A$1:$K$49"}</definedName>
    <definedName name="_adm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 localSheetId="20" hidden="1">{"'gráf jan00'!$A$1:$AK$41"}</definedName>
    <definedName name="_Ago1" localSheetId="21">#REF!</definedName>
    <definedName name="_Ago1">#REF!</definedName>
    <definedName name="_ago1_1" localSheetId="20" hidden="1">{"'gráf jan00'!$A$1:$AK$41"}</definedName>
    <definedName name="_ago1_1" hidden="1">{"'gráf jan00'!$A$1:$AK$41"}</definedName>
    <definedName name="_ago1_1_1" localSheetId="20" hidden="1">{"'gráf jan00'!$A$1:$AK$41"}</definedName>
    <definedName name="_ago1_1_1" hidden="1">{"'gráf jan00'!$A$1:$AK$41"}</definedName>
    <definedName name="_ago1_1_1_1" localSheetId="20" hidden="1">{"'gráf jan00'!$A$1:$AK$41"}</definedName>
    <definedName name="_ago1_1_1_1" hidden="1">{"'gráf jan00'!$A$1:$AK$41"}</definedName>
    <definedName name="_ago1_1_2" localSheetId="20" hidden="1">{"'gráf jan00'!$A$1:$AK$41"}</definedName>
    <definedName name="_ago1_1_2" hidden="1">{"'gráf jan00'!$A$1:$AK$41"}</definedName>
    <definedName name="_ago1_2" localSheetId="20" hidden="1">{"'gráf jan00'!$A$1:$AK$41"}</definedName>
    <definedName name="_ago1_2" hidden="1">{"'gráf jan00'!$A$1:$AK$41"}</definedName>
    <definedName name="_ago10" localSheetId="20" hidden="1">{"'gráf jan00'!$A$1:$AK$41"}</definedName>
    <definedName name="_ago10" hidden="1">{"'gráf jan00'!$A$1:$AK$41"}</definedName>
    <definedName name="_ago10_1" localSheetId="20" hidden="1">{"'gráf jan00'!$A$1:$AK$41"}</definedName>
    <definedName name="_ago10_1" hidden="1">{"'gráf jan00'!$A$1:$AK$41"}</definedName>
    <definedName name="_ago10_1_1" localSheetId="20" hidden="1">{"'gráf jan00'!$A$1:$AK$41"}</definedName>
    <definedName name="_ago10_1_1" hidden="1">{"'gráf jan00'!$A$1:$AK$41"}</definedName>
    <definedName name="_ago10_1_1_1" localSheetId="20" hidden="1">{"'gráf jan00'!$A$1:$AK$41"}</definedName>
    <definedName name="_ago10_1_1_1" hidden="1">{"'gráf jan00'!$A$1:$AK$41"}</definedName>
    <definedName name="_ago10_1_2" localSheetId="20" hidden="1">{"'gráf jan00'!$A$1:$AK$41"}</definedName>
    <definedName name="_ago10_1_2" hidden="1">{"'gráf jan00'!$A$1:$AK$41"}</definedName>
    <definedName name="_ago10_2" localSheetId="20" hidden="1">{"'gráf jan00'!$A$1:$AK$41"}</definedName>
    <definedName name="_ago10_2" hidden="1">{"'gráf jan00'!$A$1:$AK$41"}</definedName>
    <definedName name="_ago2" localSheetId="20" hidden="1">{"'gráf jan00'!$A$1:$AK$41"}</definedName>
    <definedName name="_ago2" hidden="1">{"'gráf jan00'!$A$1:$AK$41"}</definedName>
    <definedName name="_ago2_1" localSheetId="20" hidden="1">{"'gráf jan00'!$A$1:$AK$41"}</definedName>
    <definedName name="_ago2_1" hidden="1">{"'gráf jan00'!$A$1:$AK$41"}</definedName>
    <definedName name="_ago2_1_1" localSheetId="20" hidden="1">{"'gráf jan00'!$A$1:$AK$41"}</definedName>
    <definedName name="_ago2_1_1" hidden="1">{"'gráf jan00'!$A$1:$AK$41"}</definedName>
    <definedName name="_ago2_1_1_1" localSheetId="20" hidden="1">{"'gráf jan00'!$A$1:$AK$41"}</definedName>
    <definedName name="_ago2_1_1_1" hidden="1">{"'gráf jan00'!$A$1:$AK$41"}</definedName>
    <definedName name="_ago2_1_2" localSheetId="20" hidden="1">{"'gráf jan00'!$A$1:$AK$41"}</definedName>
    <definedName name="_ago2_1_2" hidden="1">{"'gráf jan00'!$A$1:$AK$41"}</definedName>
    <definedName name="_ago2_2" localSheetId="20" hidden="1">{"'gráf jan00'!$A$1:$AK$41"}</definedName>
    <definedName name="_ago2_2" hidden="1">{"'gráf jan00'!$A$1:$AK$41"}</definedName>
    <definedName name="_ago3" localSheetId="20" hidden="1">{"'gráf jan00'!$A$1:$AK$41"}</definedName>
    <definedName name="_ago3" hidden="1">{"'gráf jan00'!$A$1:$AK$41"}</definedName>
    <definedName name="_ago3_1" localSheetId="20" hidden="1">{"'gráf jan00'!$A$1:$AK$41"}</definedName>
    <definedName name="_ago3_1" hidden="1">{"'gráf jan00'!$A$1:$AK$41"}</definedName>
    <definedName name="_ago3_1_1" localSheetId="20" hidden="1">{"'gráf jan00'!$A$1:$AK$41"}</definedName>
    <definedName name="_ago3_1_1" hidden="1">{"'gráf jan00'!$A$1:$AK$41"}</definedName>
    <definedName name="_ago3_1_1_1" localSheetId="20" hidden="1">{"'gráf jan00'!$A$1:$AK$41"}</definedName>
    <definedName name="_ago3_1_1_1" hidden="1">{"'gráf jan00'!$A$1:$AK$41"}</definedName>
    <definedName name="_ago3_1_2" localSheetId="20" hidden="1">{"'gráf jan00'!$A$1:$AK$41"}</definedName>
    <definedName name="_ago3_1_2" hidden="1">{"'gráf jan00'!$A$1:$AK$41"}</definedName>
    <definedName name="_ago3_2" localSheetId="20" hidden="1">{"'gráf jan00'!$A$1:$AK$41"}</definedName>
    <definedName name="_ago3_2" hidden="1">{"'gráf jan00'!$A$1:$AK$41"}</definedName>
    <definedName name="_ago4" localSheetId="20" hidden="1">{"'gráf jan00'!$A$1:$AK$41"}</definedName>
    <definedName name="_ago4" hidden="1">{"'gráf jan00'!$A$1:$AK$41"}</definedName>
    <definedName name="_ago4_1" localSheetId="20" hidden="1">{"'gráf jan00'!$A$1:$AK$41"}</definedName>
    <definedName name="_ago4_1" hidden="1">{"'gráf jan00'!$A$1:$AK$41"}</definedName>
    <definedName name="_ago4_1_1" localSheetId="20" hidden="1">{"'gráf jan00'!$A$1:$AK$41"}</definedName>
    <definedName name="_ago4_1_1" hidden="1">{"'gráf jan00'!$A$1:$AK$41"}</definedName>
    <definedName name="_ago4_1_1_1" localSheetId="20" hidden="1">{"'gráf jan00'!$A$1:$AK$41"}</definedName>
    <definedName name="_ago4_1_1_1" hidden="1">{"'gráf jan00'!$A$1:$AK$41"}</definedName>
    <definedName name="_ago4_1_2" localSheetId="20" hidden="1">{"'gráf jan00'!$A$1:$AK$41"}</definedName>
    <definedName name="_ago4_1_2" hidden="1">{"'gráf jan00'!$A$1:$AK$41"}</definedName>
    <definedName name="_ago4_2" localSheetId="20" hidden="1">{"'gráf jan00'!$A$1:$AK$41"}</definedName>
    <definedName name="_ago4_2" hidden="1">{"'gráf jan00'!$A$1:$AK$41"}</definedName>
    <definedName name="_ago5" localSheetId="20" hidden="1">{"'gráf jan00'!$A$1:$AK$41"}</definedName>
    <definedName name="_ago5" hidden="1">{"'gráf jan00'!$A$1:$AK$41"}</definedName>
    <definedName name="_ago5_1" localSheetId="20" hidden="1">{"'gráf jan00'!$A$1:$AK$41"}</definedName>
    <definedName name="_ago5_1" hidden="1">{"'gráf jan00'!$A$1:$AK$41"}</definedName>
    <definedName name="_ago5_1_1" localSheetId="20" hidden="1">{"'gráf jan00'!$A$1:$AK$41"}</definedName>
    <definedName name="_ago5_1_1" hidden="1">{"'gráf jan00'!$A$1:$AK$41"}</definedName>
    <definedName name="_ago5_1_1_1" localSheetId="20" hidden="1">{"'gráf jan00'!$A$1:$AK$41"}</definedName>
    <definedName name="_ago5_1_1_1" hidden="1">{"'gráf jan00'!$A$1:$AK$41"}</definedName>
    <definedName name="_ago5_1_2" localSheetId="20" hidden="1">{"'gráf jan00'!$A$1:$AK$41"}</definedName>
    <definedName name="_ago5_1_2" hidden="1">{"'gráf jan00'!$A$1:$AK$41"}</definedName>
    <definedName name="_ago5_2" localSheetId="20" hidden="1">{"'gráf jan00'!$A$1:$AK$41"}</definedName>
    <definedName name="_ago5_2" hidden="1">{"'gráf jan00'!$A$1:$AK$41"}</definedName>
    <definedName name="_ago6" localSheetId="20" hidden="1">{"'gráf jan00'!$A$1:$AK$41"}</definedName>
    <definedName name="_ago6" hidden="1">{"'gráf jan00'!$A$1:$AK$41"}</definedName>
    <definedName name="_ago6_1" localSheetId="20" hidden="1">{"'gráf jan00'!$A$1:$AK$41"}</definedName>
    <definedName name="_ago6_1" hidden="1">{"'gráf jan00'!$A$1:$AK$41"}</definedName>
    <definedName name="_ago6_1_1" localSheetId="20" hidden="1">{"'gráf jan00'!$A$1:$AK$41"}</definedName>
    <definedName name="_ago6_1_1" hidden="1">{"'gráf jan00'!$A$1:$AK$41"}</definedName>
    <definedName name="_ago6_1_1_1" localSheetId="20" hidden="1">{"'gráf jan00'!$A$1:$AK$41"}</definedName>
    <definedName name="_ago6_1_1_1" hidden="1">{"'gráf jan00'!$A$1:$AK$41"}</definedName>
    <definedName name="_ago6_1_2" localSheetId="20" hidden="1">{"'gráf jan00'!$A$1:$AK$41"}</definedName>
    <definedName name="_ago6_1_2" hidden="1">{"'gráf jan00'!$A$1:$AK$41"}</definedName>
    <definedName name="_ago6_2" localSheetId="20" hidden="1">{"'gráf jan00'!$A$1:$AK$41"}</definedName>
    <definedName name="_ago6_2" hidden="1">{"'gráf jan00'!$A$1:$AK$41"}</definedName>
    <definedName name="_ago7" localSheetId="20" hidden="1">{"'gráf jan00'!$A$1:$AK$41"}</definedName>
    <definedName name="_ago7" hidden="1">{"'gráf jan00'!$A$1:$AK$41"}</definedName>
    <definedName name="_ago7_1" localSheetId="20" hidden="1">{"'gráf jan00'!$A$1:$AK$41"}</definedName>
    <definedName name="_ago7_1" hidden="1">{"'gráf jan00'!$A$1:$AK$41"}</definedName>
    <definedName name="_ago7_1_1" localSheetId="20" hidden="1">{"'gráf jan00'!$A$1:$AK$41"}</definedName>
    <definedName name="_ago7_1_1" hidden="1">{"'gráf jan00'!$A$1:$AK$41"}</definedName>
    <definedName name="_ago7_1_1_1" localSheetId="20" hidden="1">{"'gráf jan00'!$A$1:$AK$41"}</definedName>
    <definedName name="_ago7_1_1_1" hidden="1">{"'gráf jan00'!$A$1:$AK$41"}</definedName>
    <definedName name="_ago7_1_2" localSheetId="20" hidden="1">{"'gráf jan00'!$A$1:$AK$41"}</definedName>
    <definedName name="_ago7_1_2" hidden="1">{"'gráf jan00'!$A$1:$AK$41"}</definedName>
    <definedName name="_ago7_2" localSheetId="20" hidden="1">{"'gráf jan00'!$A$1:$AK$41"}</definedName>
    <definedName name="_ago7_2" hidden="1">{"'gráf jan00'!$A$1:$AK$41"}</definedName>
    <definedName name="_ago8" localSheetId="20" hidden="1">{"'gráf jan00'!$A$1:$AK$41"}</definedName>
    <definedName name="_ago8" hidden="1">{"'gráf jan00'!$A$1:$AK$41"}</definedName>
    <definedName name="_ago8_1" localSheetId="20" hidden="1">{"'gráf jan00'!$A$1:$AK$41"}</definedName>
    <definedName name="_ago8_1" hidden="1">{"'gráf jan00'!$A$1:$AK$41"}</definedName>
    <definedName name="_ago8_1_1" localSheetId="20" hidden="1">{"'gráf jan00'!$A$1:$AK$41"}</definedName>
    <definedName name="_ago8_1_1" hidden="1">{"'gráf jan00'!$A$1:$AK$41"}</definedName>
    <definedName name="_ago8_1_1_1" localSheetId="20" hidden="1">{"'gráf jan00'!$A$1:$AK$41"}</definedName>
    <definedName name="_ago8_1_1_1" hidden="1">{"'gráf jan00'!$A$1:$AK$41"}</definedName>
    <definedName name="_ago8_1_2" localSheetId="20" hidden="1">{"'gráf jan00'!$A$1:$AK$41"}</definedName>
    <definedName name="_ago8_1_2" hidden="1">{"'gráf jan00'!$A$1:$AK$41"}</definedName>
    <definedName name="_ago8_2" localSheetId="20" hidden="1">{"'gráf jan00'!$A$1:$AK$41"}</definedName>
    <definedName name="_ago8_2" hidden="1">{"'gráf jan00'!$A$1:$AK$41"}</definedName>
    <definedName name="_ago9" localSheetId="20" hidden="1">{"'gráf jan00'!$A$1:$AK$41"}</definedName>
    <definedName name="_ago9" hidden="1">{"'gráf jan00'!$A$1:$AK$41"}</definedName>
    <definedName name="_ago9_1" localSheetId="20" hidden="1">{"'gráf jan00'!$A$1:$AK$41"}</definedName>
    <definedName name="_ago9_1" hidden="1">{"'gráf jan00'!$A$1:$AK$41"}</definedName>
    <definedName name="_ago9_1_1" localSheetId="20" hidden="1">{"'gráf jan00'!$A$1:$AK$41"}</definedName>
    <definedName name="_ago9_1_1" hidden="1">{"'gráf jan00'!$A$1:$AK$41"}</definedName>
    <definedName name="_ago9_1_1_1" localSheetId="20" hidden="1">{"'gráf jan00'!$A$1:$AK$41"}</definedName>
    <definedName name="_ago9_1_1_1" hidden="1">{"'gráf jan00'!$A$1:$AK$41"}</definedName>
    <definedName name="_ago9_1_2" localSheetId="20" hidden="1">{"'gráf jan00'!$A$1:$AK$41"}</definedName>
    <definedName name="_ago9_1_2" hidden="1">{"'gráf jan00'!$A$1:$AK$41"}</definedName>
    <definedName name="_ago9_2" localSheetId="20" hidden="1">{"'gráf jan00'!$A$1:$AK$41"}</definedName>
    <definedName name="_ago9_2" hidden="1">{"'gráf jan00'!$A$1:$AK$41"}</definedName>
    <definedName name="_AGO95">[35]Consultoria!#REF!</definedName>
    <definedName name="_AGO96">[35]Consultoria!#REF!</definedName>
    <definedName name="_AGO97">[35]Consultoria!#REF!</definedName>
    <definedName name="_AGO98">[35]Consultoria!#REF!</definedName>
    <definedName name="_AGO99">[35]Consultoria!#REF!</definedName>
    <definedName name="_ago99999" localSheetId="20" hidden="1">{"'gráf jan00'!$A$1:$AK$41"}</definedName>
    <definedName name="_ago99999" hidden="1">{"'gráf jan00'!$A$1:$AK$41"}</definedName>
    <definedName name="_ago99999_1" localSheetId="20" hidden="1">{"'gráf jan00'!$A$1:$AK$41"}</definedName>
    <definedName name="_ago99999_1" hidden="1">{"'gráf jan00'!$A$1:$AK$41"}</definedName>
    <definedName name="_ago99999_1_1" localSheetId="20" hidden="1">{"'gráf jan00'!$A$1:$AK$41"}</definedName>
    <definedName name="_ago99999_1_1" hidden="1">{"'gráf jan00'!$A$1:$AK$41"}</definedName>
    <definedName name="_ago99999_1_1_1" localSheetId="20" hidden="1">{"'gráf jan00'!$A$1:$AK$41"}</definedName>
    <definedName name="_ago99999_1_1_1" hidden="1">{"'gráf jan00'!$A$1:$AK$41"}</definedName>
    <definedName name="_ago99999_1_2" localSheetId="20" hidden="1">{"'gráf jan00'!$A$1:$AK$41"}</definedName>
    <definedName name="_ago99999_1_2" hidden="1">{"'gráf jan00'!$A$1:$AK$41"}</definedName>
    <definedName name="_ago99999_2" localSheetId="20" hidden="1">{"'gráf jan00'!$A$1:$AK$41"}</definedName>
    <definedName name="_ago99999_2" hidden="1">{"'gráf jan00'!$A$1:$AK$41"}</definedName>
    <definedName name="_ami">#REF!</definedName>
    <definedName name="_arg13">#REF!</definedName>
    <definedName name="_arg16">#REF!</definedName>
    <definedName name="_arq1" localSheetId="20" hidden="1">{"'REL CUSTODIF'!$B$1:$H$72"}</definedName>
    <definedName name="_arq1" hidden="1">{"'REL CUSTODIF'!$B$1:$H$72"}</definedName>
    <definedName name="_At">#REF!</definedName>
    <definedName name="_ATD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Aut2">[36]PROJETO!#REF!</definedName>
    <definedName name="_B" hidden="1">#REF!</definedName>
    <definedName name="_B106440">#REF!</definedName>
    <definedName name="_B106441">#REF!</definedName>
    <definedName name="_bar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BB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dm.13db686f49944eed83e4e26b9d6244a5.edm" hidden="1">#REF!</definedName>
    <definedName name="_bdm.243630a58f8d42d5baed0411cce52152.edm" hidden="1">#REF!</definedName>
    <definedName name="_bdm.26a21ca3795645b8b4b7717baabb7100.edm" hidden="1">#REF!</definedName>
    <definedName name="_bdm.30388d15cb29485793c1045a6a5741b9.edm" hidden="1">#REF!</definedName>
    <definedName name="_bdm.3c30372f6a0044a0ac1c06f1b1e5479c.edm" hidden="1">#REF!</definedName>
    <definedName name="_bdm.3F011716051B4FEEAD434DAF7429A66C.edm" hidden="1">#REF!</definedName>
    <definedName name="_bdm.3fe9025a5c3f4c4eb28e61d2ef6102ba.edm" hidden="1">#REF!</definedName>
    <definedName name="_bdm.4A70150E215C4850A8FBB38B2235F21E.edm" hidden="1">#REF!</definedName>
    <definedName name="_bdm.4fa0d941281443beaaf56d913365c8c4.edm" hidden="1">#REF!</definedName>
    <definedName name="_bdm.5065555D6A084AF9B2D43665657C1C3C.edm" hidden="1">#REF!</definedName>
    <definedName name="_bdm.546bc9368b794ab1bf975729fcf2502b.edm" hidden="1">#REF!</definedName>
    <definedName name="_bdm.5d9cb892c85842d9be3cc58855728851.edm" hidden="1">#REF!</definedName>
    <definedName name="_bdm.60327640B9A743BE8838451BF84228A3.edm" hidden="1">#REF!</definedName>
    <definedName name="_bdm.7b13300508904d36b06c100c44a3b701.edm" hidden="1">#REF!</definedName>
    <definedName name="_bdm.8832A301CB8449429B83E6D6BB245FC9.edm" hidden="1">#REF!</definedName>
    <definedName name="_bdm.8b1fb9fb33c543349bdaa5451b9cbdf7.edm" hidden="1">#REF!</definedName>
    <definedName name="_bdm.957118e6f4bd4c73a34005a445445c8f.edm" hidden="1">#REF!</definedName>
    <definedName name="_bdm.95f404ddd73f493a804aee3b862bc75f.edm" hidden="1">#REF!</definedName>
    <definedName name="_bdm.a713bdbf9ea840f2b6cd75cf46dd02b6.edm" hidden="1">#REF!</definedName>
    <definedName name="_bdm.beccadd3ee5549ab8939dd91ce9f56bf.edm" hidden="1">#REF!</definedName>
    <definedName name="_bdm.c0fe7e80121f425c93322c9107718e57.edm" hidden="1">#REF!</definedName>
    <definedName name="_bdm.dfa73c448a844a14acb7e7ac49a2bde9.edm" hidden="1">#REF!</definedName>
    <definedName name="_bdm.ee261b57058f47458fa2826d0a753ce0.edm" hidden="1">#REF!</definedName>
    <definedName name="_bdm.f2462c992a1c433b94479ce5c2ac2217.edm" hidden="1">#REF!</definedName>
    <definedName name="_bdm.f2bfcc3e12db4579a7d9ec4621575f66.edm" hidden="1">#REF!</definedName>
    <definedName name="_bdm.f8093a8dfeba419cb3376af2af1e2916.edm" hidden="1">#REF!</definedName>
    <definedName name="_bm03" localSheetId="20" hidden="1">{#N/A,#N/A,FALSE,"CPV";#N/A,#N/A,FALSE,"Pareto";#N/A,#N/A,FALSE,"Gráficos"}</definedName>
    <definedName name="_bm03" hidden="1">{#N/A,#N/A,FALSE,"CPV";#N/A,#N/A,FALSE,"Pareto";#N/A,#N/A,FALSE,"Gráficos"}</definedName>
    <definedName name="_bm03_1" localSheetId="20" hidden="1">{#N/A,#N/A,FALSE,"CPV";#N/A,#N/A,FALSE,"Pareto";#N/A,#N/A,FALSE,"Gráficos"}</definedName>
    <definedName name="_bm03_1" hidden="1">{#N/A,#N/A,FALSE,"CPV";#N/A,#N/A,FALSE,"Pareto";#N/A,#N/A,FALSE,"Gráficos"}</definedName>
    <definedName name="_bmi">#REF!</definedName>
    <definedName name="_br4">#REF!</definedName>
    <definedName name="_brv2">#REF!</definedName>
    <definedName name="_Brz1">[22]Feriados!$B$4:$B$14</definedName>
    <definedName name="_Brz2">[22]Feriados!$B$17:$B$24</definedName>
    <definedName name="_c" localSheetId="21">#REF!</definedName>
    <definedName name="_c">[5]PLMUSEU!#REF!</definedName>
    <definedName name="_c_1">[5]PLMUSEU!#REF!</definedName>
    <definedName name="_c_10">[5]PLMUSEU!#REF!</definedName>
    <definedName name="_c_10_1">[5]PLMUSEU!#REF!</definedName>
    <definedName name="_c_11">#REF!</definedName>
    <definedName name="_c_12">[5]PLMUSEU!#REF!</definedName>
    <definedName name="_c_12_1">[5]PLMUSEU!#REF!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[5]PLMUSEU!#REF!</definedName>
    <definedName name="_c_3_1">[5]PLMUSEU!#REF!</definedName>
    <definedName name="_c_4">[5]PLMUSEU!#REF!</definedName>
    <definedName name="_c_7">#REF!</definedName>
    <definedName name="_c_9">[5]PLMUSEU!#REF!</definedName>
    <definedName name="_c_9_1">[5]PLMUSEU!#REF!</definedName>
    <definedName name="_CAP20">#REF!</definedName>
    <definedName name="_cc1" localSheetId="20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C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M30">#REF!</definedName>
    <definedName name="_cmi">#REF!</definedName>
    <definedName name="_CMM30">[15]DADOS!$B$39</definedName>
    <definedName name="_COL36">#REF!</definedName>
    <definedName name="_COL37">#REF!</definedName>
    <definedName name="_COL38">#REF!</definedName>
    <definedName name="_Comp">#REF!</definedName>
    <definedName name="_d">#REF!</definedName>
    <definedName name="_d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d" hidden="1">#REF!</definedName>
    <definedName name="_DEF2" localSheetId="20" hidden="1">{#N/A,#N/A,FALSE,"DEF1";#N/A,#N/A,FALSE,"DEF2";#N/A,#N/A,FALSE,"DEF3"}</definedName>
    <definedName name="_DEF2" hidden="1">{#N/A,#N/A,FALSE,"DEF1";#N/A,#N/A,FALSE,"DEF2";#N/A,#N/A,FALSE,"DEF3"}</definedName>
    <definedName name="_DEF2_1" localSheetId="20" hidden="1">{#N/A,#N/A,FALSE,"DEF1";#N/A,#N/A,FALSE,"DEF2";#N/A,#N/A,FALSE,"DEF3"}</definedName>
    <definedName name="_DEF2_1" hidden="1">{#N/A,#N/A,FALSE,"DEF1";#N/A,#N/A,FALSE,"DEF2";#N/A,#N/A,FALSE,"DEF3"}</definedName>
    <definedName name="_DEF2_1_1" localSheetId="20" hidden="1">{#N/A,#N/A,FALSE,"DEF1";#N/A,#N/A,FALSE,"DEF2";#N/A,#N/A,FALSE,"DEF3"}</definedName>
    <definedName name="_DEF2_1_1" hidden="1">{#N/A,#N/A,FALSE,"DEF1";#N/A,#N/A,FALSE,"DEF2";#N/A,#N/A,FALSE,"DEF3"}</definedName>
    <definedName name="_DEF2_1_1_1" localSheetId="20" hidden="1">{#N/A,#N/A,FALSE,"DEF1";#N/A,#N/A,FALSE,"DEF2";#N/A,#N/A,FALSE,"DEF3"}</definedName>
    <definedName name="_DEF2_1_1_1" hidden="1">{#N/A,#N/A,FALSE,"DEF1";#N/A,#N/A,FALSE,"DEF2";#N/A,#N/A,FALSE,"DEF3"}</definedName>
    <definedName name="_DEF2_1_2" localSheetId="20" hidden="1">{#N/A,#N/A,FALSE,"DEF1";#N/A,#N/A,FALSE,"DEF2";#N/A,#N/A,FALSE,"DEF3"}</definedName>
    <definedName name="_DEF2_1_2" hidden="1">{#N/A,#N/A,FALSE,"DEF1";#N/A,#N/A,FALSE,"DEF2";#N/A,#N/A,FALSE,"DEF3"}</definedName>
    <definedName name="_DEF2_2" localSheetId="20" hidden="1">{#N/A,#N/A,FALSE,"DEF1";#N/A,#N/A,FALSE,"DEF2";#N/A,#N/A,FALSE,"DEF3"}</definedName>
    <definedName name="_DEF2_2" hidden="1">{#N/A,#N/A,FALSE,"DEF1";#N/A,#N/A,FALSE,"DEF2";#N/A,#N/A,FALSE,"DEF3"}</definedName>
    <definedName name="_DEF3" localSheetId="20" hidden="1">{#N/A,#N/A,FALSE,"DEF1";#N/A,#N/A,FALSE,"DEF2";#N/A,#N/A,FALSE,"DEF3"}</definedName>
    <definedName name="_DEF3" hidden="1">{#N/A,#N/A,FALSE,"DEF1";#N/A,#N/A,FALSE,"DEF2";#N/A,#N/A,FALSE,"DEF3"}</definedName>
    <definedName name="_DEF3_1" localSheetId="20" hidden="1">{#N/A,#N/A,FALSE,"DEF1";#N/A,#N/A,FALSE,"DEF2";#N/A,#N/A,FALSE,"DEF3"}</definedName>
    <definedName name="_DEF3_1" hidden="1">{#N/A,#N/A,FALSE,"DEF1";#N/A,#N/A,FALSE,"DEF2";#N/A,#N/A,FALSE,"DEF3"}</definedName>
    <definedName name="_DEF3_1_1" localSheetId="20" hidden="1">{#N/A,#N/A,FALSE,"DEF1";#N/A,#N/A,FALSE,"DEF2";#N/A,#N/A,FALSE,"DEF3"}</definedName>
    <definedName name="_DEF3_1_1" hidden="1">{#N/A,#N/A,FALSE,"DEF1";#N/A,#N/A,FALSE,"DEF2";#N/A,#N/A,FALSE,"DEF3"}</definedName>
    <definedName name="_DEF3_1_1_1" localSheetId="20" hidden="1">{#N/A,#N/A,FALSE,"DEF1";#N/A,#N/A,FALSE,"DEF2";#N/A,#N/A,FALSE,"DEF3"}</definedName>
    <definedName name="_DEF3_1_1_1" hidden="1">{#N/A,#N/A,FALSE,"DEF1";#N/A,#N/A,FALSE,"DEF2";#N/A,#N/A,FALSE,"DEF3"}</definedName>
    <definedName name="_DEF3_1_2" localSheetId="20" hidden="1">{#N/A,#N/A,FALSE,"DEF1";#N/A,#N/A,FALSE,"DEF2";#N/A,#N/A,FALSE,"DEF3"}</definedName>
    <definedName name="_DEF3_1_2" hidden="1">{#N/A,#N/A,FALSE,"DEF1";#N/A,#N/A,FALSE,"DEF2";#N/A,#N/A,FALSE,"DEF3"}</definedName>
    <definedName name="_DEF3_2" localSheetId="20" hidden="1">{#N/A,#N/A,FALSE,"DEF1";#N/A,#N/A,FALSE,"DEF2";#N/A,#N/A,FALSE,"DEF3"}</definedName>
    <definedName name="_DEF3_2" hidden="1">{#N/A,#N/A,FALSE,"DEF1";#N/A,#N/A,FALSE,"DEF2";#N/A,#N/A,FALSE,"DEF3"}</definedName>
    <definedName name="_Dez1">#REF!</definedName>
    <definedName name="_DEZ94">[35]Consultoria!#REF!</definedName>
    <definedName name="_DEZ95">[35]Consultoria!#REF!</definedName>
    <definedName name="_DEZ96">[35]Consultoria!#REF!</definedName>
    <definedName name="_DEZ97">[35]Consultoria!#REF!</definedName>
    <definedName name="_DEZ98">[35]Consultoria!#REF!</definedName>
    <definedName name="_DEZ99">[35]Consultoria!#REF!</definedName>
    <definedName name="_DFG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Dist_Bin" hidden="1">#REF!</definedName>
    <definedName name="_Dist_Values" hidden="1">#REF!</definedName>
    <definedName name="_E">#REF!</definedName>
    <definedName name="_ECT12">#REF!</definedName>
    <definedName name="_ECT3">#REF!</definedName>
    <definedName name="_ee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fc10" localSheetId="20" hidden="1">{"'RR'!$A$2:$E$81"}</definedName>
    <definedName name="_efc10" hidden="1">{"'RR'!$A$2:$E$81"}</definedName>
    <definedName name="_efc10_1" localSheetId="20" hidden="1">{"'RR'!$A$2:$E$81"}</definedName>
    <definedName name="_efc10_1" hidden="1">{"'RR'!$A$2:$E$81"}</definedName>
    <definedName name="_efc10_1_1" localSheetId="20" hidden="1">{"'RR'!$A$2:$E$81"}</definedName>
    <definedName name="_efc10_1_1" hidden="1">{"'RR'!$A$2:$E$81"}</definedName>
    <definedName name="_efc10_1_1_1" localSheetId="20" hidden="1">{"'RR'!$A$2:$E$81"}</definedName>
    <definedName name="_efc10_1_1_1" hidden="1">{"'RR'!$A$2:$E$81"}</definedName>
    <definedName name="_efc10_1_2" localSheetId="20" hidden="1">{"'RR'!$A$2:$E$81"}</definedName>
    <definedName name="_efc10_1_2" hidden="1">{"'RR'!$A$2:$E$81"}</definedName>
    <definedName name="_efc10_2" localSheetId="20" hidden="1">{"'RR'!$A$2:$E$81"}</definedName>
    <definedName name="_efc10_2" hidden="1">{"'RR'!$A$2:$E$81"}</definedName>
    <definedName name="_EFC2" localSheetId="20" hidden="1">{"'RR'!$A$2:$E$81"}</definedName>
    <definedName name="_EFC2" hidden="1">{"'RR'!$A$2:$E$81"}</definedName>
    <definedName name="_EFC2_1" localSheetId="20" hidden="1">{"'RR'!$A$2:$E$81"}</definedName>
    <definedName name="_EFC2_1" hidden="1">{"'RR'!$A$2:$E$81"}</definedName>
    <definedName name="_EFC2_1_1" localSheetId="20" hidden="1">{"'RR'!$A$2:$E$81"}</definedName>
    <definedName name="_EFC2_1_1" hidden="1">{"'RR'!$A$2:$E$81"}</definedName>
    <definedName name="_EFC2_1_1_1" localSheetId="20" hidden="1">{"'RR'!$A$2:$E$81"}</definedName>
    <definedName name="_EFC2_1_1_1" hidden="1">{"'RR'!$A$2:$E$81"}</definedName>
    <definedName name="_EFC2_1_2" localSheetId="20" hidden="1">{"'RR'!$A$2:$E$81"}</definedName>
    <definedName name="_EFC2_1_2" hidden="1">{"'RR'!$A$2:$E$81"}</definedName>
    <definedName name="_EFC2_2" localSheetId="20" hidden="1">{"'RR'!$A$2:$E$81"}</definedName>
    <definedName name="_EFC2_2" hidden="1">{"'RR'!$A$2:$E$81"}</definedName>
    <definedName name="_EFC3" localSheetId="20" hidden="1">{"'RR'!$A$2:$E$81"}</definedName>
    <definedName name="_EFC3" hidden="1">{"'RR'!$A$2:$E$81"}</definedName>
    <definedName name="_EFC3_1" localSheetId="20" hidden="1">{"'RR'!$A$2:$E$81"}</definedName>
    <definedName name="_EFC3_1" hidden="1">{"'RR'!$A$2:$E$81"}</definedName>
    <definedName name="_EFC3_1_1" localSheetId="20" hidden="1">{"'RR'!$A$2:$E$81"}</definedName>
    <definedName name="_EFC3_1_1" hidden="1">{"'RR'!$A$2:$E$81"}</definedName>
    <definedName name="_EFC3_1_1_1" localSheetId="20" hidden="1">{"'RR'!$A$2:$E$81"}</definedName>
    <definedName name="_EFC3_1_1_1" hidden="1">{"'RR'!$A$2:$E$81"}</definedName>
    <definedName name="_EFC3_1_2" localSheetId="20" hidden="1">{"'RR'!$A$2:$E$81"}</definedName>
    <definedName name="_EFC3_1_2" hidden="1">{"'RR'!$A$2:$E$81"}</definedName>
    <definedName name="_EFC3_2" localSheetId="20" hidden="1">{"'RR'!$A$2:$E$81"}</definedName>
    <definedName name="_EFC3_2" hidden="1">{"'RR'!$A$2:$E$81"}</definedName>
    <definedName name="_EFC4" localSheetId="20" hidden="1">{"'RR'!$A$2:$E$81"}</definedName>
    <definedName name="_EFC4" hidden="1">{"'RR'!$A$2:$E$81"}</definedName>
    <definedName name="_EFC4_1" localSheetId="20" hidden="1">{"'RR'!$A$2:$E$81"}</definedName>
    <definedName name="_EFC4_1" hidden="1">{"'RR'!$A$2:$E$81"}</definedName>
    <definedName name="_EFC4_1_1" localSheetId="20" hidden="1">{"'RR'!$A$2:$E$81"}</definedName>
    <definedName name="_EFC4_1_1" hidden="1">{"'RR'!$A$2:$E$81"}</definedName>
    <definedName name="_EFC4_1_1_1" localSheetId="20" hidden="1">{"'RR'!$A$2:$E$81"}</definedName>
    <definedName name="_EFC4_1_1_1" hidden="1">{"'RR'!$A$2:$E$81"}</definedName>
    <definedName name="_EFC4_1_2" localSheetId="20" hidden="1">{"'RR'!$A$2:$E$81"}</definedName>
    <definedName name="_EFC4_1_2" hidden="1">{"'RR'!$A$2:$E$81"}</definedName>
    <definedName name="_EFC4_2" localSheetId="20" hidden="1">{"'RR'!$A$2:$E$81"}</definedName>
    <definedName name="_EFC4_2" hidden="1">{"'RR'!$A$2:$E$81"}</definedName>
    <definedName name="_Ext2" localSheetId="21">#REF!</definedName>
    <definedName name="_Ext2">'[12]P A T O 99 B'!#REF!</definedName>
    <definedName name="_Ext2_11">'[9]P A T O 99 B'!#REF!</definedName>
    <definedName name="_Ext2_15">'[9]P A T O 99 B'!#REF!</definedName>
    <definedName name="_Ext2_3">'[13]P A T O 99 B'!#REF!</definedName>
    <definedName name="_Ext2_4">'[13]P A T O 99 B'!#REF!</definedName>
    <definedName name="_Ext2_5">'[13]P A T O 99 B'!#REF!</definedName>
    <definedName name="_Ext22">'[6]P A T O 99 B'!#REF!</definedName>
    <definedName name="_f">#REF!</definedName>
    <definedName name="_F12" localSheetId="20" hidden="1">{#N/A,#N/A,FALSE,"ET-CAPA";#N/A,#N/A,FALSE,"ET-PAG1";#N/A,#N/A,FALSE,"ET-PAG2";#N/A,#N/A,FALSE,"ET-PAG3";#N/A,#N/A,FALSE,"ET-PAG4";#N/A,#N/A,FALSE,"ET-PAG5"}</definedName>
    <definedName name="_F12" hidden="1">{#N/A,#N/A,FALSE,"ET-CAPA";#N/A,#N/A,FALSE,"ET-PAG1";#N/A,#N/A,FALSE,"ET-PAG2";#N/A,#N/A,FALSE,"ET-PAG3";#N/A,#N/A,FALSE,"ET-PAG4";#N/A,#N/A,FALSE,"ET-PAG5"}</definedName>
    <definedName name="_F12_1" localSheetId="20" hidden="1">{#N/A,#N/A,FALSE,"ET-CAPA";#N/A,#N/A,FALSE,"ET-PAG1";#N/A,#N/A,FALSE,"ET-PAG2";#N/A,#N/A,FALSE,"ET-PAG3";#N/A,#N/A,FALSE,"ET-PAG4";#N/A,#N/A,FALSE,"ET-PAG5"}</definedName>
    <definedName name="_F12_1" hidden="1">{#N/A,#N/A,FALSE,"ET-CAPA";#N/A,#N/A,FALSE,"ET-PAG1";#N/A,#N/A,FALSE,"ET-PAG2";#N/A,#N/A,FALSE,"ET-PAG3";#N/A,#N/A,FALSE,"ET-PAG4";#N/A,#N/A,FALSE,"ET-PAG5"}</definedName>
    <definedName name="_F15" localSheetId="20" hidden="1">{#N/A,#N/A,FALSE,"ET-CAPA";#N/A,#N/A,FALSE,"ET-PAG1";#N/A,#N/A,FALSE,"ET-PAG2";#N/A,#N/A,FALSE,"ET-PAG3";#N/A,#N/A,FALSE,"ET-PAG4";#N/A,#N/A,FALSE,"ET-PAG5"}</definedName>
    <definedName name="_F15" hidden="1">{#N/A,#N/A,FALSE,"ET-CAPA";#N/A,#N/A,FALSE,"ET-PAG1";#N/A,#N/A,FALSE,"ET-PAG2";#N/A,#N/A,FALSE,"ET-PAG3";#N/A,#N/A,FALSE,"ET-PAG4";#N/A,#N/A,FALSE,"ET-PAG5"}</definedName>
    <definedName name="_F15_1" localSheetId="20" hidden="1">{#N/A,#N/A,FALSE,"ET-CAPA";#N/A,#N/A,FALSE,"ET-PAG1";#N/A,#N/A,FALSE,"ET-PAG2";#N/A,#N/A,FALSE,"ET-PAG3";#N/A,#N/A,FALSE,"ET-PAG4";#N/A,#N/A,FALSE,"ET-PAG5"}</definedName>
    <definedName name="_F15_1" hidden="1">{#N/A,#N/A,FALSE,"ET-CAPA";#N/A,#N/A,FALSE,"ET-PAG1";#N/A,#N/A,FALSE,"ET-PAG2";#N/A,#N/A,FALSE,"ET-PAG3";#N/A,#N/A,FALSE,"ET-PAG4";#N/A,#N/A,FALSE,"ET-PAG5"}</definedName>
    <definedName name="_f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ev1">#REF!</definedName>
    <definedName name="_FEV95">[35]Consultoria!#REF!</definedName>
    <definedName name="_FEV96">[35]Consultoria!#REF!</definedName>
    <definedName name="_FEV97">[35]Consultoria!#REF!</definedName>
    <definedName name="_FEV98">[35]Consultoria!#REF!</definedName>
    <definedName name="_FEV99">[35]Consultoria!#REF!</definedName>
    <definedName name="_ffp16" localSheetId="20" hidden="1">{"'gráf jan00'!$A$1:$AK$41"}</definedName>
    <definedName name="_ffp16" hidden="1">{"'gráf jan00'!$A$1:$AK$41"}</definedName>
    <definedName name="_ffp16_1" localSheetId="20" hidden="1">{"'gráf jan00'!$A$1:$AK$41"}</definedName>
    <definedName name="_ffp16_1" hidden="1">{"'gráf jan00'!$A$1:$AK$41"}</definedName>
    <definedName name="_ffp16_1_1" localSheetId="20" hidden="1">{"'gráf jan00'!$A$1:$AK$41"}</definedName>
    <definedName name="_ffp16_1_1" hidden="1">{"'gráf jan00'!$A$1:$AK$41"}</definedName>
    <definedName name="_ffp16_1_1_1" localSheetId="20" hidden="1">{"'gráf jan00'!$A$1:$AK$41"}</definedName>
    <definedName name="_ffp16_1_1_1" hidden="1">{"'gráf jan00'!$A$1:$AK$41"}</definedName>
    <definedName name="_ffp16_1_2" localSheetId="20" hidden="1">{"'gráf jan00'!$A$1:$AK$41"}</definedName>
    <definedName name="_ffp16_1_2" hidden="1">{"'gráf jan00'!$A$1:$AK$41"}</definedName>
    <definedName name="_ffp16_2" localSheetId="20" hidden="1">{"'gráf jan00'!$A$1:$AK$41"}</definedName>
    <definedName name="_ffp16_2" hidden="1">{"'gráf jan00'!$A$1:$AK$41"}</definedName>
    <definedName name="_ffp4589" localSheetId="20" hidden="1">{"'gráf jan00'!$A$1:$AK$41"}</definedName>
    <definedName name="_ffp4589" hidden="1">{"'gráf jan00'!$A$1:$AK$41"}</definedName>
    <definedName name="_ffp4589_1" localSheetId="20" hidden="1">{"'gráf jan00'!$A$1:$AK$41"}</definedName>
    <definedName name="_ffp4589_1" hidden="1">{"'gráf jan00'!$A$1:$AK$41"}</definedName>
    <definedName name="_ffp4589_1_1" localSheetId="20" hidden="1">{"'gráf jan00'!$A$1:$AK$41"}</definedName>
    <definedName name="_ffp4589_1_1" hidden="1">{"'gráf jan00'!$A$1:$AK$41"}</definedName>
    <definedName name="_ffp4589_1_1_1" localSheetId="20" hidden="1">{"'gráf jan00'!$A$1:$AK$41"}</definedName>
    <definedName name="_ffp4589_1_1_1" hidden="1">{"'gráf jan00'!$A$1:$AK$41"}</definedName>
    <definedName name="_ffp4589_1_2" localSheetId="20" hidden="1">{"'gráf jan00'!$A$1:$AK$41"}</definedName>
    <definedName name="_ffp4589_1_2" hidden="1">{"'gráf jan00'!$A$1:$AK$41"}</definedName>
    <definedName name="_ffp4589_2" localSheetId="20" hidden="1">{"'gráf jan00'!$A$1:$AK$41"}</definedName>
    <definedName name="_ffp4589_2" hidden="1">{"'gráf jan00'!$A$1:$AK$41"}</definedName>
    <definedName name="_fii" hidden="1">#REF!</definedName>
    <definedName name="_Fill" localSheetId="18" hidden="1">#REF!</definedName>
    <definedName name="_Fill" hidden="1">#REF!</definedName>
    <definedName name="_Fill1" hidden="1">#REF!</definedName>
    <definedName name="_fill2" hidden="1">#REF!</definedName>
    <definedName name="_Filll" hidden="1">#REF!</definedName>
    <definedName name="_xlnm._FilterDatabase" localSheetId="20" hidden="1">' 6.0 - Empréstimos '!$A$4:$O$7</definedName>
    <definedName name="_xlnm._FilterDatabase" localSheetId="22" hidden="1">'1 OAC Impressão'!$D$1:$D$132</definedName>
    <definedName name="_xlnm._FilterDatabase" localSheetId="18" hidden="1">'4.0 - QDM OK'!$B$9:$KP$55</definedName>
    <definedName name="_xlnm._FilterDatabase" localSheetId="29" hidden="1">'Consumos Drenagem'!$C$5:$DJ$112</definedName>
    <definedName name="_xlnm._FilterDatabase" localSheetId="23" hidden="1">DRENOS!$D$1:$D$61</definedName>
    <definedName name="_xlnm._FilterDatabase" localSheetId="4" hidden="1">'MC BGTC'!#REF!</definedName>
    <definedName name="_xlnm._FilterDatabase" localSheetId="6" hidden="1">'MC CCP'!#REF!</definedName>
    <definedName name="_xlnm._FilterDatabase" localSheetId="5" hidden="1">'MC IMPR'!#REF!</definedName>
    <definedName name="_xlnm._FilterDatabase" localSheetId="3" hidden="1">'MC Reg_Subleito'!#REF!</definedName>
    <definedName name="_xlnm._FilterDatabase" localSheetId="11" hidden="1">'MC serragem'!#REF!</definedName>
    <definedName name="_xlnm._FilterDatabase" localSheetId="8" hidden="1">'MCaço CA-25'!#REF!</definedName>
    <definedName name="_xlnm._FilterDatabase" localSheetId="7" hidden="1">'MCaço CA-50'!#REF!</definedName>
    <definedName name="_xlnm._FilterDatabase" localSheetId="10" hidden="1">MCtela!#REF!</definedName>
    <definedName name="_xlnm._FilterDatabase" localSheetId="9" hidden="1">MCtreliça!#REF!</definedName>
    <definedName name="_xlnm._FilterDatabase" localSheetId="15" hidden="1">'Modelo 1.0 - NS'!$AV$5:$BE$5</definedName>
    <definedName name="_xlnm._FilterDatabase" localSheetId="21" hidden="1">'Modelo 10.0 - Resumo e Quant.'!$A$59:$K$152</definedName>
    <definedName name="_xlnm._FilterDatabase" localSheetId="31" hidden="1">'Quant. Dre Rodovia'!$A$3:$G$9</definedName>
    <definedName name="_xlnm._FilterDatabase" localSheetId="30" hidden="1">'Transp. Dre Rodovia'!$A$14:$AT$29</definedName>
    <definedName name="_xlnm._FilterDatabase" localSheetId="12" hidden="1">Transportes!#REF!</definedName>
    <definedName name="_xlnm._FilterDatabase" hidden="1">#REF!</definedName>
    <definedName name="_FR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G">#REF!</definedName>
    <definedName name="_h" hidden="1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0">#REF!</definedName>
    <definedName name="_I_11">#REF!</definedName>
    <definedName name="_I_12">#REF!</definedName>
    <definedName name="_I_13">#REF!</definedName>
    <definedName name="_I_15">#REF!</definedName>
    <definedName name="_I_19">#REF!</definedName>
    <definedName name="_I_2">#REF!</definedName>
    <definedName name="_I_3">#REF!</definedName>
    <definedName name="_I_4">#REF!</definedName>
    <definedName name="_I_5">#REF!</definedName>
    <definedName name="_I_6">#REF!</definedName>
    <definedName name="_I_7">#REF!</definedName>
    <definedName name="_I_8">#REF!</definedName>
    <definedName name="_I_9">#REF!</definedName>
    <definedName name="_I027611" localSheetId="20" hidden="1">{#N/A,#N/A,FALSE,"지침";#N/A,#N/A,FALSE,"환경분석";#N/A,#N/A,FALSE,"Sheet16"}</definedName>
    <definedName name="_I027611" hidden="1">{#N/A,#N/A,FALSE,"지침";#N/A,#N/A,FALSE,"환경분석";#N/A,#N/A,FALSE,"Sheet16"}</definedName>
    <definedName name="_I027611_1" localSheetId="20" hidden="1">{#N/A,#N/A,FALSE,"지침";#N/A,#N/A,FALSE,"환경분석";#N/A,#N/A,FALSE,"Sheet16"}</definedName>
    <definedName name="_I027611_1" hidden="1">{#N/A,#N/A,FALSE,"지침";#N/A,#N/A,FALSE,"환경분석";#N/A,#N/A,FALSE,"Sheet16"}</definedName>
    <definedName name="_I027611_1_1" localSheetId="20" hidden="1">{#N/A,#N/A,FALSE,"지침";#N/A,#N/A,FALSE,"환경분석";#N/A,#N/A,FALSE,"Sheet16"}</definedName>
    <definedName name="_I027611_1_1" hidden="1">{#N/A,#N/A,FALSE,"지침";#N/A,#N/A,FALSE,"환경분석";#N/A,#N/A,FALSE,"Sheet16"}</definedName>
    <definedName name="_I027611_1_1_1" localSheetId="20" hidden="1">{#N/A,#N/A,FALSE,"지침";#N/A,#N/A,FALSE,"환경분석";#N/A,#N/A,FALSE,"Sheet16"}</definedName>
    <definedName name="_I027611_1_1_1" hidden="1">{#N/A,#N/A,FALSE,"지침";#N/A,#N/A,FALSE,"환경분석";#N/A,#N/A,FALSE,"Sheet16"}</definedName>
    <definedName name="_I027611_1_2" localSheetId="20" hidden="1">{#N/A,#N/A,FALSE,"지침";#N/A,#N/A,FALSE,"환경분석";#N/A,#N/A,FALSE,"Sheet16"}</definedName>
    <definedName name="_I027611_1_2" hidden="1">{#N/A,#N/A,FALSE,"지침";#N/A,#N/A,FALSE,"환경분석";#N/A,#N/A,FALSE,"Sheet16"}</definedName>
    <definedName name="_I027611_2" localSheetId="20" hidden="1">{#N/A,#N/A,FALSE,"지침";#N/A,#N/A,FALSE,"환경분석";#N/A,#N/A,FALSE,"Sheet16"}</definedName>
    <definedName name="_I027611_2" hidden="1">{#N/A,#N/A,FALSE,"지침";#N/A,#N/A,FALSE,"환경분석";#N/A,#N/A,FALSE,"Sheet16"}</definedName>
    <definedName name="_JAN02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N95">[35]Consultoria!#REF!</definedName>
    <definedName name="_JAN96">[35]Consultoria!#REF!</definedName>
    <definedName name="_JAN97">[35]Consultoria!#REF!</definedName>
    <definedName name="_JAN98">[35]Consultoria!#REF!</definedName>
    <definedName name="_JAN99">[35]Consultoria!#REF!</definedName>
    <definedName name="_JU7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L95">[35]Consultoria!#REF!</definedName>
    <definedName name="_JUL96">[35]Consultoria!#REF!</definedName>
    <definedName name="_JUL97">[35]Consultoria!#REF!</definedName>
    <definedName name="_JUL98">[35]Consultoria!#REF!</definedName>
    <definedName name="_JUL99">[35]Consultoria!#REF!</definedName>
    <definedName name="_jun04" localSheetId="20" hidden="1">{"'gráf jan00'!$A$1:$AK$41"}</definedName>
    <definedName name="_jun04" hidden="1">{"'gráf jan00'!$A$1:$AK$41"}</definedName>
    <definedName name="_jun04_1" localSheetId="20" hidden="1">{"'gráf jan00'!$A$1:$AK$41"}</definedName>
    <definedName name="_jun04_1" hidden="1">{"'gráf jan00'!$A$1:$AK$41"}</definedName>
    <definedName name="_jun04_1_1" localSheetId="20" hidden="1">{"'gráf jan00'!$A$1:$AK$41"}</definedName>
    <definedName name="_jun04_1_1" hidden="1">{"'gráf jan00'!$A$1:$AK$41"}</definedName>
    <definedName name="_jun04_1_1_1" localSheetId="20" hidden="1">{"'gráf jan00'!$A$1:$AK$41"}</definedName>
    <definedName name="_jun04_1_1_1" hidden="1">{"'gráf jan00'!$A$1:$AK$41"}</definedName>
    <definedName name="_jun04_1_2" localSheetId="20" hidden="1">{"'gráf jan00'!$A$1:$AK$41"}</definedName>
    <definedName name="_jun04_1_2" hidden="1">{"'gráf jan00'!$A$1:$AK$41"}</definedName>
    <definedName name="_jun04_2" localSheetId="20" hidden="1">{"'gráf jan00'!$A$1:$AK$41"}</definedName>
    <definedName name="_jun04_2" hidden="1">{"'gráf jan00'!$A$1:$AK$41"}</definedName>
    <definedName name="_Jun1">#REF!</definedName>
    <definedName name="_JUN95">[35]Consultoria!#REF!</definedName>
    <definedName name="_JUN96">[35]Consultoria!#REF!</definedName>
    <definedName name="_JUN97">[35]Consultoria!#REF!</definedName>
    <definedName name="_JUN98">[35]Consultoria!#REF!</definedName>
    <definedName name="_JUN99">[35]Consultoria!#REF!</definedName>
    <definedName name="_Kay1" hidden="1">#REF!</definedName>
    <definedName name="_Key1">#REF!</definedName>
    <definedName name="_key11" hidden="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L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e31">#REF!</definedName>
    <definedName name="_lf31">#REF!</definedName>
    <definedName name="_ltf2" hidden="1">#REF!</definedName>
    <definedName name="_MA2" localSheetId="20" hidden="1">{"'REL CUSTODIF'!$B$1:$H$72"}</definedName>
    <definedName name="_MA2" hidden="1">{"'REL CUSTODIF'!$B$1:$H$72"}</definedName>
    <definedName name="_MA2_1" localSheetId="20" hidden="1">{"'REL CUSTODIF'!$B$1:$H$72"}</definedName>
    <definedName name="_MA2_1" hidden="1">{"'REL CUSTODIF'!$B$1:$H$72"}</definedName>
    <definedName name="_MA2_1_1" localSheetId="20" hidden="1">{"'REL CUSTODIF'!$B$1:$H$72"}</definedName>
    <definedName name="_MA2_1_1" hidden="1">{"'REL CUSTODIF'!$B$1:$H$72"}</definedName>
    <definedName name="_MA2_1_1_1" localSheetId="20" hidden="1">{"'REL CUSTODIF'!$B$1:$H$72"}</definedName>
    <definedName name="_MA2_1_1_1" hidden="1">{"'REL CUSTODIF'!$B$1:$H$72"}</definedName>
    <definedName name="_MA2_1_2" localSheetId="20" hidden="1">{"'REL CUSTODIF'!$B$1:$H$72"}</definedName>
    <definedName name="_MA2_1_2" hidden="1">{"'REL CUSTODIF'!$B$1:$H$72"}</definedName>
    <definedName name="_MA2_2" localSheetId="20" hidden="1">{"'REL CUSTODIF'!$B$1:$H$72"}</definedName>
    <definedName name="_MA2_2" hidden="1">{"'REL CUSTODIF'!$B$1:$H$72"}</definedName>
    <definedName name="_Mai1">#REF!</definedName>
    <definedName name="_MAI95">[35]Consultoria!#REF!</definedName>
    <definedName name="_MAI96">[35]Consultoria!#REF!</definedName>
    <definedName name="_MAI97">[35]Consultoria!#REF!</definedName>
    <definedName name="_MAI98">[35]Consultoria!#REF!</definedName>
    <definedName name="_MAI99">[35]Consultoria!#REF!</definedName>
    <definedName name="_Mar1">#REF!</definedName>
    <definedName name="_MAR95">[35]Consultoria!#REF!</definedName>
    <definedName name="_MAR96">[35]Consultoria!#REF!</definedName>
    <definedName name="_MAR97">[35]Consultoria!#REF!</definedName>
    <definedName name="_MAR98">[35]Consultoria!#REF!</definedName>
    <definedName name="_MAR99">[35]Consultoria!#REF!</definedName>
    <definedName name="_MatInverse_In" hidden="1">#REF!</definedName>
    <definedName name="_MatMult_A" hidden="1">#REF!</definedName>
    <definedName name="_MatMult_B" hidden="1">#REF!</definedName>
    <definedName name="_MM" hidden="1">#REF!</definedName>
    <definedName name="_MOA1" localSheetId="20" hidden="1">{#N/A,#N/A,FALSE,"DEF1";#N/A,#N/A,FALSE,"DEF2";#N/A,#N/A,FALSE,"DEF3"}</definedName>
    <definedName name="_MOA1" hidden="1">{#N/A,#N/A,FALSE,"DEF1";#N/A,#N/A,FALSE,"DEF2";#N/A,#N/A,FALSE,"DEF3"}</definedName>
    <definedName name="_MOA1_1" localSheetId="20" hidden="1">{#N/A,#N/A,FALSE,"DEF1";#N/A,#N/A,FALSE,"DEF2";#N/A,#N/A,FALSE,"DEF3"}</definedName>
    <definedName name="_MOA1_1" hidden="1">{#N/A,#N/A,FALSE,"DEF1";#N/A,#N/A,FALSE,"DEF2";#N/A,#N/A,FALSE,"DEF3"}</definedName>
    <definedName name="_MOA1_1_1" localSheetId="20" hidden="1">{#N/A,#N/A,FALSE,"DEF1";#N/A,#N/A,FALSE,"DEF2";#N/A,#N/A,FALSE,"DEF3"}</definedName>
    <definedName name="_MOA1_1_1" hidden="1">{#N/A,#N/A,FALSE,"DEF1";#N/A,#N/A,FALSE,"DEF2";#N/A,#N/A,FALSE,"DEF3"}</definedName>
    <definedName name="_MOA1_1_1_1" localSheetId="20" hidden="1">{#N/A,#N/A,FALSE,"DEF1";#N/A,#N/A,FALSE,"DEF2";#N/A,#N/A,FALSE,"DEF3"}</definedName>
    <definedName name="_MOA1_1_1_1" hidden="1">{#N/A,#N/A,FALSE,"DEF1";#N/A,#N/A,FALSE,"DEF2";#N/A,#N/A,FALSE,"DEF3"}</definedName>
    <definedName name="_MOA1_1_2" localSheetId="20" hidden="1">{#N/A,#N/A,FALSE,"DEF1";#N/A,#N/A,FALSE,"DEF2";#N/A,#N/A,FALSE,"DEF3"}</definedName>
    <definedName name="_MOA1_1_2" hidden="1">{#N/A,#N/A,FALSE,"DEF1";#N/A,#N/A,FALSE,"DEF2";#N/A,#N/A,FALSE,"DEF3"}</definedName>
    <definedName name="_MOA1_2" localSheetId="20" hidden="1">{#N/A,#N/A,FALSE,"DEF1";#N/A,#N/A,FALSE,"DEF2";#N/A,#N/A,FALSE,"DEF3"}</definedName>
    <definedName name="_MOA1_2" hidden="1">{#N/A,#N/A,FALSE,"DEF1";#N/A,#N/A,FALSE,"DEF2";#N/A,#N/A,FALSE,"DEF3"}</definedName>
    <definedName name="_MOA2" localSheetId="20" hidden="1">{#N/A,#N/A,FALSE,"DEF1";#N/A,#N/A,FALSE,"DEF2";#N/A,#N/A,FALSE,"DEF3"}</definedName>
    <definedName name="_MOA2" hidden="1">{#N/A,#N/A,FALSE,"DEF1";#N/A,#N/A,FALSE,"DEF2";#N/A,#N/A,FALSE,"DEF3"}</definedName>
    <definedName name="_MOA2_1" localSheetId="20" hidden="1">{#N/A,#N/A,FALSE,"DEF1";#N/A,#N/A,FALSE,"DEF2";#N/A,#N/A,FALSE,"DEF3"}</definedName>
    <definedName name="_MOA2_1" hidden="1">{#N/A,#N/A,FALSE,"DEF1";#N/A,#N/A,FALSE,"DEF2";#N/A,#N/A,FALSE,"DEF3"}</definedName>
    <definedName name="_MOA2_1_1" localSheetId="20" hidden="1">{#N/A,#N/A,FALSE,"DEF1";#N/A,#N/A,FALSE,"DEF2";#N/A,#N/A,FALSE,"DEF3"}</definedName>
    <definedName name="_MOA2_1_1" hidden="1">{#N/A,#N/A,FALSE,"DEF1";#N/A,#N/A,FALSE,"DEF2";#N/A,#N/A,FALSE,"DEF3"}</definedName>
    <definedName name="_MOA2_1_1_1" localSheetId="20" hidden="1">{#N/A,#N/A,FALSE,"DEF1";#N/A,#N/A,FALSE,"DEF2";#N/A,#N/A,FALSE,"DEF3"}</definedName>
    <definedName name="_MOA2_1_1_1" hidden="1">{#N/A,#N/A,FALSE,"DEF1";#N/A,#N/A,FALSE,"DEF2";#N/A,#N/A,FALSE,"DEF3"}</definedName>
    <definedName name="_MOA2_1_2" localSheetId="20" hidden="1">{#N/A,#N/A,FALSE,"DEF1";#N/A,#N/A,FALSE,"DEF2";#N/A,#N/A,FALSE,"DEF3"}</definedName>
    <definedName name="_MOA2_1_2" hidden="1">{#N/A,#N/A,FALSE,"DEF1";#N/A,#N/A,FALSE,"DEF2";#N/A,#N/A,FALSE,"DEF3"}</definedName>
    <definedName name="_MOA2_2" localSheetId="20" hidden="1">{#N/A,#N/A,FALSE,"DEF1";#N/A,#N/A,FALSE,"DEF2";#N/A,#N/A,FALSE,"DEF3"}</definedName>
    <definedName name="_MOA2_2" hidden="1">{#N/A,#N/A,FALSE,"DEF1";#N/A,#N/A,FALSE,"DEF2";#N/A,#N/A,FALSE,"DEF3"}</definedName>
    <definedName name="_MOD01">#N/A</definedName>
    <definedName name="_MOD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MOD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n2" localSheetId="20" hidden="1">{#N/A,#N/A,FALSE,"PCOL"}</definedName>
    <definedName name="_n2" hidden="1">{#N/A,#N/A,FALSE,"PCOL"}</definedName>
    <definedName name="_n2_1" localSheetId="20" hidden="1">{#N/A,#N/A,FALSE,"PCOL"}</definedName>
    <definedName name="_n2_1" hidden="1">{#N/A,#N/A,FALSE,"PCOL"}</definedName>
    <definedName name="_n2_1_1" localSheetId="20" hidden="1">{#N/A,#N/A,FALSE,"PCOL"}</definedName>
    <definedName name="_n2_1_1" hidden="1">{#N/A,#N/A,FALSE,"PCOL"}</definedName>
    <definedName name="_n2_1_1_1" localSheetId="20" hidden="1">{#N/A,#N/A,FALSE,"PCOL"}</definedName>
    <definedName name="_n2_1_1_1" hidden="1">{#N/A,#N/A,FALSE,"PCOL"}</definedName>
    <definedName name="_n2_1_2" localSheetId="20" hidden="1">{#N/A,#N/A,FALSE,"PCOL"}</definedName>
    <definedName name="_n2_1_2" hidden="1">{#N/A,#N/A,FALSE,"PCOL"}</definedName>
    <definedName name="_n2_2" localSheetId="20" hidden="1">{#N/A,#N/A,FALSE,"PCOL"}</definedName>
    <definedName name="_n2_2" hidden="1">{#N/A,#N/A,FALSE,"PCOL"}</definedName>
    <definedName name="_NEW2" localSheetId="20" hidden="1">{"'RATEIO RECEITA BRUTA'!$B$77:$C$106"}</definedName>
    <definedName name="_NEW2" hidden="1">{"'RATEIO RECEITA BRUTA'!$B$77:$C$106"}</definedName>
    <definedName name="_NNN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ov1">#REF!</definedName>
    <definedName name="_NOV94">[35]Consultoria!#REF!</definedName>
    <definedName name="_NOV95">[35]Consultoria!#REF!</definedName>
    <definedName name="_NOV96">[35]Consultoria!#REF!</definedName>
    <definedName name="_NOV97">[35]Consultoria!#REF!</definedName>
    <definedName name="_NOV98">[35]Consultoria!#REF!</definedName>
    <definedName name="_NOV99">[35]Consultoria!#REF!</definedName>
    <definedName name="_o1" localSheetId="20" hidden="1">{"det (May)",#N/A,FALSE,"June";"sum (MAY YTD)",#N/A,FALSE,"June YTD"}</definedName>
    <definedName name="_o1" hidden="1">{"det (May)",#N/A,FALSE,"June";"sum (MAY YTD)",#N/A,FALSE,"June YTD"}</definedName>
    <definedName name="_o1_1" localSheetId="20" hidden="1">{"det (May)",#N/A,FALSE,"June";"sum (MAY YTD)",#N/A,FALSE,"June YTD"}</definedName>
    <definedName name="_o1_1" hidden="1">{"det (May)",#N/A,FALSE,"June";"sum (MAY YTD)",#N/A,FALSE,"June YTD"}</definedName>
    <definedName name="_o1_1_1" localSheetId="20" hidden="1">{"det (May)",#N/A,FALSE,"June";"sum (MAY YTD)",#N/A,FALSE,"June YTD"}</definedName>
    <definedName name="_o1_1_1" hidden="1">{"det (May)",#N/A,FALSE,"June";"sum (MAY YTD)",#N/A,FALSE,"June YTD"}</definedName>
    <definedName name="_o1_1_1_1" localSheetId="20" hidden="1">{"det (May)",#N/A,FALSE,"June";"sum (MAY YTD)",#N/A,FALSE,"June YTD"}</definedName>
    <definedName name="_o1_1_1_1" hidden="1">{"det (May)",#N/A,FALSE,"June";"sum (MAY YTD)",#N/A,FALSE,"June YTD"}</definedName>
    <definedName name="_o1_1_2" localSheetId="20" hidden="1">{"det (May)",#N/A,FALSE,"June";"sum (MAY YTD)",#N/A,FALSE,"June YTD"}</definedName>
    <definedName name="_o1_1_2" hidden="1">{"det (May)",#N/A,FALSE,"June";"sum (MAY YTD)",#N/A,FALSE,"June YTD"}</definedName>
    <definedName name="_o1_2" localSheetId="20" hidden="1">{"det (May)",#N/A,FALSE,"June";"sum (MAY YTD)",#N/A,FALSE,"June YTD"}</definedName>
    <definedName name="_o1_2" hidden="1">{"det (May)",#N/A,FALSE,"June";"sum (MAY YTD)",#N/A,FALSE,"June YTD"}</definedName>
    <definedName name="_Obs1">#REF!</definedName>
    <definedName name="_Obs2">#REF!</definedName>
    <definedName name="_OR1">'[23]orcID nº1'!$A$14:$G$1025</definedName>
    <definedName name="_OR12">'[23]orc ID nº12'!$A$16:$G$181</definedName>
    <definedName name="_OR13">'[23]orc ID nº13'!$A$13:$G$34</definedName>
    <definedName name="_OR14">'[23]orc ID nº 14'!$A$14:$G$16</definedName>
    <definedName name="_OR15">'[23]orc ID nº 15'!$A$14:$G$104</definedName>
    <definedName name="_OR16">'[23]orc ID nº16'!$A$14:$G$33</definedName>
    <definedName name="_OR17">'[23]orc ID nº17'!$A$16:$G$80</definedName>
    <definedName name="_OR18">'[23]orc ID nº 18'!$A$14:$G$123</definedName>
    <definedName name="_OR19">'[23]orc ID nº19'!$A$14:$G$96</definedName>
    <definedName name="_OR2">'[23]orc ID nº2 '!$A$14:$G$70</definedName>
    <definedName name="_OR3">'[23]orc ID nº3'!$A$14:$G$134</definedName>
    <definedName name="_OR4">'[23]orcID nº4'!$A$14:$G$165</definedName>
    <definedName name="_OR5">'[23]orcID nº5'!$A$14:$G$149</definedName>
    <definedName name="_OR6">'[23]orcID nº6'!$A$14:$G$138</definedName>
    <definedName name="_OR7">'[23]orcID nº7'!$A$14:$G$137</definedName>
    <definedName name="_OR8">'[23]orc ID nº8'!$A$14:$G$133</definedName>
    <definedName name="_OR9">'[23]orc ID nº9'!$A$14:$G$157</definedName>
    <definedName name="_Order1" hidden="1">255</definedName>
    <definedName name="_Order2" hidden="1">0</definedName>
    <definedName name="_Order2_1" hidden="1">0</definedName>
    <definedName name="_Order2_1_1" hidden="1">0</definedName>
    <definedName name="_Order2_2" hidden="1">0</definedName>
    <definedName name="_Out1">#REF!</definedName>
    <definedName name="_OUT94">[35]Consultoria!#REF!</definedName>
    <definedName name="_OUT95">[35]Consultoria!#REF!</definedName>
    <definedName name="_OUT96">[35]Consultoria!#REF!</definedName>
    <definedName name="_OUT97">[35]Consultoria!#REF!</definedName>
    <definedName name="_OUT98" localSheetId="20" hidden="1">{#N/A,#N/A,TRUE,"Serviços"}</definedName>
    <definedName name="_OUT98" localSheetId="21">#REF!</definedName>
    <definedName name="_OUT98" localSheetId="2" hidden="1">{#N/A,#N/A,TRUE,"Serviços"}</definedName>
    <definedName name="_OUT98" hidden="1">{#N/A,#N/A,TRUE,"Serviços"}</definedName>
    <definedName name="_OUT98_" localSheetId="20" hidden="1">{#N/A,#N/A,TRUE,"Serviços"}</definedName>
    <definedName name="_OUT98_" localSheetId="2" hidden="1">{#N/A,#N/A,TRUE,"Serviços"}</definedName>
    <definedName name="_OUT98_" hidden="1">{#N/A,#N/A,TRUE,"Serviços"}</definedName>
    <definedName name="_OUT98_1" localSheetId="20">{#N/A,#N/A,TRUE,"Serviços"}</definedName>
    <definedName name="_OUT98_1" localSheetId="21">#REF!</definedName>
    <definedName name="_OUT98_1">#REF!</definedName>
    <definedName name="_OUT99">[35]Consultoria!#REF!</definedName>
    <definedName name="_OUTTTT9888" localSheetId="20" hidden="1">{#N/A,#N/A,TRUE,"Serviços"}</definedName>
    <definedName name="_OUTTTT9888" localSheetId="2" hidden="1">{#N/A,#N/A,TRUE,"Serviços"}</definedName>
    <definedName name="_OUTTTT9888" hidden="1">{#N/A,#N/A,TRUE,"Serviços"}</definedName>
    <definedName name="_p">#REF!</definedName>
    <definedName name="_P0376001" localSheetId="20" hidden="1">{#N/A,#N/A,FALSE,"지침";#N/A,#N/A,FALSE,"환경분석";#N/A,#N/A,FALSE,"Sheet16"}</definedName>
    <definedName name="_P0376001" hidden="1">{#N/A,#N/A,FALSE,"지침";#N/A,#N/A,FALSE,"환경분석";#N/A,#N/A,FALSE,"Sheet16"}</definedName>
    <definedName name="_P0376001_1" localSheetId="20" hidden="1">{#N/A,#N/A,FALSE,"지침";#N/A,#N/A,FALSE,"환경분석";#N/A,#N/A,FALSE,"Sheet16"}</definedName>
    <definedName name="_P0376001_1" hidden="1">{#N/A,#N/A,FALSE,"지침";#N/A,#N/A,FALSE,"환경분석";#N/A,#N/A,FALSE,"Sheet16"}</definedName>
    <definedName name="_P0376001_1_1" localSheetId="20" hidden="1">{#N/A,#N/A,FALSE,"지침";#N/A,#N/A,FALSE,"환경분석";#N/A,#N/A,FALSE,"Sheet16"}</definedName>
    <definedName name="_P0376001_1_1" hidden="1">{#N/A,#N/A,FALSE,"지침";#N/A,#N/A,FALSE,"환경분석";#N/A,#N/A,FALSE,"Sheet16"}</definedName>
    <definedName name="_P0376001_1_1_1" localSheetId="20" hidden="1">{#N/A,#N/A,FALSE,"지침";#N/A,#N/A,FALSE,"환경분석";#N/A,#N/A,FALSE,"Sheet16"}</definedName>
    <definedName name="_P0376001_1_1_1" hidden="1">{#N/A,#N/A,FALSE,"지침";#N/A,#N/A,FALSE,"환경분석";#N/A,#N/A,FALSE,"Sheet16"}</definedName>
    <definedName name="_P0376001_1_2" localSheetId="20" hidden="1">{#N/A,#N/A,FALSE,"지침";#N/A,#N/A,FALSE,"환경분석";#N/A,#N/A,FALSE,"Sheet16"}</definedName>
    <definedName name="_P0376001_1_2" hidden="1">{#N/A,#N/A,FALSE,"지침";#N/A,#N/A,FALSE,"환경분석";#N/A,#N/A,FALSE,"Sheet16"}</definedName>
    <definedName name="_P0376001_2" localSheetId="20" hidden="1">{#N/A,#N/A,FALSE,"지침";#N/A,#N/A,FALSE,"환경분석";#N/A,#N/A,FALSE,"Sheet16"}</definedName>
    <definedName name="_P0376001_2" hidden="1">{#N/A,#N/A,FALSE,"지침";#N/A,#N/A,FALSE,"환경분석";#N/A,#N/A,FALSE,"Sheet16"}</definedName>
    <definedName name="_PA01" localSheetId="20" hidden="1">{"'teste'!$B$2:$R$49"}</definedName>
    <definedName name="_PA01" hidden="1">{"'teste'!$B$2:$R$49"}</definedName>
    <definedName name="_PA01_1" localSheetId="20" hidden="1">{"'teste'!$B$2:$R$49"}</definedName>
    <definedName name="_PA01_1" hidden="1">{"'teste'!$B$2:$R$49"}</definedName>
    <definedName name="_PA01_1_1" localSheetId="20" hidden="1">{"'teste'!$B$2:$R$49"}</definedName>
    <definedName name="_PA01_1_1" hidden="1">{"'teste'!$B$2:$R$49"}</definedName>
    <definedName name="_PA01_1_1_1" localSheetId="20" hidden="1">{"'teste'!$B$2:$R$49"}</definedName>
    <definedName name="_PA01_1_1_1" hidden="1">{"'teste'!$B$2:$R$49"}</definedName>
    <definedName name="_PA01_1_2" localSheetId="20" hidden="1">{"'teste'!$B$2:$R$49"}</definedName>
    <definedName name="_PA01_1_2" hidden="1">{"'teste'!$B$2:$R$49"}</definedName>
    <definedName name="_PA01_2" localSheetId="20" hidden="1">{"'teste'!$B$2:$R$49"}</definedName>
    <definedName name="_PA01_2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localSheetId="4" hidden="1">#REF!</definedName>
    <definedName name="_Parse_Out" localSheetId="5" hidden="1">#REF!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hidden="1">#REF!</definedName>
    <definedName name="_PC1">#REF!</definedName>
    <definedName name="_PC2">#REF!</definedName>
    <definedName name="_PC3">#REF!</definedName>
    <definedName name="_PC4">#REF!</definedName>
    <definedName name="_PCM30">#REF!</definedName>
    <definedName name="_PE412">#NAME?</definedName>
    <definedName name="_PL1">#REF!</definedName>
    <definedName name="_PL1_11">#REF!</definedName>
    <definedName name="_PL1_15">#REF!</definedName>
    <definedName name="_PL1_4">#REF!</definedName>
    <definedName name="_PL11">#REF!</definedName>
    <definedName name="_PLA2">#REF!</definedName>
    <definedName name="_pln2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N10" localSheetId="20" hidden="1">{"'gráf jan00'!$A$1:$AK$41"}</definedName>
    <definedName name="_PN10" hidden="1">{"'gráf jan00'!$A$1:$AK$41"}</definedName>
    <definedName name="_PN10_1" localSheetId="20" hidden="1">{"'gráf jan00'!$A$1:$AK$41"}</definedName>
    <definedName name="_PN10_1" hidden="1">{"'gráf jan00'!$A$1:$AK$41"}</definedName>
    <definedName name="_PN10_1_1" localSheetId="20" hidden="1">{"'gráf jan00'!$A$1:$AK$41"}</definedName>
    <definedName name="_PN10_1_1" hidden="1">{"'gráf jan00'!$A$1:$AK$41"}</definedName>
    <definedName name="_PN10_1_1_1" localSheetId="20" hidden="1">{"'gráf jan00'!$A$1:$AK$41"}</definedName>
    <definedName name="_PN10_1_1_1" hidden="1">{"'gráf jan00'!$A$1:$AK$41"}</definedName>
    <definedName name="_PN10_1_2" localSheetId="20" hidden="1">{"'gráf jan00'!$A$1:$AK$41"}</definedName>
    <definedName name="_PN10_1_2" hidden="1">{"'gráf jan00'!$A$1:$AK$41"}</definedName>
    <definedName name="_PN10_2" localSheetId="20" hidden="1">{"'gráf jan00'!$A$1:$AK$41"}</definedName>
    <definedName name="_PN10_2" hidden="1">{"'gráf jan00'!$A$1:$AK$41"}</definedName>
    <definedName name="_PNV2002">#REF!</definedName>
    <definedName name="_PNV2003">#REF!</definedName>
    <definedName name="_PNV2009">#REF!</definedName>
    <definedName name="_PPU1" localSheetId="20" hidden="1">{#N/A,#N/A,FALSE,"Cronograma";#N/A,#N/A,FALSE,"Cronogr. 2"}</definedName>
    <definedName name="_PPU1" hidden="1">{#N/A,#N/A,FALSE,"Cronograma";#N/A,#N/A,FALSE,"Cronogr. 2"}</definedName>
    <definedName name="_PPU1_1" localSheetId="20" hidden="1">{#N/A,#N/A,FALSE,"Cronograma";#N/A,#N/A,FALSE,"Cronogr. 2"}</definedName>
    <definedName name="_PPU1_1" hidden="1">{#N/A,#N/A,FALSE,"Cronograma";#N/A,#N/A,FALSE,"Cronogr. 2"}</definedName>
    <definedName name="_PPU1_1_1" localSheetId="20" hidden="1">{#N/A,#N/A,FALSE,"Cronograma";#N/A,#N/A,FALSE,"Cronogr. 2"}</definedName>
    <definedName name="_PPU1_1_1" hidden="1">{#N/A,#N/A,FALSE,"Cronograma";#N/A,#N/A,FALSE,"Cronogr. 2"}</definedName>
    <definedName name="_PPU1_1_1_1" localSheetId="20" hidden="1">{#N/A,#N/A,FALSE,"Cronograma";#N/A,#N/A,FALSE,"Cronogr. 2"}</definedName>
    <definedName name="_PPU1_1_1_1" hidden="1">{#N/A,#N/A,FALSE,"Cronograma";#N/A,#N/A,FALSE,"Cronogr. 2"}</definedName>
    <definedName name="_PPU1_1_2" localSheetId="20" hidden="1">{#N/A,#N/A,FALSE,"Cronograma";#N/A,#N/A,FALSE,"Cronogr. 2"}</definedName>
    <definedName name="_PPU1_1_2" hidden="1">{#N/A,#N/A,FALSE,"Cronograma";#N/A,#N/A,FALSE,"Cronogr. 2"}</definedName>
    <definedName name="_PPU1_2" localSheetId="20" hidden="1">{#N/A,#N/A,FALSE,"Cronograma";#N/A,#N/A,FALSE,"Cronogr. 2"}</definedName>
    <definedName name="_PPU1_2" hidden="1">{#N/A,#N/A,FALSE,"Cronograma";#N/A,#N/A,FALSE,"Cronogr. 2"}</definedName>
    <definedName name="_PTB10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Q2" localSheetId="21">#REF!</definedName>
    <definedName name="_QQ2">[28]!_xlbgnm.QQ2</definedName>
    <definedName name="_qq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">#REF!</definedName>
    <definedName name="_r_11">#REF!</definedName>
    <definedName name="_r_15">#REF!</definedName>
    <definedName name="_Rbv1">'[8]Página 16'!$C$3:$C$7</definedName>
    <definedName name="_Rc" localSheetId="20">NÃO.DISP()</definedName>
    <definedName name="_Rc" localSheetId="21">NA()</definedName>
    <definedName name="_Rc">NA()</definedName>
    <definedName name="_Regression_Int" hidden="1">1</definedName>
    <definedName name="_Regression_Out" localSheetId="18" hidden="1">#REF!</definedName>
    <definedName name="_Regression_Out" hidden="1">#REF!</definedName>
    <definedName name="_Regression_X" localSheetId="18" hidden="1">#REF!</definedName>
    <definedName name="_Regression_X" hidden="1">#REF!</definedName>
    <definedName name="_Regression_Y" localSheetId="18" hidden="1">#REF!</definedName>
    <definedName name="_Regression_Y" hidden="1">#REF!</definedName>
    <definedName name="_RP1">#N/A</definedName>
    <definedName name="_rr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">#REF!</definedName>
    <definedName name="_S_1">[28]COMPOS1!#REF!</definedName>
    <definedName name="_S_1_1">[28]COMPOS1!#REF!</definedName>
    <definedName name="_S_1_1_1">[28]COMPOS1!#REF!</definedName>
    <definedName name="_S_1_14" localSheetId="21">#REF!</definedName>
    <definedName name="_S_1_14">#REF!</definedName>
    <definedName name="_S_10">[37]COMPOS1!#REF!</definedName>
    <definedName name="_S_11">[4]COMPOS1!#REF!</definedName>
    <definedName name="_S_12">#REF!</definedName>
    <definedName name="_S_13">#REF!</definedName>
    <definedName name="_S_14" localSheetId="21">#REF!</definedName>
    <definedName name="_S_14">#REF!</definedName>
    <definedName name="_S_14_1" localSheetId="21">#REF!</definedName>
    <definedName name="_S_14_1">#REF!</definedName>
    <definedName name="_S_15">[4]COMPOS1!#REF!</definedName>
    <definedName name="_S_16">#REF!</definedName>
    <definedName name="_S_17">#REF!</definedName>
    <definedName name="_S_19">#REF!</definedName>
    <definedName name="_S_2">#REF!</definedName>
    <definedName name="_S_24">[4]COMPOS1!#REF!</definedName>
    <definedName name="_S_26">[38]COMPOS1!#REF!</definedName>
    <definedName name="_S_27">[4]COMPOS1!#REF!</definedName>
    <definedName name="_S_27_11">[4]COMPOS1!#REF!</definedName>
    <definedName name="_S_28">[38]COMPOS1!#REF!</definedName>
    <definedName name="_S_29">[38]COMPOS1!#REF!</definedName>
    <definedName name="_S_29_11">[39]COMPOS1!#REF!</definedName>
    <definedName name="_S_3">#REF!</definedName>
    <definedName name="_S_4">#REF!</definedName>
    <definedName name="_S_5">#REF!</definedName>
    <definedName name="_S_6">#REF!</definedName>
    <definedName name="_S_7">#REF!</definedName>
    <definedName name="_S_9">[4]COMPOS1!#REF!</definedName>
    <definedName name="_S_9_11">[4]COMPOS1!#REF!</definedName>
    <definedName name="_s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2">#REF!</definedName>
    <definedName name="_Set1">#REF!</definedName>
    <definedName name="_SET94">[35]Consultoria!#REF!</definedName>
    <definedName name="_SET95">[35]Consultoria!#REF!</definedName>
    <definedName name="_SET96">[35]Consultoria!#REF!</definedName>
    <definedName name="_SET97">[35]Consultoria!#REF!</definedName>
    <definedName name="_SET98">[35]Consultoria!#REF!</definedName>
    <definedName name="_SET99">[35]Consultoria!#REF!</definedName>
    <definedName name="_sjp4">#REF!</definedName>
    <definedName name="_Sort">#REF!</definedName>
    <definedName name="_STC04">#REF!</definedName>
    <definedName name="_STC04_10">#REF!</definedName>
    <definedName name="_STC04_12">#REF!</definedName>
    <definedName name="_STC04_9">#REF!</definedName>
    <definedName name="_tab0198">'[18]DER janeiro98'!$A$1:$D$810</definedName>
    <definedName name="_tab072005">"$#REF!.$A$32:$F$1001"</definedName>
    <definedName name="_tab092003">"$#REF!.$A$9:$I$2080"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ble3_In2" hidden="1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este" hidden="1">#REF!</definedName>
    <definedName name="_TI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k2" localSheetId="20" hidden="1">{#N/A,#N/A,FALSE,"지침";#N/A,#N/A,FALSE,"환경분석";#N/A,#N/A,FALSE,"Sheet16"}</definedName>
    <definedName name="_tk2" hidden="1">{#N/A,#N/A,FALSE,"지침";#N/A,#N/A,FALSE,"환경분석";#N/A,#N/A,FALSE,"Sheet16"}</definedName>
    <definedName name="_tk2_1" localSheetId="20" hidden="1">{#N/A,#N/A,FALSE,"지침";#N/A,#N/A,FALSE,"환경분석";#N/A,#N/A,FALSE,"Sheet16"}</definedName>
    <definedName name="_tk2_1" hidden="1">{#N/A,#N/A,FALSE,"지침";#N/A,#N/A,FALSE,"환경분석";#N/A,#N/A,FALSE,"Sheet16"}</definedName>
    <definedName name="_tk2_1_1" localSheetId="20" hidden="1">{#N/A,#N/A,FALSE,"지침";#N/A,#N/A,FALSE,"환경분석";#N/A,#N/A,FALSE,"Sheet16"}</definedName>
    <definedName name="_tk2_1_1" hidden="1">{#N/A,#N/A,FALSE,"지침";#N/A,#N/A,FALSE,"환경분석";#N/A,#N/A,FALSE,"Sheet16"}</definedName>
    <definedName name="_tk2_1_1_1" localSheetId="20" hidden="1">{#N/A,#N/A,FALSE,"지침";#N/A,#N/A,FALSE,"환경분석";#N/A,#N/A,FALSE,"Sheet16"}</definedName>
    <definedName name="_tk2_1_1_1" hidden="1">{#N/A,#N/A,FALSE,"지침";#N/A,#N/A,FALSE,"환경분석";#N/A,#N/A,FALSE,"Sheet16"}</definedName>
    <definedName name="_tk2_1_2" localSheetId="20" hidden="1">{#N/A,#N/A,FALSE,"지침";#N/A,#N/A,FALSE,"환경분석";#N/A,#N/A,FALSE,"Sheet16"}</definedName>
    <definedName name="_tk2_1_2" hidden="1">{#N/A,#N/A,FALSE,"지침";#N/A,#N/A,FALSE,"환경분석";#N/A,#N/A,FALSE,"Sheet16"}</definedName>
    <definedName name="_tk2_2" localSheetId="20" hidden="1">{#N/A,#N/A,FALSE,"지침";#N/A,#N/A,FALSE,"환경분석";#N/A,#N/A,FALSE,"Sheet16"}</definedName>
    <definedName name="_tk2_2" hidden="1">{#N/A,#N/A,FALSE,"지침";#N/A,#N/A,FALSE,"환경분석";#N/A,#N/A,FALSE,"Sheet16"}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SD2">#REF!</definedName>
    <definedName name="_tt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1" localSheetId="21">#REF!</definedName>
    <definedName name="_tt1">'[40]CROQUIS DE DIST.'!_tt1</definedName>
    <definedName name="_tt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1" localSheetId="20" hidden="1">{"'REL CUSTODIF'!$B$1:$H$72"}</definedName>
    <definedName name="_v1" hidden="1">{"'REL CUSTODIF'!$B$1:$H$72"}</definedName>
    <definedName name="_VVV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rn.pendenci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9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X2" localSheetId="20" hidden="1">{#N/A,#N/A,FALSE,"EXPORTAC";#N/A,#N/A,FALSE,"SUPEL94"}</definedName>
    <definedName name="_WX2" hidden="1">{#N/A,#N/A,FALSE,"EXPORTAC";#N/A,#N/A,FALSE,"SUPEL94"}</definedName>
    <definedName name="_WX2_1" localSheetId="20" hidden="1">{#N/A,#N/A,FALSE,"EXPORTAC";#N/A,#N/A,FALSE,"SUPEL94"}</definedName>
    <definedName name="_WX2_1" hidden="1">{#N/A,#N/A,FALSE,"EXPORTAC";#N/A,#N/A,FALSE,"SUPEL94"}</definedName>
    <definedName name="_WX2_1_1" localSheetId="20" hidden="1">{#N/A,#N/A,FALSE,"EXPORTAC";#N/A,#N/A,FALSE,"SUPEL94"}</definedName>
    <definedName name="_WX2_1_1" hidden="1">{#N/A,#N/A,FALSE,"EXPORTAC";#N/A,#N/A,FALSE,"SUPEL94"}</definedName>
    <definedName name="_WX2_1_1_1" localSheetId="20" hidden="1">{#N/A,#N/A,FALSE,"EXPORTAC";#N/A,#N/A,FALSE,"SUPEL94"}</definedName>
    <definedName name="_WX2_1_1_1" hidden="1">{#N/A,#N/A,FALSE,"EXPORTAC";#N/A,#N/A,FALSE,"SUPEL94"}</definedName>
    <definedName name="_WX2_1_2" localSheetId="20" hidden="1">{#N/A,#N/A,FALSE,"EXPORTAC";#N/A,#N/A,FALSE,"SUPEL94"}</definedName>
    <definedName name="_WX2_1_2" hidden="1">{#N/A,#N/A,FALSE,"EXPORTAC";#N/A,#N/A,FALSE,"SUPEL94"}</definedName>
    <definedName name="_WX2_2" localSheetId="20" hidden="1">{#N/A,#N/A,FALSE,"EXPORTAC";#N/A,#N/A,FALSE,"SUPEL94"}</definedName>
    <definedName name="_WX2_2" hidden="1">{#N/A,#N/A,FALSE,"EXPORTAC";#N/A,#N/A,FALSE,"SUPEL94"}</definedName>
    <definedName name="_x" localSheetId="21">#REF!</definedName>
    <definedName name="_x">[5]PLMUSEU!#REF!</definedName>
    <definedName name="_x_1">[5]PLMUSEU!#REF!</definedName>
    <definedName name="_x_10">[5]PLMUSEU!#REF!</definedName>
    <definedName name="_x_10_1">[5]PLMUSEU!#REF!</definedName>
    <definedName name="_x_11">#REF!</definedName>
    <definedName name="_x_12">[5]PLMUSEU!#REF!</definedName>
    <definedName name="_x_12_1">[5]PLMUSEU!#REF!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[5]PLMUSEU!#REF!</definedName>
    <definedName name="_x_3_1">[5]PLMUSEU!#REF!</definedName>
    <definedName name="_x_4">[5]PLMUSEU!#REF!</definedName>
    <definedName name="_x_7">#REF!</definedName>
    <definedName name="_x_9">[5]PLMUSEU!#REF!</definedName>
    <definedName name="_x_9_1">[5]PLMUSEU!#REF!</definedName>
    <definedName name="_x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1_1" localSheetId="20" hidden="1">{#N/A,#N/A,FALSE,"EXPORTAC";#N/A,#N/A,FALSE,"SUPEL94"}</definedName>
    <definedName name="_x1_1" hidden="1">{#N/A,#N/A,FALSE,"EXPORTAC";#N/A,#N/A,FALSE,"SUPEL94"}</definedName>
    <definedName name="_x1_1_1" localSheetId="20" hidden="1">{#N/A,#N/A,FALSE,"EXPORTAC";#N/A,#N/A,FALSE,"SUPEL94"}</definedName>
    <definedName name="_x1_1_1" hidden="1">{#N/A,#N/A,FALSE,"EXPORTAC";#N/A,#N/A,FALSE,"SUPEL94"}</definedName>
    <definedName name="_x1_1_1_1" localSheetId="20" hidden="1">{#N/A,#N/A,FALSE,"EXPORTAC";#N/A,#N/A,FALSE,"SUPEL94"}</definedName>
    <definedName name="_x1_1_1_1" hidden="1">{#N/A,#N/A,FALSE,"EXPORTAC";#N/A,#N/A,FALSE,"SUPEL94"}</definedName>
    <definedName name="_x1_1_2" localSheetId="20" hidden="1">{#N/A,#N/A,FALSE,"EXPORTAC";#N/A,#N/A,FALSE,"SUPEL94"}</definedName>
    <definedName name="_x1_1_2" hidden="1">{#N/A,#N/A,FALSE,"EXPORTAC";#N/A,#N/A,FALSE,"SUPEL94"}</definedName>
    <definedName name="_x1_2" localSheetId="20" hidden="1">{#N/A,#N/A,FALSE,"EXPORTAC";#N/A,#N/A,FALSE,"SUPEL94"}</definedName>
    <definedName name="_x1_2" hidden="1">{#N/A,#N/A,FALSE,"EXPORTAC";#N/A,#N/A,FALSE,"SUPEL94"}</definedName>
    <definedName name="_x10" localSheetId="20" hidden="1">{"'REL CUSTODIF'!$B$1:$H$72"}</definedName>
    <definedName name="_x10" hidden="1">{"'REL CUSTODIF'!$B$1:$H$72"}</definedName>
    <definedName name="_x11" localSheetId="20" hidden="1">{"'REL CUSTODIF'!$B$1:$H$72"}</definedName>
    <definedName name="_x11" hidden="1">{"'REL CUSTODIF'!$B$1:$H$72"}</definedName>
    <definedName name="_x13" localSheetId="20" hidden="1">{"'REL CUSTODIF'!$B$1:$H$72"}</definedName>
    <definedName name="_x13" hidden="1">{"'REL CUSTODIF'!$B$1:$H$72"}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2_1" localSheetId="20" hidden="1">{#N/A,#N/A,FALSE,"GQGEMPRE"}</definedName>
    <definedName name="_x2_1" hidden="1">{#N/A,#N/A,FALSE,"GQGEMPRE"}</definedName>
    <definedName name="_x2_1_1" localSheetId="20" hidden="1">{#N/A,#N/A,FALSE,"GQGEMPRE"}</definedName>
    <definedName name="_x2_1_1" hidden="1">{#N/A,#N/A,FALSE,"GQGEMPRE"}</definedName>
    <definedName name="_x2_1_1_1" localSheetId="20" hidden="1">{#N/A,#N/A,FALSE,"GQGEMPRE"}</definedName>
    <definedName name="_x2_1_1_1" hidden="1">{#N/A,#N/A,FALSE,"GQGEMPRE"}</definedName>
    <definedName name="_x2_1_2" localSheetId="20" hidden="1">{#N/A,#N/A,FALSE,"GQGEMPRE"}</definedName>
    <definedName name="_x2_1_2" hidden="1">{#N/A,#N/A,FALSE,"GQGEMPRE"}</definedName>
    <definedName name="_x2_2" localSheetId="20" hidden="1">{#N/A,#N/A,FALSE,"GQGEMPRE"}</definedName>
    <definedName name="_x2_2" hidden="1">{#N/A,#N/A,FALSE,"GQGEMPRE"}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32">#REF!</definedName>
    <definedName name="_x4" localSheetId="20" hidden="1">{"'REL CUSTODIF'!$B$1:$H$72"}</definedName>
    <definedName name="_x4" hidden="1">{"'REL CUSTODIF'!$B$1:$H$72"}</definedName>
    <definedName name="_x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7" localSheetId="20" hidden="1">{"'REL CUSTODIF'!$B$1:$H$72"}</definedName>
    <definedName name="_x7" hidden="1">{"'REL CUSTODIF'!$B$1:$H$72"}</definedName>
    <definedName name="_x8" localSheetId="20" hidden="1">{"'REL CUSTODIF'!$B$1:$H$72"}</definedName>
    <definedName name="_x8" hidden="1">{"'REL CUSTODIF'!$B$1:$H$72"}</definedName>
    <definedName name="_x9">#REF!</definedName>
    <definedName name="_xx1" localSheetId="20" hidden="1">{"'CptDifn'!$AA$32:$AG$32"}</definedName>
    <definedName name="_xx1" hidden="1">{"'CptDifn'!$AA$32:$AG$32"}</definedName>
    <definedName name="_xx1_1" localSheetId="20" hidden="1">{"'CptDifn'!$AA$32:$AG$32"}</definedName>
    <definedName name="_xx1_1" hidden="1">{"'CptDifn'!$AA$32:$AG$32"}</definedName>
    <definedName name="_xx1_1_1" localSheetId="20" hidden="1">{"'CptDifn'!$AA$32:$AG$32"}</definedName>
    <definedName name="_xx1_1_1" hidden="1">{"'CptDifn'!$AA$32:$AG$32"}</definedName>
    <definedName name="_xx1_1_1_1" localSheetId="20" hidden="1">{"'CptDifn'!$AA$32:$AG$32"}</definedName>
    <definedName name="_xx1_1_1_1" hidden="1">{"'CptDifn'!$AA$32:$AG$32"}</definedName>
    <definedName name="_xx1_1_2" localSheetId="20" hidden="1">{"'CptDifn'!$AA$32:$AG$32"}</definedName>
    <definedName name="_xx1_1_2" hidden="1">{"'CptDifn'!$AA$32:$AG$32"}</definedName>
    <definedName name="_xx1_2" localSheetId="20" hidden="1">{"'CptDifn'!$AA$32:$AG$32"}</definedName>
    <definedName name="_xx1_2" hidden="1">{"'CptDifn'!$AA$32:$AG$32"}</definedName>
    <definedName name="_z" localSheetId="21">#REF!</definedName>
    <definedName name="_z">[5]PLMUSEU!#REF!</definedName>
    <definedName name="_z_1">[5]PLMUSEU!#REF!</definedName>
    <definedName name="_z_10">[5]PLMUSEU!#REF!</definedName>
    <definedName name="_z_10_1">[5]PLMUSEU!#REF!</definedName>
    <definedName name="_z_11">#REF!</definedName>
    <definedName name="_z_12">[5]PLMUSEU!#REF!</definedName>
    <definedName name="_z_12_1">[5]PLMUSEU!#REF!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[5]PLMUSEU!#REF!</definedName>
    <definedName name="_z_3_1">[5]PLMUSEU!#REF!</definedName>
    <definedName name="_z_4">[5]PLMUSEU!#REF!</definedName>
    <definedName name="_z_7">#REF!</definedName>
    <definedName name="_z_9">[5]PLMUSEU!#REF!</definedName>
    <definedName name="_z_9_1">[5]PLMUSEU!#REF!</definedName>
    <definedName name="_z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">#REF!</definedName>
    <definedName name="A.???" localSheetId="20" hidden="1">{"det (May)",#N/A,FALSE,"June";"sum (MAY YTD)",#N/A,FALSE,"June YTD"}</definedName>
    <definedName name="A.???" hidden="1">{"det (May)",#N/A,FALSE,"June";"sum (MAY YTD)",#N/A,FALSE,"June YTD"}</definedName>
    <definedName name="A.???_1" localSheetId="20" hidden="1">{"det (May)",#N/A,FALSE,"June";"sum (MAY YTD)",#N/A,FALSE,"June YTD"}</definedName>
    <definedName name="A.???_1" hidden="1">{"det (May)",#N/A,FALSE,"June";"sum (MAY YTD)",#N/A,FALSE,"June YTD"}</definedName>
    <definedName name="A.???_1_1" localSheetId="20" hidden="1">{"det (May)",#N/A,FALSE,"June";"sum (MAY YTD)",#N/A,FALSE,"June YTD"}</definedName>
    <definedName name="A.???_1_1" hidden="1">{"det (May)",#N/A,FALSE,"June";"sum (MAY YTD)",#N/A,FALSE,"June YTD"}</definedName>
    <definedName name="A.???_1_1_1" localSheetId="20" hidden="1">{"det (May)",#N/A,FALSE,"June";"sum (MAY YTD)",#N/A,FALSE,"June YTD"}</definedName>
    <definedName name="A.???_1_1_1" hidden="1">{"det (May)",#N/A,FALSE,"June";"sum (MAY YTD)",#N/A,FALSE,"June YTD"}</definedName>
    <definedName name="A.???_1_2" localSheetId="20" hidden="1">{"det (May)",#N/A,FALSE,"June";"sum (MAY YTD)",#N/A,FALSE,"June YTD"}</definedName>
    <definedName name="A.???_1_2" hidden="1">{"det (May)",#N/A,FALSE,"June";"sum (MAY YTD)",#N/A,FALSE,"June YTD"}</definedName>
    <definedName name="A.???_2" localSheetId="20" hidden="1">{"det (May)",#N/A,FALSE,"June";"sum (MAY YTD)",#N/A,FALSE,"June YTD"}</definedName>
    <definedName name="A.???_2" hidden="1">{"det (May)",#N/A,FALSE,"June";"sum (MAY YTD)",#N/A,FALSE,"June YTD"}</definedName>
    <definedName name="A.Ⅱ.i2" localSheetId="20" hidden="1">{"det (May)",#N/A,FALSE,"June";"sum (MAY YTD)",#N/A,FALSE,"June YTD"}</definedName>
    <definedName name="A.Ⅱ.i2" hidden="1">{"det (May)",#N/A,FALSE,"June";"sum (MAY YTD)",#N/A,FALSE,"June YTD"}</definedName>
    <definedName name="A.Ⅱ.i2_1" localSheetId="20" hidden="1">{"det (May)",#N/A,FALSE,"June";"sum (MAY YTD)",#N/A,FALSE,"June YTD"}</definedName>
    <definedName name="A.Ⅱ.i2_1" hidden="1">{"det (May)",#N/A,FALSE,"June";"sum (MAY YTD)",#N/A,FALSE,"June YTD"}</definedName>
    <definedName name="A.Ⅱ.i2_1_1" localSheetId="20" hidden="1">{"det (May)",#N/A,FALSE,"June";"sum (MAY YTD)",#N/A,FALSE,"June YTD"}</definedName>
    <definedName name="A.Ⅱ.i2_1_1" hidden="1">{"det (May)",#N/A,FALSE,"June";"sum (MAY YTD)",#N/A,FALSE,"June YTD"}</definedName>
    <definedName name="A.Ⅱ.i2_1_1_1" localSheetId="20" hidden="1">{"det (May)",#N/A,FALSE,"June";"sum (MAY YTD)",#N/A,FALSE,"June YTD"}</definedName>
    <definedName name="A.Ⅱ.i2_1_1_1" hidden="1">{"det (May)",#N/A,FALSE,"June";"sum (MAY YTD)",#N/A,FALSE,"June YTD"}</definedName>
    <definedName name="A.Ⅱ.i2_1_2" localSheetId="20" hidden="1">{"det (May)",#N/A,FALSE,"June";"sum (MAY YTD)",#N/A,FALSE,"June YTD"}</definedName>
    <definedName name="A.Ⅱ.i2_1_2" hidden="1">{"det (May)",#N/A,FALSE,"June";"sum (MAY YTD)",#N/A,FALSE,"June YTD"}</definedName>
    <definedName name="A.Ⅱ.i2_2" localSheetId="20" hidden="1">{"det (May)",#N/A,FALSE,"June";"sum (MAY YTD)",#N/A,FALSE,"June YTD"}</definedName>
    <definedName name="A.Ⅱ.i2_2" hidden="1">{"det (May)",#N/A,FALSE,"June";"sum (MAY YTD)",#N/A,FALSE,"June YTD"}</definedName>
    <definedName name="A.I.AA" localSheetId="20" hidden="1">{"det (May)",#N/A,FALSE,"June";"sum (MAY YTD)",#N/A,FALSE,"June YTD"}</definedName>
    <definedName name="A.I.AA" hidden="1">{"det (May)",#N/A,FALSE,"June";"sum (MAY YTD)",#N/A,FALSE,"June YTD"}</definedName>
    <definedName name="A.I.AA_1" localSheetId="20" hidden="1">{"det (May)",#N/A,FALSE,"June";"sum (MAY YTD)",#N/A,FALSE,"June YTD"}</definedName>
    <definedName name="A.I.AA_1" hidden="1">{"det (May)",#N/A,FALSE,"June";"sum (MAY YTD)",#N/A,FALSE,"June YTD"}</definedName>
    <definedName name="A.I.AA_1_1" localSheetId="20" hidden="1">{"det (May)",#N/A,FALSE,"June";"sum (MAY YTD)",#N/A,FALSE,"June YTD"}</definedName>
    <definedName name="A.I.AA_1_1" hidden="1">{"det (May)",#N/A,FALSE,"June";"sum (MAY YTD)",#N/A,FALSE,"June YTD"}</definedName>
    <definedName name="A.I.AA_1_1_1" localSheetId="20" hidden="1">{"det (May)",#N/A,FALSE,"June";"sum (MAY YTD)",#N/A,FALSE,"June YTD"}</definedName>
    <definedName name="A.I.AA_1_1_1" hidden="1">{"det (May)",#N/A,FALSE,"June";"sum (MAY YTD)",#N/A,FALSE,"June YTD"}</definedName>
    <definedName name="A.I.AA_1_2" localSheetId="20" hidden="1">{"det (May)",#N/A,FALSE,"June";"sum (MAY YTD)",#N/A,FALSE,"June YTD"}</definedName>
    <definedName name="A.I.AA_1_2" hidden="1">{"det (May)",#N/A,FALSE,"June";"sum (MAY YTD)",#N/A,FALSE,"June YTD"}</definedName>
    <definedName name="A.I.AA_2" localSheetId="20" hidden="1">{"det (May)",#N/A,FALSE,"June";"sum (MAY YTD)",#N/A,FALSE,"June YTD"}</definedName>
    <definedName name="A.I.AA_2" hidden="1">{"det (May)",#N/A,FALSE,"June";"sum (MAY YTD)",#N/A,FALSE,"June YTD"}</definedName>
    <definedName name="a_" localSheetId="20" hidden="1">{"'Ocorrência_que_Impactaram'!$A$1:$Q$43"}</definedName>
    <definedName name="a_" hidden="1">{"'Ocorrência_que_Impactaram'!$A$1:$Q$43"}</definedName>
    <definedName name="a__1" localSheetId="20" hidden="1">{"'Ocorrência_que_Impactaram'!$A$1:$Q$43"}</definedName>
    <definedName name="a__1" hidden="1">{"'Ocorrência_que_Impactaram'!$A$1:$Q$43"}</definedName>
    <definedName name="a__1_1" localSheetId="20" hidden="1">{"'Ocorrência_que_Impactaram'!$A$1:$Q$43"}</definedName>
    <definedName name="a__1_1" hidden="1">{"'Ocorrência_que_Impactaram'!$A$1:$Q$43"}</definedName>
    <definedName name="a__1_1_1" localSheetId="20" hidden="1">{"'Ocorrência_que_Impactaram'!$A$1:$Q$43"}</definedName>
    <definedName name="a__1_1_1" hidden="1">{"'Ocorrência_que_Impactaram'!$A$1:$Q$43"}</definedName>
    <definedName name="a__1_2" localSheetId="20" hidden="1">{"'Ocorrência_que_Impactaram'!$A$1:$Q$43"}</definedName>
    <definedName name="a__1_2" hidden="1">{"'Ocorrência_que_Impactaram'!$A$1:$Q$43"}</definedName>
    <definedName name="a__2" localSheetId="20" hidden="1">{"'Ocorrência_que_Impactaram'!$A$1:$Q$43"}</definedName>
    <definedName name="a__2" hidden="1">{"'Ocorrência_que_Impactaram'!$A$1:$Q$43"}</definedName>
    <definedName name="A_1">#REF!</definedName>
    <definedName name="A_10">#REF!</definedName>
    <definedName name="a_11">#REF!</definedName>
    <definedName name="A_12">#REF!</definedName>
    <definedName name="a_13">#REF!</definedName>
    <definedName name="A_14">"$#REF!.$#REF!$#REF!"</definedName>
    <definedName name="A_15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_7">#REF!</definedName>
    <definedName name="a_8">#REF!</definedName>
    <definedName name="A_9">#REF!</definedName>
    <definedName name="A_impresión_IM">#REF!</definedName>
    <definedName name="A_km">'[41]Fresagem de Pista Ago-98'!#REF!</definedName>
    <definedName name="A0" localSheetId="21">#REF!</definedName>
    <definedName name="A0">'[42]Convert Lat, Long to UTM'!$C$17</definedName>
    <definedName name="a000" localSheetId="20" hidden="1">{#N/A,#N/A,FALSE,"ANEXO3 99 ERA";#N/A,#N/A,FALSE,"ANEXO3 99 UBÁ2";#N/A,#N/A,FALSE,"ANEXO3 99 DTU";#N/A,#N/A,FALSE,"ANEXO3 99 RDR";#N/A,#N/A,FALSE,"ANEXO3 99 UBÁ4";#N/A,#N/A,FALSE,"ANEXO3 99 UBÁ6"}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270200a">#REF!</definedName>
    <definedName name="A51204756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 localSheetId="21">#REF!</definedName>
    <definedName name="AA">[34]!AA</definedName>
    <definedName name="aa_1" localSheetId="20" hidden="1">{"'Quadro'!$A$4:$BG$78"}</definedName>
    <definedName name="AA_1" localSheetId="2">RESUMO!AA_1</definedName>
    <definedName name="AA_1">AA_1</definedName>
    <definedName name="aa_1_1" localSheetId="20" hidden="1">{"'Quadro'!$A$4:$BG$78"}</definedName>
    <definedName name="aa_1_1" hidden="1">{"'Quadro'!$A$4:$BG$78"}</definedName>
    <definedName name="aa_1_1_1" localSheetId="20" hidden="1">{"'Quadro'!$A$4:$BG$78"}</definedName>
    <definedName name="aa_1_1_1" hidden="1">{"'Quadro'!$A$4:$BG$78"}</definedName>
    <definedName name="AA_1_10">#N/A</definedName>
    <definedName name="AA_1_12">#N/A</definedName>
    <definedName name="AA_1_13">#N/A</definedName>
    <definedName name="AA_1_15">#N/A</definedName>
    <definedName name="aa_1_2" localSheetId="20" hidden="1">{"'Quadro'!$A$4:$BG$78"}</definedName>
    <definedName name="aa_1_2" hidden="1">{"'Quadro'!$A$4:$BG$78"}</definedName>
    <definedName name="AA_1_5">#N/A</definedName>
    <definedName name="AA_1_6">#N/A</definedName>
    <definedName name="AA_1_7">#N/A</definedName>
    <definedName name="AA_1_8">#N/A</definedName>
    <definedName name="AA_1_9">#N/A</definedName>
    <definedName name="AA_10">#REF!</definedName>
    <definedName name="AA_11">#N/A</definedName>
    <definedName name="AA_12">#REF!</definedName>
    <definedName name="AA_13" localSheetId="2">RESUMO!AA_13</definedName>
    <definedName name="AA_13">AA_13</definedName>
    <definedName name="AA_13_10">#N/A</definedName>
    <definedName name="AA_13_12">#N/A</definedName>
    <definedName name="AA_13_13">#N/A</definedName>
    <definedName name="AA_13_15">#N/A</definedName>
    <definedName name="AA_13_5">#N/A</definedName>
    <definedName name="AA_13_6">#N/A</definedName>
    <definedName name="AA_13_7">#N/A</definedName>
    <definedName name="AA_13_8">#N/A</definedName>
    <definedName name="AA_13_9">#N/A</definedName>
    <definedName name="AA_14" localSheetId="2">RESUMO!AA_14</definedName>
    <definedName name="AA_14">AA_14</definedName>
    <definedName name="AA_14_10">#N/A</definedName>
    <definedName name="AA_14_12">#N/A</definedName>
    <definedName name="AA_14_13">#N/A</definedName>
    <definedName name="AA_14_15">#N/A</definedName>
    <definedName name="AA_14_5">#N/A</definedName>
    <definedName name="AA_14_6">#N/A</definedName>
    <definedName name="AA_14_7">#N/A</definedName>
    <definedName name="AA_14_8">#N/A</definedName>
    <definedName name="AA_14_9">#N/A</definedName>
    <definedName name="AA_15">#N/A</definedName>
    <definedName name="AA_19" localSheetId="2">RESUMO!AA_19</definedName>
    <definedName name="AA_19">AA_19</definedName>
    <definedName name="AA_2" localSheetId="2">RESUMO!AA_2</definedName>
    <definedName name="AA_2">AA_2</definedName>
    <definedName name="AA_2_10">#N/A</definedName>
    <definedName name="AA_2_12">#N/A</definedName>
    <definedName name="AA_2_13">#N/A</definedName>
    <definedName name="AA_2_15">#N/A</definedName>
    <definedName name="AA_2_5">#N/A</definedName>
    <definedName name="AA_2_6">#N/A</definedName>
    <definedName name="AA_2_7">#N/A</definedName>
    <definedName name="AA_2_8">#N/A</definedName>
    <definedName name="AA_2_9">#N/A</definedName>
    <definedName name="AA_20" localSheetId="2">RESUMO!AA_20</definedName>
    <definedName name="AA_20">AA_20</definedName>
    <definedName name="AA_21" localSheetId="2">RESUMO!AA_21</definedName>
    <definedName name="AA_21">AA_21</definedName>
    <definedName name="AA_22" localSheetId="2">RESUMO!AA_22</definedName>
    <definedName name="AA_22">AA_22</definedName>
    <definedName name="AA_22_10">#N/A</definedName>
    <definedName name="AA_22_12">#N/A</definedName>
    <definedName name="AA_22_13">#N/A</definedName>
    <definedName name="AA_22_15">#N/A</definedName>
    <definedName name="AA_22_5">#N/A</definedName>
    <definedName name="AA_22_6">#N/A</definedName>
    <definedName name="AA_22_7">#N/A</definedName>
    <definedName name="AA_22_8">#N/A</definedName>
    <definedName name="AA_22_9">#N/A</definedName>
    <definedName name="AA_23" localSheetId="2">RESUMO!AA_23</definedName>
    <definedName name="AA_23">AA_23</definedName>
    <definedName name="AA_24" localSheetId="2">RESUMO!AA_24</definedName>
    <definedName name="AA_24">AA_24</definedName>
    <definedName name="AA_25" localSheetId="2">RESUMO!AA_25</definedName>
    <definedName name="AA_25">AA_25</definedName>
    <definedName name="AA_25_10">#N/A</definedName>
    <definedName name="AA_25_12">#N/A</definedName>
    <definedName name="AA_25_13">#N/A</definedName>
    <definedName name="AA_25_15">#N/A</definedName>
    <definedName name="AA_25_5">#N/A</definedName>
    <definedName name="AA_25_6">#N/A</definedName>
    <definedName name="AA_25_7">#N/A</definedName>
    <definedName name="AA_25_8">#N/A</definedName>
    <definedName name="AA_25_9">#N/A</definedName>
    <definedName name="AA_26" localSheetId="2">RESUMO!AA_26</definedName>
    <definedName name="AA_26">AA_26</definedName>
    <definedName name="AA_26_10">#N/A</definedName>
    <definedName name="AA_26_12">#N/A</definedName>
    <definedName name="AA_26_13">#N/A</definedName>
    <definedName name="AA_26_15">#N/A</definedName>
    <definedName name="AA_26_5">#N/A</definedName>
    <definedName name="AA_26_6">#N/A</definedName>
    <definedName name="AA_26_7">#N/A</definedName>
    <definedName name="AA_26_8">#N/A</definedName>
    <definedName name="AA_26_9">#N/A</definedName>
    <definedName name="AA_27" localSheetId="2">RESUMO!AA_27</definedName>
    <definedName name="AA_27">AA_27</definedName>
    <definedName name="AA_27_10">#N/A</definedName>
    <definedName name="AA_27_12">#N/A</definedName>
    <definedName name="AA_27_13">#N/A</definedName>
    <definedName name="AA_27_15">#N/A</definedName>
    <definedName name="AA_27_5">#N/A</definedName>
    <definedName name="AA_27_6">#N/A</definedName>
    <definedName name="AA_27_7">#N/A</definedName>
    <definedName name="AA_27_8">#N/A</definedName>
    <definedName name="AA_27_9">#N/A</definedName>
    <definedName name="AA_28" localSheetId="2">RESUMO!AA_28</definedName>
    <definedName name="AA_28">AA_28</definedName>
    <definedName name="AA_29" localSheetId="2">RESUMO!AA_29</definedName>
    <definedName name="AA_29">AA_29</definedName>
    <definedName name="AA_29_10">#N/A</definedName>
    <definedName name="AA_29_12">#N/A</definedName>
    <definedName name="AA_29_13">#N/A</definedName>
    <definedName name="AA_29_15">#N/A</definedName>
    <definedName name="AA_29_5">#N/A</definedName>
    <definedName name="AA_29_6">#N/A</definedName>
    <definedName name="AA_29_7">#N/A</definedName>
    <definedName name="AA_29_8">#N/A</definedName>
    <definedName name="AA_29_9">#N/A</definedName>
    <definedName name="AA_3" localSheetId="2">RESUMO!AA_3</definedName>
    <definedName name="AA_3">AA_3</definedName>
    <definedName name="AA_3_10">#N/A</definedName>
    <definedName name="AA_3_12">#N/A</definedName>
    <definedName name="AA_3_13">#N/A</definedName>
    <definedName name="AA_3_15">#N/A</definedName>
    <definedName name="AA_3_5">#N/A</definedName>
    <definedName name="AA_3_6">#N/A</definedName>
    <definedName name="AA_3_7">#N/A</definedName>
    <definedName name="AA_3_8">#N/A</definedName>
    <definedName name="AA_3_9">#N/A</definedName>
    <definedName name="AA_30" localSheetId="2">RESUMO!AA_30</definedName>
    <definedName name="AA_30">AA_30</definedName>
    <definedName name="AA_30_10">#N/A</definedName>
    <definedName name="AA_30_12">#N/A</definedName>
    <definedName name="AA_30_13">#N/A</definedName>
    <definedName name="AA_30_15">#N/A</definedName>
    <definedName name="AA_30_5">#N/A</definedName>
    <definedName name="AA_30_6">#N/A</definedName>
    <definedName name="AA_30_7">#N/A</definedName>
    <definedName name="AA_30_8">#N/A</definedName>
    <definedName name="AA_30_9">#N/A</definedName>
    <definedName name="AA_31" localSheetId="2">RESUMO!AA_31</definedName>
    <definedName name="AA_31">AA_31</definedName>
    <definedName name="AA_31_10">#N/A</definedName>
    <definedName name="AA_31_12">#N/A</definedName>
    <definedName name="AA_31_13">#N/A</definedName>
    <definedName name="AA_31_15">#N/A</definedName>
    <definedName name="AA_31_5">#N/A</definedName>
    <definedName name="AA_31_6">#N/A</definedName>
    <definedName name="AA_31_7">#N/A</definedName>
    <definedName name="AA_31_8">#N/A</definedName>
    <definedName name="AA_31_9">#N/A</definedName>
    <definedName name="AA_32" localSheetId="2">RESUMO!AA_32</definedName>
    <definedName name="AA_32">AA_32</definedName>
    <definedName name="AA_33" localSheetId="2">RESUMO!AA_33</definedName>
    <definedName name="AA_33">AA_33</definedName>
    <definedName name="AA_33_10">#N/A</definedName>
    <definedName name="AA_33_12">#N/A</definedName>
    <definedName name="AA_33_13">#N/A</definedName>
    <definedName name="AA_33_15">#N/A</definedName>
    <definedName name="AA_33_5">#N/A</definedName>
    <definedName name="AA_33_6">#N/A</definedName>
    <definedName name="AA_33_7">#N/A</definedName>
    <definedName name="AA_33_8">#N/A</definedName>
    <definedName name="AA_33_9">#N/A</definedName>
    <definedName name="AA_34" localSheetId="2">RESUMO!AA_34</definedName>
    <definedName name="AA_34">AA_34</definedName>
    <definedName name="AA_34_10">#N/A</definedName>
    <definedName name="AA_34_12">#N/A</definedName>
    <definedName name="AA_34_13">#N/A</definedName>
    <definedName name="AA_34_15">#N/A</definedName>
    <definedName name="AA_34_5">#N/A</definedName>
    <definedName name="AA_34_6">#N/A</definedName>
    <definedName name="AA_34_7">#N/A</definedName>
    <definedName name="AA_34_8">#N/A</definedName>
    <definedName name="AA_34_9">#N/A</definedName>
    <definedName name="AA_35" localSheetId="2">RESUMO!AA_35</definedName>
    <definedName name="AA_35">AA_35</definedName>
    <definedName name="AA_35_10">#N/A</definedName>
    <definedName name="AA_35_12">#N/A</definedName>
    <definedName name="AA_35_13">#N/A</definedName>
    <definedName name="AA_35_15">#N/A</definedName>
    <definedName name="AA_35_5">#N/A</definedName>
    <definedName name="AA_35_6">#N/A</definedName>
    <definedName name="AA_35_7">#N/A</definedName>
    <definedName name="AA_35_8">#N/A</definedName>
    <definedName name="AA_35_9">#N/A</definedName>
    <definedName name="AA_36" localSheetId="2">RESUMO!AA_36</definedName>
    <definedName name="AA_36">AA_36</definedName>
    <definedName name="AA_36_10">#N/A</definedName>
    <definedName name="AA_36_12">#N/A</definedName>
    <definedName name="AA_36_13">#N/A</definedName>
    <definedName name="AA_36_15">#N/A</definedName>
    <definedName name="AA_36_5">#N/A</definedName>
    <definedName name="AA_36_6">#N/A</definedName>
    <definedName name="AA_36_7">#N/A</definedName>
    <definedName name="AA_36_8">#N/A</definedName>
    <definedName name="AA_36_9">#N/A</definedName>
    <definedName name="AA_37" localSheetId="2">RESUMO!AA_37</definedName>
    <definedName name="AA_37">AA_37</definedName>
    <definedName name="AA_38" localSheetId="2">RESUMO!AA_38</definedName>
    <definedName name="AA_38">AA_38</definedName>
    <definedName name="AA_39" localSheetId="2">RESUMO!AA_39</definedName>
    <definedName name="AA_39">AA_39</definedName>
    <definedName name="AA_4">#REF!</definedName>
    <definedName name="AA_40" localSheetId="2">RESUMO!AA_40</definedName>
    <definedName name="AA_40">AA_40</definedName>
    <definedName name="AA_41" localSheetId="2">RESUMO!AA_41</definedName>
    <definedName name="AA_41">AA_41</definedName>
    <definedName name="AA_42" localSheetId="2">RESUMO!AA_42</definedName>
    <definedName name="AA_42">AA_42</definedName>
    <definedName name="AA_43" localSheetId="2">RESUMO!AA_43</definedName>
    <definedName name="AA_43">AA_43</definedName>
    <definedName name="AA_44" localSheetId="2">RESUMO!AA_44</definedName>
    <definedName name="AA_44">AA_44</definedName>
    <definedName name="AA_45" localSheetId="2">RESUMO!AA_45</definedName>
    <definedName name="AA_45">AA_45</definedName>
    <definedName name="AA_46" localSheetId="2">RESUMO!AA_46</definedName>
    <definedName name="AA_46">AA_46</definedName>
    <definedName name="AA_47" localSheetId="2">RESUMO!AA_47</definedName>
    <definedName name="AA_47">AA_47</definedName>
    <definedName name="AA_48" localSheetId="2">RESUMO!AA_48</definedName>
    <definedName name="AA_48">AA_48</definedName>
    <definedName name="AA_5" localSheetId="2">RESUMO!AA_5</definedName>
    <definedName name="AA_5">AA_5</definedName>
    <definedName name="AA_5_10">#N/A</definedName>
    <definedName name="AA_5_12">#N/A</definedName>
    <definedName name="AA_5_13">#N/A</definedName>
    <definedName name="AA_5_15">#N/A</definedName>
    <definedName name="AA_5_5">#N/A</definedName>
    <definedName name="AA_5_6">#N/A</definedName>
    <definedName name="AA_5_7">#N/A</definedName>
    <definedName name="AA_5_8">#N/A</definedName>
    <definedName name="AA_5_9">#N/A</definedName>
    <definedName name="AA_51" localSheetId="2">RESUMO!AA_51</definedName>
    <definedName name="AA_51">AA_51</definedName>
    <definedName name="AA_52" localSheetId="2">RESUMO!AA_52</definedName>
    <definedName name="AA_52">AA_52</definedName>
    <definedName name="AA_53" localSheetId="2">RESUMO!AA_53</definedName>
    <definedName name="AA_53">AA_53</definedName>
    <definedName name="AA_54" localSheetId="2">RESUMO!AA_54</definedName>
    <definedName name="AA_54">AA_54</definedName>
    <definedName name="AA_55" localSheetId="2">RESUMO!AA_55</definedName>
    <definedName name="AA_55">AA_55</definedName>
    <definedName name="AA_56" localSheetId="2">RESUMO!AA_56</definedName>
    <definedName name="AA_56">AA_56</definedName>
    <definedName name="AA_57" localSheetId="2">RESUMO!AA_57</definedName>
    <definedName name="AA_57">AA_57</definedName>
    <definedName name="AA_58" localSheetId="2">RESUMO!AA_58</definedName>
    <definedName name="AA_58">AA_58</definedName>
    <definedName name="AA_59" localSheetId="2">RESUMO!AA_59</definedName>
    <definedName name="AA_59">AA_59</definedName>
    <definedName name="AA_6">#N/A</definedName>
    <definedName name="AA_60" localSheetId="2">RESUMO!AA_60</definedName>
    <definedName name="AA_60">AA_60</definedName>
    <definedName name="AA_61" localSheetId="2">RESUMO!AA_61</definedName>
    <definedName name="AA_61">AA_61</definedName>
    <definedName name="AA_62" localSheetId="2">RESUMO!AA_62</definedName>
    <definedName name="AA_62">AA_62</definedName>
    <definedName name="AA_63" localSheetId="2">RESUMO!AA_63</definedName>
    <definedName name="AA_63">AA_63</definedName>
    <definedName name="AA_64" localSheetId="2">RESUMO!AA_64</definedName>
    <definedName name="AA_64">AA_64</definedName>
    <definedName name="AA_65" localSheetId="2">RESUMO!AA_65</definedName>
    <definedName name="AA_65">AA_65</definedName>
    <definedName name="AA_66" localSheetId="2">RESUMO!AA_66</definedName>
    <definedName name="AA_66">AA_66</definedName>
    <definedName name="AA_67" localSheetId="2">RESUMO!AA_67</definedName>
    <definedName name="AA_67">AA_67</definedName>
    <definedName name="AA_68" localSheetId="2">RESUMO!AA_68</definedName>
    <definedName name="AA_68">AA_68</definedName>
    <definedName name="AA_69" localSheetId="2">RESUMO!AA_69</definedName>
    <definedName name="AA_69">AA_69</definedName>
    <definedName name="AA_7" localSheetId="2">RESUMO!AA_7</definedName>
    <definedName name="AA_7">AA_7</definedName>
    <definedName name="AA_7_10">#N/A</definedName>
    <definedName name="AA_7_12">#N/A</definedName>
    <definedName name="AA_7_13">#N/A</definedName>
    <definedName name="AA_7_15">#N/A</definedName>
    <definedName name="AA_7_5">#N/A</definedName>
    <definedName name="AA_7_6">#N/A</definedName>
    <definedName name="AA_7_7">#N/A</definedName>
    <definedName name="AA_7_8">#N/A</definedName>
    <definedName name="AA_7_9">#N/A</definedName>
    <definedName name="AA_70" localSheetId="2">RESUMO!AA_70</definedName>
    <definedName name="AA_70">AA_70</definedName>
    <definedName name="AA_71" localSheetId="2">RESUMO!AA_71</definedName>
    <definedName name="AA_71">AA_71</definedName>
    <definedName name="AA_72" localSheetId="2">RESUMO!AA_72</definedName>
    <definedName name="AA_72">AA_72</definedName>
    <definedName name="AA_8" localSheetId="2">RESUMO!AA_8</definedName>
    <definedName name="AA_8">AA_8</definedName>
    <definedName name="AA_8_10">#N/A</definedName>
    <definedName name="AA_8_12">#N/A</definedName>
    <definedName name="AA_8_13">#N/A</definedName>
    <definedName name="AA_8_15">#N/A</definedName>
    <definedName name="AA_8_5">#N/A</definedName>
    <definedName name="AA_8_6">#N/A</definedName>
    <definedName name="AA_8_7">#N/A</definedName>
    <definedName name="AA_8_8">#N/A</definedName>
    <definedName name="AA_8_9">#N/A</definedName>
    <definedName name="AA_9">#REF!</definedName>
    <definedName name="AA_9_10">#N/A</definedName>
    <definedName name="AA_9_12">#N/A</definedName>
    <definedName name="AA_9_13">#N/A</definedName>
    <definedName name="AA_9_15">#N/A</definedName>
    <definedName name="AA_9_5">#N/A</definedName>
    <definedName name="AA_9_6">#N/A</definedName>
    <definedName name="AA_9_7">#N/A</definedName>
    <definedName name="AA_9_8">#N/A</definedName>
    <definedName name="AA_9_9">#N/A</definedName>
    <definedName name="AAA" localSheetId="2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aaa" localSheetId="21">#REF!</definedName>
    <definedName name="aaa" localSheetId="0">[34]!aaa</definedName>
    <definedName name="aaa">[34]!aaa</definedName>
    <definedName name="aaa_1" localSheetId="20" hidden="1">{"'Quadro'!$A$4:$BG$78"}</definedName>
    <definedName name="aaa_1" hidden="1">{"'Quadro'!$A$4:$BG$78"}</definedName>
    <definedName name="aaa_1_1" localSheetId="20" hidden="1">{"'Quadro'!$A$4:$BG$78"}</definedName>
    <definedName name="aaa_1_1" hidden="1">{"'Quadro'!$A$4:$BG$78"}</definedName>
    <definedName name="aaa_1_1_1" localSheetId="20" hidden="1">{"'Quadro'!$A$4:$BG$78"}</definedName>
    <definedName name="aaa_1_1_1" hidden="1">{"'Quadro'!$A$4:$BG$78"}</definedName>
    <definedName name="aaa_1_2" localSheetId="20" hidden="1">{"'Quadro'!$A$4:$BG$78"}</definedName>
    <definedName name="aaa_1_2" hidden="1">{"'Quadro'!$A$4:$BG$78"}</definedName>
    <definedName name="aaa_2" localSheetId="20" hidden="1">{"'Quadro'!$A$4:$BG$78"}</definedName>
    <definedName name="aaa_2" hidden="1">{"'Quadro'!$A$4:$BG$78"}</definedName>
    <definedName name="AAA_DOCTOPS" hidden="1">"AAA_SET"</definedName>
    <definedName name="AAA_duser" hidden="1">"OFF"</definedName>
    <definedName name="aaaa" hidden="1">#REF!</definedName>
    <definedName name="aaa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0">#REF!</definedName>
    <definedName name="aaaa_12">#REF!</definedName>
    <definedName name="aaaa_15">#REF!</definedName>
    <definedName name="aaa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3">#REF!</definedName>
    <definedName name="aaaa_9">#REF!</definedName>
    <definedName name="aaaa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" localSheetId="21">#N/A</definedName>
    <definedName name="AAAAA">#N/A</definedName>
    <definedName name="aaaa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" localSheetId="21">#REF!</definedName>
    <definedName name="AAAAAA">[43]Teor!$A$3:$A$7</definedName>
    <definedName name="aaaaaaa" localSheetId="20" hidden="1">{"'CptDifn'!$AA$32:$AG$32"}</definedName>
    <definedName name="AAAAAAA" localSheetId="21">#N/A</definedName>
    <definedName name="AAAAAAA">#N/A</definedName>
    <definedName name="aaaaaaa_1" localSheetId="20" hidden="1">{"'CptDifn'!$AA$32:$AG$32"}</definedName>
    <definedName name="aaaaaaa_1" hidden="1">{"'CptDifn'!$AA$32:$AG$32"}</definedName>
    <definedName name="aaaaaaa_1_1" localSheetId="20" hidden="1">{"'CptDifn'!$AA$32:$AG$32"}</definedName>
    <definedName name="aaaaaaa_1_1" hidden="1">{"'CptDifn'!$AA$32:$AG$32"}</definedName>
    <definedName name="aaaaaaa_1_1_1" localSheetId="20" hidden="1">{"'CptDifn'!$AA$32:$AG$32"}</definedName>
    <definedName name="aaaaaaa_1_1_1" hidden="1">{"'CptDifn'!$AA$32:$AG$32"}</definedName>
    <definedName name="aaaaaaa_1_2" localSheetId="20" hidden="1">{"'CptDifn'!$AA$32:$AG$32"}</definedName>
    <definedName name="aaaaaaa_1_2" hidden="1">{"'CptDifn'!$AA$32:$AG$32"}</definedName>
    <definedName name="aaaaaaa_2" localSheetId="20" hidden="1">{"'CptDifn'!$AA$32:$AG$32"}</definedName>
    <definedName name="aaaaaaa_2" hidden="1">{"'CptDifn'!$AA$32:$AG$32"}</definedName>
    <definedName name="AAAAAAA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" localSheetId="21">#N/A</definedName>
    <definedName name="aaaaaaaa">#N/A</definedName>
    <definedName name="AAAAAAA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A" localSheetId="21">#REF!</definedName>
    <definedName name="AAAAAAAAA">'[40]CROQUIS DE DIST.'!AAAAAAAAA</definedName>
    <definedName name="AAAAAAAAA_10">#N/A</definedName>
    <definedName name="AAAAAAAAA_12">#N/A</definedName>
    <definedName name="AAAAAAAAA_13">#N/A</definedName>
    <definedName name="AAAAAAAAA_15">#N/A</definedName>
    <definedName name="AAAAAAAAA_5">#N/A</definedName>
    <definedName name="AAAAAAAAA_6">#N/A</definedName>
    <definedName name="AAAAAAAAA_7">#N/A</definedName>
    <definedName name="AAAAAAAAA_8">#N/A</definedName>
    <definedName name="AAAAAAAAA_9">#N/A</definedName>
    <definedName name="aaaaaaaaaa" hidden="1">#REF!</definedName>
    <definedName name="aaaaaaaaaaa" hidden="1">#REF!</definedName>
    <definedName name="aaaaaaaaaaaa" localSheetId="21">#N/A</definedName>
    <definedName name="aaaaaaaaaaaa">#N/A</definedName>
    <definedName name="AAAAAAAAAAAAA" localSheetId="21">#N/A</definedName>
    <definedName name="AAAAAAAAAAAAA">#N/A</definedName>
    <definedName name="aaaaaaaaaaaaa_1" localSheetId="20" hidden="1">{"'CptDifn'!$AA$32:$AG$32"}</definedName>
    <definedName name="aaaaaaaaaaaaa_1" hidden="1">{"'CptDifn'!$AA$32:$AG$32"}</definedName>
    <definedName name="aaaaaaaaaaaaa_1_1" localSheetId="20" hidden="1">{"'CptDifn'!$AA$32:$AG$32"}</definedName>
    <definedName name="aaaaaaaaaaaaa_1_1" hidden="1">{"'CptDifn'!$AA$32:$AG$32"}</definedName>
    <definedName name="aaaaaaaaaaaaa_1_1_1" localSheetId="20" hidden="1">{"'CptDifn'!$AA$32:$AG$32"}</definedName>
    <definedName name="aaaaaaaaaaaaa_1_1_1" hidden="1">{"'CptDifn'!$AA$32:$AG$32"}</definedName>
    <definedName name="aaaaaaaaaaaaa_1_2" localSheetId="20" hidden="1">{"'CptDifn'!$AA$32:$AG$32"}</definedName>
    <definedName name="aaaaaaaaaaaaa_1_2" hidden="1">{"'CptDifn'!$AA$32:$AG$32"}</definedName>
    <definedName name="aaaaaaaaaaaaa_2" localSheetId="20" hidden="1">{"'CptDifn'!$AA$32:$AG$32"}</definedName>
    <definedName name="aaaaaaaaaaaaa_2" hidden="1">{"'CptDifn'!$AA$32:$AG$32"}</definedName>
    <definedName name="aaaaaaaaaaaaaaa" hidden="1">#REF!</definedName>
    <definedName name="aaaaaaaaaaaaaaaaa" hidden="1">#REF!</definedName>
    <definedName name="aaaaaaaaaaaaaaaaaaa" hidden="1">#REF!</definedName>
    <definedName name="aaaaaaaaaaaaaaaaaaaaaaa" hidden="1">#REF!</definedName>
    <definedName name="aaaaaaaaaaaaaaaaaaaaaaaaaa" hidden="1">#REF!</definedName>
    <definedName name="aaas" localSheetId="20" hidden="1">{"'gráf jan00'!$A$1:$AK$41"}</definedName>
    <definedName name="aaas" hidden="1">{"'gráf jan00'!$A$1:$AK$41"}</definedName>
    <definedName name="aaas_1" localSheetId="20" hidden="1">{"'gráf jan00'!$A$1:$AK$41"}</definedName>
    <definedName name="aaas_1" hidden="1">{"'gráf jan00'!$A$1:$AK$41"}</definedName>
    <definedName name="aaas_1_1" localSheetId="20" hidden="1">{"'gráf jan00'!$A$1:$AK$41"}</definedName>
    <definedName name="aaas_1_1" hidden="1">{"'gráf jan00'!$A$1:$AK$41"}</definedName>
    <definedName name="aaas_1_1_1" localSheetId="20" hidden="1">{"'gráf jan00'!$A$1:$AK$41"}</definedName>
    <definedName name="aaas_1_1_1" hidden="1">{"'gráf jan00'!$A$1:$AK$41"}</definedName>
    <definedName name="aaas_1_2" localSheetId="20" hidden="1">{"'gráf jan00'!$A$1:$AK$41"}</definedName>
    <definedName name="aaas_1_2" hidden="1">{"'gráf jan00'!$A$1:$AK$41"}</definedName>
    <definedName name="aaas_2" localSheetId="20" hidden="1">{"'gráf jan00'!$A$1:$AK$41"}</definedName>
    <definedName name="aaas_2" hidden="1">{"'gráf jan00'!$A$1:$AK$41"}</definedName>
    <definedName name="AAB_Addin5" hidden="1">"AAB_Description for addin 5,Description for addin 5,Description for addin 5,Description for addin 5,Description for addin 5,Description for addin 5"</definedName>
    <definedName name="aaf" localSheetId="20" hidden="1">{"'CptDifn'!$AA$32:$AG$32"}</definedName>
    <definedName name="aaf" hidden="1">{"'CptDifn'!$AA$32:$AG$32"}</definedName>
    <definedName name="aaf_1" localSheetId="20" hidden="1">{"'CptDifn'!$AA$32:$AG$32"}</definedName>
    <definedName name="aaf_1" hidden="1">{"'CptDifn'!$AA$32:$AG$32"}</definedName>
    <definedName name="aaf_1_1" localSheetId="20" hidden="1">{"'CptDifn'!$AA$32:$AG$32"}</definedName>
    <definedName name="aaf_1_1" hidden="1">{"'CptDifn'!$AA$32:$AG$32"}</definedName>
    <definedName name="aaf_1_1_1" localSheetId="20" hidden="1">{"'CptDifn'!$AA$32:$AG$32"}</definedName>
    <definedName name="aaf_1_1_1" hidden="1">{"'CptDifn'!$AA$32:$AG$32"}</definedName>
    <definedName name="aaf_1_2" localSheetId="20" hidden="1">{"'CptDifn'!$AA$32:$AG$32"}</definedName>
    <definedName name="aaf_1_2" hidden="1">{"'CptDifn'!$AA$32:$AG$32"}</definedName>
    <definedName name="aaf_2" localSheetId="20" hidden="1">{"'CptDifn'!$AA$32:$AG$32"}</definedName>
    <definedName name="aaf_2" hidden="1">{"'CptDifn'!$AA$32:$AG$32"}</definedName>
    <definedName name="aasaasas" localSheetId="20" hidden="1">{#N/A,#N/A,TRUE,"indice";#N/A,#N/A,TRUE,"indicadores";#N/A,#N/A,TRUE,"comentarios"}</definedName>
    <definedName name="aasaasas" hidden="1">{#N/A,#N/A,TRUE,"indice";#N/A,#N/A,TRUE,"indicadores";#N/A,#N/A,TRUE,"comentarios"}</definedName>
    <definedName name="aasaasas_1" localSheetId="20" hidden="1">{#N/A,#N/A,TRUE,"indice";#N/A,#N/A,TRUE,"indicadores";#N/A,#N/A,TRUE,"comentarios"}</definedName>
    <definedName name="aasaasas_1" hidden="1">{#N/A,#N/A,TRUE,"indice";#N/A,#N/A,TRUE,"indicadores";#N/A,#N/A,TRUE,"comentarios"}</definedName>
    <definedName name="aasaasas_1_1" localSheetId="20" hidden="1">{#N/A,#N/A,TRUE,"indice";#N/A,#N/A,TRUE,"indicadores";#N/A,#N/A,TRUE,"comentarios"}</definedName>
    <definedName name="aasaasas_1_1" hidden="1">{#N/A,#N/A,TRUE,"indice";#N/A,#N/A,TRUE,"indicadores";#N/A,#N/A,TRUE,"comentarios"}</definedName>
    <definedName name="aasaasas_1_1_1" localSheetId="20" hidden="1">{#N/A,#N/A,TRUE,"indice";#N/A,#N/A,TRUE,"indicadores";#N/A,#N/A,TRUE,"comentarios"}</definedName>
    <definedName name="aasaasas_1_1_1" hidden="1">{#N/A,#N/A,TRUE,"indice";#N/A,#N/A,TRUE,"indicadores";#N/A,#N/A,TRUE,"comentarios"}</definedName>
    <definedName name="aasaasas_1_2" localSheetId="20" hidden="1">{#N/A,#N/A,TRUE,"indice";#N/A,#N/A,TRUE,"indicadores";#N/A,#N/A,TRUE,"comentarios"}</definedName>
    <definedName name="aasaasas_1_2" hidden="1">{#N/A,#N/A,TRUE,"indice";#N/A,#N/A,TRUE,"indicadores";#N/A,#N/A,TRUE,"comentarios"}</definedName>
    <definedName name="aasaasas_2" localSheetId="20" hidden="1">{#N/A,#N/A,TRUE,"indice";#N/A,#N/A,TRUE,"indicadores";#N/A,#N/A,TRUE,"comentarios"}</definedName>
    <definedName name="aasaasas_2" hidden="1">{#N/A,#N/A,TRUE,"indice";#N/A,#N/A,TRUE,"indicadores";#N/A,#N/A,TRUE,"comentarios"}</definedName>
    <definedName name="aasaasas1" localSheetId="20" hidden="1">{#N/A,#N/A,TRUE,"indice";#N/A,#N/A,TRUE,"indicadores";#N/A,#N/A,TRUE,"comentarios"}</definedName>
    <definedName name="aasaasas1" hidden="1">{#N/A,#N/A,TRUE,"indice";#N/A,#N/A,TRUE,"indicadores";#N/A,#N/A,TRUE,"comentarios"}</definedName>
    <definedName name="aasas">#REF!</definedName>
    <definedName name="aasas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sse" localSheetId="20" hidden="1">{"'RR'!$A$2:$E$81"}</definedName>
    <definedName name="aasse" hidden="1">{"'RR'!$A$2:$E$81"}</definedName>
    <definedName name="aasse_1" localSheetId="20" hidden="1">{"'RR'!$A$2:$E$81"}</definedName>
    <definedName name="aasse_1" hidden="1">{"'RR'!$A$2:$E$81"}</definedName>
    <definedName name="aasse_1_1" localSheetId="20" hidden="1">{"'RR'!$A$2:$E$81"}</definedName>
    <definedName name="aasse_1_1" hidden="1">{"'RR'!$A$2:$E$81"}</definedName>
    <definedName name="aasse_1_1_1" localSheetId="20" hidden="1">{"'RR'!$A$2:$E$81"}</definedName>
    <definedName name="aasse_1_1_1" hidden="1">{"'RR'!$A$2:$E$81"}</definedName>
    <definedName name="aasse_1_2" localSheetId="20" hidden="1">{"'RR'!$A$2:$E$81"}</definedName>
    <definedName name="aasse_1_2" hidden="1">{"'RR'!$A$2:$E$81"}</definedName>
    <definedName name="aasse_2" localSheetId="20" hidden="1">{"'RR'!$A$2:$E$81"}</definedName>
    <definedName name="aasse_2" hidden="1">{"'RR'!$A$2:$E$81"}</definedName>
    <definedName name="aauf">'[44]Resumo Financeiro'!#REF!</definedName>
    <definedName name="aauq">'[44]Resumo Financeiro'!#REF!</definedName>
    <definedName name="AB" localSheetId="21">#REF!</definedName>
    <definedName name="AB" localSheetId="2">RESUMO!AB</definedName>
    <definedName name="AB">AB</definedName>
    <definedName name="ab_1" localSheetId="20" hidden="1">{#N/A,#N/A,FALSE,"ET-CAPA";#N/A,#N/A,FALSE,"ET-PAG1";#N/A,#N/A,FALSE,"ET-PAG2";#N/A,#N/A,FALSE,"ET-PAG3";#N/A,#N/A,FALSE,"ET-PAG4";#N/A,#N/A,FALSE,"ET-PAG5"}</definedName>
    <definedName name="ab_1" hidden="1">{#N/A,#N/A,FALSE,"ET-CAPA";#N/A,#N/A,FALSE,"ET-PAG1";#N/A,#N/A,FALSE,"ET-PAG2";#N/A,#N/A,FALSE,"ET-PAG3";#N/A,#N/A,FALSE,"ET-PAG4";#N/A,#N/A,FALSE,"ET-PAG5"}</definedName>
    <definedName name="ab_1_1" localSheetId="20" hidden="1">{#N/A,#N/A,FALSE,"ET-CAPA";#N/A,#N/A,FALSE,"ET-PAG1";#N/A,#N/A,FALSE,"ET-PAG2";#N/A,#N/A,FALSE,"ET-PAG3";#N/A,#N/A,FALSE,"ET-PAG4";#N/A,#N/A,FALSE,"ET-PAG5"}</definedName>
    <definedName name="ab_1_1" hidden="1">{#N/A,#N/A,FALSE,"ET-CAPA";#N/A,#N/A,FALSE,"ET-PAG1";#N/A,#N/A,FALSE,"ET-PAG2";#N/A,#N/A,FALSE,"ET-PAG3";#N/A,#N/A,FALSE,"ET-PAG4";#N/A,#N/A,FALSE,"ET-PAG5"}</definedName>
    <definedName name="ab_1_1_1" localSheetId="20" hidden="1">{#N/A,#N/A,FALSE,"ET-CAPA";#N/A,#N/A,FALSE,"ET-PAG1";#N/A,#N/A,FALSE,"ET-PAG2";#N/A,#N/A,FALSE,"ET-PAG3";#N/A,#N/A,FALSE,"ET-PAG4";#N/A,#N/A,FALSE,"ET-PAG5"}</definedName>
    <definedName name="ab_1_1_1" hidden="1">{#N/A,#N/A,FALSE,"ET-CAPA";#N/A,#N/A,FALSE,"ET-PAG1";#N/A,#N/A,FALSE,"ET-PAG2";#N/A,#N/A,FALSE,"ET-PAG3";#N/A,#N/A,FALSE,"ET-PAG4";#N/A,#N/A,FALSE,"ET-PAG5"}</definedName>
    <definedName name="ab_1_2" localSheetId="20" hidden="1">{#N/A,#N/A,FALSE,"ET-CAPA";#N/A,#N/A,FALSE,"ET-PAG1";#N/A,#N/A,FALSE,"ET-PAG2";#N/A,#N/A,FALSE,"ET-PAG3";#N/A,#N/A,FALSE,"ET-PAG4";#N/A,#N/A,FALSE,"ET-PAG5"}</definedName>
    <definedName name="ab_1_2" hidden="1">{#N/A,#N/A,FALSE,"ET-CAPA";#N/A,#N/A,FALSE,"ET-PAG1";#N/A,#N/A,FALSE,"ET-PAG2";#N/A,#N/A,FALSE,"ET-PAG3";#N/A,#N/A,FALSE,"ET-PAG4";#N/A,#N/A,FALSE,"ET-PAG5"}</definedName>
    <definedName name="AB_10">#N/A</definedName>
    <definedName name="AB_12">#N/A</definedName>
    <definedName name="AB_13">#N/A</definedName>
    <definedName name="AB_15">#N/A</definedName>
    <definedName name="ab_2" localSheetId="20" hidden="1">{#N/A,#N/A,FALSE,"ET-CAPA";#N/A,#N/A,FALSE,"ET-PAG1";#N/A,#N/A,FALSE,"ET-PAG2";#N/A,#N/A,FALSE,"ET-PAG3";#N/A,#N/A,FALSE,"ET-PAG4";#N/A,#N/A,FALSE,"ET-PAG5"}</definedName>
    <definedName name="ab_2" hidden="1">{#N/A,#N/A,FALSE,"ET-CAPA";#N/A,#N/A,FALSE,"ET-PAG1";#N/A,#N/A,FALSE,"ET-PAG2";#N/A,#N/A,FALSE,"ET-PAG3";#N/A,#N/A,FALSE,"ET-PAG4";#N/A,#N/A,FALSE,"ET-PAG5"}</definedName>
    <definedName name="AB_5">#N/A</definedName>
    <definedName name="AB_6">#N/A</definedName>
    <definedName name="AB_7">#N/A</definedName>
    <definedName name="AB_8" localSheetId="21">#REF!</definedName>
    <definedName name="AB_8">#N/A</definedName>
    <definedName name="AB_9" localSheetId="21">#REF!</definedName>
    <definedName name="AB_9">#N/A</definedName>
    <definedName name="Abalroamento" localSheetId="20" hidden="1">{"'Quadro'!$A$4:$BG$78"}</definedName>
    <definedName name="Abalroamento" hidden="1">{"'Quadro'!$A$4:$BG$78"}</definedName>
    <definedName name="Abalroamento_1" localSheetId="20" hidden="1">{"'Quadro'!$A$4:$BG$78"}</definedName>
    <definedName name="Abalroamento_1" hidden="1">{"'Quadro'!$A$4:$BG$78"}</definedName>
    <definedName name="Abalroamento_1_1" localSheetId="20" hidden="1">{"'Quadro'!$A$4:$BG$78"}</definedName>
    <definedName name="Abalroamento_1_1" hidden="1">{"'Quadro'!$A$4:$BG$78"}</definedName>
    <definedName name="Abalroamento_1_1_1" localSheetId="20" hidden="1">{"'Quadro'!$A$4:$BG$78"}</definedName>
    <definedName name="Abalroamento_1_1_1" hidden="1">{"'Quadro'!$A$4:$BG$78"}</definedName>
    <definedName name="Abalroamento_1_2" localSheetId="20" hidden="1">{"'Quadro'!$A$4:$BG$78"}</definedName>
    <definedName name="Abalroamento_1_2" hidden="1">{"'Quadro'!$A$4:$BG$78"}</definedName>
    <definedName name="Abalroamento_2" localSheetId="20" hidden="1">{"'Quadro'!$A$4:$BG$78"}</definedName>
    <definedName name="Abalroamento_2" hidden="1">{"'Quadro'!$A$4:$BG$78"}</definedName>
    <definedName name="ab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" localSheetId="21">#REF!</definedName>
    <definedName name="abc">'[40]CROQUIS DE DIST.'!abc</definedName>
    <definedName name="ABC.XLS" localSheetId="20" hidden="1">{"'Quadro'!$A$4:$BG$78"}</definedName>
    <definedName name="ABC.XLS" hidden="1">{"'Quadro'!$A$4:$BG$78"}</definedName>
    <definedName name="ABC.XLS_1" localSheetId="20" hidden="1">{"'Quadro'!$A$4:$BG$78"}</definedName>
    <definedName name="ABC.XLS_1" hidden="1">{"'Quadro'!$A$4:$BG$78"}</definedName>
    <definedName name="ABC.XLS_1_1" localSheetId="20" hidden="1">{"'Quadro'!$A$4:$BG$78"}</definedName>
    <definedName name="ABC.XLS_1_1" hidden="1">{"'Quadro'!$A$4:$BG$78"}</definedName>
    <definedName name="ABC.XLS_1_1_1" localSheetId="20" hidden="1">{"'Quadro'!$A$4:$BG$78"}</definedName>
    <definedName name="ABC.XLS_1_1_1" hidden="1">{"'Quadro'!$A$4:$BG$78"}</definedName>
    <definedName name="ABC.XLS_1_2" localSheetId="20" hidden="1">{"'Quadro'!$A$4:$BG$78"}</definedName>
    <definedName name="ABC.XLS_1_2" hidden="1">{"'Quadro'!$A$4:$BG$78"}</definedName>
    <definedName name="ABC.XLS_2" localSheetId="20" hidden="1">{"'Quadro'!$A$4:$BG$78"}</definedName>
    <definedName name="ABC.XLS_2" hidden="1">{"'Quadro'!$A$4:$BG$78"}</definedName>
    <definedName name="abc_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_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_1" localSheetId="20" hidden="1">{#N/A,#N/A,FALSE,"ET-CAPA";#N/A,#N/A,FALSE,"ET-PAG1";#N/A,#N/A,FALSE,"ET-PAG2";#N/A,#N/A,FALSE,"ET-PAG3";#N/A,#N/A,FALSE,"ET-PAG4";#N/A,#N/A,FALSE,"ET-PAG5"}</definedName>
    <definedName name="abc_1" hidden="1">{#N/A,#N/A,FALSE,"ET-CAPA";#N/A,#N/A,FALSE,"ET-PAG1";#N/A,#N/A,FALSE,"ET-PAG2";#N/A,#N/A,FALSE,"ET-PAG3";#N/A,#N/A,FALSE,"ET-PAG4";#N/A,#N/A,FALSE,"ET-PAG5"}</definedName>
    <definedName name="abc_1_1" localSheetId="20" hidden="1">{#N/A,#N/A,FALSE,"ET-CAPA";#N/A,#N/A,FALSE,"ET-PAG1";#N/A,#N/A,FALSE,"ET-PAG2";#N/A,#N/A,FALSE,"ET-PAG3";#N/A,#N/A,FALSE,"ET-PAG4";#N/A,#N/A,FALSE,"ET-PAG5"}</definedName>
    <definedName name="abc_1_1" hidden="1">{#N/A,#N/A,FALSE,"ET-CAPA";#N/A,#N/A,FALSE,"ET-PAG1";#N/A,#N/A,FALSE,"ET-PAG2";#N/A,#N/A,FALSE,"ET-PAG3";#N/A,#N/A,FALSE,"ET-PAG4";#N/A,#N/A,FALSE,"ET-PAG5"}</definedName>
    <definedName name="abc_1_1_1" localSheetId="20" hidden="1">{#N/A,#N/A,FALSE,"ET-CAPA";#N/A,#N/A,FALSE,"ET-PAG1";#N/A,#N/A,FALSE,"ET-PAG2";#N/A,#N/A,FALSE,"ET-PAG3";#N/A,#N/A,FALSE,"ET-PAG4";#N/A,#N/A,FALSE,"ET-PAG5"}</definedName>
    <definedName name="abc_1_1_1" hidden="1">{#N/A,#N/A,FALSE,"ET-CAPA";#N/A,#N/A,FALSE,"ET-PAG1";#N/A,#N/A,FALSE,"ET-PAG2";#N/A,#N/A,FALSE,"ET-PAG3";#N/A,#N/A,FALSE,"ET-PAG4";#N/A,#N/A,FALSE,"ET-PAG5"}</definedName>
    <definedName name="abc_1_2" localSheetId="20" hidden="1">{#N/A,#N/A,FALSE,"ET-CAPA";#N/A,#N/A,FALSE,"ET-PAG1";#N/A,#N/A,FALSE,"ET-PAG2";#N/A,#N/A,FALSE,"ET-PAG3";#N/A,#N/A,FALSE,"ET-PAG4";#N/A,#N/A,FALSE,"ET-PAG5"}</definedName>
    <definedName name="abc_1_2" hidden="1">{#N/A,#N/A,FALSE,"ET-CAPA";#N/A,#N/A,FALSE,"ET-PAG1";#N/A,#N/A,FALSE,"ET-PAG2";#N/A,#N/A,FALSE,"ET-PAG3";#N/A,#N/A,FALSE,"ET-PAG4";#N/A,#N/A,FALSE,"ET-PAG5"}</definedName>
    <definedName name="abc_2" localSheetId="20" hidden="1">{#N/A,#N/A,FALSE,"ET-CAPA";#N/A,#N/A,FALSE,"ET-PAG1";#N/A,#N/A,FALSE,"ET-PAG2";#N/A,#N/A,FALSE,"ET-PAG3";#N/A,#N/A,FALSE,"ET-PAG4";#N/A,#N/A,FALSE,"ET-PAG5"}</definedName>
    <definedName name="abc_2" hidden="1">{#N/A,#N/A,FALSE,"ET-CAPA";#N/A,#N/A,FALSE,"ET-PAG1";#N/A,#N/A,FALSE,"ET-PAG2";#N/A,#N/A,FALSE,"ET-PAG3";#N/A,#N/A,FALSE,"ET-PAG4";#N/A,#N/A,FALSE,"ET-PAG5"}</definedName>
    <definedName name="abcd" localSheetId="20" hidden="1">{#N/A,#N/A,FALSE,"PCOL"}</definedName>
    <definedName name="abcd" hidden="1">{#N/A,#N/A,FALSE,"PCOL"}</definedName>
    <definedName name="abcd_1" localSheetId="20" hidden="1">{#N/A,#N/A,FALSE,"PCOL"}</definedName>
    <definedName name="abcd_1" hidden="1">{#N/A,#N/A,FALSE,"PCOL"}</definedName>
    <definedName name="abcd_1_1" localSheetId="20" hidden="1">{#N/A,#N/A,FALSE,"PCOL"}</definedName>
    <definedName name="abcd_1_1" hidden="1">{#N/A,#N/A,FALSE,"PCOL"}</definedName>
    <definedName name="abcd_1_1_1" localSheetId="20" hidden="1">{#N/A,#N/A,FALSE,"PCOL"}</definedName>
    <definedName name="abcd_1_1_1" hidden="1">{#N/A,#N/A,FALSE,"PCOL"}</definedName>
    <definedName name="abcd_1_2" localSheetId="20" hidden="1">{#N/A,#N/A,FALSE,"PCOL"}</definedName>
    <definedName name="abcd_1_2" hidden="1">{#N/A,#N/A,FALSE,"PCOL"}</definedName>
    <definedName name="abcd_2" localSheetId="20" hidden="1">{#N/A,#N/A,FALSE,"PCOL"}</definedName>
    <definedName name="abcd_2" hidden="1">{#N/A,#N/A,FALSE,"PCOL"}</definedName>
    <definedName name="abcde" localSheetId="20" hidden="1">{#N/A,#N/A,FALSE,"PCOL"}</definedName>
    <definedName name="abcde" hidden="1">{#N/A,#N/A,FALSE,"PCOL"}</definedName>
    <definedName name="abcde_1" localSheetId="20" hidden="1">{#N/A,#N/A,FALSE,"PCOL"}</definedName>
    <definedName name="abcde_1" hidden="1">{#N/A,#N/A,FALSE,"PCOL"}</definedName>
    <definedName name="abcde_1_1" localSheetId="20" hidden="1">{#N/A,#N/A,FALSE,"PCOL"}</definedName>
    <definedName name="abcde_1_1" hidden="1">{#N/A,#N/A,FALSE,"PCOL"}</definedName>
    <definedName name="abcde_1_1_1" localSheetId="20" hidden="1">{#N/A,#N/A,FALSE,"PCOL"}</definedName>
    <definedName name="abcde_1_1_1" hidden="1">{#N/A,#N/A,FALSE,"PCOL"}</definedName>
    <definedName name="abcde_1_2" localSheetId="20" hidden="1">{#N/A,#N/A,FALSE,"PCOL"}</definedName>
    <definedName name="abcde_1_2" hidden="1">{#N/A,#N/A,FALSE,"PCOL"}</definedName>
    <definedName name="abcde_2" localSheetId="20" hidden="1">{#N/A,#N/A,FALSE,"PCOL"}</definedName>
    <definedName name="abcde_2" hidden="1">{#N/A,#N/A,FALSE,"PCOL"}</definedName>
    <definedName name="ABD" localSheetId="20" hidden="1">{"'Quadro'!$A$4:$BG$78"}</definedName>
    <definedName name="ABD" hidden="1">{"'Quadro'!$A$4:$BG$78"}</definedName>
    <definedName name="ABD_1" localSheetId="20" hidden="1">{"'Quadro'!$A$4:$BG$78"}</definedName>
    <definedName name="ABD_1" hidden="1">{"'Quadro'!$A$4:$BG$78"}</definedName>
    <definedName name="ABD_1_1" localSheetId="20" hidden="1">{"'Quadro'!$A$4:$BG$78"}</definedName>
    <definedName name="ABD_1_1" hidden="1">{"'Quadro'!$A$4:$BG$78"}</definedName>
    <definedName name="ABD_1_1_1" localSheetId="20" hidden="1">{"'Quadro'!$A$4:$BG$78"}</definedName>
    <definedName name="ABD_1_1_1" hidden="1">{"'Quadro'!$A$4:$BG$78"}</definedName>
    <definedName name="ABD_1_2" localSheetId="20" hidden="1">{"'Quadro'!$A$4:$BG$78"}</definedName>
    <definedName name="ABD_1_2" hidden="1">{"'Quadro'!$A$4:$BG$78"}</definedName>
    <definedName name="ABD_2" localSheetId="20" hidden="1">{"'Quadro'!$A$4:$BG$78"}</definedName>
    <definedName name="ABD_2" hidden="1">{"'Quadro'!$A$4:$BG$78"}</definedName>
    <definedName name="abobora.xls" localSheetId="20" hidden="1">{"'Quadro'!$A$4:$BG$78"}</definedName>
    <definedName name="abobora.xls" hidden="1">{"'Quadro'!$A$4:$BG$78"}</definedName>
    <definedName name="abobora.xls_1" localSheetId="20" hidden="1">{"'Quadro'!$A$4:$BG$78"}</definedName>
    <definedName name="abobora.xls_1" hidden="1">{"'Quadro'!$A$4:$BG$78"}</definedName>
    <definedName name="abobora.xls_1_1" localSheetId="20" hidden="1">{"'Quadro'!$A$4:$BG$78"}</definedName>
    <definedName name="abobora.xls_1_1" hidden="1">{"'Quadro'!$A$4:$BG$78"}</definedName>
    <definedName name="abobora.xls_1_1_1" localSheetId="20" hidden="1">{"'Quadro'!$A$4:$BG$78"}</definedName>
    <definedName name="abobora.xls_1_1_1" hidden="1">{"'Quadro'!$A$4:$BG$78"}</definedName>
    <definedName name="abobora.xls_1_2" localSheetId="20" hidden="1">{"'Quadro'!$A$4:$BG$78"}</definedName>
    <definedName name="abobora.xls_1_2" hidden="1">{"'Quadro'!$A$4:$BG$78"}</definedName>
    <definedName name="abobora.xls_2" localSheetId="20" hidden="1">{"'Quadro'!$A$4:$BG$78"}</definedName>
    <definedName name="abobora.xls_2" hidden="1">{"'Quadro'!$A$4:$BG$78"}</definedName>
    <definedName name="ABR00">[35]Consultoria!#REF!</definedName>
    <definedName name="ABRA">#REF!</definedName>
    <definedName name="abril">#REF!</definedName>
    <definedName name="AC">#REF!</definedName>
    <definedName name="ac_1" localSheetId="20" hidden="1">{"'CptDifn'!$AA$32:$AG$32"}</definedName>
    <definedName name="ac_1" hidden="1">{"'CptDifn'!$AA$32:$AG$32"}</definedName>
    <definedName name="ac_1_1" localSheetId="20" hidden="1">{"'CptDifn'!$AA$32:$AG$32"}</definedName>
    <definedName name="ac_1_1" hidden="1">{"'CptDifn'!$AA$32:$AG$32"}</definedName>
    <definedName name="ac_1_1_1" localSheetId="20" hidden="1">{"'CptDifn'!$AA$32:$AG$32"}</definedName>
    <definedName name="ac_1_1_1" hidden="1">{"'CptDifn'!$AA$32:$AG$32"}</definedName>
    <definedName name="ac_1_2" localSheetId="20" hidden="1">{"'CptDifn'!$AA$32:$AG$32"}</definedName>
    <definedName name="ac_1_2" hidden="1">{"'CptDifn'!$AA$32:$AG$32"}</definedName>
    <definedName name="ac_2" localSheetId="20" hidden="1">{"'CptDifn'!$AA$32:$AG$32"}</definedName>
    <definedName name="ac_2" hidden="1">{"'CptDifn'!$AA$32:$AG$32"}</definedName>
    <definedName name="acabamentos">#REF!</definedName>
    <definedName name="acabamentos_1">#REF!</definedName>
    <definedName name="acabamentos_10">#REF!</definedName>
    <definedName name="acabamentos_12">#REF!</definedName>
    <definedName name="acabamentos_2">#REF!</definedName>
    <definedName name="acabamentos_3">#REF!</definedName>
    <definedName name="acabamentos_4">#REF!</definedName>
    <definedName name="acabamentos_9">#REF!</definedName>
    <definedName name="ACAP20">#REF!</definedName>
    <definedName name="AccessDatabase" hidden="1">"D:\Arquivos do excel\Planilha modelo1.mdb"</definedName>
    <definedName name="acha.coluna">#REF!</definedName>
    <definedName name="acha.dados">#REF!</definedName>
    <definedName name="acha.linha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idente" localSheetId="20" hidden="1">{"'gráf jan00'!$A$1:$AK$41"}</definedName>
    <definedName name="Acidente" hidden="1">{"'gráf jan00'!$A$1:$AK$41"}</definedName>
    <definedName name="Acidente_1" localSheetId="20" hidden="1">{"'gráf jan00'!$A$1:$AK$41"}</definedName>
    <definedName name="Acidente_1" hidden="1">{"'gráf jan00'!$A$1:$AK$41"}</definedName>
    <definedName name="Acidente_1_1" localSheetId="20" hidden="1">{"'gráf jan00'!$A$1:$AK$41"}</definedName>
    <definedName name="Acidente_1_1" hidden="1">{"'gráf jan00'!$A$1:$AK$41"}</definedName>
    <definedName name="Acidente_1_1_1" localSheetId="20" hidden="1">{"'gráf jan00'!$A$1:$AK$41"}</definedName>
    <definedName name="Acidente_1_1_1" hidden="1">{"'gráf jan00'!$A$1:$AK$41"}</definedName>
    <definedName name="Acidente_1_2" localSheetId="20" hidden="1">{"'gráf jan00'!$A$1:$AK$41"}</definedName>
    <definedName name="Acidente_1_2" hidden="1">{"'gráf jan00'!$A$1:$AK$41"}</definedName>
    <definedName name="Acidente_2" localSheetId="20" hidden="1">{"'gráf jan00'!$A$1:$AK$41"}</definedName>
    <definedName name="Acidente_2" hidden="1">{"'gráf jan00'!$A$1:$AK$41"}</definedName>
    <definedName name="AÇO" localSheetId="20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20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20" hidden="1">{#N/A,#N/A,FALSE,"LEVFER V2 P";#N/A,#N/A,FALSE,"LEVFER V2 P10%"}</definedName>
    <definedName name="aço2" hidden="1">{#N/A,#N/A,FALSE,"LEVFER V2 P";#N/A,#N/A,FALSE,"LEVFER V2 P10%"}</definedName>
    <definedName name="aço2_1" localSheetId="20" hidden="1">{#N/A,#N/A,FALSE,"LEVFER V2 P";#N/A,#N/A,FALSE,"LEVFER V2 P10%"}</definedName>
    <definedName name="aço2_1" hidden="1">{#N/A,#N/A,FALSE,"LEVFER V2 P";#N/A,#N/A,FALSE,"LEVFER V2 P10%"}</definedName>
    <definedName name="Ações" hidden="1">"11/10/99"</definedName>
    <definedName name="acost" localSheetId="20" hidden="1">{#N/A,#N/A,TRUE,"Serviços"}</definedName>
    <definedName name="acost" hidden="1">{#N/A,#N/A,TRUE,"Serviços"}</definedName>
    <definedName name="ACOSTD">#REF!</definedName>
    <definedName name="ACOSTD_11">#REF!</definedName>
    <definedName name="ACOSTD_15">#REF!</definedName>
    <definedName name="ACOSTLE">#REF!</definedName>
    <definedName name="ACOSTLE_11">#REF!</definedName>
    <definedName name="ACOSTLE_15">#REF!</definedName>
    <definedName name="ACRES">NA()</definedName>
    <definedName name="acrescimo">#REF!</definedName>
    <definedName name="Acréscimo" localSheetId="1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 hidden="1">#REF!</definedName>
    <definedName name="ad_1" localSheetId="20" hidden="1">{"'Quadro'!$A$4:$BG$78"}</definedName>
    <definedName name="ad_1" hidden="1">{"'Quadro'!$A$4:$BG$78"}</definedName>
    <definedName name="ad_1_1" localSheetId="20" hidden="1">{"'Quadro'!$A$4:$BG$78"}</definedName>
    <definedName name="ad_1_1" hidden="1">{"'Quadro'!$A$4:$BG$78"}</definedName>
    <definedName name="ad_1_1_1" localSheetId="20" hidden="1">{"'Quadro'!$A$4:$BG$78"}</definedName>
    <definedName name="ad_1_1_1" hidden="1">{"'Quadro'!$A$4:$BG$78"}</definedName>
    <definedName name="ad_1_2" localSheetId="20" hidden="1">{"'Quadro'!$A$4:$BG$78"}</definedName>
    <definedName name="ad_1_2" hidden="1">{"'Quadro'!$A$4:$BG$78"}</definedName>
    <definedName name="ad_2" localSheetId="20" hidden="1">{"'Quadro'!$A$4:$BG$78"}</definedName>
    <definedName name="ad_2" hidden="1">{"'Quadro'!$A$4:$BG$78"}</definedName>
    <definedName name="adasdad" localSheetId="20" hidden="1">{"'gráf jan00'!$A$1:$AK$41"}</definedName>
    <definedName name="adasdad" hidden="1">{"'gráf jan00'!$A$1:$AK$41"}</definedName>
    <definedName name="adasdad_1" localSheetId="20" hidden="1">{"'gráf jan00'!$A$1:$AK$41"}</definedName>
    <definedName name="adasdad_1" hidden="1">{"'gráf jan00'!$A$1:$AK$41"}</definedName>
    <definedName name="adasdad_1_1" localSheetId="20" hidden="1">{"'gráf jan00'!$A$1:$AK$41"}</definedName>
    <definedName name="adasdad_1_1" hidden="1">{"'gráf jan00'!$A$1:$AK$41"}</definedName>
    <definedName name="adasdad_1_1_1" localSheetId="20" hidden="1">{"'gráf jan00'!$A$1:$AK$41"}</definedName>
    <definedName name="adasdad_1_1_1" hidden="1">{"'gráf jan00'!$A$1:$AK$41"}</definedName>
    <definedName name="adasdad_1_2" localSheetId="20" hidden="1">{"'gráf jan00'!$A$1:$AK$41"}</definedName>
    <definedName name="adasdad_1_2" hidden="1">{"'gráf jan00'!$A$1:$AK$41"}</definedName>
    <definedName name="adasdad_2" localSheetId="20" hidden="1">{"'gráf jan00'!$A$1:$AK$41"}</definedName>
    <definedName name="adasdad_2" hidden="1">{"'gráf jan00'!$A$1:$AK$41"}</definedName>
    <definedName name="addd" localSheetId="20" hidden="1">{#N/A,#N/A,FALSE,"Radar CONS Mês e Acum  3";#N/A,#N/A,FALSE,"Radar CONS Acum 4"}</definedName>
    <definedName name="addd" hidden="1">{#N/A,#N/A,FALSE,"Radar CONS Mês e Acum  3";#N/A,#N/A,FALSE,"Radar CONS Acum 4"}</definedName>
    <definedName name="addd_1" localSheetId="20" hidden="1">{#N/A,#N/A,FALSE,"Radar CONS Mês e Acum  3";#N/A,#N/A,FALSE,"Radar CONS Acum 4"}</definedName>
    <definedName name="addd_1" hidden="1">{#N/A,#N/A,FALSE,"Radar CONS Mês e Acum  3";#N/A,#N/A,FALSE,"Radar CONS Acum 4"}</definedName>
    <definedName name="addd_1_1" localSheetId="20" hidden="1">{#N/A,#N/A,FALSE,"Radar CONS Mês e Acum  3";#N/A,#N/A,FALSE,"Radar CONS Acum 4"}</definedName>
    <definedName name="addd_1_1" hidden="1">{#N/A,#N/A,FALSE,"Radar CONS Mês e Acum  3";#N/A,#N/A,FALSE,"Radar CONS Acum 4"}</definedName>
    <definedName name="addd_1_1_1" localSheetId="20" hidden="1">{#N/A,#N/A,FALSE,"Radar CONS Mês e Acum  3";#N/A,#N/A,FALSE,"Radar CONS Acum 4"}</definedName>
    <definedName name="addd_1_1_1" hidden="1">{#N/A,#N/A,FALSE,"Radar CONS Mês e Acum  3";#N/A,#N/A,FALSE,"Radar CONS Acum 4"}</definedName>
    <definedName name="addd_1_2" localSheetId="20" hidden="1">{#N/A,#N/A,FALSE,"Radar CONS Mês e Acum  3";#N/A,#N/A,FALSE,"Radar CONS Acum 4"}</definedName>
    <definedName name="addd_1_2" hidden="1">{#N/A,#N/A,FALSE,"Radar CONS Mês e Acum  3";#N/A,#N/A,FALSE,"Radar CONS Acum 4"}</definedName>
    <definedName name="addd_2" localSheetId="20" hidden="1">{#N/A,#N/A,FALSE,"Radar CONS Mês e Acum  3";#N/A,#N/A,FALSE,"Radar CONS Acum 4"}</definedName>
    <definedName name="addd_2" hidden="1">{#N/A,#N/A,FALSE,"Radar CONS Mês e Acum  3";#N/A,#N/A,FALSE,"Radar CONS Acum 4"}</definedName>
    <definedName name="ADED" localSheetId="20" hidden="1">{"'gráf jan00'!$A$1:$AK$41"}</definedName>
    <definedName name="ADED" hidden="1">{"'gráf jan00'!$A$1:$AK$41"}</definedName>
    <definedName name="ADED_1" localSheetId="20" hidden="1">{"'gráf jan00'!$A$1:$AK$41"}</definedName>
    <definedName name="ADED_1" hidden="1">{"'gráf jan00'!$A$1:$AK$41"}</definedName>
    <definedName name="ADED_1_1" localSheetId="20" hidden="1">{"'gráf jan00'!$A$1:$AK$41"}</definedName>
    <definedName name="ADED_1_1" hidden="1">{"'gráf jan00'!$A$1:$AK$41"}</definedName>
    <definedName name="ADED_1_1_1" localSheetId="20" hidden="1">{"'gráf jan00'!$A$1:$AK$41"}</definedName>
    <definedName name="ADED_1_1_1" hidden="1">{"'gráf jan00'!$A$1:$AK$41"}</definedName>
    <definedName name="ADED_1_2" localSheetId="20" hidden="1">{"'gráf jan00'!$A$1:$AK$41"}</definedName>
    <definedName name="ADED_1_2" hidden="1">{"'gráf jan00'!$A$1:$AK$41"}</definedName>
    <definedName name="ADED_2" localSheetId="20" hidden="1">{"'gráf jan00'!$A$1:$AK$41"}</definedName>
    <definedName name="ADED_2" hidden="1">{"'gráf jan00'!$A$1:$AK$41"}</definedName>
    <definedName name="ademir" localSheetId="20" hidden="1">{#N/A,#N/A,FALSE,"Cronograma";#N/A,#N/A,FALSE,"Cronogr. 2"}</definedName>
    <definedName name="ademir" hidden="1">{#N/A,#N/A,FALSE,"Cronograma";#N/A,#N/A,FALSE,"Cronogr. 2"}</definedName>
    <definedName name="ademir_1" localSheetId="20" hidden="1">{#N/A,#N/A,FALSE,"Cronograma";#N/A,#N/A,FALSE,"Cronogr. 2"}</definedName>
    <definedName name="ademir_1" hidden="1">{#N/A,#N/A,FALSE,"Cronograma";#N/A,#N/A,FALSE,"Cronogr. 2"}</definedName>
    <definedName name="ademir_1_1" localSheetId="20" hidden="1">{#N/A,#N/A,FALSE,"Cronograma";#N/A,#N/A,FALSE,"Cronogr. 2"}</definedName>
    <definedName name="ademir_1_1" hidden="1">{#N/A,#N/A,FALSE,"Cronograma";#N/A,#N/A,FALSE,"Cronogr. 2"}</definedName>
    <definedName name="ademir_1_1_1" localSheetId="20" hidden="1">{#N/A,#N/A,FALSE,"Cronograma";#N/A,#N/A,FALSE,"Cronogr. 2"}</definedName>
    <definedName name="ademir_1_1_1" hidden="1">{#N/A,#N/A,FALSE,"Cronograma";#N/A,#N/A,FALSE,"Cronogr. 2"}</definedName>
    <definedName name="ademir_1_2" localSheetId="20" hidden="1">{#N/A,#N/A,FALSE,"Cronograma";#N/A,#N/A,FALSE,"Cronogr. 2"}</definedName>
    <definedName name="ademir_1_2" hidden="1">{#N/A,#N/A,FALSE,"Cronograma";#N/A,#N/A,FALSE,"Cronogr. 2"}</definedName>
    <definedName name="ademir_2" localSheetId="20" hidden="1">{#N/A,#N/A,FALSE,"Cronograma";#N/A,#N/A,FALSE,"Cronogr. 2"}</definedName>
    <definedName name="ademir_2" hidden="1">{#N/A,#N/A,FALSE,"Cronograma";#N/A,#N/A,FALSE,"Cronogr. 2"}</definedName>
    <definedName name="Adequaqção" localSheetId="20" hidden="1">{"'gráf jan00'!$A$1:$AK$41"}</definedName>
    <definedName name="Adequaqção" hidden="1">{"'gráf jan00'!$A$1:$AK$41"}</definedName>
    <definedName name="Adequaqção_1" localSheetId="20" hidden="1">{"'gráf jan00'!$A$1:$AK$41"}</definedName>
    <definedName name="Adequaqção_1" hidden="1">{"'gráf jan00'!$A$1:$AK$41"}</definedName>
    <definedName name="Adequaqção_1_1" localSheetId="20" hidden="1">{"'gráf jan00'!$A$1:$AK$41"}</definedName>
    <definedName name="Adequaqção_1_1" hidden="1">{"'gráf jan00'!$A$1:$AK$41"}</definedName>
    <definedName name="Adequaqção_1_1_1" localSheetId="20" hidden="1">{"'gráf jan00'!$A$1:$AK$41"}</definedName>
    <definedName name="Adequaqção_1_1_1" hidden="1">{"'gráf jan00'!$A$1:$AK$41"}</definedName>
    <definedName name="Adequaqção_1_2" localSheetId="20" hidden="1">{"'gráf jan00'!$A$1:$AK$41"}</definedName>
    <definedName name="Adequaqção_1_2" hidden="1">{"'gráf jan00'!$A$1:$AK$41"}</definedName>
    <definedName name="Adequaqção_2" localSheetId="20" hidden="1">{"'gráf jan00'!$A$1:$AK$41"}</definedName>
    <definedName name="Adequaqção_2" hidden="1">{"'gráf jan00'!$A$1:$AK$41"}</definedName>
    <definedName name="Aderência" localSheetId="20" hidden="1">{"'RR'!$A$2:$E$81"}</definedName>
    <definedName name="Aderência" hidden="1">{"'RR'!$A$2:$E$81"}</definedName>
    <definedName name="Aderência_1" localSheetId="20" hidden="1">{"'RR'!$A$2:$E$81"}</definedName>
    <definedName name="Aderência_1" hidden="1">{"'RR'!$A$2:$E$81"}</definedName>
    <definedName name="Aderência_1_1" localSheetId="20" hidden="1">{"'RR'!$A$2:$E$81"}</definedName>
    <definedName name="Aderência_1_1" hidden="1">{"'RR'!$A$2:$E$81"}</definedName>
    <definedName name="Aderência_1_1_1" localSheetId="20" hidden="1">{"'RR'!$A$2:$E$81"}</definedName>
    <definedName name="Aderência_1_1_1" hidden="1">{"'RR'!$A$2:$E$81"}</definedName>
    <definedName name="Aderência_1_2" localSheetId="20" hidden="1">{"'RR'!$A$2:$E$81"}</definedName>
    <definedName name="Aderência_1_2" hidden="1">{"'RR'!$A$2:$E$81"}</definedName>
    <definedName name="Aderência_2" localSheetId="20" hidden="1">{"'RR'!$A$2:$E$81"}</definedName>
    <definedName name="Aderência_2" hidden="1">{"'RR'!$A$2:$E$81"}</definedName>
    <definedName name="adfdf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edfds">#N/A</definedName>
    <definedName name="adfg" localSheetId="20" hidden="1">{"'Plan1'!$B$22:$O$25"}</definedName>
    <definedName name="adfg" hidden="1">{"'Plan1'!$B$22:$O$25"}</definedName>
    <definedName name="adfg_1" localSheetId="20" hidden="1">{"'Plan1'!$B$22:$O$25"}</definedName>
    <definedName name="adfg_1" hidden="1">{"'Plan1'!$B$22:$O$25"}</definedName>
    <definedName name="adfg_1_1" localSheetId="20" hidden="1">{"'Plan1'!$B$22:$O$25"}</definedName>
    <definedName name="adfg_1_1" hidden="1">{"'Plan1'!$B$22:$O$25"}</definedName>
    <definedName name="adfg_1_1_1" localSheetId="20" hidden="1">{"'Plan1'!$B$22:$O$25"}</definedName>
    <definedName name="adfg_1_1_1" hidden="1">{"'Plan1'!$B$22:$O$25"}</definedName>
    <definedName name="adfg_1_2" localSheetId="20" hidden="1">{"'Plan1'!$B$22:$O$25"}</definedName>
    <definedName name="adfg_1_2" hidden="1">{"'Plan1'!$B$22:$O$25"}</definedName>
    <definedName name="adfg_2" localSheetId="20" hidden="1">{"'Plan1'!$B$22:$O$25"}</definedName>
    <definedName name="adfg_2" hidden="1">{"'Plan1'!$B$22:$O$25"}</definedName>
    <definedName name="adg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itivo" localSheetId="20" hidden="1">{#N/A,#N/A,FALSE,"PCOL"}</definedName>
    <definedName name="aditivo" hidden="1">{#N/A,#N/A,FALSE,"PCOL"}</definedName>
    <definedName name="aditivo_1" localSheetId="20" hidden="1">{#N/A,#N/A,FALSE,"PCOL"}</definedName>
    <definedName name="aditivo_1" hidden="1">{#N/A,#N/A,FALSE,"PCOL"}</definedName>
    <definedName name="aditivo_1_1" localSheetId="20" hidden="1">{#N/A,#N/A,FALSE,"PCOL"}</definedName>
    <definedName name="aditivo_1_1" hidden="1">{#N/A,#N/A,FALSE,"PCOL"}</definedName>
    <definedName name="aditivo_1_1_1" localSheetId="20" hidden="1">{#N/A,#N/A,FALSE,"PCOL"}</definedName>
    <definedName name="aditivo_1_1_1" hidden="1">{#N/A,#N/A,FALSE,"PCOL"}</definedName>
    <definedName name="aditivo_1_2" localSheetId="20" hidden="1">{#N/A,#N/A,FALSE,"PCOL"}</definedName>
    <definedName name="aditivo_1_2" hidden="1">{#N/A,#N/A,FALSE,"PCOL"}</definedName>
    <definedName name="aditivo_2" localSheetId="20" hidden="1">{#N/A,#N/A,FALSE,"PCOL"}</definedName>
    <definedName name="aditivo_2" hidden="1">{#N/A,#N/A,FALSE,"PCOL"}</definedName>
    <definedName name="adm">#NAME?</definedName>
    <definedName name="ADMO">#REF!</definedName>
    <definedName name="ADPOFJPDAFOK" localSheetId="20" hidden="1">{"'RATEIO RECEITA BRUTA'!$B$77:$C$106"}</definedName>
    <definedName name="ADPOFJPDAFOK" hidden="1">{"'RATEIO RECEITA BRUTA'!$B$77:$C$106"}</definedName>
    <definedName name="adsf" localSheetId="20" hidden="1">{"'gráf jan00'!$A$1:$AK$41"}</definedName>
    <definedName name="adsf" hidden="1">{"'gráf jan00'!$A$1:$AK$41"}</definedName>
    <definedName name="adsf_1" localSheetId="20" hidden="1">{"'gráf jan00'!$A$1:$AK$41"}</definedName>
    <definedName name="adsf_1" hidden="1">{"'gráf jan00'!$A$1:$AK$41"}</definedName>
    <definedName name="adsf_1_1" localSheetId="20" hidden="1">{"'gráf jan00'!$A$1:$AK$41"}</definedName>
    <definedName name="adsf_1_1" hidden="1">{"'gráf jan00'!$A$1:$AK$41"}</definedName>
    <definedName name="adsf_1_1_1" localSheetId="20" hidden="1">{"'gráf jan00'!$A$1:$AK$41"}</definedName>
    <definedName name="adsf_1_1_1" hidden="1">{"'gráf jan00'!$A$1:$AK$41"}</definedName>
    <definedName name="adsf_1_2" localSheetId="20" hidden="1">{"'gráf jan00'!$A$1:$AK$41"}</definedName>
    <definedName name="adsf_1_2" hidden="1">{"'gráf jan00'!$A$1:$AK$41"}</definedName>
    <definedName name="adsf_2" localSheetId="20" hidden="1">{"'gráf jan00'!$A$1:$AK$41"}</definedName>
    <definedName name="adsf_2" hidden="1">{"'gráf jan00'!$A$1:$AK$41"}</definedName>
    <definedName name="ADSIVIDADE">#REF!</definedName>
    <definedName name="adwe" localSheetId="20" hidden="1">{"'RR'!$A$2:$E$81"}</definedName>
    <definedName name="adwe" hidden="1">{"'RR'!$A$2:$E$81"}</definedName>
    <definedName name="adwe_1" localSheetId="20" hidden="1">{"'RR'!$A$2:$E$81"}</definedName>
    <definedName name="adwe_1" hidden="1">{"'RR'!$A$2:$E$81"}</definedName>
    <definedName name="adwe_1_1" localSheetId="20" hidden="1">{"'RR'!$A$2:$E$81"}</definedName>
    <definedName name="adwe_1_1" hidden="1">{"'RR'!$A$2:$E$81"}</definedName>
    <definedName name="adwe_1_1_1" localSheetId="20" hidden="1">{"'RR'!$A$2:$E$81"}</definedName>
    <definedName name="adwe_1_1_1" hidden="1">{"'RR'!$A$2:$E$81"}</definedName>
    <definedName name="adwe_1_2" localSheetId="20" hidden="1">{"'RR'!$A$2:$E$81"}</definedName>
    <definedName name="adwe_1_2" hidden="1">{"'RR'!$A$2:$E$81"}</definedName>
    <definedName name="adwe_2" localSheetId="20" hidden="1">{"'RR'!$A$2:$E$81"}</definedName>
    <definedName name="adwe_2" hidden="1">{"'RR'!$A$2:$E$81"}</definedName>
    <definedName name="AE" hidden="1">#REF!</definedName>
    <definedName name="aeaw" localSheetId="20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SR">[45]RESUMO_AUT1!#REF!</definedName>
    <definedName name="A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">#REF!</definedName>
    <definedName name="AFDaf" hidden="1">#REF!</definedName>
    <definedName name="AFDD" localSheetId="20">' 6.0 - Empréstimos '!AFDD</definedName>
    <definedName name="AFDD" localSheetId="21">#REF!</definedName>
    <definedName name="AFDD">'[40]CROQUIS DE DIST.'!AFDD</definedName>
    <definedName name="afdf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s" localSheetId="20" hidden="1">{"'gráf jan00'!$A$1:$AK$41"}</definedName>
    <definedName name="afds" hidden="1">{"'gráf jan00'!$A$1:$AK$41"}</definedName>
    <definedName name="afds_1" localSheetId="20" hidden="1">{"'gráf jan00'!$A$1:$AK$41"}</definedName>
    <definedName name="afds_1" hidden="1">{"'gráf jan00'!$A$1:$AK$41"}</definedName>
    <definedName name="afds_1_1" localSheetId="20" hidden="1">{"'gráf jan00'!$A$1:$AK$41"}</definedName>
    <definedName name="afds_1_1" hidden="1">{"'gráf jan00'!$A$1:$AK$41"}</definedName>
    <definedName name="afds_1_1_1" localSheetId="20" hidden="1">{"'gráf jan00'!$A$1:$AK$41"}</definedName>
    <definedName name="afds_1_1_1" hidden="1">{"'gráf jan00'!$A$1:$AK$41"}</definedName>
    <definedName name="afds_1_2" localSheetId="20" hidden="1">{"'gráf jan00'!$A$1:$AK$41"}</definedName>
    <definedName name="afds_1_2" hidden="1">{"'gráf jan00'!$A$1:$AK$41"}</definedName>
    <definedName name="afds_2" localSheetId="20" hidden="1">{"'gráf jan00'!$A$1:$AK$41"}</definedName>
    <definedName name="afds_2" hidden="1">{"'gráf jan00'!$A$1:$AK$41"}</definedName>
    <definedName name="AFisZero" localSheetId="21">#REF!</definedName>
    <definedName name="AFisZero">#REF!</definedName>
    <definedName name="AFP">#REF!</definedName>
    <definedName name="ag" hidden="1">#REF!</definedName>
    <definedName name="ag_1" localSheetId="20" hidden="1">{"'CptDifn'!$AA$32:$AG$32"}</definedName>
    <definedName name="ag_1" hidden="1">{"'CptDifn'!$AA$32:$AG$32"}</definedName>
    <definedName name="ag_1_1" localSheetId="20" hidden="1">{"'CptDifn'!$AA$32:$AG$32"}</definedName>
    <definedName name="ag_1_1" hidden="1">{"'CptDifn'!$AA$32:$AG$32"}</definedName>
    <definedName name="ag_1_1_1" localSheetId="20" hidden="1">{"'CptDifn'!$AA$32:$AG$32"}</definedName>
    <definedName name="ag_1_1_1" hidden="1">{"'CptDifn'!$AA$32:$AG$32"}</definedName>
    <definedName name="ag_1_2" localSheetId="20" hidden="1">{"'CptDifn'!$AA$32:$AG$32"}</definedName>
    <definedName name="ag_1_2" hidden="1">{"'CptDifn'!$AA$32:$AG$32"}</definedName>
    <definedName name="ag_2" localSheetId="20" hidden="1">{"'CptDifn'!$AA$32:$AG$32"}</definedName>
    <definedName name="ag_2" hidden="1">{"'CptDifn'!$AA$32:$AG$32"}</definedName>
    <definedName name="ag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KLJDFK" localSheetId="20" hidden="1">{"'gráf jan00'!$A$1:$AK$41"}</definedName>
    <definedName name="AGAKLJDFK" hidden="1">{"'gráf jan00'!$A$1:$AK$41"}</definedName>
    <definedName name="AGAKLJDFK_1" localSheetId="20" hidden="1">{"'gráf jan00'!$A$1:$AK$41"}</definedName>
    <definedName name="AGAKLJDFK_1" hidden="1">{"'gráf jan00'!$A$1:$AK$41"}</definedName>
    <definedName name="AGAKLJDFK_1_1" localSheetId="20" hidden="1">{"'gráf jan00'!$A$1:$AK$41"}</definedName>
    <definedName name="AGAKLJDFK_1_1" hidden="1">{"'gráf jan00'!$A$1:$AK$41"}</definedName>
    <definedName name="AGAKLJDFK_1_1_1" localSheetId="20" hidden="1">{"'gráf jan00'!$A$1:$AK$41"}</definedName>
    <definedName name="AGAKLJDFK_1_1_1" hidden="1">{"'gráf jan00'!$A$1:$AK$41"}</definedName>
    <definedName name="AGAKLJDFK_1_2" localSheetId="20" hidden="1">{"'gráf jan00'!$A$1:$AK$41"}</definedName>
    <definedName name="AGAKLJDFK_1_2" hidden="1">{"'gráf jan00'!$A$1:$AK$41"}</definedName>
    <definedName name="AGAKLJDFK_2" localSheetId="20" hidden="1">{"'gráf jan00'!$A$1:$AK$41"}</definedName>
    <definedName name="AGAKLJDFK_2" hidden="1">{"'gráf jan00'!$A$1:$AK$41"}</definedName>
    <definedName name="AGAS" localSheetId="20" hidden="1">{#N/A,#N/A,FALSE,"ORC-ACKE";#N/A,#N/A,FALSE,"RESUMO"}</definedName>
    <definedName name="AGAS" hidden="1">{#N/A,#N/A,FALSE,"ORC-ACKE";#N/A,#N/A,FALSE,"RESUMO"}</definedName>
    <definedName name="agdad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g">#REF!</definedName>
    <definedName name="ago" localSheetId="20" hidden="1">{"'gráf jan00'!$A$1:$AK$41"}</definedName>
    <definedName name="ago" hidden="1">{"'gráf jan00'!$A$1:$AK$41"}</definedName>
    <definedName name="Ago_1" localSheetId="20" hidden="1">{#N/A,#N/A,FALSE,"ET-CAPA";#N/A,#N/A,FALSE,"ET-PAG1";#N/A,#N/A,FALSE,"ET-PAG2";#N/A,#N/A,FALSE,"ET-PAG3";#N/A,#N/A,FALSE,"ET-PAG4";#N/A,#N/A,FALSE,"ET-PAG5"}</definedName>
    <definedName name="Ago_1" hidden="1">{#N/A,#N/A,FALSE,"ET-CAPA";#N/A,#N/A,FALSE,"ET-PAG1";#N/A,#N/A,FALSE,"ET-PAG2";#N/A,#N/A,FALSE,"ET-PAG3";#N/A,#N/A,FALSE,"ET-PAG4";#N/A,#N/A,FALSE,"ET-PAG5"}</definedName>
    <definedName name="Ago_1_1" localSheetId="20" hidden="1">{#N/A,#N/A,FALSE,"ET-CAPA";#N/A,#N/A,FALSE,"ET-PAG1";#N/A,#N/A,FALSE,"ET-PAG2";#N/A,#N/A,FALSE,"ET-PAG3";#N/A,#N/A,FALSE,"ET-PAG4";#N/A,#N/A,FALSE,"ET-PAG5"}</definedName>
    <definedName name="Ago_1_1" hidden="1">{#N/A,#N/A,FALSE,"ET-CAPA";#N/A,#N/A,FALSE,"ET-PAG1";#N/A,#N/A,FALSE,"ET-PAG2";#N/A,#N/A,FALSE,"ET-PAG3";#N/A,#N/A,FALSE,"ET-PAG4";#N/A,#N/A,FALSE,"ET-PAG5"}</definedName>
    <definedName name="Ago_1_1_1" localSheetId="20" hidden="1">{#N/A,#N/A,FALSE,"ET-CAPA";#N/A,#N/A,FALSE,"ET-PAG1";#N/A,#N/A,FALSE,"ET-PAG2";#N/A,#N/A,FALSE,"ET-PAG3";#N/A,#N/A,FALSE,"ET-PAG4";#N/A,#N/A,FALSE,"ET-PAG5"}</definedName>
    <definedName name="Ago_1_1_1" hidden="1">{#N/A,#N/A,FALSE,"ET-CAPA";#N/A,#N/A,FALSE,"ET-PAG1";#N/A,#N/A,FALSE,"ET-PAG2";#N/A,#N/A,FALSE,"ET-PAG3";#N/A,#N/A,FALSE,"ET-PAG4";#N/A,#N/A,FALSE,"ET-PAG5"}</definedName>
    <definedName name="Ago_1_2" localSheetId="20" hidden="1">{#N/A,#N/A,FALSE,"ET-CAPA";#N/A,#N/A,FALSE,"ET-PAG1";#N/A,#N/A,FALSE,"ET-PAG2";#N/A,#N/A,FALSE,"ET-PAG3";#N/A,#N/A,FALSE,"ET-PAG4";#N/A,#N/A,FALSE,"ET-PAG5"}</definedName>
    <definedName name="Ago_1_2" hidden="1">{#N/A,#N/A,FALSE,"ET-CAPA";#N/A,#N/A,FALSE,"ET-PAG1";#N/A,#N/A,FALSE,"ET-PAG2";#N/A,#N/A,FALSE,"ET-PAG3";#N/A,#N/A,FALSE,"ET-PAG4";#N/A,#N/A,FALSE,"ET-PAG5"}</definedName>
    <definedName name="Ago_2" localSheetId="20" hidden="1">{#N/A,#N/A,FALSE,"ET-CAPA";#N/A,#N/A,FALSE,"ET-PAG1";#N/A,#N/A,FALSE,"ET-PAG2";#N/A,#N/A,FALSE,"ET-PAG3";#N/A,#N/A,FALSE,"ET-PAG4";#N/A,#N/A,FALSE,"ET-PAG5"}</definedName>
    <definedName name="Ago_2" hidden="1">{#N/A,#N/A,FALSE,"ET-CAPA";#N/A,#N/A,FALSE,"ET-PAG1";#N/A,#N/A,FALSE,"ET-PAG2";#N/A,#N/A,FALSE,"ET-PAG3";#N/A,#N/A,FALSE,"ET-PAG4";#N/A,#N/A,FALSE,"ET-PAG5"}</definedName>
    <definedName name="AGO8." localSheetId="20" hidden="1">{"'gráf jan00'!$A$1:$AK$41"}</definedName>
    <definedName name="AGO8." hidden="1">{"'gráf jan00'!$A$1:$AK$41"}</definedName>
    <definedName name="AGO8._1" localSheetId="20" hidden="1">{"'gráf jan00'!$A$1:$AK$41"}</definedName>
    <definedName name="AGO8._1" hidden="1">{"'gráf jan00'!$A$1:$AK$41"}</definedName>
    <definedName name="AGO8._1_1" localSheetId="20" hidden="1">{"'gráf jan00'!$A$1:$AK$41"}</definedName>
    <definedName name="AGO8._1_1" hidden="1">{"'gráf jan00'!$A$1:$AK$41"}</definedName>
    <definedName name="AGO8._1_1_1" localSheetId="20" hidden="1">{"'gráf jan00'!$A$1:$AK$41"}</definedName>
    <definedName name="AGO8._1_1_1" hidden="1">{"'gráf jan00'!$A$1:$AK$41"}</definedName>
    <definedName name="AGO8._1_2" localSheetId="20" hidden="1">{"'gráf jan00'!$A$1:$AK$41"}</definedName>
    <definedName name="AGO8._1_2" hidden="1">{"'gráf jan00'!$A$1:$AK$41"}</definedName>
    <definedName name="AGO8._2" localSheetId="20" hidden="1">{"'gráf jan00'!$A$1:$AK$41"}</definedName>
    <definedName name="AGO8._2" hidden="1">{"'gráf jan00'!$A$1:$AK$41"}</definedName>
    <definedName name="AGOA">#REF!</definedName>
    <definedName name="AGORA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" localSheetId="21">#REF!</definedName>
    <definedName name="Agos">#REF!</definedName>
    <definedName name="agost5" localSheetId="20" hidden="1">{"'gráf jan00'!$A$1:$AK$41"}</definedName>
    <definedName name="agost5" hidden="1">{"'gráf jan00'!$A$1:$AK$41"}</definedName>
    <definedName name="agost5_1" localSheetId="20" hidden="1">{"'gráf jan00'!$A$1:$AK$41"}</definedName>
    <definedName name="agost5_1" hidden="1">{"'gráf jan00'!$A$1:$AK$41"}</definedName>
    <definedName name="agost5_1_1" localSheetId="20" hidden="1">{"'gráf jan00'!$A$1:$AK$41"}</definedName>
    <definedName name="agost5_1_1" hidden="1">{"'gráf jan00'!$A$1:$AK$41"}</definedName>
    <definedName name="agost5_1_1_1" localSheetId="20" hidden="1">{"'gráf jan00'!$A$1:$AK$41"}</definedName>
    <definedName name="agost5_1_1_1" hidden="1">{"'gráf jan00'!$A$1:$AK$41"}</definedName>
    <definedName name="agost5_1_2" localSheetId="20" hidden="1">{"'gráf jan00'!$A$1:$AK$41"}</definedName>
    <definedName name="agost5_1_2" hidden="1">{"'gráf jan00'!$A$1:$AK$41"}</definedName>
    <definedName name="agost5_2" localSheetId="20" hidden="1">{"'gráf jan00'!$A$1:$AK$41"}</definedName>
    <definedName name="agost5_2" hidden="1">{"'gráf jan00'!$A$1:$AK$41"}</definedName>
    <definedName name="Agosto" localSheetId="21">#REF!</definedName>
    <definedName name="Agosto">#N/A</definedName>
    <definedName name="Agosto_1" localSheetId="20" hidden="1">{#N/A,#N/A,FALSE,"SITUAÇÃO DIÁRIA ";#N/A,#N/A,FALSE,"7 à 7"}</definedName>
    <definedName name="Agosto_1" hidden="1">{#N/A,#N/A,FALSE,"SITUAÇÃO DIÁRIA ";#N/A,#N/A,FALSE,"7 à 7"}</definedName>
    <definedName name="Agosto_1_1" localSheetId="20" hidden="1">{#N/A,#N/A,FALSE,"SITUAÇÃO DIÁRIA ";#N/A,#N/A,FALSE,"7 à 7"}</definedName>
    <definedName name="Agosto_1_1" hidden="1">{#N/A,#N/A,FALSE,"SITUAÇÃO DIÁRIA ";#N/A,#N/A,FALSE,"7 à 7"}</definedName>
    <definedName name="Agosto_1_1_1" localSheetId="20" hidden="1">{#N/A,#N/A,FALSE,"SITUAÇÃO DIÁRIA ";#N/A,#N/A,FALSE,"7 à 7"}</definedName>
    <definedName name="Agosto_1_1_1" hidden="1">{#N/A,#N/A,FALSE,"SITUAÇÃO DIÁRIA ";#N/A,#N/A,FALSE,"7 à 7"}</definedName>
    <definedName name="Agosto_1_2" localSheetId="20" hidden="1">{#N/A,#N/A,FALSE,"SITUAÇÃO DIÁRIA ";#N/A,#N/A,FALSE,"7 à 7"}</definedName>
    <definedName name="Agosto_1_2" hidden="1">{#N/A,#N/A,FALSE,"SITUAÇÃO DIÁRIA ";#N/A,#N/A,FALSE,"7 à 7"}</definedName>
    <definedName name="Agosto_10">#N/A</definedName>
    <definedName name="Agosto_12">#N/A</definedName>
    <definedName name="Agosto_13">#N/A</definedName>
    <definedName name="Agosto_15">#N/A</definedName>
    <definedName name="Agosto_2" localSheetId="20" hidden="1">{#N/A,#N/A,FALSE,"SITUAÇÃO DIÁRIA ";#N/A,#N/A,FALSE,"7 à 7"}</definedName>
    <definedName name="Agosto_2" localSheetId="21">#N/A</definedName>
    <definedName name="Agosto_2">#N/A</definedName>
    <definedName name="Agosto_5">#N/A</definedName>
    <definedName name="Agosto_6">#N/A</definedName>
    <definedName name="Agosto_7">#N/A</definedName>
    <definedName name="Agosto_8">#N/A</definedName>
    <definedName name="Agosto_9">#N/A</definedName>
    <definedName name="AGOSTOTESTE" localSheetId="20" hidden="1">{"'gráf jan00'!$A$1:$AK$41"}</definedName>
    <definedName name="AGOSTOTESTE" hidden="1">{"'gráf jan00'!$A$1:$AK$41"}</definedName>
    <definedName name="AGOSTOTESTE_1" localSheetId="20" hidden="1">{"'gráf jan00'!$A$1:$AK$41"}</definedName>
    <definedName name="AGOSTOTESTE_1" hidden="1">{"'gráf jan00'!$A$1:$AK$41"}</definedName>
    <definedName name="AGOSTOTESTE_1_1" localSheetId="20" hidden="1">{"'gráf jan00'!$A$1:$AK$41"}</definedName>
    <definedName name="AGOSTOTESTE_1_1" hidden="1">{"'gráf jan00'!$A$1:$AK$41"}</definedName>
    <definedName name="AGOSTOTESTE_1_1_1" localSheetId="20" hidden="1">{"'gráf jan00'!$A$1:$AK$41"}</definedName>
    <definedName name="AGOSTOTESTE_1_1_1" hidden="1">{"'gráf jan00'!$A$1:$AK$41"}</definedName>
    <definedName name="AGOSTOTESTE_1_2" localSheetId="20" hidden="1">{"'gráf jan00'!$A$1:$AK$41"}</definedName>
    <definedName name="AGOSTOTESTE_1_2" hidden="1">{"'gráf jan00'!$A$1:$AK$41"}</definedName>
    <definedName name="AGOSTOTESTE_2" localSheetId="20" hidden="1">{"'gráf jan00'!$A$1:$AK$41"}</definedName>
    <definedName name="AGOSTOTESTE_2" hidden="1">{"'gráf jan00'!$A$1:$AK$41"}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REGADOBRITAS">#REF!</definedName>
    <definedName name="agu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HA" localSheetId="20" hidden="1">{"'RR'!$A$2:$E$81"}</definedName>
    <definedName name="AHA" hidden="1">{"'RR'!$A$2:$E$81"}</definedName>
    <definedName name="AHA_1" localSheetId="20" hidden="1">{"'RR'!$A$2:$E$81"}</definedName>
    <definedName name="AHA_1" hidden="1">{"'RR'!$A$2:$E$81"}</definedName>
    <definedName name="AHA_1_1" localSheetId="20" hidden="1">{"'RR'!$A$2:$E$81"}</definedName>
    <definedName name="AHA_1_1" hidden="1">{"'RR'!$A$2:$E$81"}</definedName>
    <definedName name="AHA_1_1_1" localSheetId="20" hidden="1">{"'RR'!$A$2:$E$81"}</definedName>
    <definedName name="AHA_1_1_1" hidden="1">{"'RR'!$A$2:$E$81"}</definedName>
    <definedName name="AHA_1_2" localSheetId="20" hidden="1">{"'RR'!$A$2:$E$81"}</definedName>
    <definedName name="AHA_1_2" hidden="1">{"'RR'!$A$2:$E$81"}</definedName>
    <definedName name="AHA_2" localSheetId="20" hidden="1">{"'RR'!$A$2:$E$81"}</definedName>
    <definedName name="AHA_2" hidden="1">{"'RR'!$A$2:$E$81"}</definedName>
    <definedName name="aHASJK" localSheetId="20" hidden="1">{"'RR'!$A$2:$E$81"}</definedName>
    <definedName name="aHASJK" hidden="1">{"'RR'!$A$2:$E$81"}</definedName>
    <definedName name="aHASJK_1" localSheetId="20" hidden="1">{"'RR'!$A$2:$E$81"}</definedName>
    <definedName name="aHASJK_1" hidden="1">{"'RR'!$A$2:$E$81"}</definedName>
    <definedName name="aHASJK_1_1" localSheetId="20" hidden="1">{"'RR'!$A$2:$E$81"}</definedName>
    <definedName name="aHASJK_1_1" hidden="1">{"'RR'!$A$2:$E$81"}</definedName>
    <definedName name="aHASJK_1_1_1" localSheetId="20" hidden="1">{"'RR'!$A$2:$E$81"}</definedName>
    <definedName name="aHASJK_1_1_1" hidden="1">{"'RR'!$A$2:$E$81"}</definedName>
    <definedName name="aHASJK_1_2" localSheetId="20" hidden="1">{"'RR'!$A$2:$E$81"}</definedName>
    <definedName name="aHASJK_1_2" hidden="1">{"'RR'!$A$2:$E$81"}</definedName>
    <definedName name="aHASJK_2" localSheetId="20" hidden="1">{"'RR'!$A$2:$E$81"}</definedName>
    <definedName name="aHASJK_2" hidden="1">{"'RR'!$A$2:$E$81"}</definedName>
    <definedName name="ahkjs" localSheetId="20" hidden="1">{"'Quadro'!$A$4:$BG$78"}</definedName>
    <definedName name="ahkjs" hidden="1">{"'Quadro'!$A$4:$BG$78"}</definedName>
    <definedName name="ahkjs_1" localSheetId="20" hidden="1">{"'Quadro'!$A$4:$BG$78"}</definedName>
    <definedName name="ahkjs_1" hidden="1">{"'Quadro'!$A$4:$BG$78"}</definedName>
    <definedName name="ahkjs_1_1" localSheetId="20" hidden="1">{"'Quadro'!$A$4:$BG$78"}</definedName>
    <definedName name="ahkjs_1_1" hidden="1">{"'Quadro'!$A$4:$BG$78"}</definedName>
    <definedName name="ahkjs_1_1_1" localSheetId="20" hidden="1">{"'Quadro'!$A$4:$BG$78"}</definedName>
    <definedName name="ahkjs_1_1_1" hidden="1">{"'Quadro'!$A$4:$BG$78"}</definedName>
    <definedName name="ahkjs_1_2" localSheetId="20" hidden="1">{"'Quadro'!$A$4:$BG$78"}</definedName>
    <definedName name="ahkjs_1_2" hidden="1">{"'Quadro'!$A$4:$BG$78"}</definedName>
    <definedName name="ahkjs_2" localSheetId="20" hidden="1">{"'Quadro'!$A$4:$BG$78"}</definedName>
    <definedName name="ahkjs_2" hidden="1">{"'Quadro'!$A$4:$BG$78"}</definedName>
    <definedName name="aii" localSheetId="20" hidden="1">{#N/A,#N/A,FALSE,"PCOL"}</definedName>
    <definedName name="aii" hidden="1">{#N/A,#N/A,FALSE,"PCOL"}</definedName>
    <definedName name="aii_1" localSheetId="20" hidden="1">{#N/A,#N/A,FALSE,"PCOL"}</definedName>
    <definedName name="aii_1" hidden="1">{#N/A,#N/A,FALSE,"PCOL"}</definedName>
    <definedName name="aii_1_1" localSheetId="20" hidden="1">{#N/A,#N/A,FALSE,"PCOL"}</definedName>
    <definedName name="aii_1_1" hidden="1">{#N/A,#N/A,FALSE,"PCOL"}</definedName>
    <definedName name="aii_1_1_1" localSheetId="20" hidden="1">{#N/A,#N/A,FALSE,"PCOL"}</definedName>
    <definedName name="aii_1_1_1" hidden="1">{#N/A,#N/A,FALSE,"PCOL"}</definedName>
    <definedName name="aii_1_2" localSheetId="20" hidden="1">{#N/A,#N/A,FALSE,"PCOL"}</definedName>
    <definedName name="aii_1_2" hidden="1">{#N/A,#N/A,FALSE,"PCOL"}</definedName>
    <definedName name="aii_2" localSheetId="20" hidden="1">{#N/A,#N/A,FALSE,"PCOL"}</definedName>
    <definedName name="aii_2" hidden="1">{#N/A,#N/A,FALSE,"PCOL"}</definedName>
    <definedName name="aina" localSheetId="20" hidden="1">{#N/A,#N/A,FALSE,"PCOL"}</definedName>
    <definedName name="aina" hidden="1">{#N/A,#N/A,FALSE,"PCOL"}</definedName>
    <definedName name="aina_1" localSheetId="20" hidden="1">{#N/A,#N/A,FALSE,"PCOL"}</definedName>
    <definedName name="aina_1" hidden="1">{#N/A,#N/A,FALSE,"PCOL"}</definedName>
    <definedName name="aina_1_1" localSheetId="20" hidden="1">{#N/A,#N/A,FALSE,"PCOL"}</definedName>
    <definedName name="aina_1_1" hidden="1">{#N/A,#N/A,FALSE,"PCOL"}</definedName>
    <definedName name="aina_1_1_1" localSheetId="20" hidden="1">{#N/A,#N/A,FALSE,"PCOL"}</definedName>
    <definedName name="aina_1_1_1" hidden="1">{#N/A,#N/A,FALSE,"PCOL"}</definedName>
    <definedName name="aina_1_2" localSheetId="20" hidden="1">{#N/A,#N/A,FALSE,"PCOL"}</definedName>
    <definedName name="aina_1_2" hidden="1">{#N/A,#N/A,FALSE,"PCOL"}</definedName>
    <definedName name="aina_2" localSheetId="20" hidden="1">{#N/A,#N/A,FALSE,"PCOL"}</definedName>
    <definedName name="aina_2" hidden="1">{#N/A,#N/A,FALSE,"PCOL"}</definedName>
    <definedName name="Ajustes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lan">#REF!</definedName>
    <definedName name="ALB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çsdfjla" localSheetId="20" hidden="1">{"'171'!$A$1:$Z$50"}</definedName>
    <definedName name="alçsdfjla" hidden="1">{"'171'!$A$1:$Z$50"}</definedName>
    <definedName name="alçsdfjla_1" localSheetId="20" hidden="1">{"'171'!$A$1:$Z$50"}</definedName>
    <definedName name="alçsdfjla_1" hidden="1">{"'171'!$A$1:$Z$50"}</definedName>
    <definedName name="alçsdfjla_1_1" localSheetId="20" hidden="1">{"'171'!$A$1:$Z$50"}</definedName>
    <definedName name="alçsdfjla_1_1" hidden="1">{"'171'!$A$1:$Z$50"}</definedName>
    <definedName name="alçsdfjla_1_1_1" localSheetId="20" hidden="1">{"'171'!$A$1:$Z$50"}</definedName>
    <definedName name="alçsdfjla_1_1_1" hidden="1">{"'171'!$A$1:$Z$50"}</definedName>
    <definedName name="alçsdfjla_1_2" localSheetId="20" hidden="1">{"'171'!$A$1:$Z$50"}</definedName>
    <definedName name="alçsdfjla_1_2" hidden="1">{"'171'!$A$1:$Z$50"}</definedName>
    <definedName name="alçsdfjla_2" localSheetId="20" hidden="1">{"'171'!$A$1:$Z$50"}</definedName>
    <definedName name="alçsdfjla_2" hidden="1">{"'171'!$A$1:$Z$50"}</definedName>
    <definedName name="alex" localSheetId="20" hidden="1">{#N/A,#N/A,FALSE,"MO (2)"}</definedName>
    <definedName name="alex" hidden="1">{#N/A,#N/A,FALSE,"MO (2)"}</definedName>
    <definedName name="alex_1" localSheetId="20" hidden="1">{#N/A,#N/A,FALSE,"MO (2)"}</definedName>
    <definedName name="alex_1" hidden="1">{#N/A,#N/A,FALSE,"MO (2)"}</definedName>
    <definedName name="Alfa" localSheetId="21">NA()</definedName>
    <definedName name="Alfa">NA()</definedName>
    <definedName name="Alfac" localSheetId="21">NA()</definedName>
    <definedName name="Alfac">NA()</definedName>
    <definedName name="Alfard" localSheetId="21">NA()</definedName>
    <definedName name="Alfard">NA()</definedName>
    <definedName name="ALIMENTADORES">[46]motors!$A$15:$A$19</definedName>
    <definedName name="ALLISON" hidden="1">#REF!</definedName>
    <definedName name="Allysson" localSheetId="20" hidden="1">{"'gráf jan00'!$A$1:$AK$41"}</definedName>
    <definedName name="Allysson" hidden="1">{"'gráf jan00'!$A$1:$AK$41"}</definedName>
    <definedName name="Allysson_1" localSheetId="20" hidden="1">{"'gráf jan00'!$A$1:$AK$41"}</definedName>
    <definedName name="Allysson_1" hidden="1">{"'gráf jan00'!$A$1:$AK$41"}</definedName>
    <definedName name="Allysson_1_1" localSheetId="20" hidden="1">{"'gráf jan00'!$A$1:$AK$41"}</definedName>
    <definedName name="Allysson_1_1" hidden="1">{"'gráf jan00'!$A$1:$AK$41"}</definedName>
    <definedName name="Allysson_1_1_1" localSheetId="20" hidden="1">{"'gráf jan00'!$A$1:$AK$41"}</definedName>
    <definedName name="Allysson_1_1_1" hidden="1">{"'gráf jan00'!$A$1:$AK$41"}</definedName>
    <definedName name="Allysson_1_2" localSheetId="20" hidden="1">{"'gráf jan00'!$A$1:$AK$41"}</definedName>
    <definedName name="Allysson_1_2" hidden="1">{"'gráf jan00'!$A$1:$AK$41"}</definedName>
    <definedName name="Allysson_2" localSheetId="20" hidden="1">{"'gráf jan00'!$A$1:$AK$41"}</definedName>
    <definedName name="Allysson_2" hidden="1">{"'gráf jan00'!$A$1:$AK$41"}</definedName>
    <definedName name="ALTA" localSheetId="21">#REF!</definedName>
    <definedName name="ALTA">'[47]PRO-08'!#REF!</definedName>
    <definedName name="ALTA_11">[48]PRO_08!#REF!</definedName>
    <definedName name="ALTA_15">[48]PRO_08!#REF!</definedName>
    <definedName name="ALTA_24">'[49]PRO-08'!#REF!</definedName>
    <definedName name="ALTA_26">'[50]PRO-08'!#REF!</definedName>
    <definedName name="ALTA_27">'[49]PRO-08'!#REF!</definedName>
    <definedName name="ALTA_27_11">[51]PRO_08!#REF!</definedName>
    <definedName name="ALTA_9">'[49]PRO-08'!#REF!</definedName>
    <definedName name="ALTA_9_11">[51]PRO_08!#REF!</definedName>
    <definedName name="alteração">#REF!</definedName>
    <definedName name="alteração_1">#REF!</definedName>
    <definedName name="ALUGUEL">#REF!</definedName>
    <definedName name="am" localSheetId="20" hidden="1">{"'CptDifn'!$AA$32:$AG$32"}</definedName>
    <definedName name="am" hidden="1">{"'CptDifn'!$AA$32:$AG$32"}</definedName>
    <definedName name="AM_01">#NAME?</definedName>
    <definedName name="AM_01_1">#REF!</definedName>
    <definedName name="AM_04">#NAME?</definedName>
    <definedName name="AM_04_1">#REF!</definedName>
    <definedName name="am_1" localSheetId="20" hidden="1">{"'CptDifn'!$AA$32:$AG$32"}</definedName>
    <definedName name="am_1" hidden="1">{"'CptDifn'!$AA$32:$AG$32"}</definedName>
    <definedName name="am_1_1" localSheetId="20" hidden="1">{"'CptDifn'!$AA$32:$AG$32"}</definedName>
    <definedName name="am_1_1" hidden="1">{"'CptDifn'!$AA$32:$AG$32"}</definedName>
    <definedName name="am_1_1_1" localSheetId="20" hidden="1">{"'CptDifn'!$AA$32:$AG$32"}</definedName>
    <definedName name="am_1_1_1" hidden="1">{"'CptDifn'!$AA$32:$AG$32"}</definedName>
    <definedName name="am_1_2" localSheetId="20" hidden="1">{"'CptDifn'!$AA$32:$AG$32"}</definedName>
    <definedName name="am_1_2" hidden="1">{"'CptDifn'!$AA$32:$AG$32"}</definedName>
    <definedName name="am_2" localSheetId="20" hidden="1">{"'CptDifn'!$AA$32:$AG$32"}</definedName>
    <definedName name="am_2" hidden="1">{"'CptDifn'!$AA$32:$AG$32"}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>#REF!</definedName>
    <definedName name="amarela_11">#REF!</definedName>
    <definedName name="amarela_12">#REF!</definedName>
    <definedName name="amarela_13">#REF!</definedName>
    <definedName name="amarela_15">#REF!</definedName>
    <definedName name="amarela_2">#REF!</definedName>
    <definedName name="amarela_4">#REF!</definedName>
    <definedName name="amarela_5">#REF!</definedName>
    <definedName name="amarela_6">#REF!</definedName>
    <definedName name="amarela_7">#REF!</definedName>
    <definedName name="amarela_8">#REF!</definedName>
    <definedName name="amarela_9">#REF!</definedName>
    <definedName name="amarelaa">#REF!</definedName>
    <definedName name="AMO">#REF!</definedName>
    <definedName name="amortizaciones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T">#REF!</definedName>
    <definedName name="AMV" localSheetId="20" hidden="1">{"'gráf jan00'!$A$1:$AK$41"}</definedName>
    <definedName name="AMV" hidden="1">{"'gráf jan00'!$A$1:$AK$41"}</definedName>
    <definedName name="AMV_1" localSheetId="20" hidden="1">{"'gráf jan00'!$A$1:$AK$41"}</definedName>
    <definedName name="AMV_1" hidden="1">{"'gráf jan00'!$A$1:$AK$41"}</definedName>
    <definedName name="AMV_1_1" localSheetId="20" hidden="1">{"'gráf jan00'!$A$1:$AK$41"}</definedName>
    <definedName name="AMV_1_1" hidden="1">{"'gráf jan00'!$A$1:$AK$41"}</definedName>
    <definedName name="AMV_1_1_1" localSheetId="20" hidden="1">{"'gráf jan00'!$A$1:$AK$41"}</definedName>
    <definedName name="AMV_1_1_1" hidden="1">{"'gráf jan00'!$A$1:$AK$41"}</definedName>
    <definedName name="AMV_1_2" localSheetId="20" hidden="1">{"'gráf jan00'!$A$1:$AK$41"}</definedName>
    <definedName name="AMV_1_2" hidden="1">{"'gráf jan00'!$A$1:$AK$41"}</definedName>
    <definedName name="AMV_2" localSheetId="20" hidden="1">{"'gráf jan00'!$A$1:$AK$41"}</definedName>
    <definedName name="AMV_2" hidden="1">{"'gráf jan00'!$A$1:$AK$41"}</definedName>
    <definedName name="ana">#REF!</definedName>
    <definedName name="AnalisarAterro" localSheetId="1">#REF!</definedName>
    <definedName name="AnalisarAterro">#REF!</definedName>
    <definedName name="AnalisarCorte" localSheetId="1">#REF!</definedName>
    <definedName name="AnalisarCorte">#REF!</definedName>
    <definedName name="André" localSheetId="20" hidden="1">{#N/A,#N/A,FALSE,"ROTINA";#N/A,#N/A,FALSE,"ITENS";#N/A,#N/A,FALSE,"ACOMP"}</definedName>
    <definedName name="André" hidden="1">{#N/A,#N/A,FALSE,"ROTINA";#N/A,#N/A,FALSE,"ITENS";#N/A,#N/A,FALSE,"ACOMP"}</definedName>
    <definedName name="André_1" localSheetId="20" hidden="1">{#N/A,#N/A,FALSE,"ROTINA";#N/A,#N/A,FALSE,"ITENS";#N/A,#N/A,FALSE,"ACOMP"}</definedName>
    <definedName name="André_1" hidden="1">{#N/A,#N/A,FALSE,"ROTINA";#N/A,#N/A,FALSE,"ITENS";#N/A,#N/A,FALSE,"ACOMP"}</definedName>
    <definedName name="André_1_1" localSheetId="20" hidden="1">{#N/A,#N/A,FALSE,"ROTINA";#N/A,#N/A,FALSE,"ITENS";#N/A,#N/A,FALSE,"ACOMP"}</definedName>
    <definedName name="André_1_1" hidden="1">{#N/A,#N/A,FALSE,"ROTINA";#N/A,#N/A,FALSE,"ITENS";#N/A,#N/A,FALSE,"ACOMP"}</definedName>
    <definedName name="André_1_1_1" localSheetId="20" hidden="1">{#N/A,#N/A,FALSE,"ROTINA";#N/A,#N/A,FALSE,"ITENS";#N/A,#N/A,FALSE,"ACOMP"}</definedName>
    <definedName name="André_1_1_1" hidden="1">{#N/A,#N/A,FALSE,"ROTINA";#N/A,#N/A,FALSE,"ITENS";#N/A,#N/A,FALSE,"ACOMP"}</definedName>
    <definedName name="André_1_2" localSheetId="20" hidden="1">{#N/A,#N/A,FALSE,"ROTINA";#N/A,#N/A,FALSE,"ITENS";#N/A,#N/A,FALSE,"ACOMP"}</definedName>
    <definedName name="André_1_2" hidden="1">{#N/A,#N/A,FALSE,"ROTINA";#N/A,#N/A,FALSE,"ITENS";#N/A,#N/A,FALSE,"ACOMP"}</definedName>
    <definedName name="André_2" localSheetId="20" hidden="1">{#N/A,#N/A,FALSE,"ROTINA";#N/A,#N/A,FALSE,"ITENS";#N/A,#N/A,FALSE,"ACOMP"}</definedName>
    <definedName name="André_2" hidden="1">{#N/A,#N/A,FALSE,"ROTINA";#N/A,#N/A,FALSE,"ITENS";#N/A,#N/A,FALSE,"ACOMP"}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XO1" localSheetId="20" hidden="1">{"'teste'!$B$2:$R$49"}</definedName>
    <definedName name="ANEXO1" hidden="1">{"'teste'!$B$2:$R$49"}</definedName>
    <definedName name="ANEXO1_1" localSheetId="20" hidden="1">{"'teste'!$B$2:$R$49"}</definedName>
    <definedName name="ANEXO1_1" hidden="1">{"'teste'!$B$2:$R$49"}</definedName>
    <definedName name="ANEXO1_1_1" localSheetId="20" hidden="1">{"'teste'!$B$2:$R$49"}</definedName>
    <definedName name="ANEXO1_1_1" hidden="1">{"'teste'!$B$2:$R$49"}</definedName>
    <definedName name="ANEXO1_1_1_1" localSheetId="20" hidden="1">{"'teste'!$B$2:$R$49"}</definedName>
    <definedName name="ANEXO1_1_1_1" hidden="1">{"'teste'!$B$2:$R$49"}</definedName>
    <definedName name="ANEXO1_1_2" localSheetId="20" hidden="1">{"'teste'!$B$2:$R$49"}</definedName>
    <definedName name="ANEXO1_1_2" hidden="1">{"'teste'!$B$2:$R$49"}</definedName>
    <definedName name="ANEXO1_2" localSheetId="20" hidden="1">{"'teste'!$B$2:$R$49"}</definedName>
    <definedName name="ANEXO1_2" hidden="1">{"'teste'!$B$2:$R$49"}</definedName>
    <definedName name="ANEXO2" localSheetId="20" hidden="1">{"'teste'!$B$2:$R$49"}</definedName>
    <definedName name="ANEXO2" hidden="1">{"'teste'!$B$2:$R$49"}</definedName>
    <definedName name="ANEXO2_1" localSheetId="20" hidden="1">{"'teste'!$B$2:$R$49"}</definedName>
    <definedName name="ANEXO2_1" hidden="1">{"'teste'!$B$2:$R$49"}</definedName>
    <definedName name="ANEXO2_1_1" localSheetId="20" hidden="1">{"'teste'!$B$2:$R$49"}</definedName>
    <definedName name="ANEXO2_1_1" hidden="1">{"'teste'!$B$2:$R$49"}</definedName>
    <definedName name="ANEXO2_1_1_1" localSheetId="20" hidden="1">{"'teste'!$B$2:$R$49"}</definedName>
    <definedName name="ANEXO2_1_1_1" hidden="1">{"'teste'!$B$2:$R$49"}</definedName>
    <definedName name="ANEXO2_1_2" localSheetId="20" hidden="1">{"'teste'!$B$2:$R$49"}</definedName>
    <definedName name="ANEXO2_1_2" hidden="1">{"'teste'!$B$2:$R$49"}</definedName>
    <definedName name="ANEXO2_2" localSheetId="20" hidden="1">{"'teste'!$B$2:$R$49"}</definedName>
    <definedName name="ANEXO2_2" hidden="1">{"'teste'!$B$2:$R$49"}</definedName>
    <definedName name="AnnualVehEcon">#REF!</definedName>
    <definedName name="Ano">#REF!</definedName>
    <definedName name="anos">#REF!</definedName>
    <definedName name="ans" localSheetId="20" hidden="1">{#N/A,#N/A,FALSE,"PCOL"}</definedName>
    <definedName name="ans" hidden="1">{#N/A,#N/A,FALSE,"PCOL"}</definedName>
    <definedName name="ans_1" localSheetId="20" hidden="1">{#N/A,#N/A,FALSE,"PCOL"}</definedName>
    <definedName name="ans_1" hidden="1">{#N/A,#N/A,FALSE,"PCOL"}</definedName>
    <definedName name="ans_1_1" localSheetId="20" hidden="1">{#N/A,#N/A,FALSE,"PCOL"}</definedName>
    <definedName name="ans_1_1" hidden="1">{#N/A,#N/A,FALSE,"PCOL"}</definedName>
    <definedName name="ans_1_1_1" localSheetId="20" hidden="1">{#N/A,#N/A,FALSE,"PCOL"}</definedName>
    <definedName name="ans_1_1_1" hidden="1">{#N/A,#N/A,FALSE,"PCOL"}</definedName>
    <definedName name="ans_1_2" localSheetId="20" hidden="1">{#N/A,#N/A,FALSE,"PCOL"}</definedName>
    <definedName name="ans_1_2" hidden="1">{#N/A,#N/A,FALSE,"PCOL"}</definedName>
    <definedName name="ans_2" localSheetId="20" hidden="1">{#N/A,#N/A,FALSE,"PCOL"}</definedName>
    <definedName name="ans_2" hidden="1">{#N/A,#N/A,FALSE,"PCOL"}</definedName>
    <definedName name="anscount" hidden="1">3</definedName>
    <definedName name="ant" localSheetId="20" hidden="1">{#N/A,#N/A,FALSE,"MO (2)"}</definedName>
    <definedName name="ant" hidden="1">{#N/A,#N/A,FALSE,"MO (2)"}</definedName>
    <definedName name="ant_1" localSheetId="20" hidden="1">{#N/A,#N/A,FALSE,"MO (2)"}</definedName>
    <definedName name="ant_1" hidden="1">{#N/A,#N/A,FALSE,"MO (2)"}</definedName>
    <definedName name="apagar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res" localSheetId="20" hidden="1">{"'171'!$A$1:$Z$50"}</definedName>
    <definedName name="apres" hidden="1">{"'171'!$A$1:$Z$50"}</definedName>
    <definedName name="apres_1" localSheetId="20" hidden="1">{"'171'!$A$1:$Z$50"}</definedName>
    <definedName name="apres_1" hidden="1">{"'171'!$A$1:$Z$50"}</definedName>
    <definedName name="apres_1_1" localSheetId="20" hidden="1">{"'171'!$A$1:$Z$50"}</definedName>
    <definedName name="apres_1_1" hidden="1">{"'171'!$A$1:$Z$50"}</definedName>
    <definedName name="apres_1_1_1" localSheetId="20" hidden="1">{"'171'!$A$1:$Z$50"}</definedName>
    <definedName name="apres_1_1_1" hidden="1">{"'171'!$A$1:$Z$50"}</definedName>
    <definedName name="apres_1_2" localSheetId="20" hidden="1">{"'171'!$A$1:$Z$50"}</definedName>
    <definedName name="apres_1_2" hidden="1">{"'171'!$A$1:$Z$50"}</definedName>
    <definedName name="apres_2" localSheetId="20" hidden="1">{"'171'!$A$1:$Z$50"}</definedName>
    <definedName name="apres_2" hidden="1">{"'171'!$A$1:$Z$50"}</definedName>
    <definedName name="aprese" localSheetId="20" hidden="1">{"'171'!$A$1:$Z$50"}</definedName>
    <definedName name="aprese" hidden="1">{"'171'!$A$1:$Z$50"}</definedName>
    <definedName name="aprese_1" localSheetId="20" hidden="1">{"'171'!$A$1:$Z$50"}</definedName>
    <definedName name="aprese_1" hidden="1">{"'171'!$A$1:$Z$50"}</definedName>
    <definedName name="aprese_1_1" localSheetId="20" hidden="1">{"'171'!$A$1:$Z$50"}</definedName>
    <definedName name="aprese_1_1" hidden="1">{"'171'!$A$1:$Z$50"}</definedName>
    <definedName name="aprese_1_1_1" localSheetId="20" hidden="1">{"'171'!$A$1:$Z$50"}</definedName>
    <definedName name="aprese_1_1_1" hidden="1">{"'171'!$A$1:$Z$50"}</definedName>
    <definedName name="aprese_1_2" localSheetId="20" hidden="1">{"'171'!$A$1:$Z$50"}</definedName>
    <definedName name="aprese_1_2" hidden="1">{"'171'!$A$1:$Z$50"}</definedName>
    <definedName name="aprese_2" localSheetId="20" hidden="1">{"'171'!$A$1:$Z$50"}</definedName>
    <definedName name="aprese_2" hidden="1">{"'171'!$A$1:$Z$50"}</definedName>
    <definedName name="APTO_TIPO">#REF!</definedName>
    <definedName name="aq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BET">'[52]Q-01'!#REF!</definedName>
    <definedName name="AqCAP1">'[53]2.2.5.CBUQ'!$J$43</definedName>
    <definedName name="AqCap2">'[53]2.2.5.PMQ'!$J$30</definedName>
    <definedName name="AQCAP20">#REF!</definedName>
    <definedName name="AqCAPCBUQ">'[54]2.2.5.CBUQ'!$J$43</definedName>
    <definedName name="AqCAPPMQ">'[54]2.2.5.PMQ'!$J$30</definedName>
    <definedName name="AQCM30">#REF!</definedName>
    <definedName name="AQRM1C">#REF!</definedName>
    <definedName name="AQRR1C">#REF!</definedName>
    <definedName name="AQUISIÇÃO_CASCALHO">#REF!="S"</definedName>
    <definedName name="AquisMatBet">'[53]7.2.9.Aquis.Mat.Bet. 59ªMP-REV'!$G$49</definedName>
    <definedName name="AR" localSheetId="20" hidden="1">{"'Quadro'!$A$4:$BG$78"}</definedName>
    <definedName name="AR" hidden="1">{"'Quadro'!$A$4:$BG$78"}</definedName>
    <definedName name="AR_1" localSheetId="20" hidden="1">{"'Quadro'!$A$4:$BG$78"}</definedName>
    <definedName name="AR_1" hidden="1">{"'Quadro'!$A$4:$BG$78"}</definedName>
    <definedName name="AR_1_1" localSheetId="20" hidden="1">{"'Quadro'!$A$4:$BG$78"}</definedName>
    <definedName name="AR_1_1" hidden="1">{"'Quadro'!$A$4:$BG$78"}</definedName>
    <definedName name="AR_1_1_1" localSheetId="20" hidden="1">{"'Quadro'!$A$4:$BG$78"}</definedName>
    <definedName name="AR_1_1_1" hidden="1">{"'Quadro'!$A$4:$BG$78"}</definedName>
    <definedName name="AR_1_2" localSheetId="20" hidden="1">{"'Quadro'!$A$4:$BG$78"}</definedName>
    <definedName name="AR_1_2" hidden="1">{"'Quadro'!$A$4:$BG$78"}</definedName>
    <definedName name="AR_2" localSheetId="20" hidden="1">{"'Quadro'!$A$4:$BG$78"}</definedName>
    <definedName name="AR_2" hidden="1">{"'Quadro'!$A$4:$BG$78"}</definedName>
    <definedName name="Aramis" localSheetId="20" hidden="1">{"'CptDifn'!$AA$32:$AG$32"}</definedName>
    <definedName name="Aramis" hidden="1">{"'CptDifn'!$AA$32:$AG$32"}</definedName>
    <definedName name="Aramis_1" localSheetId="20" hidden="1">{"'CptDifn'!$AA$32:$AG$32"}</definedName>
    <definedName name="Aramis_1" hidden="1">{"'CptDifn'!$AA$32:$AG$32"}</definedName>
    <definedName name="Aramis_1_1" localSheetId="20" hidden="1">{"'CptDifn'!$AA$32:$AG$32"}</definedName>
    <definedName name="Aramis_1_1" hidden="1">{"'CptDifn'!$AA$32:$AG$32"}</definedName>
    <definedName name="Aramis_1_1_1" localSheetId="20" hidden="1">{"'CptDifn'!$AA$32:$AG$32"}</definedName>
    <definedName name="Aramis_1_1_1" hidden="1">{"'CptDifn'!$AA$32:$AG$32"}</definedName>
    <definedName name="Aramis_1_2" localSheetId="20" hidden="1">{"'CptDifn'!$AA$32:$AG$32"}</definedName>
    <definedName name="Aramis_1_2" hidden="1">{"'CptDifn'!$AA$32:$AG$32"}</definedName>
    <definedName name="Aramis_2" localSheetId="20" hidden="1">{"'CptDifn'!$AA$32:$AG$32"}</definedName>
    <definedName name="Aramis_2" hidden="1">{"'CptDifn'!$AA$32:$AG$32"}</definedName>
    <definedName name="Arara" localSheetId="20" hidden="1">{#N/A,#N/A,FALSE,"PCOL"}</definedName>
    <definedName name="Arara" hidden="1">{#N/A,#N/A,FALSE,"PCOL"}</definedName>
    <definedName name="Arara_1" localSheetId="20" hidden="1">{#N/A,#N/A,FALSE,"PCOL"}</definedName>
    <definedName name="Arara_1" hidden="1">{#N/A,#N/A,FALSE,"PCOL"}</definedName>
    <definedName name="Arara_1_1" localSheetId="20" hidden="1">{#N/A,#N/A,FALSE,"PCOL"}</definedName>
    <definedName name="Arara_1_1" hidden="1">{#N/A,#N/A,FALSE,"PCOL"}</definedName>
    <definedName name="Arara_1_1_1" localSheetId="20" hidden="1">{#N/A,#N/A,FALSE,"PCOL"}</definedName>
    <definedName name="Arara_1_1_1" hidden="1">{#N/A,#N/A,FALSE,"PCOL"}</definedName>
    <definedName name="Arara_1_2" localSheetId="20" hidden="1">{#N/A,#N/A,FALSE,"PCOL"}</definedName>
    <definedName name="Arara_1_2" hidden="1">{#N/A,#N/A,FALSE,"PCOL"}</definedName>
    <definedName name="Arara_2" localSheetId="20" hidden="1">{#N/A,#N/A,FALSE,"PCOL"}</definedName>
    <definedName name="Arara_2" hidden="1">{#N/A,#N/A,FALSE,"PCOL"}</definedName>
    <definedName name="AREA">#REF!</definedName>
    <definedName name="ÀREA">'[41]Fresagem de Pista Ago-98'!#REF!</definedName>
    <definedName name="ÀREA_ACUM">'[41]Fresagem de Pista Ago-98'!#REF!</definedName>
    <definedName name="_xlnm.Extract">#REF!</definedName>
    <definedName name="Area_de_immpressao">[51]Plan1!#REF!</definedName>
    <definedName name="Area_de_Impreessao">[51]Plan1!#REF!</definedName>
    <definedName name="_xlnm.Print_Area" localSheetId="32">' PA-06 ATERRO E CORTE '!$A$2:$Y$21</definedName>
    <definedName name="_xlnm.Print_Area" localSheetId="33">' PA-07  INTERSEÇOES ATERRO'!$A$1:$N$44</definedName>
    <definedName name="_xlnm.Print_Area" localSheetId="34">' PA-08  INTERSEÇOES CORTE'!$A$1:$N$31</definedName>
    <definedName name="_xlnm.Print_Area" localSheetId="22">'1 OAC Impressão'!$A$1:$P$64</definedName>
    <definedName name="_xlnm.Print_Area" localSheetId="24">'2 OAC ESCAV. E REATERRO'!$A$1:$M$42</definedName>
    <definedName name="_xlnm.Print_Area" localSheetId="26">'3 OAC REMOÇAO E DEMOLIÇÃO'!$A$1:$I$29</definedName>
    <definedName name="_xlnm.Print_Area" localSheetId="18">'4.0 - QDM OK'!$C$1:$AB$90</definedName>
    <definedName name="_xlnm.Print_Area" localSheetId="23">DRENOS!$A$1:$S$58</definedName>
    <definedName name="_xlnm.Print_Area" localSheetId="4">'MC BGTC'!$A$1:$X$36</definedName>
    <definedName name="_xlnm.Print_Area" localSheetId="6">'MC CCP'!$A$1:$U$31</definedName>
    <definedName name="_xlnm.Print_Area" localSheetId="5">'MC IMPR'!$B$29:$X$49</definedName>
    <definedName name="_xlnm.Print_Area" localSheetId="3">'MC Reg_Subleito'!$A$1:$M$36</definedName>
    <definedName name="_xlnm.Print_Area" localSheetId="11">'MC serragem'!$A$1:$X$40</definedName>
    <definedName name="_xlnm.Print_Area" localSheetId="8">'MCaço CA-25'!$A$1:$T$38</definedName>
    <definedName name="_xlnm.Print_Area" localSheetId="7">'MCaço CA-50'!$A$1:$Q$34</definedName>
    <definedName name="_xlnm.Print_Area" localSheetId="10">MCtela!$A$1:$W$44</definedName>
    <definedName name="_xlnm.Print_Area" localSheetId="9">MCtreliça!$A$1:$Q$32</definedName>
    <definedName name="_xlnm.Print_Area" localSheetId="13">'MIX BRASIL-FORT-KAPIVARI'!$A$1:$S$19</definedName>
    <definedName name="_xlnm.Print_Area" localSheetId="21">'Modelo 10.0 - Resumo e Quant.'!$A$1:$W$56</definedName>
    <definedName name="_xlnm.Print_Area" localSheetId="16">'Modelo 2.0 - Cubação'!$D$1:$R$122</definedName>
    <definedName name="_xlnm.Print_Area" localSheetId="1">'PV 17-LINEAR DE DISTR. MAT'!$B$2:$EC$102</definedName>
    <definedName name="_xlnm.Print_Area" localSheetId="12">Transportes!$A$1:$N$22</definedName>
    <definedName name="_xlnm.Print_Area">#REF!</definedName>
    <definedName name="Area_de_impressao1">[51]Plan1!#REF!</definedName>
    <definedName name="Area_de_impressaoo">[51]Plan1!#REF!</definedName>
    <definedName name="Area_de_impressaooo">[51]Plan1!#REF!</definedName>
    <definedName name="Area_de_impressaoooo">[51]Plan1!#REF!</definedName>
    <definedName name="Area_de_impressaooooo">[51]Plan1!#REF!</definedName>
    <definedName name="Area_de_impresssao">[51]Plan1!#REF!</definedName>
    <definedName name="Area_de_IMPRESSSAOO">[51]Plan1!#REF!</definedName>
    <definedName name="Area_de_Impressssao">[51]Plan1!#REF!</definedName>
    <definedName name="Area_de_impresssssao">[51]Plan1!#REF!</definedName>
    <definedName name="Área_impressão_IM" localSheetId="21">#REF!</definedName>
    <definedName name="Área_impressão_IM">#REF!</definedName>
    <definedName name="Área_impressão_IM_4">#REF!</definedName>
    <definedName name="ÁREA_PROCV_BAIRROS">[55]Códigos!$E$5:$O$38</definedName>
    <definedName name="ÁREA_PROCV_DADOS_MEDIÇÃO" localSheetId="21">#REF!</definedName>
    <definedName name="ÁREA_PROCV_DADOS_MEDIÇÃO">'[55]B M Pl04'!$Q$5:$AB$32</definedName>
    <definedName name="ÁREA_PROCV_SUB_EMPREITEIRAS" localSheetId="21">#REF!</definedName>
    <definedName name="ÁREA_PROCV_SUB_EMPREITEIRAS">'[55]B M Pl04'!$B$5:$C$32</definedName>
    <definedName name="Área2">#REF!</definedName>
    <definedName name="AreaTeste">#REF!</definedName>
    <definedName name="AreaTeste2">#REF!</definedName>
    <definedName name="ÁreaTotal" localSheetId="21">#REF!</definedName>
    <definedName name="ÁreaTotal">'[56]Quadro Geral'!$A$1:$H$65536</definedName>
    <definedName name="AREC">[15]DADOS!$C$15</definedName>
    <definedName name="AREEWR" localSheetId="20" hidden="1">{"'Quadro'!$A$4:$BG$78"}</definedName>
    <definedName name="AREEWR" hidden="1">{"'Quadro'!$A$4:$BG$78"}</definedName>
    <definedName name="AREEWR_1" localSheetId="20" hidden="1">{"'Quadro'!$A$4:$BG$78"}</definedName>
    <definedName name="AREEWR_1" hidden="1">{"'Quadro'!$A$4:$BG$78"}</definedName>
    <definedName name="AREEWR_1_1" localSheetId="20" hidden="1">{"'Quadro'!$A$4:$BG$78"}</definedName>
    <definedName name="AREEWR_1_1" hidden="1">{"'Quadro'!$A$4:$BG$78"}</definedName>
    <definedName name="AREEWR_1_1_1" localSheetId="20" hidden="1">{"'Quadro'!$A$4:$BG$78"}</definedName>
    <definedName name="AREEWR_1_1_1" hidden="1">{"'Quadro'!$A$4:$BG$78"}</definedName>
    <definedName name="AREEWR_1_2" localSheetId="20" hidden="1">{"'Quadro'!$A$4:$BG$78"}</definedName>
    <definedName name="AREEWR_1_2" hidden="1">{"'Quadro'!$A$4:$BG$78"}</definedName>
    <definedName name="AREEWR_2" localSheetId="20" hidden="1">{"'Quadro'!$A$4:$BG$78"}</definedName>
    <definedName name="AREEWR_2" hidden="1">{"'Quadro'!$A$4:$BG$78"}</definedName>
    <definedName name="AREIA">[15]DADOS!$C$10</definedName>
    <definedName name="AREIACS">[15]DADOS!$C$11</definedName>
    <definedName name="ARG">#REF!</definedName>
    <definedName name="ARL1C">#REF!</definedName>
    <definedName name="Arlindo" localSheetId="20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'[16]Mão de Obra'!$E$21</definedName>
    <definedName name="ARM1C">#REF!</definedName>
    <definedName name="ARNO">#REF!</definedName>
    <definedName name="ARR1C">#REF!</definedName>
    <definedName name="ARR2C">#REF!</definedName>
    <definedName name="arrrr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S" hidden="1">#REF!</definedName>
    <definedName name="as" localSheetId="20" hidden="1">{#N/A,#N/A,FALSE,"BETER -1";#N/A,#N/A,FALSE,"BETER -2";#N/A,#N/A,FALSE,"BETER -3";#N/A,#N/A,FALSE,"BETER -urb";#N/A,#N/A,FALSE,"BETER -RESUMO"}</definedName>
    <definedName name="as" localSheetId="21">#REF!</definedName>
    <definedName name="as">#REF!</definedName>
    <definedName name="A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1">#REF!</definedName>
    <definedName name="A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2DocOpenMode" hidden="1">"AS2DocumentEdit"</definedName>
    <definedName name="AS2NamedRange" hidden="1">18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" localSheetId="20" hidden="1">{"'RR'!$A$2:$E$81"}</definedName>
    <definedName name="asa" hidden="1">{"'RR'!$A$2:$E$81"}</definedName>
    <definedName name="asa_1" localSheetId="20" hidden="1">{"'RR'!$A$2:$E$81"}</definedName>
    <definedName name="asa_1" hidden="1">{"'RR'!$A$2:$E$81"}</definedName>
    <definedName name="asa_1_1" localSheetId="20" hidden="1">{"'RR'!$A$2:$E$81"}</definedName>
    <definedName name="asa_1_1" hidden="1">{"'RR'!$A$2:$E$81"}</definedName>
    <definedName name="asa_1_1_1" localSheetId="20" hidden="1">{"'RR'!$A$2:$E$81"}</definedName>
    <definedName name="asa_1_1_1" hidden="1">{"'RR'!$A$2:$E$81"}</definedName>
    <definedName name="asa_1_2" localSheetId="20" hidden="1">{"'RR'!$A$2:$E$81"}</definedName>
    <definedName name="asa_1_2" hidden="1">{"'RR'!$A$2:$E$81"}</definedName>
    <definedName name="asa_2" localSheetId="20" hidden="1">{"'RR'!$A$2:$E$81"}</definedName>
    <definedName name="asa_2" hidden="1">{"'RR'!$A$2:$E$81"}</definedName>
    <definedName name="asaasaas" localSheetId="20" hidden="1">{#N/A,#N/A,TRUE,"indice";#N/A,#N/A,TRUE,"indicadores";#N/A,#N/A,TRUE,"comentarios"}</definedName>
    <definedName name="asaasaas" hidden="1">{#N/A,#N/A,TRUE,"indice";#N/A,#N/A,TRUE,"indicadores";#N/A,#N/A,TRUE,"comentarios"}</definedName>
    <definedName name="asaasaas_1" localSheetId="20" hidden="1">{#N/A,#N/A,TRUE,"indice";#N/A,#N/A,TRUE,"indicadores";#N/A,#N/A,TRUE,"comentarios"}</definedName>
    <definedName name="asaasaas_1" hidden="1">{#N/A,#N/A,TRUE,"indice";#N/A,#N/A,TRUE,"indicadores";#N/A,#N/A,TRUE,"comentarios"}</definedName>
    <definedName name="asaasaas_1_1" localSheetId="20" hidden="1">{#N/A,#N/A,TRUE,"indice";#N/A,#N/A,TRUE,"indicadores";#N/A,#N/A,TRUE,"comentarios"}</definedName>
    <definedName name="asaasaas_1_1" hidden="1">{#N/A,#N/A,TRUE,"indice";#N/A,#N/A,TRUE,"indicadores";#N/A,#N/A,TRUE,"comentarios"}</definedName>
    <definedName name="asaasaas_1_1_1" localSheetId="20" hidden="1">{#N/A,#N/A,TRUE,"indice";#N/A,#N/A,TRUE,"indicadores";#N/A,#N/A,TRUE,"comentarios"}</definedName>
    <definedName name="asaasaas_1_1_1" hidden="1">{#N/A,#N/A,TRUE,"indice";#N/A,#N/A,TRUE,"indicadores";#N/A,#N/A,TRUE,"comentarios"}</definedName>
    <definedName name="asaasaas_1_2" localSheetId="20" hidden="1">{#N/A,#N/A,TRUE,"indice";#N/A,#N/A,TRUE,"indicadores";#N/A,#N/A,TRUE,"comentarios"}</definedName>
    <definedName name="asaasaas_1_2" hidden="1">{#N/A,#N/A,TRUE,"indice";#N/A,#N/A,TRUE,"indicadores";#N/A,#N/A,TRUE,"comentarios"}</definedName>
    <definedName name="asaasaas_2" localSheetId="20" hidden="1">{#N/A,#N/A,TRUE,"indice";#N/A,#N/A,TRUE,"indicadores";#N/A,#N/A,TRUE,"comentarios"}</definedName>
    <definedName name="asaasaas_2" hidden="1">{#N/A,#N/A,TRUE,"indice";#N/A,#N/A,TRUE,"indicadores";#N/A,#N/A,TRUE,"comentarios"}</definedName>
    <definedName name="asaasa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S">[4]COMPOS1!#REF!</definedName>
    <definedName name="a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dadad">'[57]P A T O'!#REF!</definedName>
    <definedName name="asassa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" localSheetId="21">#REF!</definedName>
    <definedName name="asd">'[58]8ª MP_BR-459'!#REF!</definedName>
    <definedName name="asdad" localSheetId="20" hidden="1">{"'gráf jan00'!$A$1:$AK$41"}</definedName>
    <definedName name="asdad" hidden="1">{"'gráf jan00'!$A$1:$AK$41"}</definedName>
    <definedName name="asdad_1" localSheetId="20" hidden="1">{"'gráf jan00'!$A$1:$AK$41"}</definedName>
    <definedName name="asdad_1" hidden="1">{"'gráf jan00'!$A$1:$AK$41"}</definedName>
    <definedName name="asdad_1_1" localSheetId="20" hidden="1">{"'gráf jan00'!$A$1:$AK$41"}</definedName>
    <definedName name="asdad_1_1" hidden="1">{"'gráf jan00'!$A$1:$AK$41"}</definedName>
    <definedName name="asdad_1_1_1" localSheetId="20" hidden="1">{"'gráf jan00'!$A$1:$AK$41"}</definedName>
    <definedName name="asdad_1_1_1" hidden="1">{"'gráf jan00'!$A$1:$AK$41"}</definedName>
    <definedName name="asdad_1_2" localSheetId="20" hidden="1">{"'gráf jan00'!$A$1:$AK$41"}</definedName>
    <definedName name="asdad_1_2" hidden="1">{"'gráf jan00'!$A$1:$AK$41"}</definedName>
    <definedName name="asdad_2" localSheetId="20" hidden="1">{"'gráf jan00'!$A$1:$AK$41"}</definedName>
    <definedName name="asdad_2" hidden="1">{"'gráf jan00'!$A$1:$AK$41"}</definedName>
    <definedName name="asdadadad" localSheetId="20" hidden="1">{"'gráf jan00'!$A$1:$AK$41"}</definedName>
    <definedName name="asdadadad" hidden="1">{"'gráf jan00'!$A$1:$AK$41"}</definedName>
    <definedName name="asdadadad_1" localSheetId="20" hidden="1">{"'gráf jan00'!$A$1:$AK$41"}</definedName>
    <definedName name="asdadadad_1" hidden="1">{"'gráf jan00'!$A$1:$AK$41"}</definedName>
    <definedName name="asdadadad_1_1" localSheetId="20" hidden="1">{"'gráf jan00'!$A$1:$AK$41"}</definedName>
    <definedName name="asdadadad_1_1" hidden="1">{"'gráf jan00'!$A$1:$AK$41"}</definedName>
    <definedName name="asdadadad_1_1_1" localSheetId="20" hidden="1">{"'gráf jan00'!$A$1:$AK$41"}</definedName>
    <definedName name="asdadadad_1_1_1" hidden="1">{"'gráf jan00'!$A$1:$AK$41"}</definedName>
    <definedName name="asdadadad_1_2" localSheetId="20" hidden="1">{"'gráf jan00'!$A$1:$AK$41"}</definedName>
    <definedName name="asdadadad_1_2" hidden="1">{"'gráf jan00'!$A$1:$AK$41"}</definedName>
    <definedName name="asdadadad_2" localSheetId="20" hidden="1">{"'gráf jan00'!$A$1:$AK$41"}</definedName>
    <definedName name="asdadadad_2" hidden="1">{"'gráf jan00'!$A$1:$AK$41"}</definedName>
    <definedName name="asdadasd" localSheetId="20" hidden="1">{"'Quadro'!$A$4:$BG$78"}</definedName>
    <definedName name="asdadasd" hidden="1">{"'Quadro'!$A$4:$BG$78"}</definedName>
    <definedName name="asdadasd_1" localSheetId="20" hidden="1">{"'Quadro'!$A$4:$BG$78"}</definedName>
    <definedName name="asdadasd_1" hidden="1">{"'Quadro'!$A$4:$BG$78"}</definedName>
    <definedName name="asdadasd_1_1" localSheetId="20" hidden="1">{"'Quadro'!$A$4:$BG$78"}</definedName>
    <definedName name="asdadasd_1_1" hidden="1">{"'Quadro'!$A$4:$BG$78"}</definedName>
    <definedName name="asdadasd_1_1_1" localSheetId="20" hidden="1">{"'Quadro'!$A$4:$BG$78"}</definedName>
    <definedName name="asdadasd_1_1_1" hidden="1">{"'Quadro'!$A$4:$BG$78"}</definedName>
    <definedName name="asdadasd_1_2" localSheetId="20" hidden="1">{"'Quadro'!$A$4:$BG$78"}</definedName>
    <definedName name="asdadasd_1_2" hidden="1">{"'Quadro'!$A$4:$BG$78"}</definedName>
    <definedName name="asdadasd_2" localSheetId="20" hidden="1">{"'Quadro'!$A$4:$BG$78"}</definedName>
    <definedName name="asdadasd_2" hidden="1">{"'Quadro'!$A$4:$BG$78"}</definedName>
    <definedName name="asdasdasdas" localSheetId="20" hidden="1">{"'gráf jan00'!$A$1:$AK$41"}</definedName>
    <definedName name="asdasdasdas" hidden="1">{"'gráf jan00'!$A$1:$AK$41"}</definedName>
    <definedName name="asdasdasdas_1" localSheetId="20" hidden="1">{"'gráf jan00'!$A$1:$AK$41"}</definedName>
    <definedName name="asdasdasdas_1" hidden="1">{"'gráf jan00'!$A$1:$AK$41"}</definedName>
    <definedName name="asdasdasdas_1_1" localSheetId="20" hidden="1">{"'gráf jan00'!$A$1:$AK$41"}</definedName>
    <definedName name="asdasdasdas_1_1" hidden="1">{"'gráf jan00'!$A$1:$AK$41"}</definedName>
    <definedName name="asdasdasdas_1_1_1" localSheetId="20" hidden="1">{"'gráf jan00'!$A$1:$AK$41"}</definedName>
    <definedName name="asdasdasdas_1_1_1" hidden="1">{"'gráf jan00'!$A$1:$AK$41"}</definedName>
    <definedName name="asdasdasdas_1_2" localSheetId="20" hidden="1">{"'gráf jan00'!$A$1:$AK$41"}</definedName>
    <definedName name="asdasdasdas_1_2" hidden="1">{"'gráf jan00'!$A$1:$AK$41"}</definedName>
    <definedName name="asdasdasdas_2" localSheetId="20" hidden="1">{"'gráf jan00'!$A$1:$AK$41"}</definedName>
    <definedName name="asdasdasdas_2" hidden="1">{"'gráf jan00'!$A$1:$AK$41"}</definedName>
    <definedName name="ASDDAS">#REF!</definedName>
    <definedName name="asde">"$#REF!.$#REF!$#REF!:$#REF!$#REF!"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localSheetId="20" hidden="1">{#N/A,#N/A,TRUE,"Serviços"}</definedName>
    <definedName name="asdf" localSheetId="21">#REF!</definedName>
    <definedName name="asdf">#REF!</definedName>
    <definedName name="asdf_1" localSheetId="20" hidden="1">{"'Quadro'!$A$4:$BG$78"}</definedName>
    <definedName name="asdf_1" hidden="1">{"'Quadro'!$A$4:$BG$78"}</definedName>
    <definedName name="asdf_1_1" localSheetId="20" hidden="1">{"'Quadro'!$A$4:$BG$78"}</definedName>
    <definedName name="asdf_1_1" hidden="1">{"'Quadro'!$A$4:$BG$78"}</definedName>
    <definedName name="asdf_1_1_1" localSheetId="20" hidden="1">{"'Quadro'!$A$4:$BG$78"}</definedName>
    <definedName name="asdf_1_1_1" hidden="1">{"'Quadro'!$A$4:$BG$78"}</definedName>
    <definedName name="asdf_1_2" localSheetId="20" hidden="1">{"'Quadro'!$A$4:$BG$78"}</definedName>
    <definedName name="asdf_1_2" hidden="1">{"'Quadro'!$A$4:$BG$78"}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 hidden="1">#REF!</definedName>
    <definedName name="asdfasd" localSheetId="20" hidden="1">{#N/A,#N/A,FALSE,"ROTINA";#N/A,#N/A,FALSE,"ITENS";#N/A,#N/A,FALSE,"ACOMP"}</definedName>
    <definedName name="asdfasd" hidden="1">{#N/A,#N/A,FALSE,"ROTINA";#N/A,#N/A,FALSE,"ITENS";#N/A,#N/A,FALSE,"ACOMP"}</definedName>
    <definedName name="asdfasd_1" localSheetId="20" hidden="1">{#N/A,#N/A,FALSE,"ROTINA";#N/A,#N/A,FALSE,"ITENS";#N/A,#N/A,FALSE,"ACOMP"}</definedName>
    <definedName name="asdfasd_1" hidden="1">{#N/A,#N/A,FALSE,"ROTINA";#N/A,#N/A,FALSE,"ITENS";#N/A,#N/A,FALSE,"ACOMP"}</definedName>
    <definedName name="asdfasd_1_1" localSheetId="20" hidden="1">{#N/A,#N/A,FALSE,"ROTINA";#N/A,#N/A,FALSE,"ITENS";#N/A,#N/A,FALSE,"ACOMP"}</definedName>
    <definedName name="asdfasd_1_1" hidden="1">{#N/A,#N/A,FALSE,"ROTINA";#N/A,#N/A,FALSE,"ITENS";#N/A,#N/A,FALSE,"ACOMP"}</definedName>
    <definedName name="asdfasd_1_1_1" localSheetId="20" hidden="1">{#N/A,#N/A,FALSE,"ROTINA";#N/A,#N/A,FALSE,"ITENS";#N/A,#N/A,FALSE,"ACOMP"}</definedName>
    <definedName name="asdfasd_1_1_1" hidden="1">{#N/A,#N/A,FALSE,"ROTINA";#N/A,#N/A,FALSE,"ITENS";#N/A,#N/A,FALSE,"ACOMP"}</definedName>
    <definedName name="asdfasd_1_2" localSheetId="20" hidden="1">{#N/A,#N/A,FALSE,"ROTINA";#N/A,#N/A,FALSE,"ITENS";#N/A,#N/A,FALSE,"ACOMP"}</definedName>
    <definedName name="asdfasd_1_2" hidden="1">{#N/A,#N/A,FALSE,"ROTINA";#N/A,#N/A,FALSE,"ITENS";#N/A,#N/A,FALSE,"ACOMP"}</definedName>
    <definedName name="asdfasd_2" localSheetId="20" hidden="1">{#N/A,#N/A,FALSE,"ROTINA";#N/A,#N/A,FALSE,"ITENS";#N/A,#N/A,FALSE,"ACOMP"}</definedName>
    <definedName name="asdfasd_2" hidden="1">{#N/A,#N/A,FALSE,"ROTINA";#N/A,#N/A,FALSE,"ITENS";#N/A,#N/A,FALSE,"ACOMP"}</definedName>
    <definedName name="ASDFASFA" localSheetId="20" hidden="1">{#N/A,#N/A,TRUE,"Resumo de Preços"}</definedName>
    <definedName name="ASDFASFA" hidden="1">{#N/A,#N/A,TRUE,"Resumo de Preços"}</definedName>
    <definedName name="asdfasfsafasf" localSheetId="20" hidden="1">{"'CptDifn'!$AA$32:$AG$32"}</definedName>
    <definedName name="asdfasfsafasf" hidden="1">{"'CptDifn'!$AA$32:$AG$32"}</definedName>
    <definedName name="asdfasfsafasf_1" localSheetId="20" hidden="1">{"'CptDifn'!$AA$32:$AG$32"}</definedName>
    <definedName name="asdfasfsafasf_1" hidden="1">{"'CptDifn'!$AA$32:$AG$32"}</definedName>
    <definedName name="asdfasfsafasf_1_1" localSheetId="20" hidden="1">{"'CptDifn'!$AA$32:$AG$32"}</definedName>
    <definedName name="asdfasfsafasf_1_1" hidden="1">{"'CptDifn'!$AA$32:$AG$32"}</definedName>
    <definedName name="asdfasfsafasf_1_1_1" localSheetId="20" hidden="1">{"'CptDifn'!$AA$32:$AG$32"}</definedName>
    <definedName name="asdfasfsafasf_1_1_1" hidden="1">{"'CptDifn'!$AA$32:$AG$32"}</definedName>
    <definedName name="asdfasfsafasf_1_2" localSheetId="20" hidden="1">{"'CptDifn'!$AA$32:$AG$32"}</definedName>
    <definedName name="asdfasfsafasf_1_2" hidden="1">{"'CptDifn'!$AA$32:$AG$32"}</definedName>
    <definedName name="asdfasfsafasf_2" localSheetId="20" hidden="1">{"'CptDifn'!$AA$32:$AG$32"}</definedName>
    <definedName name="asdfasfsafasf_2" hidden="1">{"'CptDifn'!$AA$32:$AG$32"}</definedName>
    <definedName name="asdfasg" localSheetId="20" hidden="1">{"det (May)",#N/A,FALSE,"June";"sum (MAY YTD)",#N/A,FALSE,"June YTD"}</definedName>
    <definedName name="asdfasg" hidden="1">{"det (May)",#N/A,FALSE,"June";"sum (MAY YTD)",#N/A,FALSE,"June YTD"}</definedName>
    <definedName name="asdfasg_1" localSheetId="20" hidden="1">{"det (May)",#N/A,FALSE,"June";"sum (MAY YTD)",#N/A,FALSE,"June YTD"}</definedName>
    <definedName name="asdfasg_1" hidden="1">{"det (May)",#N/A,FALSE,"June";"sum (MAY YTD)",#N/A,FALSE,"June YTD"}</definedName>
    <definedName name="asdfasg_1_1" localSheetId="20" hidden="1">{"det (May)",#N/A,FALSE,"June";"sum (MAY YTD)",#N/A,FALSE,"June YTD"}</definedName>
    <definedName name="asdfasg_1_1" hidden="1">{"det (May)",#N/A,FALSE,"June";"sum (MAY YTD)",#N/A,FALSE,"June YTD"}</definedName>
    <definedName name="asdfasg_1_1_1" localSheetId="20" hidden="1">{"det (May)",#N/A,FALSE,"June";"sum (MAY YTD)",#N/A,FALSE,"June YTD"}</definedName>
    <definedName name="asdfasg_1_1_1" hidden="1">{"det (May)",#N/A,FALSE,"June";"sum (MAY YTD)",#N/A,FALSE,"June YTD"}</definedName>
    <definedName name="asdfasg_1_2" localSheetId="20" hidden="1">{"det (May)",#N/A,FALSE,"June";"sum (MAY YTD)",#N/A,FALSE,"June YTD"}</definedName>
    <definedName name="asdfasg_1_2" hidden="1">{"det (May)",#N/A,FALSE,"June";"sum (MAY YTD)",#N/A,FALSE,"June YTD"}</definedName>
    <definedName name="asdfasg_2" localSheetId="20" hidden="1">{"det (May)",#N/A,FALSE,"June";"sum (MAY YTD)",#N/A,FALSE,"June YTD"}</definedName>
    <definedName name="asdfasg_2" hidden="1">{"det (May)",#N/A,FALSE,"June";"sum (MAY YTD)",#N/A,FALSE,"June YTD"}</definedName>
    <definedName name="ASDFG" localSheetId="20" hidden="1">{#N/A,#N/A,TRUE,"Serviços"}</definedName>
    <definedName name="ASDFG" hidden="1">{#N/A,#N/A,TRUE,"Serviços"}</definedName>
    <definedName name="asdfghqefha" localSheetId="20" hidden="1">{#N/A,#N/A,FALSE,"MO (2)"}</definedName>
    <definedName name="asdfghqefha" hidden="1">{#N/A,#N/A,FALSE,"MO (2)"}</definedName>
    <definedName name="asdg" localSheetId="20" hidden="1">{"'gráf jan00'!$A$1:$AK$41"}</definedName>
    <definedName name="asdg" hidden="1">{"'gráf jan00'!$A$1:$AK$41"}</definedName>
    <definedName name="asdg_1" localSheetId="20" hidden="1">{"'gráf jan00'!$A$1:$AK$41"}</definedName>
    <definedName name="asdg_1" hidden="1">{"'gráf jan00'!$A$1:$AK$41"}</definedName>
    <definedName name="asdg_1_1" localSheetId="20" hidden="1">{"'gráf jan00'!$A$1:$AK$41"}</definedName>
    <definedName name="asdg_1_1" hidden="1">{"'gráf jan00'!$A$1:$AK$41"}</definedName>
    <definedName name="asdg_1_1_1" localSheetId="20" hidden="1">{"'gráf jan00'!$A$1:$AK$41"}</definedName>
    <definedName name="asdg_1_1_1" hidden="1">{"'gráf jan00'!$A$1:$AK$41"}</definedName>
    <definedName name="asdg_1_2" localSheetId="20" hidden="1">{"'gráf jan00'!$A$1:$AK$41"}</definedName>
    <definedName name="asdg_1_2" hidden="1">{"'gráf jan00'!$A$1:$AK$41"}</definedName>
    <definedName name="asdg_2" localSheetId="20" hidden="1">{"'gráf jan00'!$A$1:$AK$41"}</definedName>
    <definedName name="asdg_2" hidden="1">{"'gráf jan00'!$A$1:$AK$41"}</definedName>
    <definedName name="asdhkasd" localSheetId="20" hidden="1">{"'Quadro'!$A$4:$BG$78"}</definedName>
    <definedName name="asdhkasd" hidden="1">{"'Quadro'!$A$4:$BG$78"}</definedName>
    <definedName name="asdhkasd_1" localSheetId="20" hidden="1">{"'Quadro'!$A$4:$BG$78"}</definedName>
    <definedName name="asdhkasd_1" hidden="1">{"'Quadro'!$A$4:$BG$78"}</definedName>
    <definedName name="asdhkasd_1_1" localSheetId="20" hidden="1">{"'Quadro'!$A$4:$BG$78"}</definedName>
    <definedName name="asdhkasd_1_1" hidden="1">{"'Quadro'!$A$4:$BG$78"}</definedName>
    <definedName name="asdhkasd_1_1_1" localSheetId="20" hidden="1">{"'Quadro'!$A$4:$BG$78"}</definedName>
    <definedName name="asdhkasd_1_1_1" hidden="1">{"'Quadro'!$A$4:$BG$78"}</definedName>
    <definedName name="asdhkasd_1_2" localSheetId="20" hidden="1">{"'Quadro'!$A$4:$BG$78"}</definedName>
    <definedName name="asdhkasd_1_2" hidden="1">{"'Quadro'!$A$4:$BG$78"}</definedName>
    <definedName name="asdhkasd_2" localSheetId="20" hidden="1">{"'Quadro'!$A$4:$BG$78"}</definedName>
    <definedName name="asdhkasd_2" hidden="1">{"'Quadro'!$A$4:$BG$78"}</definedName>
    <definedName name="asdryhsdfh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SD" localSheetId="20" hidden="1">{"'Quadro'!$A$4:$BG$78"}</definedName>
    <definedName name="ASDSD" hidden="1">{"'Quadro'!$A$4:$BG$78"}</definedName>
    <definedName name="ASDSD_1" localSheetId="20" hidden="1">{"'Quadro'!$A$4:$BG$78"}</definedName>
    <definedName name="ASDSD_1" hidden="1">{"'Quadro'!$A$4:$BG$78"}</definedName>
    <definedName name="ASDSD_1_1" localSheetId="20" hidden="1">{"'Quadro'!$A$4:$BG$78"}</definedName>
    <definedName name="ASDSD_1_1" hidden="1">{"'Quadro'!$A$4:$BG$78"}</definedName>
    <definedName name="ASDSD_1_1_1" localSheetId="20" hidden="1">{"'Quadro'!$A$4:$BG$78"}</definedName>
    <definedName name="ASDSD_1_1_1" hidden="1">{"'Quadro'!$A$4:$BG$78"}</definedName>
    <definedName name="ASDSD_1_2" localSheetId="20" hidden="1">{"'Quadro'!$A$4:$BG$78"}</definedName>
    <definedName name="ASDSD_1_2" hidden="1">{"'Quadro'!$A$4:$BG$78"}</definedName>
    <definedName name="ASDSD_2" localSheetId="20" hidden="1">{"'Quadro'!$A$4:$BG$78"}</definedName>
    <definedName name="ASDSD_2" hidden="1">{"'Quadro'!$A$4:$BG$78"}</definedName>
    <definedName name="asdsdfagf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sdfag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EFA" localSheetId="20" hidden="1">{#N/A,#N/A,TRUE,"Serviços"}</definedName>
    <definedName name="ASEFA" localSheetId="21" hidden="1">{#N/A,#N/A,TRUE,"Serviços"}</definedName>
    <definedName name="ASEFA" hidden="1">{#N/A,#N/A,TRUE,"Serviços"}</definedName>
    <definedName name="aseqa" localSheetId="20" hidden="1">{"'RR'!$A$2:$E$81"}</definedName>
    <definedName name="aseqa" hidden="1">{"'RR'!$A$2:$E$81"}</definedName>
    <definedName name="aseqa_1" localSheetId="20" hidden="1">{"'RR'!$A$2:$E$81"}</definedName>
    <definedName name="aseqa_1" hidden="1">{"'RR'!$A$2:$E$81"}</definedName>
    <definedName name="aseqa_1_1" localSheetId="20" hidden="1">{"'RR'!$A$2:$E$81"}</definedName>
    <definedName name="aseqa_1_1" hidden="1">{"'RR'!$A$2:$E$81"}</definedName>
    <definedName name="aseqa_1_1_1" localSheetId="20" hidden="1">{"'RR'!$A$2:$E$81"}</definedName>
    <definedName name="aseqa_1_1_1" hidden="1">{"'RR'!$A$2:$E$81"}</definedName>
    <definedName name="aseqa_1_2" localSheetId="20" hidden="1">{"'RR'!$A$2:$E$81"}</definedName>
    <definedName name="aseqa_1_2" hidden="1">{"'RR'!$A$2:$E$81"}</definedName>
    <definedName name="aseqa_2" localSheetId="20" hidden="1">{"'RR'!$A$2:$E$81"}</definedName>
    <definedName name="aseqa_2" hidden="1">{"'RR'!$A$2:$E$81"}</definedName>
    <definedName name="ASFALTO">#REF!</definedName>
    <definedName name="ASFD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SF">[1]DR84PCRF!#REF!</definedName>
    <definedName name="asfg1" localSheetId="20" hidden="1">{#N/A,#N/A,FALSE,"Cadastro";#N/A,#N/A,FALSE,"Diasmês";#N/A,#N/A,FALSE,"Refeição_3t";#N/A,#N/A,FALSE,"Refeição_Adm";#N/A,#N/A,FALSE,"Custo"}</definedName>
    <definedName name="asfg1" hidden="1">{#N/A,#N/A,FALSE,"Cadastro";#N/A,#N/A,FALSE,"Diasmês";#N/A,#N/A,FALSE,"Refeição_3t";#N/A,#N/A,FALSE,"Refeição_Adm";#N/A,#N/A,FALSE,"Custo"}</definedName>
    <definedName name="ASFGG" localSheetId="20" hidden="1">{#N/A,#N/A,TRUE,"Serviços"}</definedName>
    <definedName name="ASFGG" hidden="1">{#N/A,#N/A,TRUE,"Serviços"}</definedName>
    <definedName name="ASFS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F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jhaksjd" localSheetId="20" hidden="1">{"'RR'!$A$2:$E$81"}</definedName>
    <definedName name="asjhaksjd" hidden="1">{"'RR'!$A$2:$E$81"}</definedName>
    <definedName name="asjhaksjd_1" localSheetId="20" hidden="1">{"'RR'!$A$2:$E$81"}</definedName>
    <definedName name="asjhaksjd_1" hidden="1">{"'RR'!$A$2:$E$81"}</definedName>
    <definedName name="asjhaksjd_1_1" localSheetId="20" hidden="1">{"'RR'!$A$2:$E$81"}</definedName>
    <definedName name="asjhaksjd_1_1" hidden="1">{"'RR'!$A$2:$E$81"}</definedName>
    <definedName name="asjhaksjd_1_1_1" localSheetId="20" hidden="1">{"'RR'!$A$2:$E$81"}</definedName>
    <definedName name="asjhaksjd_1_1_1" hidden="1">{"'RR'!$A$2:$E$81"}</definedName>
    <definedName name="asjhaksjd_1_2" localSheetId="20" hidden="1">{"'RR'!$A$2:$E$81"}</definedName>
    <definedName name="asjhaksjd_1_2" hidden="1">{"'RR'!$A$2:$E$81"}</definedName>
    <definedName name="asjhaksjd_2" localSheetId="20" hidden="1">{"'RR'!$A$2:$E$81"}</definedName>
    <definedName name="asjhaksjd_2" hidden="1">{"'RR'!$A$2:$E$81"}</definedName>
    <definedName name="ASP">#REF!</definedName>
    <definedName name="asq" localSheetId="20" hidden="1">{"'RR'!$A$2:$E$81"}</definedName>
    <definedName name="asq" hidden="1">{"'RR'!$A$2:$E$81"}</definedName>
    <definedName name="asq_1" localSheetId="20" hidden="1">{"'RR'!$A$2:$E$81"}</definedName>
    <definedName name="asq_1" hidden="1">{"'RR'!$A$2:$E$81"}</definedName>
    <definedName name="asq_1_1" localSheetId="20" hidden="1">{"'RR'!$A$2:$E$81"}</definedName>
    <definedName name="asq_1_1" hidden="1">{"'RR'!$A$2:$E$81"}</definedName>
    <definedName name="asq_1_1_1" localSheetId="20" hidden="1">{"'RR'!$A$2:$E$81"}</definedName>
    <definedName name="asq_1_1_1" hidden="1">{"'RR'!$A$2:$E$81"}</definedName>
    <definedName name="asq_1_2" localSheetId="20" hidden="1">{"'RR'!$A$2:$E$81"}</definedName>
    <definedName name="asq_1_2" hidden="1">{"'RR'!$A$2:$E$81"}</definedName>
    <definedName name="asq_2" localSheetId="20" hidden="1">{"'RR'!$A$2:$E$81"}</definedName>
    <definedName name="asq_2" hidden="1">{"'RR'!$A$2:$E$81"}</definedName>
    <definedName name="asrgadg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s" localSheetId="20" hidden="1">{"'Quadro'!$A$4:$BG$78"}</definedName>
    <definedName name="ass" hidden="1">{"'Quadro'!$A$4:$BG$78"}</definedName>
    <definedName name="ass_1" localSheetId="20" hidden="1">{"'Quadro'!$A$4:$BG$78"}</definedName>
    <definedName name="ass_1" hidden="1">{"'Quadro'!$A$4:$BG$78"}</definedName>
    <definedName name="ass_1_1" localSheetId="20" hidden="1">{"'Quadro'!$A$4:$BG$78"}</definedName>
    <definedName name="ass_1_1" hidden="1">{"'Quadro'!$A$4:$BG$78"}</definedName>
    <definedName name="ass_1_1_1" localSheetId="20" hidden="1">{"'Quadro'!$A$4:$BG$78"}</definedName>
    <definedName name="ass_1_1_1" hidden="1">{"'Quadro'!$A$4:$BG$78"}</definedName>
    <definedName name="ass_1_2" localSheetId="20" hidden="1">{"'Quadro'!$A$4:$BG$78"}</definedName>
    <definedName name="ass_1_2" hidden="1">{"'Quadro'!$A$4:$BG$78"}</definedName>
    <definedName name="ass_2" localSheetId="20" hidden="1">{"'Quadro'!$A$4:$BG$78"}</definedName>
    <definedName name="ass_2" hidden="1">{"'Quadro'!$A$4:$BG$78"}</definedName>
    <definedName name="assaas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dasd" localSheetId="20" hidden="1">{"'gráf jan00'!$A$1:$AK$41"}</definedName>
    <definedName name="assadasd" hidden="1">{"'gráf jan00'!$A$1:$AK$41"}</definedName>
    <definedName name="assadasd_1" localSheetId="20" hidden="1">{"'gráf jan00'!$A$1:$AK$41"}</definedName>
    <definedName name="assadasd_1" hidden="1">{"'gráf jan00'!$A$1:$AK$41"}</definedName>
    <definedName name="assadasd_1_1" localSheetId="20" hidden="1">{"'gráf jan00'!$A$1:$AK$41"}</definedName>
    <definedName name="assadasd_1_1" hidden="1">{"'gráf jan00'!$A$1:$AK$41"}</definedName>
    <definedName name="assadasd_1_1_1" localSheetId="20" hidden="1">{"'gráf jan00'!$A$1:$AK$41"}</definedName>
    <definedName name="assadasd_1_1_1" hidden="1">{"'gráf jan00'!$A$1:$AK$41"}</definedName>
    <definedName name="assadasd_1_2" localSheetId="20" hidden="1">{"'gráf jan00'!$A$1:$AK$41"}</definedName>
    <definedName name="assadasd_1_2" hidden="1">{"'gráf jan00'!$A$1:$AK$41"}</definedName>
    <definedName name="assadasd_2" localSheetId="20" hidden="1">{"'gráf jan00'!$A$1:$AK$41"}</definedName>
    <definedName name="assadasd_2" hidden="1">{"'gráf jan00'!$A$1:$AK$41"}</definedName>
    <definedName name="ass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ent.">[5]PLMUSEU!#REF!</definedName>
    <definedName name="Assent._10">[5]PLMUSEU!#REF!</definedName>
    <definedName name="Assent._12">[5]PLMUSEU!#REF!</definedName>
    <definedName name="Assent._3">[5]PLMUSEU!#REF!</definedName>
    <definedName name="Assent._9">[5]PLMUSEU!#REF!</definedName>
    <definedName name="Assina">#REF!</definedName>
    <definedName name="assss" localSheetId="20" hidden="1">{"'Quadro'!$A$4:$BG$78"}</definedName>
    <definedName name="assss" hidden="1">{"'Quadro'!$A$4:$BG$78"}</definedName>
    <definedName name="assss_1" localSheetId="20" hidden="1">{"'Quadro'!$A$4:$BG$78"}</definedName>
    <definedName name="assss_1" hidden="1">{"'Quadro'!$A$4:$BG$78"}</definedName>
    <definedName name="assss_1_1" localSheetId="20" hidden="1">{"'Quadro'!$A$4:$BG$78"}</definedName>
    <definedName name="assss_1_1" hidden="1">{"'Quadro'!$A$4:$BG$78"}</definedName>
    <definedName name="assss_1_1_1" localSheetId="20" hidden="1">{"'Quadro'!$A$4:$BG$78"}</definedName>
    <definedName name="assss_1_1_1" hidden="1">{"'Quadro'!$A$4:$BG$78"}</definedName>
    <definedName name="assss_1_2" localSheetId="20" hidden="1">{"'Quadro'!$A$4:$BG$78"}</definedName>
    <definedName name="assss_1_2" hidden="1">{"'Quadro'!$A$4:$BG$78"}</definedName>
    <definedName name="assss_2" localSheetId="20" hidden="1">{"'Quadro'!$A$4:$BG$78"}</definedName>
    <definedName name="assss_2" hidden="1">{"'Quadro'!$A$4:$BG$78"}</definedName>
    <definedName name="Assumptios2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wa" localSheetId="20" hidden="1">{"'RR'!$A$2:$E$81"}</definedName>
    <definedName name="aswa" hidden="1">{"'RR'!$A$2:$E$81"}</definedName>
    <definedName name="aswa_1" localSheetId="20" hidden="1">{"'RR'!$A$2:$E$81"}</definedName>
    <definedName name="aswa_1" hidden="1">{"'RR'!$A$2:$E$81"}</definedName>
    <definedName name="aswa_1_1" localSheetId="20" hidden="1">{"'RR'!$A$2:$E$81"}</definedName>
    <definedName name="aswa_1_1" hidden="1">{"'RR'!$A$2:$E$81"}</definedName>
    <definedName name="aswa_1_1_1" localSheetId="20" hidden="1">{"'RR'!$A$2:$E$81"}</definedName>
    <definedName name="aswa_1_1_1" hidden="1">{"'RR'!$A$2:$E$81"}</definedName>
    <definedName name="aswa_1_2" localSheetId="20" hidden="1">{"'RR'!$A$2:$E$81"}</definedName>
    <definedName name="aswa_1_2" hidden="1">{"'RR'!$A$2:$E$81"}</definedName>
    <definedName name="aswa_2" localSheetId="20" hidden="1">{"'RR'!$A$2:$E$81"}</definedName>
    <definedName name="aswa_2" hidden="1">{"'RR'!$A$2:$E$81"}</definedName>
    <definedName name="aswe" localSheetId="20" hidden="1">{"'Quadro'!$A$4:$BG$78"}</definedName>
    <definedName name="aswe" hidden="1">{"'Quadro'!$A$4:$BG$78"}</definedName>
    <definedName name="aswe_1" localSheetId="20" hidden="1">{"'Quadro'!$A$4:$BG$78"}</definedName>
    <definedName name="aswe_1" hidden="1">{"'Quadro'!$A$4:$BG$78"}</definedName>
    <definedName name="aswe_1_1" localSheetId="20" hidden="1">{"'Quadro'!$A$4:$BG$78"}</definedName>
    <definedName name="aswe_1_1" hidden="1">{"'Quadro'!$A$4:$BG$78"}</definedName>
    <definedName name="aswe_1_1_1" localSheetId="20" hidden="1">{"'Quadro'!$A$4:$BG$78"}</definedName>
    <definedName name="aswe_1_1_1" hidden="1">{"'Quadro'!$A$4:$BG$78"}</definedName>
    <definedName name="aswe_1_2" localSheetId="20" hidden="1">{"'Quadro'!$A$4:$BG$78"}</definedName>
    <definedName name="aswe_1_2" hidden="1">{"'Quadro'!$A$4:$BG$78"}</definedName>
    <definedName name="aswe_2" localSheetId="20" hidden="1">{"'Quadro'!$A$4:$BG$78"}</definedName>
    <definedName name="aswe_2" hidden="1">{"'Quadro'!$A$4:$BG$78"}</definedName>
    <definedName name="aswea" localSheetId="20" hidden="1">{"'RR'!$A$2:$E$81"}</definedName>
    <definedName name="aswea" hidden="1">{"'RR'!$A$2:$E$81"}</definedName>
    <definedName name="aswea_1" localSheetId="20" hidden="1">{"'RR'!$A$2:$E$81"}</definedName>
    <definedName name="aswea_1" hidden="1">{"'RR'!$A$2:$E$81"}</definedName>
    <definedName name="aswea_1_1" localSheetId="20" hidden="1">{"'RR'!$A$2:$E$81"}</definedName>
    <definedName name="aswea_1_1" hidden="1">{"'RR'!$A$2:$E$81"}</definedName>
    <definedName name="aswea_1_1_1" localSheetId="20" hidden="1">{"'RR'!$A$2:$E$81"}</definedName>
    <definedName name="aswea_1_1_1" hidden="1">{"'RR'!$A$2:$E$81"}</definedName>
    <definedName name="aswea_1_2" localSheetId="20" hidden="1">{"'RR'!$A$2:$E$81"}</definedName>
    <definedName name="aswea_1_2" hidden="1">{"'RR'!$A$2:$E$81"}</definedName>
    <definedName name="aswea_2" localSheetId="20" hidden="1">{"'RR'!$A$2:$E$81"}</definedName>
    <definedName name="aswea_2" hidden="1">{"'RR'!$A$2:$E$81"}</definedName>
    <definedName name="aswedas" hidden="1">#REF!</definedName>
    <definedName name="ASWEFGQ3" localSheetId="20" hidden="1">{"'gráf jan00'!$A$1:$AK$41"}</definedName>
    <definedName name="ASWEFGQ3" hidden="1">{"'gráf jan00'!$A$1:$AK$41"}</definedName>
    <definedName name="ASWEFGQ3_1" localSheetId="20" hidden="1">{"'gráf jan00'!$A$1:$AK$41"}</definedName>
    <definedName name="ASWEFGQ3_1" hidden="1">{"'gráf jan00'!$A$1:$AK$41"}</definedName>
    <definedName name="ASWEFGQ3_1_1" localSheetId="20" hidden="1">{"'gráf jan00'!$A$1:$AK$41"}</definedName>
    <definedName name="ASWEFGQ3_1_1" hidden="1">{"'gráf jan00'!$A$1:$AK$41"}</definedName>
    <definedName name="ASWEFGQ3_1_1_1" localSheetId="20" hidden="1">{"'gráf jan00'!$A$1:$AK$41"}</definedName>
    <definedName name="ASWEFGQ3_1_1_1" hidden="1">{"'gráf jan00'!$A$1:$AK$41"}</definedName>
    <definedName name="ASWEFGQ3_1_2" localSheetId="20" hidden="1">{"'gráf jan00'!$A$1:$AK$41"}</definedName>
    <definedName name="ASWEFGQ3_1_2" hidden="1">{"'gráf jan00'!$A$1:$AK$41"}</definedName>
    <definedName name="ASWEFGQ3_2" localSheetId="20" hidden="1">{"'gráf jan00'!$A$1:$AK$41"}</definedName>
    <definedName name="ASWEFGQ3_2" hidden="1">{"'gráf jan00'!$A$1:$AK$41"}</definedName>
    <definedName name="aswqwa" localSheetId="20" hidden="1">{"'Quadro'!$A$4:$BG$78"}</definedName>
    <definedName name="aswqwa" hidden="1">{"'Quadro'!$A$4:$BG$78"}</definedName>
    <definedName name="aswqwa_1" localSheetId="20" hidden="1">{"'Quadro'!$A$4:$BG$78"}</definedName>
    <definedName name="aswqwa_1" hidden="1">{"'Quadro'!$A$4:$BG$78"}</definedName>
    <definedName name="aswqwa_1_1" localSheetId="20" hidden="1">{"'Quadro'!$A$4:$BG$78"}</definedName>
    <definedName name="aswqwa_1_1" hidden="1">{"'Quadro'!$A$4:$BG$78"}</definedName>
    <definedName name="aswqwa_1_1_1" localSheetId="20" hidden="1">{"'Quadro'!$A$4:$BG$78"}</definedName>
    <definedName name="aswqwa_1_1_1" hidden="1">{"'Quadro'!$A$4:$BG$78"}</definedName>
    <definedName name="aswqwa_1_2" localSheetId="20" hidden="1">{"'Quadro'!$A$4:$BG$78"}</definedName>
    <definedName name="aswqwa_1_2" hidden="1">{"'Quadro'!$A$4:$BG$78"}</definedName>
    <definedName name="aswqwa_2" localSheetId="20" hidden="1">{"'Quadro'!$A$4:$BG$78"}</definedName>
    <definedName name="aswqwa_2" hidden="1">{"'Quadro'!$A$4:$BG$78"}</definedName>
    <definedName name="aswwq" localSheetId="20" hidden="1">{"'Quadro'!$A$4:$BG$78"}</definedName>
    <definedName name="aswwq" hidden="1">{"'Quadro'!$A$4:$BG$78"}</definedName>
    <definedName name="aswwq_1" localSheetId="20" hidden="1">{"'Quadro'!$A$4:$BG$78"}</definedName>
    <definedName name="aswwq_1" hidden="1">{"'Quadro'!$A$4:$BG$78"}</definedName>
    <definedName name="aswwq_1_1" localSheetId="20" hidden="1">{"'Quadro'!$A$4:$BG$78"}</definedName>
    <definedName name="aswwq_1_1" hidden="1">{"'Quadro'!$A$4:$BG$78"}</definedName>
    <definedName name="aswwq_1_1_1" localSheetId="20" hidden="1">{"'Quadro'!$A$4:$BG$78"}</definedName>
    <definedName name="aswwq_1_1_1" hidden="1">{"'Quadro'!$A$4:$BG$78"}</definedName>
    <definedName name="aswwq_1_2" localSheetId="20" hidden="1">{"'Quadro'!$A$4:$BG$78"}</definedName>
    <definedName name="aswwq_1_2" hidden="1">{"'Quadro'!$A$4:$BG$78"}</definedName>
    <definedName name="aswwq_2" localSheetId="20" hidden="1">{"'Quadro'!$A$4:$BG$78"}</definedName>
    <definedName name="aswwq_2" hidden="1">{"'Quadro'!$A$4:$BG$78"}</definedName>
    <definedName name="AT" localSheetId="20" hidden="1">{"'Quadro'!$A$4:$BG$78"}</definedName>
    <definedName name="AT" hidden="1">{"'Quadro'!$A$4:$BG$78"}</definedName>
    <definedName name="AT_1" localSheetId="20" hidden="1">{"'Quadro'!$A$4:$BG$78"}</definedName>
    <definedName name="AT_1" hidden="1">{"'Quadro'!$A$4:$BG$78"}</definedName>
    <definedName name="AT_1_1" localSheetId="20" hidden="1">{"'Quadro'!$A$4:$BG$78"}</definedName>
    <definedName name="AT_1_1" hidden="1">{"'Quadro'!$A$4:$BG$78"}</definedName>
    <definedName name="AT_1_1_1" localSheetId="20" hidden="1">{"'Quadro'!$A$4:$BG$78"}</definedName>
    <definedName name="AT_1_1_1" hidden="1">{"'Quadro'!$A$4:$BG$78"}</definedName>
    <definedName name="AT_1_2" localSheetId="20" hidden="1">{"'Quadro'!$A$4:$BG$78"}</definedName>
    <definedName name="AT_1_2" hidden="1">{"'Quadro'!$A$4:$BG$78"}</definedName>
    <definedName name="AT_2" localSheetId="20" hidden="1">{"'Quadro'!$A$4:$BG$78"}</definedName>
    <definedName name="AT_2" hidden="1">{"'Quadro'!$A$4:$BG$78"}</definedName>
    <definedName name="Aterros" localSheetId="1">#REF!</definedName>
    <definedName name="Aterros">#REF!</definedName>
    <definedName name="ativ_auxil">"$#REF!.$B$6:$AS$4987"</definedName>
    <definedName name="ATUAL">#REF!</definedName>
    <definedName name="AUT_ORIG">#REF!</definedName>
    <definedName name="Aut_original" localSheetId="21">#REF!</definedName>
    <definedName name="Aut_original" localSheetId="1">[59]PROJETO!#REF!</definedName>
    <definedName name="Aut_original">[60]PROJETO!#REF!</definedName>
    <definedName name="Aut_original_1">[61]PROJETO!#REF!</definedName>
    <definedName name="Aut_original_10">[62]PROJETO!#REF!</definedName>
    <definedName name="Aut_original_11">[63]PROJETO!#REF!</definedName>
    <definedName name="Aut_original_12">[62]PROJETO!#REF!</definedName>
    <definedName name="Aut_original_15">[64]PROJETO!#REF!</definedName>
    <definedName name="Aut_original_2">[61]PROJETO!#REF!</definedName>
    <definedName name="Aut_original_3">[62]PROJETO!#REF!</definedName>
    <definedName name="Aut_original_4">[61]PROJETO!#REF!</definedName>
    <definedName name="Aut_original_4_11">[65]PROJETO!#REF!</definedName>
    <definedName name="Aut_original_4_15">[66]PROJETO!#REF!</definedName>
    <definedName name="Aut_original_5">[67]PROJETO!#REF!</definedName>
    <definedName name="Aut_original_6">[67]PROJETO!#REF!</definedName>
    <definedName name="Aut_original_7">[67]PROJETO!#REF!</definedName>
    <definedName name="Aut_original_9">[62]PROJETO!#REF!</definedName>
    <definedName name="Aut_original1" localSheetId="1">[59]PROJETO!#REF!</definedName>
    <definedName name="Aut_original1">[68]PROJETO!#REF!</definedName>
    <definedName name="Aut_original2" localSheetId="1">[69]PROJETO!#REF!</definedName>
    <definedName name="Aut_original2">[69]PROJETO!#REF!</definedName>
    <definedName name="Aut_r2">[70]RESUMO_AUT1!#REF!</definedName>
    <definedName name="aut_resum">#REF!</definedName>
    <definedName name="Aut_resumo" localSheetId="21">#REF!</definedName>
    <definedName name="Aut_resumo" localSheetId="1">[71]RESUMO_AUT1!#REF!</definedName>
    <definedName name="Aut_resumo">[72]RESUMO_AUT1!#REF!</definedName>
    <definedName name="Aut_resumo_1">[73]RESUMO_AUT1!#REF!</definedName>
    <definedName name="Aut_resumo_10">[74]RESUMO_AUT1!#REF!</definedName>
    <definedName name="Aut_resumo_11">[75]RESUMO_AUT1!#REF!</definedName>
    <definedName name="Aut_resumo_12">[74]RESUMO_AUT1!#REF!</definedName>
    <definedName name="Aut_resumo_15">[45]RESUMO_AUT1!#REF!</definedName>
    <definedName name="Aut_resumo_2">[73]RESUMO_AUT1!#REF!</definedName>
    <definedName name="Aut_resumo_3">[74]RESUMO_AUT1!#REF!</definedName>
    <definedName name="Aut_resumo_4">[73]RESUMO_AUT1!#REF!</definedName>
    <definedName name="Aut_resumo_4_15">[76]RESUMO_AUT1!#REF!</definedName>
    <definedName name="Aut_resumo_5">[77]RESUMO_AUT1!#REF!</definedName>
    <definedName name="Aut_resumo_6">[77]RESUMO_AUT1!#REF!</definedName>
    <definedName name="Aut_resumo_7">[77]RESUMO_AUT1!#REF!</definedName>
    <definedName name="Aut_resumo_9">[74]RESUMO_AUT1!#REF!</definedName>
    <definedName name="Aut_resumo1" localSheetId="1">[78]RESUMO_AUT1!#REF!</definedName>
    <definedName name="Aut_resumo1">[78]RESUMO_AUT1!#REF!</definedName>
    <definedName name="Aut_resumo2" localSheetId="1">[71]RESUMO_AUT1!#REF!</definedName>
    <definedName name="Aut_resumo2">[79]RESUMO_AUT1!#REF!</definedName>
    <definedName name="AUTO">#REF!</definedName>
    <definedName name="AUTOMOVEL">#REF!</definedName>
    <definedName name="aux">#REF!</definedName>
    <definedName name="AUX.">#REF!</definedName>
    <definedName name="AUXILIARES">#REF!</definedName>
    <definedName name="AUXILIO">'[80]61M-CBMI'!$S$1:$U$52</definedName>
    <definedName name="av" localSheetId="20" hidden="1">{"'CptDifn'!$AA$32:$AG$32"}</definedName>
    <definedName name="av" hidden="1">{"'CptDifn'!$AA$32:$AG$32"}</definedName>
    <definedName name="Av.Fis.">#N/A</definedName>
    <definedName name="av_1" localSheetId="20" hidden="1">{"'CptDifn'!$AA$32:$AG$32"}</definedName>
    <definedName name="av_1" hidden="1">{"'CptDifn'!$AA$32:$AG$32"}</definedName>
    <definedName name="av_1_1" localSheetId="20" hidden="1">{"'CptDifn'!$AA$32:$AG$32"}</definedName>
    <definedName name="av_1_1" hidden="1">{"'CptDifn'!$AA$32:$AG$32"}</definedName>
    <definedName name="av_1_1_1" localSheetId="20" hidden="1">{"'CptDifn'!$AA$32:$AG$32"}</definedName>
    <definedName name="av_1_1_1" hidden="1">{"'CptDifn'!$AA$32:$AG$32"}</definedName>
    <definedName name="av_1_2" localSheetId="20" hidden="1">{"'CptDifn'!$AA$32:$AG$32"}</definedName>
    <definedName name="av_1_2" hidden="1">{"'CptDifn'!$AA$32:$AG$32"}</definedName>
    <definedName name="av_2" localSheetId="20" hidden="1">{"'CptDifn'!$AA$32:$AG$32"}</definedName>
    <definedName name="av_2" hidden="1">{"'CptDifn'!$AA$32:$AG$32"}</definedName>
    <definedName name="Avanco">[36]PROJETO!#REF!</definedName>
    <definedName name="avanço">#N/A</definedName>
    <definedName name="AVANCOFINANCEIRO">[36]PROJETO!#REF!</definedName>
    <definedName name="AVC" localSheetId="20">' 6.0 - Empréstimos '!AVC</definedName>
    <definedName name="AVC" localSheetId="21">#REF!</definedName>
    <definedName name="AVC">'[40]CROQUIS DE DIST.'!AVC</definedName>
    <definedName name="AvFisZero" localSheetId="21">#REF!</definedName>
    <definedName name="AvFisZero">#N/A</definedName>
    <definedName name="AvFisZero_10">#N/A</definedName>
    <definedName name="AvFisZero_12">#N/A</definedName>
    <definedName name="AvFisZero_13">#N/A</definedName>
    <definedName name="AvFisZero_15">#N/A</definedName>
    <definedName name="AvFisZero_2">#N/A</definedName>
    <definedName name="AvFisZero_5">#N/A</definedName>
    <definedName name="AvFisZero_6">#N/A</definedName>
    <definedName name="AvFisZero_7">#N/A</definedName>
    <definedName name="AvFisZero_8">#N/A</definedName>
    <definedName name="AvFisZero_9">#N/A</definedName>
    <definedName name="AVV">#REF!</definedName>
    <definedName name="AVV_10">#REF!</definedName>
    <definedName name="AVV_12">#REF!</definedName>
    <definedName name="AVV_4">#REF!</definedName>
    <definedName name="AVV_9">#REF!</definedName>
    <definedName name="AW" localSheetId="20" hidden="1">{"'Quadro'!$A$4:$BG$78"}</definedName>
    <definedName name="AW" hidden="1">{"'Quadro'!$A$4:$BG$78"}</definedName>
    <definedName name="AW_1" localSheetId="20" hidden="1">{"'Quadro'!$A$4:$BG$78"}</definedName>
    <definedName name="AW_1" hidden="1">{"'Quadro'!$A$4:$BG$78"}</definedName>
    <definedName name="AW_1_1" localSheetId="20" hidden="1">{"'Quadro'!$A$4:$BG$78"}</definedName>
    <definedName name="AW_1_1" hidden="1">{"'Quadro'!$A$4:$BG$78"}</definedName>
    <definedName name="AW_1_1_1" localSheetId="20" hidden="1">{"'Quadro'!$A$4:$BG$78"}</definedName>
    <definedName name="AW_1_1_1" hidden="1">{"'Quadro'!$A$4:$BG$78"}</definedName>
    <definedName name="AW_1_2" localSheetId="20" hidden="1">{"'Quadro'!$A$4:$BG$78"}</definedName>
    <definedName name="AW_1_2" hidden="1">{"'Quadro'!$A$4:$BG$78"}</definedName>
    <definedName name="AW_2" localSheetId="20" hidden="1">{"'Quadro'!$A$4:$BG$78"}</definedName>
    <definedName name="AW_2" hidden="1">{"'Quadro'!$A$4:$BG$78"}</definedName>
    <definedName name="awdasda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ERTWERT">#REF!</definedName>
    <definedName name="ax" localSheetId="20" hidden="1">{"'CptDifn'!$AA$32:$AG$32"}</definedName>
    <definedName name="ax" hidden="1">{"'CptDifn'!$AA$32:$AG$32"}</definedName>
    <definedName name="ax_1" localSheetId="20" hidden="1">{"'CptDifn'!$AA$32:$AG$32"}</definedName>
    <definedName name="ax_1" hidden="1">{"'CptDifn'!$AA$32:$AG$32"}</definedName>
    <definedName name="ax_1_1" localSheetId="20" hidden="1">{"'CptDifn'!$AA$32:$AG$32"}</definedName>
    <definedName name="ax_1_1" hidden="1">{"'CptDifn'!$AA$32:$AG$32"}</definedName>
    <definedName name="ax_1_1_1" localSheetId="20" hidden="1">{"'CptDifn'!$AA$32:$AG$32"}</definedName>
    <definedName name="ax_1_1_1" hidden="1">{"'CptDifn'!$AA$32:$AG$32"}</definedName>
    <definedName name="ax_1_2" localSheetId="20" hidden="1">{"'CptDifn'!$AA$32:$AG$32"}</definedName>
    <definedName name="ax_1_2" hidden="1">{"'CptDifn'!$AA$32:$AG$32"}</definedName>
    <definedName name="ax_2" localSheetId="20" hidden="1">{"'CptDifn'!$AA$32:$AG$32"}</definedName>
    <definedName name="ax_2" hidden="1">{"'CptDifn'!$AA$32:$AG$32"}</definedName>
    <definedName name="az" localSheetId="20" hidden="1">{"'CptDifn'!$AA$32:$AG$32"}</definedName>
    <definedName name="az" hidden="1">{"'CptDifn'!$AA$32:$AG$32"}</definedName>
    <definedName name="az_1" localSheetId="20" hidden="1">{"'CptDifn'!$AA$32:$AG$32"}</definedName>
    <definedName name="az_1" hidden="1">{"'CptDifn'!$AA$32:$AG$32"}</definedName>
    <definedName name="az_1_1" localSheetId="20" hidden="1">{"'CptDifn'!$AA$32:$AG$32"}</definedName>
    <definedName name="az_1_1" hidden="1">{"'CptDifn'!$AA$32:$AG$32"}</definedName>
    <definedName name="az_1_1_1" localSheetId="20" hidden="1">{"'CptDifn'!$AA$32:$AG$32"}</definedName>
    <definedName name="az_1_1_1" hidden="1">{"'CptDifn'!$AA$32:$AG$32"}</definedName>
    <definedName name="az_1_2" localSheetId="20" hidden="1">{"'CptDifn'!$AA$32:$AG$32"}</definedName>
    <definedName name="az_1_2" hidden="1">{"'CptDifn'!$AA$32:$AG$32"}</definedName>
    <definedName name="az_2" localSheetId="20" hidden="1">{"'CptDifn'!$AA$32:$AG$32"}</definedName>
    <definedName name="az_2" hidden="1">{"'CptDifn'!$AA$32:$AG$32"}</definedName>
    <definedName name="azerty4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11">#REF!</definedName>
    <definedName name="azul_12">#REF!</definedName>
    <definedName name="azul_13">#REF!</definedName>
    <definedName name="azul_15">#REF!</definedName>
    <definedName name="azul_2">#REF!</definedName>
    <definedName name="azul_4">#REF!</definedName>
    <definedName name="azul_5">#REF!</definedName>
    <definedName name="azul_6">#REF!</definedName>
    <definedName name="azul_7">#REF!</definedName>
    <definedName name="azul_8">#REF!</definedName>
    <definedName name="azul_9">#REF!</definedName>
    <definedName name="azull">#REF!</definedName>
    <definedName name="AZULLSINAL">#REF!</definedName>
    <definedName name="AZULSINAL">#REF!</definedName>
    <definedName name="AZULSINAL_11">#REF!</definedName>
    <definedName name="AZULSINAL_12">#REF!</definedName>
    <definedName name="AZULSINAL_13">#REF!</definedName>
    <definedName name="AZULSINAL_15">#REF!</definedName>
    <definedName name="AZULSINAL_2">#REF!</definedName>
    <definedName name="AZULSINAL_4">#REF!</definedName>
    <definedName name="AZULSINAL_5">#REF!</definedName>
    <definedName name="AZULSINAL_6">#REF!</definedName>
    <definedName name="AZULSINAL_7">#REF!</definedName>
    <definedName name="AZULSINAL_8">#REF!</definedName>
    <definedName name="AZULSINAL_9">#REF!</definedName>
    <definedName name="azulsinall">#REF!</definedName>
    <definedName name="b">#REF!</definedName>
    <definedName name="B_10">[81]Medição!#REF!</definedName>
    <definedName name="B_12">[81]Medição!#REF!</definedName>
    <definedName name="B_3">[81]Medição!#REF!</definedName>
    <definedName name="B_4">[82]Medição!#REF!</definedName>
    <definedName name="B_9">[81]Medição!#REF!</definedName>
    <definedName name="B0">'[42]Convert Lat, Long to UTM'!$C$18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">#REF!</definedName>
    <definedName name="bag" localSheetId="20" hidden="1">{"'Quadro'!$A$4:$BG$78"}</definedName>
    <definedName name="bag" hidden="1">{"'Quadro'!$A$4:$BG$78"}</definedName>
    <definedName name="bag_1" localSheetId="20" hidden="1">{"'Quadro'!$A$4:$BG$78"}</definedName>
    <definedName name="bag_1" hidden="1">{"'Quadro'!$A$4:$BG$78"}</definedName>
    <definedName name="bag_1_1" localSheetId="20" hidden="1">{"'Quadro'!$A$4:$BG$78"}</definedName>
    <definedName name="bag_1_1" hidden="1">{"'Quadro'!$A$4:$BG$78"}</definedName>
    <definedName name="bag_1_1_1" localSheetId="20" hidden="1">{"'Quadro'!$A$4:$BG$78"}</definedName>
    <definedName name="bag_1_1_1" hidden="1">{"'Quadro'!$A$4:$BG$78"}</definedName>
    <definedName name="bag_1_2" localSheetId="20" hidden="1">{"'Quadro'!$A$4:$BG$78"}</definedName>
    <definedName name="bag_1_2" hidden="1">{"'Quadro'!$A$4:$BG$78"}</definedName>
    <definedName name="bag_2" localSheetId="20" hidden="1">{"'Quadro'!$A$4:$BG$78"}</definedName>
    <definedName name="bag_2" hidden="1">{"'Quadro'!$A$4:$BG$78"}</definedName>
    <definedName name="balance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NCO">[83]BANCO!$A$1:$D$188</definedName>
    <definedName name="banco_1">#REF!</definedName>
    <definedName name="_xlnm.Database">#REF!</definedName>
    <definedName name="Banco_de_dadoss">#REF!</definedName>
    <definedName name="banco0">[84]BANCO!$A$1:$D$188</definedName>
    <definedName name="banco2">#REF!</definedName>
    <definedName name="banco2_19">#REF!</definedName>
    <definedName name="BANCODADOS1" localSheetId="20">#NAME?</definedName>
    <definedName name="BANCODADOS1" localSheetId="21">#NAME?</definedName>
    <definedName name="BANCODADOS1">'[85]CUSTO EQUIP'!$A$3:$T$57</definedName>
    <definedName name="bancodedados">#REF!</definedName>
    <definedName name="ba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RAS" localSheetId="20" hidden="1">{#N/A,#N/A,FALSE,"RESUMO-BB1";#N/A,#N/A,FALSE,"MOD-A01-R - BB1";#N/A,#N/A,FALSE,"URB-BB1"}</definedName>
    <definedName name="BARRAS" hidden="1">{#N/A,#N/A,FALSE,"RESUMO-BB1";#N/A,#N/A,FALSE,"MOD-A01-R - BB1";#N/A,#N/A,FALSE,"URB-BB1"}</definedName>
    <definedName name="bas">[86]COMPOS1!#REF!</definedName>
    <definedName name="BASCARROCERIA">#REF!</definedName>
    <definedName name="BASE">#REF!</definedName>
    <definedName name="BASE_10">#REF!</definedName>
    <definedName name="BASE_12">#REF!</definedName>
    <definedName name="BASE_9">#REF!</definedName>
    <definedName name="batista" localSheetId="20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_1" localSheetId="20" hidden="1">{"'REL CUSTODIF'!$B$1:$H$72"}</definedName>
    <definedName name="bb_1" hidden="1">{"'REL CUSTODIF'!$B$1:$H$72"}</definedName>
    <definedName name="bb_1_1" localSheetId="20" hidden="1">{"'REL CUSTODIF'!$B$1:$H$72"}</definedName>
    <definedName name="bb_1_1" hidden="1">{"'REL CUSTODIF'!$B$1:$H$72"}</definedName>
    <definedName name="bb_1_1_1" localSheetId="20" hidden="1">{"'REL CUSTODIF'!$B$1:$H$72"}</definedName>
    <definedName name="bb_1_1_1" hidden="1">{"'REL CUSTODIF'!$B$1:$H$72"}</definedName>
    <definedName name="bb_1_2" localSheetId="20" hidden="1">{"'REL CUSTODIF'!$B$1:$H$72"}</definedName>
    <definedName name="bb_1_2" hidden="1">{"'REL CUSTODIF'!$B$1:$H$72"}</definedName>
    <definedName name="bb_2" localSheetId="20" hidden="1">{"'REL CUSTODIF'!$B$1:$H$72"}</definedName>
    <definedName name="bb_2" hidden="1">{"'REL CUSTODIF'!$B$1:$H$72"}</definedName>
    <definedName name="bb_38" localSheetId="2">RESUMO!bb_38</definedName>
    <definedName name="bb_38">bb_38</definedName>
    <definedName name="bbb" localSheetId="20" hidden="1">{#N/A,#N/A,FALSE,"CW Summary";#N/A,#N/A,FALSE,"Weekly Tracking";#N/A,#N/A,FALSE,"MSA";#N/A,#N/A,FALSE,"Parts";#N/A,#N/A,FALSE,"RS";#N/A,#N/A,FALSE,"Mods";#N/A,#N/A,FALSE,"GEVISA";#N/A,#N/A,FALSE,"HQ"}</definedName>
    <definedName name="bbb" localSheetId="21">#N/A</definedName>
    <definedName name="bbb">#N/A</definedName>
    <definedName name="bbbb" localSheetId="20" hidden="1">{#N/A,#N/A,FALSE,"PCOL"}</definedName>
    <definedName name="bbbb" localSheetId="21">#REF!</definedName>
    <definedName name="bbbb">[87]Original!$A$1:$F$595</definedName>
    <definedName name="bbbb_1" localSheetId="20" hidden="1">{#N/A,#N/A,FALSE,"PCOL"}</definedName>
    <definedName name="bbbb_1" hidden="1">{#N/A,#N/A,FALSE,"PCOL"}</definedName>
    <definedName name="bbbb_1_1" localSheetId="20" hidden="1">{#N/A,#N/A,FALSE,"PCOL"}</definedName>
    <definedName name="bbbb_1_1" hidden="1">{#N/A,#N/A,FALSE,"PCOL"}</definedName>
    <definedName name="bbbb_1_1_1" localSheetId="20" hidden="1">{#N/A,#N/A,FALSE,"PCOL"}</definedName>
    <definedName name="bbbb_1_1_1" hidden="1">{#N/A,#N/A,FALSE,"PCOL"}</definedName>
    <definedName name="bbbb_1_2" localSheetId="20" hidden="1">{#N/A,#N/A,FALSE,"PCOL"}</definedName>
    <definedName name="bbbb_1_2" hidden="1">{#N/A,#N/A,FALSE,"PCOL"}</definedName>
    <definedName name="bbbb_2" localSheetId="20" hidden="1">{#N/A,#N/A,FALSE,"PCOL"}</definedName>
    <definedName name="bbbb_2" hidden="1">{#N/A,#N/A,FALSE,"PCOL"}</definedName>
    <definedName name="bbbbb" localSheetId="20" hidden="1">{"'gráf jan00'!$A$1:$AK$41"}</definedName>
    <definedName name="bbbbb" hidden="1">{"'gráf jan00'!$A$1:$AK$41"}</definedName>
    <definedName name="bbbbb_1" localSheetId="20" hidden="1">{"'gráf jan00'!$A$1:$AK$41"}</definedName>
    <definedName name="bbbbb_1" hidden="1">{"'gráf jan00'!$A$1:$AK$41"}</definedName>
    <definedName name="bbbbb_1_1" localSheetId="20" hidden="1">{"'gráf jan00'!$A$1:$AK$41"}</definedName>
    <definedName name="bbbbb_1_1" hidden="1">{"'gráf jan00'!$A$1:$AK$41"}</definedName>
    <definedName name="bbbbb_1_1_1" localSheetId="20" hidden="1">{"'gráf jan00'!$A$1:$AK$41"}</definedName>
    <definedName name="bbbbb_1_1_1" hidden="1">{"'gráf jan00'!$A$1:$AK$41"}</definedName>
    <definedName name="bbbbb_1_2" localSheetId="20" hidden="1">{"'gráf jan00'!$A$1:$AK$41"}</definedName>
    <definedName name="bbbbb_1_2" hidden="1">{"'gráf jan00'!$A$1:$AK$41"}</definedName>
    <definedName name="bbbbb_2" localSheetId="20" hidden="1">{"'gráf jan00'!$A$1:$AK$41"}</definedName>
    <definedName name="bbbbb_2" hidden="1">{"'gráf jan00'!$A$1:$AK$41"}</definedName>
    <definedName name="BBBBBB">[35]Consultoria!#REF!</definedName>
    <definedName name="bbbbbbb" localSheetId="2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bbbbbb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bbbbbbbbbbbbbbbbbbb" localSheetId="20" hidden="1">{"'REL CUSTODIF'!$B$1:$H$72"}</definedName>
    <definedName name="bbbbbbbbbbbbbbbbbbbbbbbbbbbbbbbb" hidden="1">{"'REL CUSTODIF'!$B$1:$H$72"}</definedName>
    <definedName name="bbbbbbbbbbbbbbbbbbbbbbbbbbbbbbbb_1" localSheetId="20" hidden="1">{"'REL CUSTODIF'!$B$1:$H$72"}</definedName>
    <definedName name="bbbbbbbbbbbbbbbbbbbbbbbbbbbbbbbb_1" hidden="1">{"'REL CUSTODIF'!$B$1:$H$72"}</definedName>
    <definedName name="bbbbbbbbbbbbbbbbbbbbbbbbbbbbbbbb_1_1" localSheetId="20" hidden="1">{"'REL CUSTODIF'!$B$1:$H$72"}</definedName>
    <definedName name="bbbbbbbbbbbbbbbbbbbbbbbbbbbbbbbb_1_1" hidden="1">{"'REL CUSTODIF'!$B$1:$H$72"}</definedName>
    <definedName name="bbbbbbbbbbbbbbbbbbbbbbbbbbbbbbbb_1_1_1" localSheetId="20" hidden="1">{"'REL CUSTODIF'!$B$1:$H$72"}</definedName>
    <definedName name="bbbbbbbbbbbbbbbbbbbbbbbbbbbbbbbb_1_1_1" hidden="1">{"'REL CUSTODIF'!$B$1:$H$72"}</definedName>
    <definedName name="bbbbbbbbbbbbbbbbbbbbbbbbbbbbbbbb_1_2" localSheetId="20" hidden="1">{"'REL CUSTODIF'!$B$1:$H$72"}</definedName>
    <definedName name="bbbbbbbbbbbbbbbbbbbbbbbbbbbbbbbb_1_2" hidden="1">{"'REL CUSTODIF'!$B$1:$H$72"}</definedName>
    <definedName name="bbbbbbbbbbbbbbbbbbbbbbbbbbbbbbbb_2" localSheetId="20" hidden="1">{"'REL CUSTODIF'!$B$1:$H$72"}</definedName>
    <definedName name="bbbbbbbbbbbbbbbbbbbbbbbbbbbbbbbb_2" hidden="1">{"'REL CUSTODIF'!$B$1:$H$72"}</definedName>
    <definedName name="bbbn">#REF!</definedName>
    <definedName name="bbgg" localSheetId="20" hidden="1">{"'CptDifn'!$AA$32:$AG$32"}</definedName>
    <definedName name="bbgg" hidden="1">{"'CptDifn'!$AA$32:$AG$32"}</definedName>
    <definedName name="bbgg_1" localSheetId="20" hidden="1">{"'CptDifn'!$AA$32:$AG$32"}</definedName>
    <definedName name="bbgg_1" hidden="1">{"'CptDifn'!$AA$32:$AG$32"}</definedName>
    <definedName name="bbgg_1_1" localSheetId="20" hidden="1">{"'CptDifn'!$AA$32:$AG$32"}</definedName>
    <definedName name="bbgg_1_1" hidden="1">{"'CptDifn'!$AA$32:$AG$32"}</definedName>
    <definedName name="bbgg_1_1_1" localSheetId="20" hidden="1">{"'CptDifn'!$AA$32:$AG$32"}</definedName>
    <definedName name="bbgg_1_1_1" hidden="1">{"'CptDifn'!$AA$32:$AG$32"}</definedName>
    <definedName name="bbgg_1_2" localSheetId="20" hidden="1">{"'CptDifn'!$AA$32:$AG$32"}</definedName>
    <definedName name="bbgg_1_2" hidden="1">{"'CptDifn'!$AA$32:$AG$32"}</definedName>
    <definedName name="bbgg_2" localSheetId="20" hidden="1">{"'CptDifn'!$AA$32:$AG$32"}</definedName>
    <definedName name="bbgg_2" hidden="1">{"'CptDifn'!$AA$32:$AG$32"}</definedName>
    <definedName name="Bbn" localSheetId="20" hidden="1">{"'IndicadoresRH'!$AA$50:$AP$67"}</definedName>
    <definedName name="Bbn" hidden="1">{"'IndicadoresRH'!$AA$50:$AP$67"}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" localSheetId="20" hidden="1">{#N/A,#N/A,FALSE,"ET-CAPA";#N/A,#N/A,FALSE,"ET-PAG1";#N/A,#N/A,FALSE,"ET-PAG2";#N/A,#N/A,FALSE,"ET-PAG3";#N/A,#N/A,FALSE,"ET-PAG4";#N/A,#N/A,FALSE,"ET-PAG5"}</definedName>
    <definedName name="bca" hidden="1">{#N/A,#N/A,FALSE,"ET-CAPA";#N/A,#N/A,FALSE,"ET-PAG1";#N/A,#N/A,FALSE,"ET-PAG2";#N/A,#N/A,FALSE,"ET-PAG3";#N/A,#N/A,FALSE,"ET-PAG4";#N/A,#N/A,FALSE,"ET-PAG5"}</definedName>
    <definedName name="bca_1" localSheetId="20" hidden="1">{#N/A,#N/A,FALSE,"ET-CAPA";#N/A,#N/A,FALSE,"ET-PAG1";#N/A,#N/A,FALSE,"ET-PAG2";#N/A,#N/A,FALSE,"ET-PAG3";#N/A,#N/A,FALSE,"ET-PAG4";#N/A,#N/A,FALSE,"ET-PAG5"}</definedName>
    <definedName name="bca_1" hidden="1">{#N/A,#N/A,FALSE,"ET-CAPA";#N/A,#N/A,FALSE,"ET-PAG1";#N/A,#N/A,FALSE,"ET-PAG2";#N/A,#N/A,FALSE,"ET-PAG3";#N/A,#N/A,FALSE,"ET-PAG4";#N/A,#N/A,FALSE,"ET-PAG5"}</definedName>
    <definedName name="bca_1_1" localSheetId="20" hidden="1">{#N/A,#N/A,FALSE,"ET-CAPA";#N/A,#N/A,FALSE,"ET-PAG1";#N/A,#N/A,FALSE,"ET-PAG2";#N/A,#N/A,FALSE,"ET-PAG3";#N/A,#N/A,FALSE,"ET-PAG4";#N/A,#N/A,FALSE,"ET-PAG5"}</definedName>
    <definedName name="bca_1_1" hidden="1">{#N/A,#N/A,FALSE,"ET-CAPA";#N/A,#N/A,FALSE,"ET-PAG1";#N/A,#N/A,FALSE,"ET-PAG2";#N/A,#N/A,FALSE,"ET-PAG3";#N/A,#N/A,FALSE,"ET-PAG4";#N/A,#N/A,FALSE,"ET-PAG5"}</definedName>
    <definedName name="bca_1_1_1" localSheetId="20" hidden="1">{#N/A,#N/A,FALSE,"ET-CAPA";#N/A,#N/A,FALSE,"ET-PAG1";#N/A,#N/A,FALSE,"ET-PAG2";#N/A,#N/A,FALSE,"ET-PAG3";#N/A,#N/A,FALSE,"ET-PAG4";#N/A,#N/A,FALSE,"ET-PAG5"}</definedName>
    <definedName name="bca_1_1_1" hidden="1">{#N/A,#N/A,FALSE,"ET-CAPA";#N/A,#N/A,FALSE,"ET-PAG1";#N/A,#N/A,FALSE,"ET-PAG2";#N/A,#N/A,FALSE,"ET-PAG3";#N/A,#N/A,FALSE,"ET-PAG4";#N/A,#N/A,FALSE,"ET-PAG5"}</definedName>
    <definedName name="bca_1_2" localSheetId="20" hidden="1">{#N/A,#N/A,FALSE,"ET-CAPA";#N/A,#N/A,FALSE,"ET-PAG1";#N/A,#N/A,FALSE,"ET-PAG2";#N/A,#N/A,FALSE,"ET-PAG3";#N/A,#N/A,FALSE,"ET-PAG4";#N/A,#N/A,FALSE,"ET-PAG5"}</definedName>
    <definedName name="bca_1_2" hidden="1">{#N/A,#N/A,FALSE,"ET-CAPA";#N/A,#N/A,FALSE,"ET-PAG1";#N/A,#N/A,FALSE,"ET-PAG2";#N/A,#N/A,FALSE,"ET-PAG3";#N/A,#N/A,FALSE,"ET-PAG4";#N/A,#N/A,FALSE,"ET-PAG5"}</definedName>
    <definedName name="bca_2" localSheetId="20" hidden="1">{#N/A,#N/A,FALSE,"ET-CAPA";#N/A,#N/A,FALSE,"ET-PAG1";#N/A,#N/A,FALSE,"ET-PAG2";#N/A,#N/A,FALSE,"ET-PAG3";#N/A,#N/A,FALSE,"ET-PAG4";#N/A,#N/A,FALSE,"ET-PAG5"}</definedName>
    <definedName name="bca_2" hidden="1">{#N/A,#N/A,FALSE,"ET-CAPA";#N/A,#N/A,FALSE,"ET-PAG1";#N/A,#N/A,FALSE,"ET-PAG2";#N/A,#N/A,FALSE,"ET-PAG3";#N/A,#N/A,FALSE,"ET-PAG4";#N/A,#N/A,FALSE,"ET-PAG5"}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d" localSheetId="20" hidden="1">{"'IndicadoresRH'!$AA$50:$AP$67"}</definedName>
    <definedName name="bd" hidden="1">{"'IndicadoresRH'!$AA$50:$AP$67"}</definedName>
    <definedName name="bd_1" localSheetId="20" hidden="1">{"'IndicadoresRH'!$AA$50:$AP$67"}</definedName>
    <definedName name="bd_1" hidden="1">{"'IndicadoresRH'!$AA$50:$AP$67"}</definedName>
    <definedName name="bd_1_1" localSheetId="20" hidden="1">{"'IndicadoresRH'!$AA$50:$AP$67"}</definedName>
    <definedName name="bd_1_1" hidden="1">{"'IndicadoresRH'!$AA$50:$AP$67"}</definedName>
    <definedName name="bd_1_1_1" localSheetId="20" hidden="1">{"'IndicadoresRH'!$AA$50:$AP$67"}</definedName>
    <definedName name="bd_1_1_1" hidden="1">{"'IndicadoresRH'!$AA$50:$AP$67"}</definedName>
    <definedName name="bd_1_2" localSheetId="20" hidden="1">{"'IndicadoresRH'!$AA$50:$AP$67"}</definedName>
    <definedName name="bd_1_2" hidden="1">{"'IndicadoresRH'!$AA$50:$AP$67"}</definedName>
    <definedName name="bd_2" localSheetId="20" hidden="1">{"'IndicadoresRH'!$AA$50:$AP$67"}</definedName>
    <definedName name="bd_2" hidden="1">{"'IndicadoresRH'!$AA$50:$AP$67"}</definedName>
    <definedName name="BDI">#REF!</definedName>
    <definedName name="BDI_1">#REF!</definedName>
    <definedName name="BDI_11">#REF!</definedName>
    <definedName name="BDI_12">#REF!</definedName>
    <definedName name="BDI_13">#REF!</definedName>
    <definedName name="BDI_15">#REF!</definedName>
    <definedName name="BDI_2">#REF!</definedName>
    <definedName name="BDI_24">#REF!</definedName>
    <definedName name="BDI_26">#REF!</definedName>
    <definedName name="BDI_27">#REF!</definedName>
    <definedName name="BDI_27_11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9_11">#REF!</definedName>
    <definedName name="BDI_A">#REF!</definedName>
    <definedName name="BDI_AGETOP">#REF!</definedName>
    <definedName name="BDI_B">#REF!</definedName>
    <definedName name="BDI_OP">#REF!</definedName>
    <definedName name="BDI_SANEAGO">#REF!</definedName>
    <definedName name="BDIB">[88]Geral!$B$22</definedName>
    <definedName name="BDIBET">'[85]Comp P Unit '!$N$48</definedName>
    <definedName name="BDIG">[88]Geral!$B$23</definedName>
    <definedName name="bdtc1875" localSheetId="20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erço">#REF!</definedName>
    <definedName name="Beta" localSheetId="21">NA()</definedName>
    <definedName name="Beta">NA()</definedName>
    <definedName name="BETUMINOSO">#REF!</definedName>
    <definedName name="BETUMINOSO_10">#REF!</definedName>
    <definedName name="BETUMINOSO_12">#REF!</definedName>
    <definedName name="BETUMINOSO_15">#REF!</definedName>
    <definedName name="BETUMINOSO_4">#REF!</definedName>
    <definedName name="BETUMINOSO_9">#REF!</definedName>
    <definedName name="BF" localSheetId="20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20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G">#REF!</definedName>
    <definedName name="BG_11">#REF!</definedName>
    <definedName name="BG_12">#REF!</definedName>
    <definedName name="BG_13">#REF!</definedName>
    <definedName name="BG_15">#REF!</definedName>
    <definedName name="BG_2">#REF!</definedName>
    <definedName name="BG_4">#REF!</definedName>
    <definedName name="BG_5">#REF!</definedName>
    <definedName name="BG_6">#REF!</definedName>
    <definedName name="BG_7">#REF!</definedName>
    <definedName name="BG_8">#REF!</definedName>
    <definedName name="BG_9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'[89]P A T O 99 B'!#REF!</definedName>
    <definedName name="BGU">#REF!</definedName>
    <definedName name="BGU_11">#REF!</definedName>
    <definedName name="BGU_12">#REF!</definedName>
    <definedName name="BGU_13">#REF!</definedName>
    <definedName name="BGU_15">#REF!</definedName>
    <definedName name="BGU_2">#REF!</definedName>
    <definedName name="BGU_4">#REF!</definedName>
    <definedName name="BGU_5">#REF!</definedName>
    <definedName name="BGU_6">#REF!</definedName>
    <definedName name="BGU_7">#REF!</definedName>
    <definedName name="BGU_8">#REF!</definedName>
    <definedName name="BGU_9">#REF!</definedName>
    <definedName name="BGUU">#REF!</definedName>
    <definedName name="bh">#REF!</definedName>
    <definedName name="BI">[90]Teor!$A$3:$G$7</definedName>
    <definedName name="BII">'[76]Página 16'!$A$3:$G$7</definedName>
    <definedName name="BLANK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b" localSheetId="20" hidden="1">{"det (May)",#N/A,FALSE,"June";"sum (MAY YTD)",#N/A,FALSE,"June YTD"}</definedName>
    <definedName name="blb" hidden="1">{"det (May)",#N/A,FALSE,"June";"sum (MAY YTD)",#N/A,FALSE,"June YTD"}</definedName>
    <definedName name="blb_1" localSheetId="20" hidden="1">{"det (May)",#N/A,FALSE,"June";"sum (MAY YTD)",#N/A,FALSE,"June YTD"}</definedName>
    <definedName name="blb_1" hidden="1">{"det (May)",#N/A,FALSE,"June";"sum (MAY YTD)",#N/A,FALSE,"June YTD"}</definedName>
    <definedName name="blb_1_1" localSheetId="20" hidden="1">{"det (May)",#N/A,FALSE,"June";"sum (MAY YTD)",#N/A,FALSE,"June YTD"}</definedName>
    <definedName name="blb_1_1" hidden="1">{"det (May)",#N/A,FALSE,"June";"sum (MAY YTD)",#N/A,FALSE,"June YTD"}</definedName>
    <definedName name="blb_1_1_1" localSheetId="20" hidden="1">{"det (May)",#N/A,FALSE,"June";"sum (MAY YTD)",#N/A,FALSE,"June YTD"}</definedName>
    <definedName name="blb_1_1_1" hidden="1">{"det (May)",#N/A,FALSE,"June";"sum (MAY YTD)",#N/A,FALSE,"June YTD"}</definedName>
    <definedName name="blb_1_2" localSheetId="20" hidden="1">{"det (May)",#N/A,FALSE,"June";"sum (MAY YTD)",#N/A,FALSE,"June YTD"}</definedName>
    <definedName name="blb_1_2" hidden="1">{"det (May)",#N/A,FALSE,"June";"sum (MAY YTD)",#N/A,FALSE,"June YTD"}</definedName>
    <definedName name="blb_2" localSheetId="20" hidden="1">{"det (May)",#N/A,FALSE,"June";"sum (MAY YTD)",#N/A,FALSE,"June YTD"}</definedName>
    <definedName name="blb_2" hidden="1">{"det (May)",#N/A,FALSE,"June";"sum (MAY YTD)",#N/A,FALSE,"June YTD"}</definedName>
    <definedName name="Bloco" localSheetId="21" hidden="1">#REF!</definedName>
    <definedName name="Bloco" hidden="1">#REF!</definedName>
    <definedName name="Bloco2" localSheetId="21" hidden="1">#REF!</definedName>
    <definedName name="Bloco2" hidden="1">#REF!</definedName>
    <definedName name="BLOCOS" localSheetId="20" hidden="1">{#N/A,#N/A,FALSE,"Plan1"}</definedName>
    <definedName name="BLOCOS" hidden="1">{#N/A,#N/A,FALSE,"Plan1"}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5" hidden="1">#REF!</definedName>
    <definedName name="BLPH106" hidden="1">#REF!</definedName>
    <definedName name="BLPH107" hidden="1">#REF!</definedName>
    <definedName name="BLPH108" hidden="1">#REF!</definedName>
    <definedName name="BLPH109" hidden="1">#REF!</definedName>
    <definedName name="BLPH11" hidden="1">#REF!</definedName>
    <definedName name="BLPH110" hidden="1">#REF!</definedName>
    <definedName name="BLPH111" hidden="1">#REF!</definedName>
    <definedName name="BLPH112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2" hidden="1">#REF!</definedName>
    <definedName name="BLPH200001" hidden="1">#REF!</definedName>
    <definedName name="BLPH23" hidden="1">#REF!</definedName>
    <definedName name="BLPH24" hidden="1">#REF!</definedName>
    <definedName name="BLPH25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74" hidden="1">#REF!</definedName>
    <definedName name="BLPH75" hidden="1">#REF!</definedName>
    <definedName name="BLPH76" hidden="1">#REF!</definedName>
    <definedName name="BLPH77" hidden="1">#REF!</definedName>
    <definedName name="BLPH78" hidden="1">#REF!</definedName>
    <definedName name="BLPH79" hidden="1">#REF!</definedName>
    <definedName name="BLPH8" hidden="1">#REF!</definedName>
    <definedName name="BLPH80" hidden="1">#REF!</definedName>
    <definedName name="BLPH81" hidden="1">#REF!</definedName>
    <definedName name="BLPH82" hidden="1">#REF!</definedName>
    <definedName name="BLPH83" hidden="1">#REF!</definedName>
    <definedName name="BLPH84" hidden="1">#REF!</definedName>
    <definedName name="BLPH85" hidden="1">#REF!</definedName>
    <definedName name="BLPH86" hidden="1">#REF!</definedName>
    <definedName name="BLPH87" hidden="1">#REF!</definedName>
    <definedName name="BLPH88" hidden="1">#REF!</definedName>
    <definedName name="BLPH89" hidden="1">#REF!</definedName>
    <definedName name="BLPH9" hidden="1">#REF!</definedName>
    <definedName name="BLPH90" hidden="1">#REF!</definedName>
    <definedName name="BLPH91" hidden="1">#REF!</definedName>
    <definedName name="BLPH92" hidden="1">#REF!</definedName>
    <definedName name="BLPH93" hidden="1">#REF!</definedName>
    <definedName name="BLPH94" hidden="1">#REF!</definedName>
    <definedName name="BLPH95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LPI4" hidden="1">#REF!</definedName>
    <definedName name="BLPI5" hidden="1">#REF!</definedName>
    <definedName name="bola">#REF!</definedName>
    <definedName name="BOMBA_AN">#REF!</definedName>
    <definedName name="BOMBA_AT">#REF!</definedName>
    <definedName name="BOMBEIRO">#NAME?</definedName>
    <definedName name="bonificação">#REF!</definedName>
    <definedName name="bonificaçãoo">#REF!</definedName>
    <definedName name="bosta" localSheetId="20" hidden="1">{#N/A,#N/A,FALSE,"Cronograma";#N/A,#N/A,FALSE,"Cronogr. 2"}</definedName>
    <definedName name="bosta" hidden="1">{#N/A,#N/A,FALSE,"Cronograma";#N/A,#N/A,FALSE,"Cronogr. 2"}</definedName>
    <definedName name="bosta_1" localSheetId="20" hidden="1">{#N/A,#N/A,FALSE,"Cronograma";#N/A,#N/A,FALSE,"Cronogr. 2"}</definedName>
    <definedName name="bosta_1" hidden="1">{#N/A,#N/A,FALSE,"Cronograma";#N/A,#N/A,FALSE,"Cronogr. 2"}</definedName>
    <definedName name="bosta_1_1" localSheetId="20" hidden="1">{#N/A,#N/A,FALSE,"Cronograma";#N/A,#N/A,FALSE,"Cronogr. 2"}</definedName>
    <definedName name="bosta_1_1" hidden="1">{#N/A,#N/A,FALSE,"Cronograma";#N/A,#N/A,FALSE,"Cronogr. 2"}</definedName>
    <definedName name="bosta_1_1_1" localSheetId="20" hidden="1">{#N/A,#N/A,FALSE,"Cronograma";#N/A,#N/A,FALSE,"Cronogr. 2"}</definedName>
    <definedName name="bosta_1_1_1" hidden="1">{#N/A,#N/A,FALSE,"Cronograma";#N/A,#N/A,FALSE,"Cronogr. 2"}</definedName>
    <definedName name="bosta_1_2" localSheetId="20" hidden="1">{#N/A,#N/A,FALSE,"Cronograma";#N/A,#N/A,FALSE,"Cronogr. 2"}</definedName>
    <definedName name="bosta_1_2" hidden="1">{#N/A,#N/A,FALSE,"Cronograma";#N/A,#N/A,FALSE,"Cronogr. 2"}</definedName>
    <definedName name="bosta_2" localSheetId="20" hidden="1">{#N/A,#N/A,FALSE,"Cronograma";#N/A,#N/A,FALSE,"Cronogr. 2"}</definedName>
    <definedName name="bosta_2" hidden="1">{#N/A,#N/A,FALSE,"Cronograma";#N/A,#N/A,FALSE,"Cronogr. 2"}</definedName>
    <definedName name="BOTA">#REF!</definedName>
    <definedName name="BR">#REF!</definedName>
    <definedName name="BR_1">#REF!</definedName>
    <definedName name="BR_11">#REF!</definedName>
    <definedName name="BR_15">#REF!</definedName>
    <definedName name="BRITA">[15]DADOS!$C$12</definedName>
    <definedName name="BRITA_TSD" localSheetId="20" hidden="1">{#N/A,#N/A,TRUE,"Plan1"}</definedName>
    <definedName name="BRITA_TSD" hidden="1">{#N/A,#N/A,TRUE,"Plan1"}</definedName>
    <definedName name="BRITA_TSD_2" localSheetId="20" hidden="1">{#N/A,#N/A,TRUE,"Plan1"}</definedName>
    <definedName name="BRITA_TSD_2" hidden="1">{#N/A,#N/A,TRUE,"Plan1"}</definedName>
    <definedName name="BRITACOMPRO">#REF!</definedName>
    <definedName name="BRITAFEXECUTAR">#REF!</definedName>
    <definedName name="britag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TOTAL">#REF!</definedName>
    <definedName name="BROWN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t_Cancel_Clique" localSheetId="0">[91]!Bt_Cancel_Clique</definedName>
    <definedName name="Bt_Cancel_Clique" localSheetId="30">[91]!Bt_Cancel_Clique</definedName>
    <definedName name="Bt_Cancel_Clique">[91]!Bt_Cancel_Clique</definedName>
    <definedName name="Bt_Fechar_Clique" localSheetId="0">[91]!Bt_Fechar_Clique</definedName>
    <definedName name="Bt_Fechar_Clique" localSheetId="30">[91]!Bt_Fechar_Clique</definedName>
    <definedName name="Bt_Fechar_Clique">[91]!Bt_Fechar_Clique</definedName>
    <definedName name="BU">#REF!</definedName>
    <definedName name="BUCETA">#REF!</definedName>
    <definedName name="bueiro" localSheetId="20" hidden="1">{#N/A,#N/A,FALSE,"Planilha";#N/A,#N/A,FALSE,"Resumo";#N/A,#N/A,FALSE,"Fisico";#N/A,#N/A,FALSE,"Financeiro";#N/A,#N/A,FALSE,"Financeiro"}</definedName>
    <definedName name="bueiro" hidden="1">{#N/A,#N/A,FALSE,"Planilha";#N/A,#N/A,FALSE,"Resumo";#N/A,#N/A,FALSE,"Fisico";#N/A,#N/A,FALSE,"Financeiro";#N/A,#N/A,FALSE,"Financeiro"}</definedName>
    <definedName name="bueiro_1875" localSheetId="18" hidden="1">#REF!</definedName>
    <definedName name="bueiro_1875" hidden="1">#REF!</definedName>
    <definedName name="bueirodetalhado">#REF!</definedName>
    <definedName name="BUEIROSMETALICOS">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rac">#REF!</definedName>
    <definedName name="buraco">#REF!</definedName>
    <definedName name="button_area_1">#REF!</definedName>
    <definedName name="bv">'[92]PLANILHA DE QUANT. E CUSTOS A'!#REF!</definedName>
    <definedName name="bvcx" localSheetId="20" hidden="1">{"'Quadro'!$A$4:$BG$78"}</definedName>
    <definedName name="bvcx" hidden="1">{"'Quadro'!$A$4:$BG$78"}</definedName>
    <definedName name="bvcx_1" localSheetId="20" hidden="1">{"'Quadro'!$A$4:$BG$78"}</definedName>
    <definedName name="bvcx_1" hidden="1">{"'Quadro'!$A$4:$BG$78"}</definedName>
    <definedName name="bvcx_1_1" localSheetId="20" hidden="1">{"'Quadro'!$A$4:$BG$78"}</definedName>
    <definedName name="bvcx_1_1" hidden="1">{"'Quadro'!$A$4:$BG$78"}</definedName>
    <definedName name="bvcx_1_1_1" localSheetId="20" hidden="1">{"'Quadro'!$A$4:$BG$78"}</definedName>
    <definedName name="bvcx_1_1_1" hidden="1">{"'Quadro'!$A$4:$BG$78"}</definedName>
    <definedName name="bvcx_1_2" localSheetId="20" hidden="1">{"'Quadro'!$A$4:$BG$78"}</definedName>
    <definedName name="bvcx_1_2" hidden="1">{"'Quadro'!$A$4:$BG$78"}</definedName>
    <definedName name="bvcx_2" localSheetId="20" hidden="1">{"'Quadro'!$A$4:$BG$78"}</definedName>
    <definedName name="bvcx_2" hidden="1">{"'Quadro'!$A$4:$BG$78"}</definedName>
    <definedName name="BVZ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XF" localSheetId="20" hidden="1">{"'Quadro'!$A$4:$BG$78"}</definedName>
    <definedName name="BXF" hidden="1">{"'Quadro'!$A$4:$BG$78"}</definedName>
    <definedName name="BXF_1" localSheetId="20" hidden="1">{"'Quadro'!$A$4:$BG$78"}</definedName>
    <definedName name="BXF_1" hidden="1">{"'Quadro'!$A$4:$BG$78"}</definedName>
    <definedName name="BXF_1_1" localSheetId="20" hidden="1">{"'Quadro'!$A$4:$BG$78"}</definedName>
    <definedName name="BXF_1_1" hidden="1">{"'Quadro'!$A$4:$BG$78"}</definedName>
    <definedName name="BXF_1_1_1" localSheetId="20" hidden="1">{"'Quadro'!$A$4:$BG$78"}</definedName>
    <definedName name="BXF_1_1_1" hidden="1">{"'Quadro'!$A$4:$BG$78"}</definedName>
    <definedName name="BXF_1_2" localSheetId="20" hidden="1">{"'Quadro'!$A$4:$BG$78"}</definedName>
    <definedName name="BXF_1_2" hidden="1">{"'Quadro'!$A$4:$BG$78"}</definedName>
    <definedName name="BXF_2" localSheetId="20" hidden="1">{"'Quadro'!$A$4:$BG$78"}</definedName>
    <definedName name="BXF_2" hidden="1">{"'Quadro'!$A$4:$BG$78"}</definedName>
    <definedName name="BXQHSWXMRV" hidden="1">#REF!</definedName>
    <definedName name="BYANNA" localSheetId="20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BZCZ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" localSheetId="20" hidden="1">{"'gráf jan00'!$A$1:$AK$41"}</definedName>
    <definedName name="ç" hidden="1">{"'gráf jan00'!$A$1:$AK$41"}</definedName>
    <definedName name="C_">#REF!</definedName>
    <definedName name="C__1">#REF!</definedName>
    <definedName name="C__14" localSheetId="21">#REF!</definedName>
    <definedName name="C__14">#REF!</definedName>
    <definedName name="C__7">#REF!</definedName>
    <definedName name="C__7_1">#REF!</definedName>
    <definedName name="C__7_14" localSheetId="21">#REF!</definedName>
    <definedName name="C__7_14">#REF!</definedName>
    <definedName name="ç_1" localSheetId="20" hidden="1">{"'gráf jan00'!$A$1:$AK$41"}</definedName>
    <definedName name="ç_1" hidden="1">{"'gráf jan00'!$A$1:$AK$41"}</definedName>
    <definedName name="ç_1_1" localSheetId="20" hidden="1">{"'gráf jan00'!$A$1:$AK$41"}</definedName>
    <definedName name="ç_1_1" hidden="1">{"'gráf jan00'!$A$1:$AK$41"}</definedName>
    <definedName name="ç_1_1_1" localSheetId="20" hidden="1">{"'gráf jan00'!$A$1:$AK$41"}</definedName>
    <definedName name="ç_1_1_1" hidden="1">{"'gráf jan00'!$A$1:$AK$41"}</definedName>
    <definedName name="ç_1_2" localSheetId="20" hidden="1">{"'gráf jan00'!$A$1:$AK$41"}</definedName>
    <definedName name="ç_1_2" hidden="1">{"'gráf jan00'!$A$1:$AK$41"}</definedName>
    <definedName name="ç_2" localSheetId="20" hidden="1">{"'gráf jan00'!$A$1:$AK$41"}</definedName>
    <definedName name="ç_2" hidden="1">{"'gráf jan00'!$A$1:$AK$41"}</definedName>
    <definedName name="c_c" localSheetId="20" hidden="1">{"'REL CUSTODIF'!$B$1:$H$72"}</definedName>
    <definedName name="c_c" hidden="1">{"'REL CUSTODIF'!$B$1:$H$72"}</definedName>
    <definedName name="c_c_1" localSheetId="20" hidden="1">{"'REL CUSTODIF'!$B$1:$H$72"}</definedName>
    <definedName name="c_c_1" hidden="1">{"'REL CUSTODIF'!$B$1:$H$72"}</definedName>
    <definedName name="c_c_1_1" localSheetId="20" hidden="1">{"'REL CUSTODIF'!$B$1:$H$72"}</definedName>
    <definedName name="c_c_1_1" hidden="1">{"'REL CUSTODIF'!$B$1:$H$72"}</definedName>
    <definedName name="c_c_1_1_1" localSheetId="20" hidden="1">{"'REL CUSTODIF'!$B$1:$H$72"}</definedName>
    <definedName name="c_c_1_1_1" hidden="1">{"'REL CUSTODIF'!$B$1:$H$72"}</definedName>
    <definedName name="c_c_1_2" localSheetId="20" hidden="1">{"'REL CUSTODIF'!$B$1:$H$72"}</definedName>
    <definedName name="c_c_1_2" hidden="1">{"'REL CUSTODIF'!$B$1:$H$72"}</definedName>
    <definedName name="c_c_2" localSheetId="20" hidden="1">{"'REL CUSTODIF'!$B$1:$H$72"}</definedName>
    <definedName name="c_c_2" hidden="1">{"'REL CUSTODIF'!$B$1:$H$72"}</definedName>
    <definedName name="C_Univ">#N/A</definedName>
    <definedName name="C0">'[42]Convert Lat, Long to UTM'!$C$19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´L" localSheetId="20" hidden="1">{#N/A,#N/A,FALSE,"Cronograma";#N/A,#N/A,FALSE,"Cronogr. 2"}</definedName>
    <definedName name="CA´L" hidden="1">{#N/A,#N/A,FALSE,"Cronograma";#N/A,#N/A,FALSE,"Cronogr. 2"}</definedName>
    <definedName name="CA´L_1" localSheetId="20" hidden="1">{#N/A,#N/A,FALSE,"Cronograma";#N/A,#N/A,FALSE,"Cronogr. 2"}</definedName>
    <definedName name="CA´L_1" hidden="1">{#N/A,#N/A,FALSE,"Cronograma";#N/A,#N/A,FALSE,"Cronogr. 2"}</definedName>
    <definedName name="CA´L_1_1" localSheetId="20" hidden="1">{#N/A,#N/A,FALSE,"Cronograma";#N/A,#N/A,FALSE,"Cronogr. 2"}</definedName>
    <definedName name="CA´L_1_1" hidden="1">{#N/A,#N/A,FALSE,"Cronograma";#N/A,#N/A,FALSE,"Cronogr. 2"}</definedName>
    <definedName name="CA´L_1_1_1" localSheetId="20" hidden="1">{#N/A,#N/A,FALSE,"Cronograma";#N/A,#N/A,FALSE,"Cronogr. 2"}</definedName>
    <definedName name="CA´L_1_1_1" hidden="1">{#N/A,#N/A,FALSE,"Cronograma";#N/A,#N/A,FALSE,"Cronogr. 2"}</definedName>
    <definedName name="CA´L_1_2" localSheetId="20" hidden="1">{#N/A,#N/A,FALSE,"Cronograma";#N/A,#N/A,FALSE,"Cronogr. 2"}</definedName>
    <definedName name="CA´L_1_2" hidden="1">{#N/A,#N/A,FALSE,"Cronograma";#N/A,#N/A,FALSE,"Cronogr. 2"}</definedName>
    <definedName name="CA´L_2" localSheetId="20" hidden="1">{#N/A,#N/A,FALSE,"Cronograma";#N/A,#N/A,FALSE,"Cronogr. 2"}</definedName>
    <definedName name="CA´L_2" hidden="1">{#N/A,#N/A,FALSE,"Cronograma";#N/A,#N/A,FALSE,"Cronogr. 2"}</definedName>
    <definedName name="cab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BE">#NAME?</definedName>
    <definedName name="CABE_1">#REF!</definedName>
    <definedName name="CABEC" localSheetId="1">#REF!</definedName>
    <definedName name="CABEC">#REF!</definedName>
    <definedName name="CABEÇA">#N/A</definedName>
    <definedName name="Cabeçalho" localSheetId="1">#REF!</definedName>
    <definedName name="Cabeçalho">#REF!</definedName>
    <definedName name="CAD_TRAÇOS">#REF!</definedName>
    <definedName name="CADASTRO_AN">#REF!</definedName>
    <definedName name="CADASTRO_AT">#REF!</definedName>
    <definedName name="Cadastro1">#REF!</definedName>
    <definedName name="CADASTROS">#REF!</definedName>
    <definedName name="cadeira" localSheetId="20" hidden="1">{#N/A,#N/A,TRUE,"Serviços"}</definedName>
    <definedName name="cadeira" localSheetId="2" hidden="1">{#N/A,#N/A,TRUE,"Serviços"}</definedName>
    <definedName name="cadeira" hidden="1">{#N/A,#N/A,TRUE,"Serviços"}</definedName>
    <definedName name="CadIns" localSheetId="21" hidden="1">#REF!</definedName>
    <definedName name="CadIns" hidden="1">#REF!</definedName>
    <definedName name="CadSrv" localSheetId="21" hidden="1">#REF!</definedName>
    <definedName name="CadSrv" hidden="1">#REF!</definedName>
    <definedName name="caet" localSheetId="20" hidden="1">{#N/A,#N/A,FALSE,"PCOL"}</definedName>
    <definedName name="caet" hidden="1">{#N/A,#N/A,FALSE,"PCOL"}</definedName>
    <definedName name="caet_1" localSheetId="20" hidden="1">{#N/A,#N/A,FALSE,"PCOL"}</definedName>
    <definedName name="caet_1" hidden="1">{#N/A,#N/A,FALSE,"PCOL"}</definedName>
    <definedName name="caet_1_1" localSheetId="20" hidden="1">{#N/A,#N/A,FALSE,"PCOL"}</definedName>
    <definedName name="caet_1_1" hidden="1">{#N/A,#N/A,FALSE,"PCOL"}</definedName>
    <definedName name="caet_1_1_1" localSheetId="20" hidden="1">{#N/A,#N/A,FALSE,"PCOL"}</definedName>
    <definedName name="caet_1_1_1" hidden="1">{#N/A,#N/A,FALSE,"PCOL"}</definedName>
    <definedName name="caet_1_2" localSheetId="20" hidden="1">{#N/A,#N/A,FALSE,"PCOL"}</definedName>
    <definedName name="caet_1_2" hidden="1">{#N/A,#N/A,FALSE,"PCOL"}</definedName>
    <definedName name="caet_2" localSheetId="20" hidden="1">{#N/A,#N/A,FALSE,"PCOL"}</definedName>
    <definedName name="caet_2" hidden="1">{#N/A,#N/A,FALSE,"PCOL"}</definedName>
    <definedName name="caetano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W" localSheetId="18" hidden="1">#REF!</definedName>
    <definedName name="CAEW" hidden="1">#REF!</definedName>
    <definedName name="cafd" localSheetId="20" hidden="1">{#N/A,#N/A,FALSE,"PCOL"}</definedName>
    <definedName name="cafd" hidden="1">{#N/A,#N/A,FALSE,"PCOL"}</definedName>
    <definedName name="cafd_1" localSheetId="20" hidden="1">{#N/A,#N/A,FALSE,"PCOL"}</definedName>
    <definedName name="cafd_1" hidden="1">{#N/A,#N/A,FALSE,"PCOL"}</definedName>
    <definedName name="cafd_1_1" localSheetId="20" hidden="1">{#N/A,#N/A,FALSE,"PCOL"}</definedName>
    <definedName name="cafd_1_1" hidden="1">{#N/A,#N/A,FALSE,"PCOL"}</definedName>
    <definedName name="cafd_1_1_1" localSheetId="20" hidden="1">{#N/A,#N/A,FALSE,"PCOL"}</definedName>
    <definedName name="cafd_1_1_1" hidden="1">{#N/A,#N/A,FALSE,"PCOL"}</definedName>
    <definedName name="cafd_1_2" localSheetId="20" hidden="1">{#N/A,#N/A,FALSE,"PCOL"}</definedName>
    <definedName name="cafd_1_2" hidden="1">{#N/A,#N/A,FALSE,"PCOL"}</definedName>
    <definedName name="cafd_2" localSheetId="20" hidden="1">{#N/A,#N/A,FALSE,"PCOL"}</definedName>
    <definedName name="cafd_2" hidden="1">{#N/A,#N/A,FALSE,"PCOL"}</definedName>
    <definedName name="CAI">#REF!</definedName>
    <definedName name="caiacao">'[93]61M-CBMI'!$S$1:$U$52</definedName>
    <definedName name="CAIB">[15]DADOS!$C$19</definedName>
    <definedName name="caix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[15]DADOS!$C$24</definedName>
    <definedName name="CalcularAgora" localSheetId="1">#REF!</definedName>
    <definedName name="CalcularAgora">#REF!</definedName>
    <definedName name="calculo_de_hf">#REF!</definedName>
    <definedName name="cam">#REF!</definedName>
    <definedName name="CAMI">#REF!</definedName>
    <definedName name="CAN">#REF!</definedName>
    <definedName name="CANALETA">#REF!</definedName>
    <definedName name="CANALETA_10">#REF!</definedName>
    <definedName name="CANALETA_12">#REF!</definedName>
    <definedName name="CANALETA_9">#REF!</definedName>
    <definedName name="cancel" hidden="1">#REF!</definedName>
    <definedName name="CANT_ETE">#REF!</definedName>
    <definedName name="CANT_REDE" localSheetId="21">#REF!</definedName>
    <definedName name="CANT_REDE">[94]Planejamento!#REF!</definedName>
    <definedName name="cap">#NAME?</definedName>
    <definedName name="CAP_20">'[85]CUSTO MATERIAL'!$F$22</definedName>
    <definedName name="CAP20ROO">'[85]CALCULOS AUXILIARES'!$E$18</definedName>
    <definedName name="CAP20W">#REF!</definedName>
    <definedName name="CAP20WA">#REF!</definedName>
    <definedName name="CAPA" localSheetId="20" hidden="1">{#N/A,#N/A,TRUE,"Serviços"}</definedName>
    <definedName name="CAPA" localSheetId="21">{#N/A,#N/A,TRUE,"Serviços"}</definedName>
    <definedName name="CAPA" localSheetId="2" hidden="1">{#N/A,#N/A,TRUE,"Serviços"}</definedName>
    <definedName name="CAPA" hidden="1">{#N/A,#N/A,TRUE,"Serviços"}</definedName>
    <definedName name="CAPA_1" localSheetId="20">{#N/A,#N/A,TRUE,"Serviços"}</definedName>
    <definedName name="CAPA_1" localSheetId="21">{#N/A,#N/A,TRUE,"Serviços"}</definedName>
    <definedName name="CAPA_1">{#N/A,#N/A,TRUE,"Serviços"}</definedName>
    <definedName name="CAP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1" localSheetId="20" hidden="1">{#N/A,#N/A,TRUE,"Serviços"}</definedName>
    <definedName name="capa1" localSheetId="21">{#N/A,#N/A,TRUE,"Serviços"}</definedName>
    <definedName name="capa1" localSheetId="2" hidden="1">{#N/A,#N/A,TRUE,"Serviços"}</definedName>
    <definedName name="capa1" hidden="1">{#N/A,#N/A,TRUE,"Serviços"}</definedName>
    <definedName name="capa1_1" localSheetId="20">{#N/A,#N/A,TRUE,"Serviços"}</definedName>
    <definedName name="capa1_1" localSheetId="21">{#N/A,#N/A,TRUE,"Serviços"}</definedName>
    <definedName name="capa1_1">{#N/A,#N/A,TRUE,"Serviços"}</definedName>
    <definedName name="capa11" localSheetId="20" hidden="1">{#N/A,#N/A,TRUE,"Serviços"}</definedName>
    <definedName name="capa11" localSheetId="2" hidden="1">{#N/A,#N/A,TRUE,"Serviços"}</definedName>
    <definedName name="capa11" hidden="1">{#N/A,#N/A,TRUE,"Serviços"}</definedName>
    <definedName name="capa2" localSheetId="20" hidden="1">{#N/A,#N/A,TRUE,"Serviços"}</definedName>
    <definedName name="capa2" localSheetId="21">{#N/A,#N/A,TRUE,"Serviços"}</definedName>
    <definedName name="CAPA2">'[7]P A T O 99 B'!#REF!</definedName>
    <definedName name="capa2_1" localSheetId="20">{#N/A,#N/A,TRUE,"Serviços"}</definedName>
    <definedName name="capa2_1" localSheetId="21">{#N/A,#N/A,TRUE,"Serviços"}</definedName>
    <definedName name="capa2_1">{#N/A,#N/A,TRUE,"Serviços"}</definedName>
    <definedName name="capa22" localSheetId="20" hidden="1">{#N/A,#N/A,TRUE,"Serviços"}</definedName>
    <definedName name="capa22" localSheetId="2" hidden="1">{#N/A,#N/A,TRUE,"Serviços"}</definedName>
    <definedName name="capa22" hidden="1">{#N/A,#N/A,TRUE,"Serviços"}</definedName>
    <definedName name="CAPAA" localSheetId="20" hidden="1">{#N/A,#N/A,TRUE,"Serviços"}</definedName>
    <definedName name="CAPAA" localSheetId="2" hidden="1">{#N/A,#N/A,TRUE,"Serviços"}</definedName>
    <definedName name="CAPAA" hidden="1">{#N/A,#N/A,TRUE,"Serviços"}</definedName>
    <definedName name="capacitação" localSheetId="20" hidden="1">{"'gráf jan00'!$A$1:$AK$41"}</definedName>
    <definedName name="capacitação" hidden="1">{"'gráf jan00'!$A$1:$AK$41"}</definedName>
    <definedName name="CAPEX.." localSheetId="20" hidden="1">{"'171'!$A$1:$Z$50"}</definedName>
    <definedName name="CAPEX.." hidden="1">{"'171'!$A$1:$Z$50"}</definedName>
    <definedName name="CAPEX.._1" localSheetId="20" hidden="1">{"'171'!$A$1:$Z$50"}</definedName>
    <definedName name="CAPEX.._1" hidden="1">{"'171'!$A$1:$Z$50"}</definedName>
    <definedName name="CAPEX.._1_1" localSheetId="20" hidden="1">{"'171'!$A$1:$Z$50"}</definedName>
    <definedName name="CAPEX.._1_1" hidden="1">{"'171'!$A$1:$Z$50"}</definedName>
    <definedName name="CAPEX.._1_1_1" localSheetId="20" hidden="1">{"'171'!$A$1:$Z$50"}</definedName>
    <definedName name="CAPEX.._1_1_1" hidden="1">{"'171'!$A$1:$Z$50"}</definedName>
    <definedName name="CAPEX.._1_2" localSheetId="20" hidden="1">{"'171'!$A$1:$Z$50"}</definedName>
    <definedName name="CAPEX.._1_2" hidden="1">{"'171'!$A$1:$Z$50"}</definedName>
    <definedName name="CAPEX.._2" localSheetId="20" hidden="1">{"'171'!$A$1:$Z$50"}</definedName>
    <definedName name="CAPEX.._2" hidden="1">{"'171'!$A$1:$Z$50"}</definedName>
    <definedName name="Capina">#REF!</definedName>
    <definedName name="capsulas_plasticidade">#REF!</definedName>
    <definedName name="CAPTAÇÃ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TOTAL">#REF!</definedName>
    <definedName name="CAPTURA2" localSheetId="20" hidden="1">{"'171'!$A$1:$Z$50"}</definedName>
    <definedName name="CAPTURA2" hidden="1">{"'171'!$A$1:$Z$50"}</definedName>
    <definedName name="CAPTURA2_1" localSheetId="20" hidden="1">{"'171'!$A$1:$Z$50"}</definedName>
    <definedName name="CAPTURA2_1" hidden="1">{"'171'!$A$1:$Z$50"}</definedName>
    <definedName name="CAPTURA2_1_1" localSheetId="20" hidden="1">{"'171'!$A$1:$Z$50"}</definedName>
    <definedName name="CAPTURA2_1_1" hidden="1">{"'171'!$A$1:$Z$50"}</definedName>
    <definedName name="CAPTURA2_1_1_1" localSheetId="20" hidden="1">{"'171'!$A$1:$Z$50"}</definedName>
    <definedName name="CAPTURA2_1_1_1" hidden="1">{"'171'!$A$1:$Z$50"}</definedName>
    <definedName name="CAPTURA2_1_2" localSheetId="20" hidden="1">{"'171'!$A$1:$Z$50"}</definedName>
    <definedName name="CAPTURA2_1_2" hidden="1">{"'171'!$A$1:$Z$50"}</definedName>
    <definedName name="CAPTURA2_2" localSheetId="20" hidden="1">{"'171'!$A$1:$Z$50"}</definedName>
    <definedName name="CAPTURA2_2" hidden="1">{"'171'!$A$1:$Z$50"}</definedName>
    <definedName name="car" localSheetId="20" hidden="1">{#N/A,#N/A,FALSE,"PCOL"}</definedName>
    <definedName name="car" localSheetId="21">#REF!</definedName>
    <definedName name="car">'[16]Mão de Obra'!$E$19</definedName>
    <definedName name="car_1" localSheetId="20" hidden="1">{#N/A,#N/A,FALSE,"PCOL"}</definedName>
    <definedName name="car_1" hidden="1">{#N/A,#N/A,FALSE,"PCOL"}</definedName>
    <definedName name="car_1_1" localSheetId="20" hidden="1">{#N/A,#N/A,FALSE,"PCOL"}</definedName>
    <definedName name="car_1_1" hidden="1">{#N/A,#N/A,FALSE,"PCOL"}</definedName>
    <definedName name="car_1_1_1" localSheetId="20" hidden="1">{#N/A,#N/A,FALSE,"PCOL"}</definedName>
    <definedName name="car_1_1_1" hidden="1">{#N/A,#N/A,FALSE,"PCOL"}</definedName>
    <definedName name="car_1_2" localSheetId="20" hidden="1">{#N/A,#N/A,FALSE,"PCOL"}</definedName>
    <definedName name="car_1_2" hidden="1">{#N/A,#N/A,FALSE,"PCOL"}</definedName>
    <definedName name="car_2" localSheetId="20" hidden="1">{#N/A,#N/A,FALSE,"PCOL"}</definedName>
    <definedName name="car_2" hidden="1">{#N/A,#N/A,FALSE,"PCOL"}</definedName>
    <definedName name="CARGA_1_AN">#REF!</definedName>
    <definedName name="CARGA_1_AT">#REF!</definedName>
    <definedName name="CARGA_2_AN">#REF!</definedName>
    <definedName name="CARGA_2_AT">#REF!</definedName>
    <definedName name="CARGA_3_AN">#REF!</definedName>
    <definedName name="CARGA_3_AT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A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 localSheetId="20">' 6.0 - Empréstimos '!carlos</definedName>
    <definedName name="carlos" localSheetId="21">#N/A</definedName>
    <definedName name="carlos">#N/A</definedName>
    <definedName name="carlos0001" localSheetId="20">' 6.0 - Empréstimos '!carlos0001</definedName>
    <definedName name="carlos0001">[0]!carlos0001</definedName>
    <definedName name="Carlos1">#REF!</definedName>
    <definedName name="CAS">[95]INVENTÁRIO!#REF!</definedName>
    <definedName name="CASA" localSheetId="20" hidden="1">{"'Resumen US$'!$A$104:$B$104"}</definedName>
    <definedName name="CASA" hidden="1">{"'Resumen US$'!$A$104:$B$104"}</definedName>
    <definedName name="Cash" localSheetId="20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">#REF!</definedName>
    <definedName name="cbr">#REF!</definedName>
    <definedName name="CBU">#REF!</definedName>
    <definedName name="CBU_11">#REF!</definedName>
    <definedName name="CBU_12">#REF!</definedName>
    <definedName name="CBU_13">#REF!</definedName>
    <definedName name="CBU_15">#REF!</definedName>
    <definedName name="CBU_2">#REF!</definedName>
    <definedName name="CBU_4">#REF!</definedName>
    <definedName name="CBU_5">#REF!</definedName>
    <definedName name="CBU_6">#REF!</definedName>
    <definedName name="CBU_7">#REF!</definedName>
    <definedName name="CBU_8">#REF!</definedName>
    <definedName name="CBU_9">#REF!</definedName>
    <definedName name="CBUII">#REF!</definedName>
    <definedName name="CBUII_11">#REF!</definedName>
    <definedName name="CBUII_12">#REF!</definedName>
    <definedName name="CBUII_13">#REF!</definedName>
    <definedName name="CBUII_15">#REF!</definedName>
    <definedName name="CBUII_2">#REF!</definedName>
    <definedName name="CBUII_4">#REF!</definedName>
    <definedName name="CBUII_5">#REF!</definedName>
    <definedName name="CBUII_6">#REF!</definedName>
    <definedName name="CBUII_7">#REF!</definedName>
    <definedName name="CBUII_8">#REF!</definedName>
    <definedName name="CBUII_9">#REF!</definedName>
    <definedName name="CBUIII">#REF!</definedName>
    <definedName name="CBUQ" localSheetId="20">' 6.0 - Empréstimos '!CBUQ</definedName>
    <definedName name="CBUQ" localSheetId="21">#REF!</definedName>
    <definedName name="CBUQ">#REF!</definedName>
    <definedName name="CBUQ.TB">#REF!</definedName>
    <definedName name="CBUQ_C">#REF!</definedName>
    <definedName name="CBUQ_C_10">#REF!</definedName>
    <definedName name="CBUQ_C_12">#REF!</definedName>
    <definedName name="CBUQ_C_9">#REF!</definedName>
    <definedName name="CBUQB">#REF!</definedName>
    <definedName name="CBUQB_11">#REF!</definedName>
    <definedName name="CBUQB_12">#REF!</definedName>
    <definedName name="CBUQB_13">#REF!</definedName>
    <definedName name="CBUQB_15">#REF!</definedName>
    <definedName name="CBUQB_2">#REF!</definedName>
    <definedName name="CBUQB_4">#REF!</definedName>
    <definedName name="CBUQB_5">#REF!</definedName>
    <definedName name="CBUQB_6">#REF!</definedName>
    <definedName name="CBUQB_7">#REF!</definedName>
    <definedName name="CBUQB_8">#REF!</definedName>
    <definedName name="CBUQB_9">#REF!</definedName>
    <definedName name="CBUQBB">#REF!</definedName>
    <definedName name="CBUQc">#REF!</definedName>
    <definedName name="CBUQc_11">#REF!</definedName>
    <definedName name="CBUQc_12">#REF!</definedName>
    <definedName name="CBUQc_13">#REF!</definedName>
    <definedName name="CBUQc_15">#REF!</definedName>
    <definedName name="CBUQc_2">#REF!</definedName>
    <definedName name="CBUQc_4">#REF!</definedName>
    <definedName name="CBUQc_5">#REF!</definedName>
    <definedName name="CBUQc_6">#REF!</definedName>
    <definedName name="CBUQc_7">#REF!</definedName>
    <definedName name="CBUQc_8">#REF!</definedName>
    <definedName name="CBUQc_9">#REF!</definedName>
    <definedName name="CBUQcc">#REF!</definedName>
    <definedName name="CBUU">#REF!</definedName>
    <definedName name="CBWorkbookPriority" hidden="1">-216830483</definedName>
    <definedName name="cc" localSheetId="20" hidden="1">{#N/A,#N/A,FALSE,"RESUMO";#N/A,#N/A,FALSE,"EXTR-CRONO";#N/A,#N/A,FALSE,"REAJUSTE";#N/A,#N/A,FALSE,"ACOMP-OBRA";#N/A,#N/A,FALSE,"MEDIÇÃO";#N/A,#N/A,FALSE,"POSIÇÃO FÍSICA";#N/A,#N/A,FALSE,"GRÁFICO"}</definedName>
    <definedName name="cc" localSheetId="21">#REF!</definedName>
    <definedName name="cc">[96]RESUMO_AUT1!#REF!</definedName>
    <definedName name="çç" localSheetId="20" hidden="1">{"'REL CUSTODIF'!$B$1:$H$72"}</definedName>
    <definedName name="çç" localSheetId="2">RESUMO!çç</definedName>
    <definedName name="çç">çç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CC_102">#REF!</definedName>
    <definedName name="cc_113">#REF!</definedName>
    <definedName name="cc_113a">#REF!</definedName>
    <definedName name="cc_114">#REF!</definedName>
    <definedName name="CC_153">#REF!</definedName>
    <definedName name="CC_153T">#REF!</definedName>
    <definedName name="CC_154">#REF!</definedName>
    <definedName name="CC_166">#REF!</definedName>
    <definedName name="CC_170">#REF!</definedName>
    <definedName name="CC_198">#REF!</definedName>
    <definedName name="cc_211">#REF!</definedName>
    <definedName name="CC_247">#REF!</definedName>
    <definedName name="CC_267">#REF!</definedName>
    <definedName name="CC_272">#REF!</definedName>
    <definedName name="çç_30" localSheetId="2">RESUMO!çç_30</definedName>
    <definedName name="çç_30">çç_30</definedName>
    <definedName name="çç_38" localSheetId="2">RESUMO!çç_38</definedName>
    <definedName name="çç_38">çç_38</definedName>
    <definedName name="CCARR">#REF!</definedName>
    <definedName name="CCC" hidden="1">#REF!</definedName>
    <definedName name="ççç" localSheetId="20" hidden="1">{"'gráf jan00'!$A$1:$AK$41"}</definedName>
    <definedName name="ççç" hidden="1">{"'gráf jan00'!$A$1:$AK$41"}</definedName>
    <definedName name="CCC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" localSheetId="20" hidden="1">{"'gráf jan00'!$A$1:$AK$41"}</definedName>
    <definedName name="ççç_1" hidden="1">{"'gráf jan00'!$A$1:$AK$41"}</definedName>
    <definedName name="CCC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" localSheetId="20" hidden="1">{"'gráf jan00'!$A$1:$AK$41"}</definedName>
    <definedName name="ççç_1_1" hidden="1">{"'gráf jan00'!$A$1:$AK$41"}</definedName>
    <definedName name="CCC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_1" localSheetId="20" hidden="1">{"'gráf jan00'!$A$1:$AK$41"}</definedName>
    <definedName name="ççç_1_1_1" hidden="1">{"'gráf jan00'!$A$1:$AK$41"}</definedName>
    <definedName name="CCC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2" localSheetId="20" hidden="1">{"'gráf jan00'!$A$1:$AK$41"}</definedName>
    <definedName name="ççç_1_2" hidden="1">{"'gráf jan00'!$A$1:$AK$41"}</definedName>
    <definedName name="CCC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2" localSheetId="20" hidden="1">{"'gráf jan00'!$A$1:$AK$41"}</definedName>
    <definedName name="ççç_2" hidden="1">{"'gráf jan00'!$A$1:$AK$41"}</definedName>
    <definedName name="cccc" localSheetId="20" hidden="1">{"'Resumen US$'!$A$104:$B$104"}</definedName>
    <definedName name="cccc" hidden="1">{"'Resumen US$'!$A$104:$B$104"}</definedName>
    <definedName name="çççç" localSheetId="20" hidden="1">{"'CptDifn'!$AA$32:$AG$32"}</definedName>
    <definedName name="çççç" hidden="1">{"'CptDifn'!$AA$32:$AG$32"}</definedName>
    <definedName name="cccc_1" localSheetId="20" hidden="1">{#N/A,#N/A,FALSE,"GQGEMPRE"}</definedName>
    <definedName name="cccc_1" hidden="1">{#N/A,#N/A,FALSE,"GQGEMPRE"}</definedName>
    <definedName name="çççç_1" localSheetId="20" hidden="1">{"'CptDifn'!$AA$32:$AG$32"}</definedName>
    <definedName name="çççç_1" hidden="1">{"'CptDifn'!$AA$32:$AG$32"}</definedName>
    <definedName name="cccc_1_1" localSheetId="20" hidden="1">{#N/A,#N/A,FALSE,"GQGEMPRE"}</definedName>
    <definedName name="cccc_1_1" hidden="1">{#N/A,#N/A,FALSE,"GQGEMPRE"}</definedName>
    <definedName name="çççç_1_1" localSheetId="20" hidden="1">{"'CptDifn'!$AA$32:$AG$32"}</definedName>
    <definedName name="çççç_1_1" hidden="1">{"'CptDifn'!$AA$32:$AG$32"}</definedName>
    <definedName name="cccc_1_1_1" localSheetId="20" hidden="1">{#N/A,#N/A,FALSE,"GQGEMPRE"}</definedName>
    <definedName name="cccc_1_1_1" hidden="1">{#N/A,#N/A,FALSE,"GQGEMPRE"}</definedName>
    <definedName name="çççç_1_1_1" localSheetId="20" hidden="1">{"'CptDifn'!$AA$32:$AG$32"}</definedName>
    <definedName name="çççç_1_1_1" hidden="1">{"'CptDifn'!$AA$32:$AG$32"}</definedName>
    <definedName name="cccc_1_2" localSheetId="20" hidden="1">{#N/A,#N/A,FALSE,"GQGEMPRE"}</definedName>
    <definedName name="cccc_1_2" hidden="1">{#N/A,#N/A,FALSE,"GQGEMPRE"}</definedName>
    <definedName name="çççç_1_2" localSheetId="20" hidden="1">{"'CptDifn'!$AA$32:$AG$32"}</definedName>
    <definedName name="çççç_1_2" hidden="1">{"'CptDifn'!$AA$32:$AG$32"}</definedName>
    <definedName name="cccc_2" localSheetId="20" hidden="1">{#N/A,#N/A,FALSE,"GQGEMPRE"}</definedName>
    <definedName name="cccc_2" hidden="1">{#N/A,#N/A,FALSE,"GQGEMPRE"}</definedName>
    <definedName name="çççç_2" localSheetId="20" hidden="1">{"'CptDifn'!$AA$32:$AG$32"}</definedName>
    <definedName name="çççç_2" hidden="1">{"'CptDifn'!$AA$32:$AG$32"}</definedName>
    <definedName name="CCCCC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_1" localSheetId="20" hidden="1">{"'CptDifn'!$AA$32:$AG$32"}</definedName>
    <definedName name="ccccc_1" hidden="1">{"'CptDifn'!$AA$32:$AG$32"}</definedName>
    <definedName name="ccccc_1_1" localSheetId="20" hidden="1">{"'CptDifn'!$AA$32:$AG$32"}</definedName>
    <definedName name="ccccc_1_1" hidden="1">{"'CptDifn'!$AA$32:$AG$32"}</definedName>
    <definedName name="ccccc_1_1_1" localSheetId="20" hidden="1">{"'CptDifn'!$AA$32:$AG$32"}</definedName>
    <definedName name="ccccc_1_1_1" hidden="1">{"'CptDifn'!$AA$32:$AG$32"}</definedName>
    <definedName name="ccccc_1_2" localSheetId="20" hidden="1">{"'CptDifn'!$AA$32:$AG$32"}</definedName>
    <definedName name="ccccc_1_2" hidden="1">{"'CptDifn'!$AA$32:$AG$32"}</definedName>
    <definedName name="ccccc_2" localSheetId="20" hidden="1">{"'CptDifn'!$AA$32:$AG$32"}</definedName>
    <definedName name="ccccc_2" hidden="1">{"'CptDifn'!$AA$32:$AG$32"}</definedName>
    <definedName name="cccccc" localSheetId="20">' 6.0 - Empréstimos '!cccccc</definedName>
    <definedName name="cccccc">[0]!cccccc</definedName>
    <definedName name="CCCCCCCC" localSheetId="20" hidden="1">{#N/A,#N/A,FALSE,"Plan1"}</definedName>
    <definedName name="CCCCCCCC" hidden="1">{#N/A,#N/A,FALSE,"Plan1"}</definedName>
    <definedName name="ccccccccc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CC">'[40]CROQUIS DE DIST.'!CCCCCCCCCCC</definedName>
    <definedName name="CCCCCCCCCCC_10">#N/A</definedName>
    <definedName name="CCCCCCCCCCC_12">#N/A</definedName>
    <definedName name="CCCCCCCCCCC_13">#N/A</definedName>
    <definedName name="CCCCCCCCCCC_15">#N/A</definedName>
    <definedName name="CCCCCCCCCCC_5">#N/A</definedName>
    <definedName name="CCCCCCCCCCC_6">#N/A</definedName>
    <definedName name="CCCCCCCCCCC_7">#N/A</definedName>
    <definedName name="CCCCCCCCCCC_8">#N/A</definedName>
    <definedName name="CCCCCCCCCCC_9">#N/A</definedName>
    <definedName name="cch" hidden="1">#N/A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">[97]SERVIÇOS!$G$20</definedName>
    <definedName name="CCM30.1">[16]PATO!#REF!</definedName>
    <definedName name="CCP">#REF!</definedName>
    <definedName name="CCP_1">#REF!</definedName>
    <definedName name="CCPW">#REF!</definedName>
    <definedName name="CCPWA">#REF!</definedName>
    <definedName name="CD">#REF!</definedName>
    <definedName name="CD_1">#REF!</definedName>
    <definedName name="CD97A">#REF!</definedName>
    <definedName name="CD97AW">#REF!</definedName>
    <definedName name="CDF">#REF!</definedName>
    <definedName name="CDG">[98]CIDADE!$A:$E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">#REF!</definedName>
    <definedName name="CEE">#REF!</definedName>
    <definedName name="celltips_area">#REF!</definedName>
    <definedName name="CELSO">'[40]CROQUIS DE DIST.'!CELSO</definedName>
    <definedName name="CELSO_10">#N/A</definedName>
    <definedName name="CELSO_12">#N/A</definedName>
    <definedName name="CELSO_13">#N/A</definedName>
    <definedName name="CELSO_15">#N/A</definedName>
    <definedName name="CELSO_5">#N/A</definedName>
    <definedName name="CELSO_6">#N/A</definedName>
    <definedName name="CELSO_7">#N/A</definedName>
    <definedName name="CELSO_8">#N/A</definedName>
    <definedName name="CELSO_9">#N/A</definedName>
    <definedName name="CélulaInicioPlanilha">#REF!</definedName>
    <definedName name="CélulaResumo">#REF!</definedName>
    <definedName name="Cerca">'[53]6.6.4.Cerca'!$K$56</definedName>
    <definedName name="CERCA_ETE">#REF!</definedName>
    <definedName name="CERCA_REDE" localSheetId="21">#REF!</definedName>
    <definedName name="CERCA_REDE">[94]Planejamento!#REF!</definedName>
    <definedName name="cfartaetfE" localSheetId="20" hidden="1">{"'REL CUSTODIF'!$B$1:$H$72"}</definedName>
    <definedName name="cfartaetfE" hidden="1">{"'REL CUSTODIF'!$B$1:$H$72"}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rles" localSheetId="20" hidden="1">{"'gráf jan00'!$A$1:$AK$41"}</definedName>
    <definedName name="charles" hidden="1">{"'gráf jan00'!$A$1:$AK$41"}</definedName>
    <definedName name="charles_1" localSheetId="20" hidden="1">{"'gráf jan00'!$A$1:$AK$41"}</definedName>
    <definedName name="charles_1" hidden="1">{"'gráf jan00'!$A$1:$AK$41"}</definedName>
    <definedName name="charles_1_1" localSheetId="20" hidden="1">{"'gráf jan00'!$A$1:$AK$41"}</definedName>
    <definedName name="charles_1_1" hidden="1">{"'gráf jan00'!$A$1:$AK$41"}</definedName>
    <definedName name="charles_1_1_1" localSheetId="20" hidden="1">{"'gráf jan00'!$A$1:$AK$41"}</definedName>
    <definedName name="charles_1_1_1" hidden="1">{"'gráf jan00'!$A$1:$AK$41"}</definedName>
    <definedName name="charles_1_2" localSheetId="20" hidden="1">{"'gráf jan00'!$A$1:$AK$41"}</definedName>
    <definedName name="charles_1_2" hidden="1">{"'gráf jan00'!$A$1:$AK$41"}</definedName>
    <definedName name="charles_2" localSheetId="20" hidden="1">{"'gráf jan00'!$A$1:$AK$41"}</definedName>
    <definedName name="charles_2" hidden="1">{"'gráf jan00'!$A$1:$AK$41"}</definedName>
    <definedName name="Chave" localSheetId="21" hidden="1">#REF!</definedName>
    <definedName name="Chave" hidden="1">#REF!</definedName>
    <definedName name="Chave1" localSheetId="21" hidden="1">#REF!</definedName>
    <definedName name="Chave1" hidden="1">#REF!</definedName>
    <definedName name="CHECKSSO_OUT" localSheetId="20" hidden="1">{"'Quadro'!$A$4:$BG$78"}</definedName>
    <definedName name="CHECKSSO_OUT" hidden="1">{"'Quadro'!$A$4:$BG$78"}</definedName>
    <definedName name="CHECKSSO_OUT_1" localSheetId="20" hidden="1">{"'Quadro'!$A$4:$BG$78"}</definedName>
    <definedName name="CHECKSSO_OUT_1" hidden="1">{"'Quadro'!$A$4:$BG$78"}</definedName>
    <definedName name="CHECKSSO_OUT_1_1" localSheetId="20" hidden="1">{"'Quadro'!$A$4:$BG$78"}</definedName>
    <definedName name="CHECKSSO_OUT_1_1" hidden="1">{"'Quadro'!$A$4:$BG$78"}</definedName>
    <definedName name="CHECKSSO_OUT_1_1_1" localSheetId="20" hidden="1">{"'Quadro'!$A$4:$BG$78"}</definedName>
    <definedName name="CHECKSSO_OUT_1_1_1" hidden="1">{"'Quadro'!$A$4:$BG$78"}</definedName>
    <definedName name="CHECKSSO_OUT_1_2" localSheetId="20" hidden="1">{"'Quadro'!$A$4:$BG$78"}</definedName>
    <definedName name="CHECKSSO_OUT_1_2" hidden="1">{"'Quadro'!$A$4:$BG$78"}</definedName>
    <definedName name="CHECKSSO_OUT_2" localSheetId="20" hidden="1">{"'Quadro'!$A$4:$BG$78"}</definedName>
    <definedName name="CHECKSSO_OUT_2" hidden="1">{"'Quadro'!$A$4:$BG$78"}</definedName>
    <definedName name="CHICO" localSheetId="20" hidden="1">{"'RR'!$A$2:$E$81"}</definedName>
    <definedName name="CHICO" hidden="1">{"'RR'!$A$2:$E$81"}</definedName>
    <definedName name="CHICO_1" localSheetId="20" hidden="1">{"'RR'!$A$2:$E$81"}</definedName>
    <definedName name="CHICO_1" hidden="1">{"'RR'!$A$2:$E$81"}</definedName>
    <definedName name="CHICO_1_1" localSheetId="20" hidden="1">{"'RR'!$A$2:$E$81"}</definedName>
    <definedName name="CHICO_1_1" hidden="1">{"'RR'!$A$2:$E$81"}</definedName>
    <definedName name="CHICO_1_1_1" localSheetId="20" hidden="1">{"'RR'!$A$2:$E$81"}</definedName>
    <definedName name="CHICO_1_1_1" hidden="1">{"'RR'!$A$2:$E$81"}</definedName>
    <definedName name="CHICO_1_2" localSheetId="20" hidden="1">{"'RR'!$A$2:$E$81"}</definedName>
    <definedName name="CHICO_1_2" hidden="1">{"'RR'!$A$2:$E$81"}</definedName>
    <definedName name="CHICO_2" localSheetId="20" hidden="1">{"'RR'!$A$2:$E$81"}</definedName>
    <definedName name="CHICO_2" hidden="1">{"'RR'!$A$2:$E$81"}</definedName>
    <definedName name="chop" localSheetId="20" hidden="1">{"Pèrdues i Guanys analític.Català",#N/A,FALSE,"Català";"Pèrdues i G. analític.castellà",#N/A,FALSE,"Castellà"}</definedName>
    <definedName name="chop" hidden="1">{"Pèrdues i Guanys analític.Català",#N/A,FALSE,"Català";"Pèrdues i G. analític.castellà",#N/A,FALSE,"Castellà"}</definedName>
    <definedName name="ciclos" localSheetId="20" hidden="1">{"'RR'!$A$2:$E$81"}</definedName>
    <definedName name="ciclos" hidden="1">{"'RR'!$A$2:$E$81"}</definedName>
    <definedName name="ciclos_1" localSheetId="20" hidden="1">{"'RR'!$A$2:$E$81"}</definedName>
    <definedName name="ciclos_1" hidden="1">{"'RR'!$A$2:$E$81"}</definedName>
    <definedName name="ciclos_1_1" localSheetId="20" hidden="1">{"'RR'!$A$2:$E$81"}</definedName>
    <definedName name="ciclos_1_1" hidden="1">{"'RR'!$A$2:$E$81"}</definedName>
    <definedName name="ciclos_1_1_1" localSheetId="20" hidden="1">{"'RR'!$A$2:$E$81"}</definedName>
    <definedName name="ciclos_1_1_1" hidden="1">{"'RR'!$A$2:$E$81"}</definedName>
    <definedName name="ciclos_1_2" localSheetId="20" hidden="1">{"'RR'!$A$2:$E$81"}</definedName>
    <definedName name="ciclos_1_2" hidden="1">{"'RR'!$A$2:$E$81"}</definedName>
    <definedName name="ciclos_2" localSheetId="20" hidden="1">{"'RR'!$A$2:$E$81"}</definedName>
    <definedName name="ciclos_2" hidden="1">{"'RR'!$A$2:$E$81"}</definedName>
    <definedName name="cida" localSheetId="20" hidden="1">{#N/A,#N/A,FALSE,"PCOL"}</definedName>
    <definedName name="cida" hidden="1">{#N/A,#N/A,FALSE,"PCOL"}</definedName>
    <definedName name="cida_1" localSheetId="20" hidden="1">{#N/A,#N/A,FALSE,"PCOL"}</definedName>
    <definedName name="cida_1" hidden="1">{#N/A,#N/A,FALSE,"PCOL"}</definedName>
    <definedName name="cida_1_1" localSheetId="20" hidden="1">{#N/A,#N/A,FALSE,"PCOL"}</definedName>
    <definedName name="cida_1_1" hidden="1">{#N/A,#N/A,FALSE,"PCOL"}</definedName>
    <definedName name="cida_1_1_1" localSheetId="20" hidden="1">{#N/A,#N/A,FALSE,"PCOL"}</definedName>
    <definedName name="cida_1_1_1" hidden="1">{#N/A,#N/A,FALSE,"PCOL"}</definedName>
    <definedName name="cida_1_2" localSheetId="20" hidden="1">{#N/A,#N/A,FALSE,"PCOL"}</definedName>
    <definedName name="cida_1_2" hidden="1">{#N/A,#N/A,FALSE,"PCOL"}</definedName>
    <definedName name="cida_2" localSheetId="20" hidden="1">{#N/A,#N/A,FALSE,"PCOL"}</definedName>
    <definedName name="cida_2" hidden="1">{#N/A,#N/A,FALSE,"PCOL"}</definedName>
    <definedName name="CIDADE" localSheetId="21">#REF!</definedName>
    <definedName name="CIDADE">'[94]Vínculos (Não Mexer)'!$G$36</definedName>
    <definedName name="CIM">[15]DADOS!$C$14</definedName>
    <definedName name="cinco">#REF!</definedName>
    <definedName name="CIQWBGuid" hidden="1">"a1652f71-3e2e-42b3-9516-5546f13bc2b0"</definedName>
    <definedName name="ÇL" localSheetId="20" hidden="1">{"'Quadro'!$A$4:$BG$78"}</definedName>
    <definedName name="çl" localSheetId="21">#REF!</definedName>
    <definedName name="çl">#REF!</definedName>
    <definedName name="ÇL_1" localSheetId="20" hidden="1">{"'Quadro'!$A$4:$BG$78"}</definedName>
    <definedName name="ÇL_1" hidden="1">{"'Quadro'!$A$4:$BG$78"}</definedName>
    <definedName name="ÇL_1_1" localSheetId="20" hidden="1">{"'Quadro'!$A$4:$BG$78"}</definedName>
    <definedName name="ÇL_1_1" hidden="1">{"'Quadro'!$A$4:$BG$78"}</definedName>
    <definedName name="ÇL_1_1_1" localSheetId="20" hidden="1">{"'Quadro'!$A$4:$BG$78"}</definedName>
    <definedName name="ÇL_1_1_1" hidden="1">{"'Quadro'!$A$4:$BG$78"}</definedName>
    <definedName name="ÇL_1_2" localSheetId="20" hidden="1">{"'Quadro'!$A$4:$BG$78"}</definedName>
    <definedName name="ÇL_1_2" hidden="1">{"'Quadro'!$A$4:$BG$78"}</definedName>
    <definedName name="ÇL_2" localSheetId="20" hidden="1">{"'Quadro'!$A$4:$BG$78"}</definedName>
    <definedName name="ÇL_2" hidden="1">{"'Quadro'!$A$4:$BG$78"}</definedName>
    <definedName name="Clas" localSheetId="21" hidden="1">MAX(LEN(#REF!))</definedName>
    <definedName name="Clas" hidden="1">MAX(LEN(#REF!))</definedName>
    <definedName name="Clas_1" hidden="1">MAX(LEN(#REF!))</definedName>
    <definedName name="class">#REF!</definedName>
    <definedName name="claudia" localSheetId="20" hidden="1">{"'gráf jan00'!$A$1:$AK$41"}</definedName>
    <definedName name="claudia" hidden="1">{"'gráf jan00'!$A$1:$AK$41"}</definedName>
    <definedName name="claudia_1" localSheetId="20" hidden="1">{"'gráf jan00'!$A$1:$AK$41"}</definedName>
    <definedName name="claudia_1" hidden="1">{"'gráf jan00'!$A$1:$AK$41"}</definedName>
    <definedName name="claudia_1_1" localSheetId="20" hidden="1">{"'gráf jan00'!$A$1:$AK$41"}</definedName>
    <definedName name="claudia_1_1" hidden="1">{"'gráf jan00'!$A$1:$AK$41"}</definedName>
    <definedName name="claudia_1_1_1" localSheetId="20" hidden="1">{"'gráf jan00'!$A$1:$AK$41"}</definedName>
    <definedName name="claudia_1_1_1" hidden="1">{"'gráf jan00'!$A$1:$AK$41"}</definedName>
    <definedName name="claudia_1_2" localSheetId="20" hidden="1">{"'gráf jan00'!$A$1:$AK$41"}</definedName>
    <definedName name="claudia_1_2" hidden="1">{"'gráf jan00'!$A$1:$AK$41"}</definedName>
    <definedName name="claudia_2" localSheetId="20" hidden="1">{"'gráf jan00'!$A$1:$AK$41"}</definedName>
    <definedName name="claudia_2" hidden="1">{"'gráf jan00'!$A$1:$AK$41"}</definedName>
    <definedName name="claudio" localSheetId="20" hidden="1">{"'gráf jan00'!$A$1:$AK$41"}</definedName>
    <definedName name="claudio" hidden="1">{"'gráf jan00'!$A$1:$AK$41"}</definedName>
    <definedName name="claudio_1" localSheetId="20" hidden="1">{"'gráf jan00'!$A$1:$AK$41"}</definedName>
    <definedName name="claudio_1" hidden="1">{"'gráf jan00'!$A$1:$AK$41"}</definedName>
    <definedName name="claudio_1_1" localSheetId="20" hidden="1">{"'gráf jan00'!$A$1:$AK$41"}</definedName>
    <definedName name="claudio_1_1" hidden="1">{"'gráf jan00'!$A$1:$AK$41"}</definedName>
    <definedName name="claudio_1_1_1" localSheetId="20" hidden="1">{"'gráf jan00'!$A$1:$AK$41"}</definedName>
    <definedName name="claudio_1_1_1" hidden="1">{"'gráf jan00'!$A$1:$AK$41"}</definedName>
    <definedName name="claudio_1_2" localSheetId="20" hidden="1">{"'gráf jan00'!$A$1:$AK$41"}</definedName>
    <definedName name="claudio_1_2" hidden="1">{"'gráf jan00'!$A$1:$AK$41"}</definedName>
    <definedName name="claudio_2" localSheetId="20" hidden="1">{"'gráf jan00'!$A$1:$AK$41"}</definedName>
    <definedName name="claudio_2" hidden="1">{"'gráf jan00'!$A$1:$AK$41"}</definedName>
    <definedName name="çlçl" localSheetId="20" hidden="1">{"'Quadro'!$A$4:$BG$78"}</definedName>
    <definedName name="çlçl" hidden="1">{"'Quadro'!$A$4:$BG$78"}</definedName>
    <definedName name="çlçl_1" localSheetId="20" hidden="1">{"'Quadro'!$A$4:$BG$78"}</definedName>
    <definedName name="çlçl_1" hidden="1">{"'Quadro'!$A$4:$BG$78"}</definedName>
    <definedName name="çlçl_1_1" localSheetId="20" hidden="1">{"'Quadro'!$A$4:$BG$78"}</definedName>
    <definedName name="çlçl_1_1" hidden="1">{"'Quadro'!$A$4:$BG$78"}</definedName>
    <definedName name="çlçl_1_1_1" localSheetId="20" hidden="1">{"'Quadro'!$A$4:$BG$78"}</definedName>
    <definedName name="çlçl_1_1_1" hidden="1">{"'Quadro'!$A$4:$BG$78"}</definedName>
    <definedName name="çlçl_1_2" localSheetId="20" hidden="1">{"'Quadro'!$A$4:$BG$78"}</definedName>
    <definedName name="çlçl_1_2" hidden="1">{"'Quadro'!$A$4:$BG$78"}</definedName>
    <definedName name="çlçl_2" localSheetId="20" hidden="1">{"'Quadro'!$A$4:$BG$78"}</definedName>
    <definedName name="çlçl_2" hidden="1">{"'Quadro'!$A$4:$BG$78"}</definedName>
    <definedName name="Cliente" hidden="1">""</definedName>
    <definedName name="Cls" hidden="1">#N/A</definedName>
    <definedName name="CM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'[85]CUSTO MATERIAL'!$F$23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COMPRO">#REF!</definedName>
    <definedName name="CM30FEXECUTAR">#REF!</definedName>
    <definedName name="CM30ROO">'[85]CALCULOS AUXILIARES'!$E$22</definedName>
    <definedName name="CM30TOTAL">#REF!</definedName>
    <definedName name="CM30W">#REF!</definedName>
    <definedName name="CM30WA">#REF!</definedName>
    <definedName name="CM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IMP">#REF!</definedName>
    <definedName name="CMN">#REF!</definedName>
    <definedName name="CMTOTAL">#REF!</definedName>
    <definedName name="CMW">#REF!</definedName>
    <definedName name="CMWA">#REF!</definedName>
    <definedName name="CN">#REF!</definedName>
    <definedName name="CO">#REF!</definedName>
    <definedName name="Cobra" localSheetId="20" hidden="1">{#N/A,#N/A,FALSE,"PCOL"}</definedName>
    <definedName name="Cobra" hidden="1">{#N/A,#N/A,FALSE,"PCOL"}</definedName>
    <definedName name="Cobra_1" localSheetId="20" hidden="1">{#N/A,#N/A,FALSE,"PCOL"}</definedName>
    <definedName name="Cobra_1" hidden="1">{#N/A,#N/A,FALSE,"PCOL"}</definedName>
    <definedName name="Cobra_1_1" localSheetId="20" hidden="1">{#N/A,#N/A,FALSE,"PCOL"}</definedName>
    <definedName name="Cobra_1_1" hidden="1">{#N/A,#N/A,FALSE,"PCOL"}</definedName>
    <definedName name="Cobra_1_1_1" localSheetId="20" hidden="1">{#N/A,#N/A,FALSE,"PCOL"}</definedName>
    <definedName name="Cobra_1_1_1" hidden="1">{#N/A,#N/A,FALSE,"PCOL"}</definedName>
    <definedName name="Cobra_1_2" localSheetId="20" hidden="1">{#N/A,#N/A,FALSE,"PCOL"}</definedName>
    <definedName name="Cobra_1_2" hidden="1">{#N/A,#N/A,FALSE,"PCOL"}</definedName>
    <definedName name="Cobra_2" localSheetId="20" hidden="1">{#N/A,#N/A,FALSE,"PCOL"}</definedName>
    <definedName name="Cobra_2" hidden="1">{#N/A,#N/A,FALSE,"PCOL"}</definedName>
    <definedName name="Cobre" localSheetId="20" hidden="1">{"'CptDifn'!$AA$32:$AG$32"}</definedName>
    <definedName name="Cobre" hidden="1">{"'CptDifn'!$AA$32:$AG$32"}</definedName>
    <definedName name="Cobre_1" localSheetId="20" hidden="1">{"'CptDifn'!$AA$32:$AG$32"}</definedName>
    <definedName name="Cobre_1" hidden="1">{"'CptDifn'!$AA$32:$AG$32"}</definedName>
    <definedName name="Cobre_1_1" localSheetId="20" hidden="1">{"'CptDifn'!$AA$32:$AG$32"}</definedName>
    <definedName name="Cobre_1_1" hidden="1">{"'CptDifn'!$AA$32:$AG$32"}</definedName>
    <definedName name="Cobre_1_1_1" localSheetId="20" hidden="1">{"'CptDifn'!$AA$32:$AG$32"}</definedName>
    <definedName name="Cobre_1_1_1" hidden="1">{"'CptDifn'!$AA$32:$AG$32"}</definedName>
    <definedName name="Cobre_1_2" localSheetId="20" hidden="1">{"'CptDifn'!$AA$32:$AG$32"}</definedName>
    <definedName name="Cobre_1_2" hidden="1">{"'CptDifn'!$AA$32:$AG$32"}</definedName>
    <definedName name="Cobre_2" localSheetId="20" hidden="1">{"'CptDifn'!$AA$32:$AG$32"}</definedName>
    <definedName name="Cobre_2" hidden="1">{"'CptDifn'!$AA$32:$AG$32"}</definedName>
    <definedName name="Cod" localSheetId="21" hidden="1">#REF!</definedName>
    <definedName name="cod">'[23]1ExecuçServiços'!$A$9:$A$1081</definedName>
    <definedName name="Cód.">'[99]TPU-MARÇO_2002'!$B$2:$B$1965</definedName>
    <definedName name="cod.1">#REF!</definedName>
    <definedName name="cod.2">#REF!</definedName>
    <definedName name="Cód.3">#REF!</definedName>
    <definedName name="Cód.4">'[99]TPU-MARÇO_2002'!$D$2:$D$1965</definedName>
    <definedName name="Cód.Equip.">#REF!</definedName>
    <definedName name="Cód.SER">'[99]TPU-MARÇO_2002'!$H$2:$H$20</definedName>
    <definedName name="Cód.serv.">#REF!</definedName>
    <definedName name="cod_ativ_auxil">"$#REF!.$B$6:$B$4987"</definedName>
    <definedName name="code">'[100]Dados Iniciais'!$B$6</definedName>
    <definedName name="CODENOME1" hidden="1">#N/A</definedName>
    <definedName name="CODIGO">#REF!</definedName>
    <definedName name="Código">#REF!</definedName>
    <definedName name="CODIGO_11">#REF!</definedName>
    <definedName name="Código_11">#REF!</definedName>
    <definedName name="CODIGO_15">#REF!</definedName>
    <definedName name="Código_15">#REF!</definedName>
    <definedName name="CÓDIGOS" localSheetId="1">#REF!</definedName>
    <definedName name="CÓDIGOSCG">#REF!</definedName>
    <definedName name="CODOR1">'[23]orcID nº1'!$A$14:$A$1025</definedName>
    <definedName name="CODOR15">'[23]orc ID nº 15'!$A$14:$A$1000</definedName>
    <definedName name="CODOR17">'[23]orc ID nº17'!$A$16:$A$1000</definedName>
    <definedName name="CODOR18">'[23]orc ID nº 18'!$A$14:$A$1000</definedName>
    <definedName name="CODOR19">'[23]orc ID nº19'!$A$14:$A$1000</definedName>
    <definedName name="CODOR2">'[23]orc ID nº2 '!$A$14:$A$1000</definedName>
    <definedName name="CODOR3">'[23]orc ID nº3'!$A$14:$A$1001</definedName>
    <definedName name="CODOR4">'[23]orcID nº4'!$A$14:$A$1002</definedName>
    <definedName name="CODOR5">'[23]orcID nº5'!$A$14:$A$1002</definedName>
    <definedName name="CODOR6">'[23]orcID nº6'!$A$14:$A$1002</definedName>
    <definedName name="CODOR7">'[23]orcID nº7'!$A$14:$A$1003</definedName>
    <definedName name="CODOR8">'[23]orc ID nº8'!$A$14:$A$1003</definedName>
    <definedName name="CODOR9">'[23]orc ID nº9'!$A$14:$A$1002</definedName>
    <definedName name="Col">#REF!</definedName>
    <definedName name="COL_36">#REF!</definedName>
    <definedName name="COL_37">#REF!</definedName>
    <definedName name="COL_38">#REF!</definedName>
    <definedName name="Coluna" localSheetId="21" hidden="1">#REF!</definedName>
    <definedName name="Coluna" hidden="1">#REF!</definedName>
    <definedName name="COLUNA_36">#REF!</definedName>
    <definedName name="COLUNA_37">#REF!</definedName>
    <definedName name="COLUNA_38">#REF!</definedName>
    <definedName name="COMAN" localSheetId="20" hidden="1">{"'REL CUSTODIF'!$B$1:$H$72"}</definedName>
    <definedName name="COMAN" hidden="1">{"'REL CUSTODIF'!$B$1:$H$72"}</definedName>
    <definedName name="Comp" localSheetId="21" hidden="1">#REF!</definedName>
    <definedName name="Comp" hidden="1">#REF!</definedName>
    <definedName name="Comp_Área_Vol._11">#REF!</definedName>
    <definedName name="Comp_Área_Vol._12">#REF!</definedName>
    <definedName name="Comp_Área_Vol._13">#REF!</definedName>
    <definedName name="Comp_Área_Vol._2">#REF!</definedName>
    <definedName name="Comp_Área_Vol._4">#REF!</definedName>
    <definedName name="Comp_Área_Vol._5">#REF!</definedName>
    <definedName name="Comp_Área_Vol._6">#REF!</definedName>
    <definedName name="Comp_Área_Vol._7">#REF!</definedName>
    <definedName name="Comp_Área_Vol._8">#REF!</definedName>
    <definedName name="Comp_Área_Vol._9">#REF!</definedName>
    <definedName name="COMP_BARRACÃO">#REF!</definedName>
    <definedName name="COMP_CANTEIRO">#REF!</definedName>
    <definedName name="Compactação">#REF!</definedName>
    <definedName name="comparação" localSheetId="21">#REF!</definedName>
    <definedName name="comparação">#REF!</definedName>
    <definedName name="Comparativo" hidden="1">#REF!</definedName>
    <definedName name="compeqp">#REF!</definedName>
    <definedName name="compeqp_1">#REF!</definedName>
    <definedName name="COMPLEM">'[52]Q-01'!#REF!</definedName>
    <definedName name="complementares">#REF!</definedName>
    <definedName name="complementares_1">#REF!</definedName>
    <definedName name="complementares_10">#REF!</definedName>
    <definedName name="complementares_12">#REF!</definedName>
    <definedName name="complementares_2">#REF!</definedName>
    <definedName name="complementares_3">#REF!</definedName>
    <definedName name="complementares_4">#REF!</definedName>
    <definedName name="complementares_9">#REF!</definedName>
    <definedName name="COMPLEMENTO">"* * * * * * * * * * * * * * * * * * * * * * * * * * * * * * * * * * * * * * * * * * * * * * * * * * * * * * * * * * * * * * * * * * * * * * * * * * * * * * * * * * * * * * * * * * * * * * * * * * * * * * * * * * * * * * * * * * * * * * "</definedName>
    <definedName name="COMPOSICAO">#NAME?</definedName>
    <definedName name="COMPOSIÇAO">#REF!</definedName>
    <definedName name="Composição">#REF!</definedName>
    <definedName name="COMPOSICAO_1">#REF!</definedName>
    <definedName name="composicoes">#REF!</definedName>
    <definedName name="con">'[101]P reaj x P atual'!#REF!</definedName>
    <definedName name="CONC">#REF!</definedName>
    <definedName name="CONC.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EL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CE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centrado_Cobre" localSheetId="20" hidden="1">{"'CptDifn'!$AA$32:$AG$32"}</definedName>
    <definedName name="Concentrado_Cobre" hidden="1">{"'CptDifn'!$AA$32:$AG$32"}</definedName>
    <definedName name="Concentrado_Cobre_1" localSheetId="20" hidden="1">{"'CptDifn'!$AA$32:$AG$32"}</definedName>
    <definedName name="Concentrado_Cobre_1" hidden="1">{"'CptDifn'!$AA$32:$AG$32"}</definedName>
    <definedName name="Concentrado_Cobre_1_1" localSheetId="20" hidden="1">{"'CptDifn'!$AA$32:$AG$32"}</definedName>
    <definedName name="Concentrado_Cobre_1_1" hidden="1">{"'CptDifn'!$AA$32:$AG$32"}</definedName>
    <definedName name="Concentrado_Cobre_1_1_1" localSheetId="20" hidden="1">{"'CptDifn'!$AA$32:$AG$32"}</definedName>
    <definedName name="Concentrado_Cobre_1_1_1" hidden="1">{"'CptDifn'!$AA$32:$AG$32"}</definedName>
    <definedName name="Concentrado_Cobre_1_2" localSheetId="20" hidden="1">{"'CptDifn'!$AA$32:$AG$32"}</definedName>
    <definedName name="Concentrado_Cobre_1_2" hidden="1">{"'CptDifn'!$AA$32:$AG$32"}</definedName>
    <definedName name="Concentrado_Cobre_2" localSheetId="20" hidden="1">{"'CptDifn'!$AA$32:$AG$32"}</definedName>
    <definedName name="Concentrado_Cobre_2" hidden="1">{"'CptDifn'!$AA$32:$AG$32"}</definedName>
    <definedName name="CONCORRENTE" localSheetId="20" hidden="1">{#N/A,#N/A,FALSE,"Cronograma";#N/A,#N/A,FALSE,"Cronogr. 2"}</definedName>
    <definedName name="CONCORRENTE" hidden="1">{#N/A,#N/A,FALSE,"Cronograma";#N/A,#N/A,FALSE,"Cronogr. 2"}</definedName>
    <definedName name="CONCORRENTE_1" localSheetId="20" hidden="1">{#N/A,#N/A,FALSE,"Cronograma";#N/A,#N/A,FALSE,"Cronogr. 2"}</definedName>
    <definedName name="CONCORRENTE_1" hidden="1">{#N/A,#N/A,FALSE,"Cronograma";#N/A,#N/A,FALSE,"Cronogr. 2"}</definedName>
    <definedName name="CONCORRENTE_1_1" localSheetId="20" hidden="1">{#N/A,#N/A,FALSE,"Cronograma";#N/A,#N/A,FALSE,"Cronogr. 2"}</definedName>
    <definedName name="CONCORRENTE_1_1" hidden="1">{#N/A,#N/A,FALSE,"Cronograma";#N/A,#N/A,FALSE,"Cronogr. 2"}</definedName>
    <definedName name="CONCORRENTE_1_1_1" localSheetId="20" hidden="1">{#N/A,#N/A,FALSE,"Cronograma";#N/A,#N/A,FALSE,"Cronogr. 2"}</definedName>
    <definedName name="CONCORRENTE_1_1_1" hidden="1">{#N/A,#N/A,FALSE,"Cronograma";#N/A,#N/A,FALSE,"Cronogr. 2"}</definedName>
    <definedName name="CONCORRENTE_1_2" localSheetId="20" hidden="1">{#N/A,#N/A,FALSE,"Cronograma";#N/A,#N/A,FALSE,"Cronogr. 2"}</definedName>
    <definedName name="CONCORRENTE_1_2" hidden="1">{#N/A,#N/A,FALSE,"Cronograma";#N/A,#N/A,FALSE,"Cronogr. 2"}</definedName>
    <definedName name="CONCORRENTE_2" localSheetId="20" hidden="1">{#N/A,#N/A,FALSE,"Cronograma";#N/A,#N/A,FALSE,"Cronogr. 2"}</definedName>
    <definedName name="CONCORRENTE_2" hidden="1">{#N/A,#N/A,FALSE,"Cronograma";#N/A,#N/A,FALSE,"Cronogr. 2"}</definedName>
    <definedName name="concorrentes" localSheetId="20" hidden="1">{#N/A,#N/A,FALSE,"Cronograma";#N/A,#N/A,FALSE,"Cronogr. 2"}</definedName>
    <definedName name="concorrentes" hidden="1">{#N/A,#N/A,FALSE,"Cronograma";#N/A,#N/A,FALSE,"Cronogr. 2"}</definedName>
    <definedName name="concorrentes_1" localSheetId="20" hidden="1">{#N/A,#N/A,FALSE,"Cronograma";#N/A,#N/A,FALSE,"Cronogr. 2"}</definedName>
    <definedName name="concorrentes_1" hidden="1">{#N/A,#N/A,FALSE,"Cronograma";#N/A,#N/A,FALSE,"Cronogr. 2"}</definedName>
    <definedName name="concorrentes_1_1" localSheetId="20" hidden="1">{#N/A,#N/A,FALSE,"Cronograma";#N/A,#N/A,FALSE,"Cronogr. 2"}</definedName>
    <definedName name="concorrentes_1_1" hidden="1">{#N/A,#N/A,FALSE,"Cronograma";#N/A,#N/A,FALSE,"Cronogr. 2"}</definedName>
    <definedName name="concorrentes_1_1_1" localSheetId="20" hidden="1">{#N/A,#N/A,FALSE,"Cronograma";#N/A,#N/A,FALSE,"Cronogr. 2"}</definedName>
    <definedName name="concorrentes_1_1_1" hidden="1">{#N/A,#N/A,FALSE,"Cronograma";#N/A,#N/A,FALSE,"Cronogr. 2"}</definedName>
    <definedName name="concorrentes_1_2" localSheetId="20" hidden="1">{#N/A,#N/A,FALSE,"Cronograma";#N/A,#N/A,FALSE,"Cronogr. 2"}</definedName>
    <definedName name="concorrentes_1_2" hidden="1">{#N/A,#N/A,FALSE,"Cronograma";#N/A,#N/A,FALSE,"Cronogr. 2"}</definedName>
    <definedName name="concorrentes_2" localSheetId="20" hidden="1">{#N/A,#N/A,FALSE,"Cronograma";#N/A,#N/A,FALSE,"Cronogr. 2"}</definedName>
    <definedName name="concorrentes_2" hidden="1">{#N/A,#N/A,FALSE,"Cronograma";#N/A,#N/A,FALSE,"Cronogr. 2"}</definedName>
    <definedName name="CONCRETO_AN">#REF!</definedName>
    <definedName name="CONCRETO_AT">#REF!</definedName>
    <definedName name="CONS">#REF!</definedName>
    <definedName name="CONS.ASF.">#REF!</definedName>
    <definedName name="CONS_ÁGUA">#REF!</definedName>
    <definedName name="CONS_ASF_">#REF!</definedName>
    <definedName name="CONS_ENERGIA">#REF!</definedName>
    <definedName name="CONSER">'[101]P reaj x P atual'!$N$6</definedName>
    <definedName name="CONSERVAÇÃO">#REF!</definedName>
    <definedName name="Consolidaçã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A_EQUIPS_POR_EMPRESA">#REF!</definedName>
    <definedName name="CONSUMO">[102]QuQuant!#REF!</definedName>
    <definedName name="consumo.2">#REF!</definedName>
    <definedName name="Consumodemateriais" localSheetId="20">Plan1</definedName>
    <definedName name="Consumodemateriais" localSheetId="21">'Modelo 10.0 - Resumo e Quant.'!plan1</definedName>
    <definedName name="Consumodemateriais">#N/A</definedName>
    <definedName name="Consumodemateriais_1">#NAME?</definedName>
    <definedName name="Consumodemateriais_14" localSheetId="21">#REF!</definedName>
    <definedName name="Consumodemateriais_14">#REF!</definedName>
    <definedName name="Consumodemateriais_18" localSheetId="21">#REF!</definedName>
    <definedName name="Consumodemateriais_18">#REF!</definedName>
    <definedName name="Consumodemateriais_19" localSheetId="21">#REF!</definedName>
    <definedName name="Consumodemateriais_19">#REF!</definedName>
    <definedName name="Consumodemateriais_2" localSheetId="21">#REF!</definedName>
    <definedName name="Consumodemateriais_2">#REF!</definedName>
    <definedName name="Consumodemateriais_20" localSheetId="21">#REF!</definedName>
    <definedName name="Consumodemateriais_20">#REF!</definedName>
    <definedName name="Consumodemateriais_22" localSheetId="21">#REF!</definedName>
    <definedName name="Consumodemateriais_22">#REF!</definedName>
    <definedName name="CONT">#REF!</definedName>
    <definedName name="CONT_REPASSE">#REF!</definedName>
    <definedName name="CONTA">#N/A</definedName>
    <definedName name="CONTA_FONE">#REF!</definedName>
    <definedName name="CONTÍNUO_3_AN">#REF!</definedName>
    <definedName name="CONTÍNUO_3_AT">#REF!</definedName>
    <definedName name="CONTÍNUO_7_AN">#REF!</definedName>
    <definedName name="CONTÍNUO_7_AT">#REF!</definedName>
    <definedName name="CONTRO">#REF!</definedName>
    <definedName name="Controle" localSheetId="20" hidden="1">{"'Quadro'!$A$4:$BG$78"}</definedName>
    <definedName name="Controle" hidden="1">{"'Quadro'!$A$4:$BG$78"}</definedName>
    <definedName name="Controle_1" localSheetId="20" hidden="1">{"'Quadro'!$A$4:$BG$78"}</definedName>
    <definedName name="Controle_1" hidden="1">{"'Quadro'!$A$4:$BG$78"}</definedName>
    <definedName name="Controle_1_1" localSheetId="20" hidden="1">{"'Quadro'!$A$4:$BG$78"}</definedName>
    <definedName name="Controle_1_1" hidden="1">{"'Quadro'!$A$4:$BG$78"}</definedName>
    <definedName name="Controle_1_1_1" localSheetId="20" hidden="1">{"'Quadro'!$A$4:$BG$78"}</definedName>
    <definedName name="Controle_1_1_1" hidden="1">{"'Quadro'!$A$4:$BG$78"}</definedName>
    <definedName name="Controle_1_2" localSheetId="20" hidden="1">{"'Quadro'!$A$4:$BG$78"}</definedName>
    <definedName name="Controle_1_2" hidden="1">{"'Quadro'!$A$4:$BG$78"}</definedName>
    <definedName name="Controle_2" localSheetId="20" hidden="1">{"'Quadro'!$A$4:$BG$78"}</definedName>
    <definedName name="Controle_2" hidden="1">{"'Quadro'!$A$4:$BG$78"}</definedName>
    <definedName name="conver">#REF!</definedName>
    <definedName name="CONVER1">#REF!</definedName>
    <definedName name="CONVER2">#REF!</definedName>
    <definedName name="COONSUMO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pia" localSheetId="20" hidden="1">{#N/A,#N/A,FALSE,"PCOL"}</definedName>
    <definedName name="Copia" hidden="1">{#N/A,#N/A,FALSE,"PCOL"}</definedName>
    <definedName name="Copia_1" localSheetId="20" hidden="1">{#N/A,#N/A,FALSE,"PCOL"}</definedName>
    <definedName name="Copia_1" hidden="1">{#N/A,#N/A,FALSE,"PCOL"}</definedName>
    <definedName name="Copia_1_1" localSheetId="20" hidden="1">{#N/A,#N/A,FALSE,"PCOL"}</definedName>
    <definedName name="Copia_1_1" hidden="1">{#N/A,#N/A,FALSE,"PCOL"}</definedName>
    <definedName name="Copia_1_1_1" localSheetId="20" hidden="1">{#N/A,#N/A,FALSE,"PCOL"}</definedName>
    <definedName name="Copia_1_1_1" hidden="1">{#N/A,#N/A,FALSE,"PCOL"}</definedName>
    <definedName name="Copia_1_2" localSheetId="20" hidden="1">{#N/A,#N/A,FALSE,"PCOL"}</definedName>
    <definedName name="Copia_1_2" hidden="1">{#N/A,#N/A,FALSE,"PCOL"}</definedName>
    <definedName name="Copia_2" localSheetId="20" hidden="1">{#N/A,#N/A,FALSE,"PCOL"}</definedName>
    <definedName name="Copia_2" hidden="1">{#N/A,#N/A,FALSE,"PCOL"}</definedName>
    <definedName name="copiaranch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r" localSheetId="20" hidden="1">{"'gráf jan00'!$A$1:$AK$41"}</definedName>
    <definedName name="cor" hidden="1">{"'gráf jan00'!$A$1:$AK$41"}</definedName>
    <definedName name="Corpus">[103]!Dom_Páscoa+60</definedName>
    <definedName name="CORTE_MAN_AN">#REF!</definedName>
    <definedName name="CORTE_MAN_AT">#REF!</definedName>
    <definedName name="CORTE_MEC_AN">#REF!</definedName>
    <definedName name="CORTE_MEC_AT">#REF!</definedName>
    <definedName name="Cortes" localSheetId="1">#REF!</definedName>
    <definedName name="Cortes">#REF!</definedName>
    <definedName name="COTACAO" localSheetId="20" hidden="1">{#N/A,#N/A,TRUE,"Serviços"}</definedName>
    <definedName name="cotacao">#REF!</definedName>
    <definedName name="coucou" localSheetId="20" hidden="1">{#N/A,#N/A,TRUE,"Cover sheet";#N/A,#N/A,TRUE,"INPUTS";#N/A,#N/A,TRUE,"OUTPUTS";#N/A,#N/A,TRUE,"VALUATION"}</definedName>
    <definedName name="coucou" hidden="1">{#N/A,#N/A,TRUE,"Cover sheet";#N/A,#N/A,TRUE,"INPUTS";#N/A,#N/A,TRUE,"OUTPUTS";#N/A,#N/A,TRUE,"VALUATION"}</definedName>
    <definedName name="coucou_1" localSheetId="20" hidden="1">{#N/A,#N/A,TRUE,"Cover sheet";#N/A,#N/A,TRUE,"INPUTS";#N/A,#N/A,TRUE,"OUTPUTS";#N/A,#N/A,TRUE,"VALUATION"}</definedName>
    <definedName name="coucou_1" hidden="1">{#N/A,#N/A,TRUE,"Cover sheet";#N/A,#N/A,TRUE,"INPUTS";#N/A,#N/A,TRUE,"OUTPUTS";#N/A,#N/A,TRUE,"VALUATION"}</definedName>
    <definedName name="coucou_1_1" localSheetId="20" hidden="1">{#N/A,#N/A,TRUE,"Cover sheet";#N/A,#N/A,TRUE,"INPUTS";#N/A,#N/A,TRUE,"OUTPUTS";#N/A,#N/A,TRUE,"VALUATION"}</definedName>
    <definedName name="coucou_1_1" hidden="1">{#N/A,#N/A,TRUE,"Cover sheet";#N/A,#N/A,TRUE,"INPUTS";#N/A,#N/A,TRUE,"OUTPUTS";#N/A,#N/A,TRUE,"VALUATION"}</definedName>
    <definedName name="coucou_1_1_1" localSheetId="20" hidden="1">{#N/A,#N/A,TRUE,"Cover sheet";#N/A,#N/A,TRUE,"INPUTS";#N/A,#N/A,TRUE,"OUTPUTS";#N/A,#N/A,TRUE,"VALUATION"}</definedName>
    <definedName name="coucou_1_1_1" hidden="1">{#N/A,#N/A,TRUE,"Cover sheet";#N/A,#N/A,TRUE,"INPUTS";#N/A,#N/A,TRUE,"OUTPUTS";#N/A,#N/A,TRUE,"VALUATION"}</definedName>
    <definedName name="coucou_1_2" localSheetId="20" hidden="1">{#N/A,#N/A,TRUE,"Cover sheet";#N/A,#N/A,TRUE,"INPUTS";#N/A,#N/A,TRUE,"OUTPUTS";#N/A,#N/A,TRUE,"VALUATION"}</definedName>
    <definedName name="coucou_1_2" hidden="1">{#N/A,#N/A,TRUE,"Cover sheet";#N/A,#N/A,TRUE,"INPUTS";#N/A,#N/A,TRUE,"OUTPUTS";#N/A,#N/A,TRUE,"VALUATION"}</definedName>
    <definedName name="coucou_2" localSheetId="20" hidden="1">{#N/A,#N/A,TRUE,"Cover sheet";#N/A,#N/A,TRUE,"INPUTS";#N/A,#N/A,TRUE,"OUTPUTS";#N/A,#N/A,TRUE,"VALUATION"}</definedName>
    <definedName name="coucou_2" hidden="1">{#N/A,#N/A,TRUE,"Cover sheet";#N/A,#N/A,TRUE,"INPUTS";#N/A,#N/A,TRUE,"OUTPUTS";#N/A,#N/A,TRUE,"VALUATION"}</definedName>
    <definedName name="CP">#REF!</definedName>
    <definedName name="CPAV">#REF!</definedName>
    <definedName name="CpuAux" localSheetId="21" hidden="1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localSheetId="21" hidden="1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RISTALINA">#N/A</definedName>
    <definedName name="CRIT" localSheetId="21" hidden="1">#REF!</definedName>
    <definedName name="CRIT" hidden="1">#REF!</definedName>
    <definedName name="_xlnm.Criteria" localSheetId="21">#REF!</definedName>
    <definedName name="_xlnm.Criteria">#REF!</definedName>
    <definedName name="CRM" localSheetId="20" hidden="1">{#N/A,#N/A,FALSE,"ANEXO3 99 ERA";#N/A,#N/A,FALSE,"ANEXO3 99 UBÁ2";#N/A,#N/A,FALSE,"ANEXO3 99 DTU";#N/A,#N/A,FALSE,"ANEXO3 99 RDR";#N/A,#N/A,FALSE,"ANEXO3 99 UBÁ4";#N/A,#N/A,FALSE,"ANEXO3 99 UBÁ6"}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" localSheetId="20" hidden="1">{#N/A,#N/A,FALSE,"MO (2)"}</definedName>
    <definedName name="CRO" hidden="1">{#N/A,#N/A,FALSE,"MO (2)"}</definedName>
    <definedName name="Cron" localSheetId="20" hidden="1">{#N/A,#N/A,FALSE,"MO (2)"}</definedName>
    <definedName name="Cron" hidden="1">{#N/A,#N/A,FALSE,"MO (2)"}</definedName>
    <definedName name="Cron_1" localSheetId="20" hidden="1">{#N/A,#N/A,FALSE,"MO (2)"}</definedName>
    <definedName name="Cron_1" hidden="1">{#N/A,#N/A,FALSE,"MO (2)"}</definedName>
    <definedName name="CRONO">#REF!</definedName>
    <definedName name="CRONO_1">#REF!</definedName>
    <definedName name="Cronogr.">'[104]CR LOTE 02'!#REF!</definedName>
    <definedName name="cronograma" localSheetId="20" hidden="1">{#N/A,#N/A,TRUE,"Plan1"}</definedName>
    <definedName name="cronograma" localSheetId="21" hidden="1">{#N/A,#N/A,TRUE,"Plan1"}</definedName>
    <definedName name="cronograma" hidden="1">{#N/A,#N/A,TRUE,"Plan1"}</definedName>
    <definedName name="Cronograma_2004" localSheetId="20" hidden="1">{"'171'!$A$1:$Z$50"}</definedName>
    <definedName name="Cronograma_2004" hidden="1">{"'171'!$A$1:$Z$50"}</definedName>
    <definedName name="Cronograma_2004_1" localSheetId="20" hidden="1">{"'171'!$A$1:$Z$50"}</definedName>
    <definedName name="Cronograma_2004_1" hidden="1">{"'171'!$A$1:$Z$50"}</definedName>
    <definedName name="Cronograma_2004_1_1" localSheetId="20" hidden="1">{"'171'!$A$1:$Z$50"}</definedName>
    <definedName name="Cronograma_2004_1_1" hidden="1">{"'171'!$A$1:$Z$50"}</definedName>
    <definedName name="Cronograma_2004_1_1_1" localSheetId="20" hidden="1">{"'171'!$A$1:$Z$50"}</definedName>
    <definedName name="Cronograma_2004_1_1_1" hidden="1">{"'171'!$A$1:$Z$50"}</definedName>
    <definedName name="Cronograma_2004_1_2" localSheetId="20" hidden="1">{"'171'!$A$1:$Z$50"}</definedName>
    <definedName name="Cronograma_2004_1_2" hidden="1">{"'171'!$A$1:$Z$50"}</definedName>
    <definedName name="Cronograma_2004_2" localSheetId="20" hidden="1">{"'171'!$A$1:$Z$50"}</definedName>
    <definedName name="Cronograma_2004_2" hidden="1">{"'171'!$A$1:$Z$50"}</definedName>
    <definedName name="Cronograma_Inv" localSheetId="20" hidden="1">{"'Quadro'!$A$4:$BG$78"}</definedName>
    <definedName name="Cronograma_Inv" hidden="1">{"'Quadro'!$A$4:$BG$78"}</definedName>
    <definedName name="Cronograma_Inv_1" localSheetId="20" hidden="1">{"'Quadro'!$A$4:$BG$78"}</definedName>
    <definedName name="Cronograma_Inv_1" hidden="1">{"'Quadro'!$A$4:$BG$78"}</definedName>
    <definedName name="Cronograma_Inv_1_1" localSheetId="20" hidden="1">{"'Quadro'!$A$4:$BG$78"}</definedName>
    <definedName name="Cronograma_Inv_1_1" hidden="1">{"'Quadro'!$A$4:$BG$78"}</definedName>
    <definedName name="Cronograma_Inv_1_1_1" localSheetId="20" hidden="1">{"'Quadro'!$A$4:$BG$78"}</definedName>
    <definedName name="Cronograma_Inv_1_1_1" hidden="1">{"'Quadro'!$A$4:$BG$78"}</definedName>
    <definedName name="Cronograma_Inv_1_2" localSheetId="20" hidden="1">{"'Quadro'!$A$4:$BG$78"}</definedName>
    <definedName name="Cronograma_Inv_1_2" hidden="1">{"'Quadro'!$A$4:$BG$78"}</definedName>
    <definedName name="Cronograma_Inv_2" localSheetId="20" hidden="1">{"'Quadro'!$A$4:$BG$78"}</definedName>
    <definedName name="Cronograma_Inv_2" hidden="1">{"'Quadro'!$A$4:$BG$78"}</definedName>
    <definedName name="cronograma1" localSheetId="20" hidden="1">{#N/A,#N/A,TRUE,"Plan1"}</definedName>
    <definedName name="cronograma1" localSheetId="21" hidden="1">{#N/A,#N/A,TRUE,"Plan1"}</definedName>
    <definedName name="cronograma1" hidden="1">{#N/A,#N/A,TRUE,"Plan1"}</definedName>
    <definedName name="CRONOGRAMAA" localSheetId="20" hidden="1">{#N/A,#N/A,TRUE,"Plan1"}</definedName>
    <definedName name="CRONOGRAMAA" localSheetId="21" hidden="1">{#N/A,#N/A,TRUE,"Plan1"}</definedName>
    <definedName name="CRONOGRAMAA" hidden="1">{#N/A,#N/A,TRUE,"Plan1"}</definedName>
    <definedName name="CRONOGRAMAA1" localSheetId="20" hidden="1">{#N/A,#N/A,TRUE,"Plan1"}</definedName>
    <definedName name="CRONOGRAMAA1" localSheetId="21" hidden="1">{#N/A,#N/A,TRUE,"Plan1"}</definedName>
    <definedName name="CRONOGRAMAA1" hidden="1">{#N/A,#N/A,TRUE,"Plan1"}</definedName>
    <definedName name="CronogramadeExecuçãp2003" localSheetId="20" hidden="1">{#N/A,#N/A,FALSE,"ANEXO3 99 ERA";#N/A,#N/A,FALSE,"ANEXO3 99 UBÁ2";#N/A,#N/A,FALSE,"ANEXO3 99 DTU";#N/A,#N/A,FALSE,"ANEXO3 99 RDR";#N/A,#N/A,FALSE,"ANEXO3 99 UBÁ4";#N/A,#N/A,FALSE,"ANEXO3 99 UBÁ6"}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 localSheetId="2">RESUMO!Croquiiii</definedName>
    <definedName name="Croquiiii">Croquiiii</definedName>
    <definedName name="Croquiiii_38" localSheetId="2">RESUMO!Croquiiii_38</definedName>
    <definedName name="Croquiiii_38">Croquiiii_38</definedName>
    <definedName name="CS">'[105]CS#'!$A$3:$K$12</definedName>
    <definedName name="CSA">#REF!</definedName>
    <definedName name="CSLL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H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" localSheetId="20" hidden="1">{#N/A,#N/A,TRUE,"Serviços"}</definedName>
    <definedName name="CU" localSheetId="21">#REF!</definedName>
    <definedName name="CU">'[106]61M-CBMI'!$AA$1:$AA$51</definedName>
    <definedName name="Cun" localSheetId="2" hidden="1">VLOOKUP(#REF!,rec,5,0)</definedName>
    <definedName name="Cun" hidden="1">VLOOKUP(#REF!,rec,5,0)</definedName>
    <definedName name="CunEq" localSheetId="21" hidden="1">SUM(IF(#REF! =#REF!,(#REF!)*(#REF!="EQ")))</definedName>
    <definedName name="CunEq" hidden="1">SUM(IF(#REF! =#REF!,(#REF!)*(#REF!="EQ")))</definedName>
    <definedName name="CunEq_1" hidden="1">SUM(IF(#REF! =#REF!,(#REF!)*(#REF!="EQ")))</definedName>
    <definedName name="CunMo" localSheetId="21" hidden="1">SUM(IF(#REF! =#REF!,(#REF!)*(#REF!="MO")))</definedName>
    <definedName name="CunMo" hidden="1">SUM(IF(#REF! =#REF!,(#REF!)*(#REF!="MO")))</definedName>
    <definedName name="CunMo_1" hidden="1">SUM(IF(#REF! =#REF!,(#REF!)*(#REF!="MO")))</definedName>
    <definedName name="CunMp" localSheetId="21" hidden="1">SUM(IF(#REF! =#REF!,(#REF!)*(#REF!="MP")))</definedName>
    <definedName name="CunMp" hidden="1">SUM(IF(#REF! =#REF!,(#REF!)*(#REF!="MP")))</definedName>
    <definedName name="CunMp_1" hidden="1">SUM(IF(#REF! =#REF!,(#REF!)*(#REF!="MP")))</definedName>
    <definedName name="CURRENCY">#REF!</definedName>
    <definedName name="CURRENCYY">#REF!</definedName>
    <definedName name="curva">#REF!</definedName>
    <definedName name="Curva_ABC" localSheetId="2">RESUMO!Curva_ABC</definedName>
    <definedName name="Curva_ABC">[0]!Curva_ABC</definedName>
    <definedName name="CURVA2" localSheetId="20" hidden="1">{"'171'!$A$1:$Z$50"}</definedName>
    <definedName name="CURVA2" hidden="1">{"'171'!$A$1:$Z$50"}</definedName>
    <definedName name="CURVA2_1" localSheetId="20" hidden="1">{"'171'!$A$1:$Z$50"}</definedName>
    <definedName name="CURVA2_1" hidden="1">{"'171'!$A$1:$Z$50"}</definedName>
    <definedName name="CURVA2_1_1" localSheetId="20" hidden="1">{"'171'!$A$1:$Z$50"}</definedName>
    <definedName name="CURVA2_1_1" hidden="1">{"'171'!$A$1:$Z$50"}</definedName>
    <definedName name="CURVA2_1_1_1" localSheetId="20" hidden="1">{"'171'!$A$1:$Z$50"}</definedName>
    <definedName name="CURVA2_1_1_1" hidden="1">{"'171'!$A$1:$Z$50"}</definedName>
    <definedName name="CURVA2_1_2" localSheetId="20" hidden="1">{"'171'!$A$1:$Z$50"}</definedName>
    <definedName name="CURVA2_1_2" hidden="1">{"'171'!$A$1:$Z$50"}</definedName>
    <definedName name="CURVA2_2" localSheetId="20" hidden="1">{"'171'!$A$1:$Z$50"}</definedName>
    <definedName name="CURVA2_2" hidden="1">{"'171'!$A$1:$Z$50"}</definedName>
    <definedName name="curvaab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rva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ustoc" hidden="1">#REF!</definedName>
    <definedName name="custoo">#REF!</definedName>
    <definedName name="cvagf" localSheetId="20" hidden="1">{"'REL CUSTODIF'!$B$1:$H$72"}</definedName>
    <definedName name="cvagf" hidden="1">{"'REL CUSTODIF'!$B$1:$H$72"}</definedName>
    <definedName name="cx" localSheetId="20" hidden="1">{#N/A,#N/A,FALSE,"MO (2)"}</definedName>
    <definedName name="cx" hidden="1">{#N/A,#N/A,FALSE,"MO (2)"}</definedName>
    <definedName name="cx." localSheetId="20" hidden="1">{#N/A,#N/A,FALSE,"MO (2)"}</definedName>
    <definedName name="cx." hidden="1">{#N/A,#N/A,FALSE,"MO (2)"}</definedName>
    <definedName name="cxczczxc">#REF!</definedName>
    <definedName name="cxz" localSheetId="20" hidden="1">{"'gráf jan00'!$A$1:$AK$41"}</definedName>
    <definedName name="cxz" hidden="1">{"'gráf jan00'!$A$1:$AK$41"}</definedName>
    <definedName name="cxz_1" localSheetId="20" hidden="1">{"'gráf jan00'!$A$1:$AK$41"}</definedName>
    <definedName name="cxz_1" hidden="1">{"'gráf jan00'!$A$1:$AK$41"}</definedName>
    <definedName name="cxz_1_1" localSheetId="20" hidden="1">{"'gráf jan00'!$A$1:$AK$41"}</definedName>
    <definedName name="cxz_1_1" hidden="1">{"'gráf jan00'!$A$1:$AK$41"}</definedName>
    <definedName name="cxz_1_1_1" localSheetId="20" hidden="1">{"'gráf jan00'!$A$1:$AK$41"}</definedName>
    <definedName name="cxz_1_1_1" hidden="1">{"'gráf jan00'!$A$1:$AK$41"}</definedName>
    <definedName name="cxz_1_2" localSheetId="20" hidden="1">{"'gráf jan00'!$A$1:$AK$41"}</definedName>
    <definedName name="cxz_1_2" hidden="1">{"'gráf jan00'!$A$1:$AK$41"}</definedName>
    <definedName name="cxz_2" localSheetId="20" hidden="1">{"'gráf jan00'!$A$1:$AK$41"}</definedName>
    <definedName name="cxz_2" hidden="1">{"'gráf jan00'!$A$1:$AK$41"}</definedName>
    <definedName name="D">#REF!</definedName>
    <definedName name="D.0">#REF!</definedName>
    <definedName name="D.079">#REF!</definedName>
    <definedName name="D_079">#REF!</definedName>
    <definedName name="D_1" localSheetId="21">NA()</definedName>
    <definedName name="D_1">NA()</definedName>
    <definedName name="d_11">#REF!</definedName>
    <definedName name="d_12">#REF!</definedName>
    <definedName name="d_13">#REF!</definedName>
    <definedName name="d_15">#REF!</definedName>
    <definedName name="d_2" localSheetId="21">#REF!</definedName>
    <definedName name="d_2">#REF!</definedName>
    <definedName name="d_4">#REF!</definedName>
    <definedName name="d_5">#REF!</definedName>
    <definedName name="d_6">#REF!</definedName>
    <definedName name="d_7">#REF!</definedName>
    <definedName name="d_8">#REF!</definedName>
    <definedName name="d_9">#REF!</definedName>
    <definedName name="D0">'[42]Convert Lat, Long to UTM'!$C$20</definedName>
    <definedName name="d1a">#REF!</definedName>
    <definedName name="d2a">#REF!</definedName>
    <definedName name="D2EI" localSheetId="1">#REF!</definedName>
    <definedName name="D2EI">#REF!</definedName>
    <definedName name="d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">#REF!</definedName>
    <definedName name="d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D">#REF!</definedName>
    <definedName name="dada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fs" localSheetId="0">[107]!exibir_1000</definedName>
    <definedName name="dadadfs" localSheetId="30">[107]!exibir_1000</definedName>
    <definedName name="dadadfs">[107]!exibir_1000</definedName>
    <definedName name="dadinho">#REF!</definedName>
    <definedName name="dadinho_1">#REF!</definedName>
    <definedName name="dadinho_10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5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3">#REF!</definedName>
    <definedName name="dadinho_50">#REF!</definedName>
    <definedName name="dadinho_50_1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_Acumulado" localSheetId="20" hidden="1">{"'Ocorrência_que_Impactaram'!$A$1:$Q$43"}</definedName>
    <definedName name="Dados__Acumulado" hidden="1">{"'Ocorrência_que_Impactaram'!$A$1:$Q$43"}</definedName>
    <definedName name="Dados__Acumulado_1" localSheetId="20" hidden="1">{"'Ocorrência_que_Impactaram'!$A$1:$Q$43"}</definedName>
    <definedName name="Dados__Acumulado_1" hidden="1">{"'Ocorrência_que_Impactaram'!$A$1:$Q$43"}</definedName>
    <definedName name="Dados__Acumulado_1_1" localSheetId="20" hidden="1">{"'Ocorrência_que_Impactaram'!$A$1:$Q$43"}</definedName>
    <definedName name="Dados__Acumulado_1_1" hidden="1">{"'Ocorrência_que_Impactaram'!$A$1:$Q$43"}</definedName>
    <definedName name="Dados__Acumulado_1_1_1" localSheetId="20" hidden="1">{"'Ocorrência_que_Impactaram'!$A$1:$Q$43"}</definedName>
    <definedName name="Dados__Acumulado_1_1_1" hidden="1">{"'Ocorrência_que_Impactaram'!$A$1:$Q$43"}</definedName>
    <definedName name="Dados__Acumulado_1_2" localSheetId="20" hidden="1">{"'Ocorrência_que_Impactaram'!$A$1:$Q$43"}</definedName>
    <definedName name="Dados__Acumulado_1_2" hidden="1">{"'Ocorrência_que_Impactaram'!$A$1:$Q$43"}</definedName>
    <definedName name="Dados__Acumulado_2" localSheetId="20" hidden="1">{"'Ocorrência_que_Impactaram'!$A$1:$Q$43"}</definedName>
    <definedName name="Dados__Acumulado_2" hidden="1">{"'Ocorrência_que_Impactaram'!$A$1:$Q$43"}</definedName>
    <definedName name="DADOS_1">[108]Conversão!$AG$5:$AH$40</definedName>
    <definedName name="DADOS_1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[109]Orçamentária!$AG$5:$AH$40</definedName>
    <definedName name="DADOS_21">#REF!</definedName>
    <definedName name="DADOS_21_19">#REF!</definedName>
    <definedName name="DADOS_26">#REF!</definedName>
    <definedName name="DADOS_28">#REF!</definedName>
    <definedName name="DADOS_29">#REF!</definedName>
    <definedName name="DADOS_3">[109]Orçamentária!$AG$5:$AH$40</definedName>
    <definedName name="DADOS_4">[109]Orçamentária!$AG$5:$AH$40</definedName>
    <definedName name="DADOS_50">#REF!</definedName>
    <definedName name="DADOS_50_1">#REF!</definedName>
    <definedName name="DADOS_6">#REF!</definedName>
    <definedName name="DADOS_7">#REF!</definedName>
    <definedName name="DADOS_8">#REF!</definedName>
    <definedName name="DADOS_9">#REF!</definedName>
    <definedName name="Dados_Acumulado" localSheetId="20" hidden="1">{"'Ocorrência_que_Impactaram'!$A$1:$Q$43"}</definedName>
    <definedName name="Dados_Acumulado" hidden="1">{"'Ocorrência_que_Impactaram'!$A$1:$Q$43"}</definedName>
    <definedName name="Dados_Acumulado_1" localSheetId="20" hidden="1">{"'Ocorrência_que_Impactaram'!$A$1:$Q$43"}</definedName>
    <definedName name="Dados_Acumulado_1" hidden="1">{"'Ocorrência_que_Impactaram'!$A$1:$Q$43"}</definedName>
    <definedName name="Dados_Acumulado_1_1" localSheetId="20" hidden="1">{"'Ocorrência_que_Impactaram'!$A$1:$Q$43"}</definedName>
    <definedName name="Dados_Acumulado_1_1" hidden="1">{"'Ocorrência_que_Impactaram'!$A$1:$Q$43"}</definedName>
    <definedName name="Dados_Acumulado_1_1_1" localSheetId="20" hidden="1">{"'Ocorrência_que_Impactaram'!$A$1:$Q$43"}</definedName>
    <definedName name="Dados_Acumulado_1_1_1" hidden="1">{"'Ocorrência_que_Impactaram'!$A$1:$Q$43"}</definedName>
    <definedName name="Dados_Acumulado_1_2" localSheetId="20" hidden="1">{"'Ocorrência_que_Impactaram'!$A$1:$Q$43"}</definedName>
    <definedName name="Dados_Acumulado_1_2" hidden="1">{"'Ocorrência_que_Impactaram'!$A$1:$Q$43"}</definedName>
    <definedName name="Dados_Acumulado_2" localSheetId="20" hidden="1">{"'Ocorrência_que_Impactaram'!$A$1:$Q$43"}</definedName>
    <definedName name="Dados_Acumulado_2" hidden="1">{"'Ocorrência_que_Impactaram'!$A$1:$Q$43"}</definedName>
    <definedName name="Dados_Primário">'[110]PROD.PRIM.'!$A$8:$J$38</definedName>
    <definedName name="Dados_Primário_11">#REF!</definedName>
    <definedName name="Dados_Primário_15">[111]PROD_PRIM_!$A$8:$J$38</definedName>
    <definedName name="DADOS1">#REF!</definedName>
    <definedName name="dadsada">#REF!</definedName>
    <definedName name="DAER1" localSheetId="20" hidden="1">{#N/A,#N/A,TRUE,"Serviços"}</definedName>
    <definedName name="DAER1" localSheetId="21">{#N/A,#N/A,TRUE,"Serviços"}</definedName>
    <definedName name="DAER1" localSheetId="2" hidden="1">{#N/A,#N/A,TRUE,"Serviços"}</definedName>
    <definedName name="DAER1" hidden="1">{#N/A,#N/A,TRUE,"Serviços"}</definedName>
    <definedName name="DAER1_1" localSheetId="20">{#N/A,#N/A,TRUE,"Serviços"}</definedName>
    <definedName name="DAER1_1" localSheetId="21">{#N/A,#N/A,TRUE,"Serviços"}</definedName>
    <definedName name="DAER1_1">{#N/A,#N/A,TRUE,"Serviços"}</definedName>
    <definedName name="DAER11" localSheetId="20" hidden="1">{#N/A,#N/A,TRUE,"Serviços"}</definedName>
    <definedName name="DAER11" localSheetId="2" hidden="1">{#N/A,#N/A,TRUE,"Serviços"}</definedName>
    <definedName name="DAER11" hidden="1">{#N/A,#N/A,TRUE,"Serviços"}</definedName>
    <definedName name="daf" localSheetId="20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IKOLXHXC" hidden="1">#REF!</definedName>
    <definedName name="danil">#REF!</definedName>
    <definedName name="DAR">#REF!</definedName>
    <definedName name="das" localSheetId="20" hidden="1">{#N/A,#N/A,FALSE,"ET-CAPA";#N/A,#N/A,FALSE,"ET-PAG1";#N/A,#N/A,FALSE,"ET-PAG2";#N/A,#N/A,FALSE,"ET-PAG3";#N/A,#N/A,FALSE,"ET-PAG4";#N/A,#N/A,FALSE,"ET-PAG5"}</definedName>
    <definedName name="das" hidden="1">{#N/A,#N/A,FALSE,"ET-CAPA";#N/A,#N/A,FALSE,"ET-PAG1";#N/A,#N/A,FALSE,"ET-PAG2";#N/A,#N/A,FALSE,"ET-PAG3";#N/A,#N/A,FALSE,"ET-PAG4";#N/A,#N/A,FALSE,"ET-PAG5"}</definedName>
    <definedName name="das_1" localSheetId="20" hidden="1">{"real",#N/A,FALSE,"TOTAL";"REAL",#N/A,FALSE,"760";"REAL",#N/A,FALSE,"761"}</definedName>
    <definedName name="das_1" hidden="1">{"real",#N/A,FALSE,"TOTAL";"REAL",#N/A,FALSE,"760";"REAL",#N/A,FALSE,"761"}</definedName>
    <definedName name="das_1_1" localSheetId="20" hidden="1">{"real",#N/A,FALSE,"TOTAL";"REAL",#N/A,FALSE,"760";"REAL",#N/A,FALSE,"761"}</definedName>
    <definedName name="das_1_1" hidden="1">{"real",#N/A,FALSE,"TOTAL";"REAL",#N/A,FALSE,"760";"REAL",#N/A,FALSE,"761"}</definedName>
    <definedName name="das_1_1_1" localSheetId="20" hidden="1">{"real",#N/A,FALSE,"TOTAL";"REAL",#N/A,FALSE,"760";"REAL",#N/A,FALSE,"761"}</definedName>
    <definedName name="das_1_1_1" hidden="1">{"real",#N/A,FALSE,"TOTAL";"REAL",#N/A,FALSE,"760";"REAL",#N/A,FALSE,"761"}</definedName>
    <definedName name="das_1_2" localSheetId="20" hidden="1">{"real",#N/A,FALSE,"TOTAL";"REAL",#N/A,FALSE,"760";"REAL",#N/A,FALSE,"761"}</definedName>
    <definedName name="das_1_2" hidden="1">{"real",#N/A,FALSE,"TOTAL";"REAL",#N/A,FALSE,"760";"REAL",#N/A,FALSE,"761"}</definedName>
    <definedName name="das_2" localSheetId="20" hidden="1">{"real",#N/A,FALSE,"TOTAL";"REAL",#N/A,FALSE,"760";"REAL",#N/A,FALSE,"761"}</definedName>
    <definedName name="das_2" hidden="1">{"real",#N/A,FALSE,"TOTAL";"REAL",#N/A,FALSE,"760";"REAL",#N/A,FALSE,"761"}</definedName>
    <definedName name="dasd">#REF!</definedName>
    <definedName name="DASDASD">#REF!</definedName>
    <definedName name="DATA" localSheetId="21">#REF!</definedName>
    <definedName name="DATA">[111]IDENTIFICAÇÃO!$D$13</definedName>
    <definedName name="DATA_01" hidden="1">#REF!</definedName>
    <definedName name="DATA_02" hidden="1">#REF!</definedName>
    <definedName name="DATA_03" hidden="1">#REF!</definedName>
    <definedName name="DATA_04" hidden="1">#REF!</definedName>
    <definedName name="DATA_05" hidden="1">#REF!</definedName>
    <definedName name="DATA_06" hidden="1">#REF!</definedName>
    <definedName name="DATA_07" hidden="1">#REF!</definedName>
    <definedName name="DATA_08" hidden="1">#REF!</definedName>
    <definedName name="DATA_09" hidden="1">#REF!</definedName>
    <definedName name="DATA_1">#REF!</definedName>
    <definedName name="DATA_14" localSheetId="21">#REF!</definedName>
    <definedName name="DATA_14">#REF!</definedName>
    <definedName name="DATA_7">#REF!</definedName>
    <definedName name="DATA_7_1">#REF!</definedName>
    <definedName name="DATA_7_14" localSheetId="21">#REF!</definedName>
    <definedName name="DATA_7_14">#REF!</definedName>
    <definedName name="Data_base">'[112]Dados da Obra'!$B$7</definedName>
    <definedName name="Data_Final">#REF!</definedName>
    <definedName name="Data_Final_11">#REF!</definedName>
    <definedName name="Data_Final_12">#REF!</definedName>
    <definedName name="Data_Final_13">#REF!</definedName>
    <definedName name="Data_Final_15">#REF!</definedName>
    <definedName name="Data_Final_2">#REF!</definedName>
    <definedName name="Data_Final_4">#REF!</definedName>
    <definedName name="Data_Final_5">#REF!</definedName>
    <definedName name="Data_Final_6">#REF!</definedName>
    <definedName name="Data_Final_7">#REF!</definedName>
    <definedName name="Data_Final_8">#REF!</definedName>
    <definedName name="Data_Final_9">#REF!</definedName>
    <definedName name="Data_Finall">#REF!</definedName>
    <definedName name="Data_Início">#REF!</definedName>
    <definedName name="Data_Início_11">#REF!</definedName>
    <definedName name="Data_Início_12">#REF!</definedName>
    <definedName name="Data_Início_13">#REF!</definedName>
    <definedName name="Data_Início_15">#REF!</definedName>
    <definedName name="Data_Início_2">#REF!</definedName>
    <definedName name="Data_Início_4">#REF!</definedName>
    <definedName name="Data_Início_5">#REF!</definedName>
    <definedName name="Data_Início_6">#REF!</definedName>
    <definedName name="Data_Início_7">#REF!</definedName>
    <definedName name="Data_Início_8">#REF!</definedName>
    <definedName name="Data_Início_9">#REF!</definedName>
    <definedName name="Data_Inícioo">#REF!</definedName>
    <definedName name="DATA_LICITACAO">[111]IDENTIFICAÇÃO!$D$15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V" localSheetId="20">' 6.0 - Empréstimos '!daV</definedName>
    <definedName name="daV" localSheetId="21">#REF!</definedName>
    <definedName name="daV">'[40]CROQUIS DE DIST.'!daV</definedName>
    <definedName name="david" localSheetId="20" hidden="1">{"'gráf jan00'!$A$1:$AK$41"}</definedName>
    <definedName name="david" hidden="1">{"'gráf jan00'!$A$1:$AK$41"}</definedName>
    <definedName name="david_1" localSheetId="20" hidden="1">{"'gráf jan00'!$A$1:$AK$41"}</definedName>
    <definedName name="david_1" hidden="1">{"'gráf jan00'!$A$1:$AK$41"}</definedName>
    <definedName name="david_1_1" localSheetId="20" hidden="1">{"'gráf jan00'!$A$1:$AK$41"}</definedName>
    <definedName name="david_1_1" hidden="1">{"'gráf jan00'!$A$1:$AK$41"}</definedName>
    <definedName name="david_1_1_1" localSheetId="20" hidden="1">{"'gráf jan00'!$A$1:$AK$41"}</definedName>
    <definedName name="david_1_1_1" hidden="1">{"'gráf jan00'!$A$1:$AK$41"}</definedName>
    <definedName name="david_1_2" localSheetId="20" hidden="1">{"'gráf jan00'!$A$1:$AK$41"}</definedName>
    <definedName name="david_1_2" hidden="1">{"'gráf jan00'!$A$1:$AK$41"}</definedName>
    <definedName name="david_2" localSheetId="20" hidden="1">{"'gráf jan00'!$A$1:$AK$41"}</definedName>
    <definedName name="david_2" hidden="1">{"'gráf jan00'!$A$1:$AK$41"}</definedName>
    <definedName name="david1" localSheetId="20" hidden="1">{"'gráf jan00'!$A$1:$AK$41"}</definedName>
    <definedName name="david1" hidden="1">{"'gráf jan00'!$A$1:$AK$41"}</definedName>
    <definedName name="david1_1" localSheetId="20" hidden="1">{"'gráf jan00'!$A$1:$AK$41"}</definedName>
    <definedName name="david1_1" hidden="1">{"'gráf jan00'!$A$1:$AK$41"}</definedName>
    <definedName name="david1_1_1" localSheetId="20" hidden="1">{"'gráf jan00'!$A$1:$AK$41"}</definedName>
    <definedName name="david1_1_1" hidden="1">{"'gráf jan00'!$A$1:$AK$41"}</definedName>
    <definedName name="david1_1_1_1" localSheetId="20" hidden="1">{"'gráf jan00'!$A$1:$AK$41"}</definedName>
    <definedName name="david1_1_1_1" hidden="1">{"'gráf jan00'!$A$1:$AK$41"}</definedName>
    <definedName name="david1_1_2" localSheetId="20" hidden="1">{"'gráf jan00'!$A$1:$AK$41"}</definedName>
    <definedName name="david1_1_2" hidden="1">{"'gráf jan00'!$A$1:$AK$41"}</definedName>
    <definedName name="david1_2" localSheetId="20" hidden="1">{"'gráf jan00'!$A$1:$AK$41"}</definedName>
    <definedName name="david1_2" hidden="1">{"'gráf jan00'!$A$1:$AK$41"}</definedName>
    <definedName name="daVIDSON" localSheetId="20">' 6.0 - Empréstimos '!daVIDSON</definedName>
    <definedName name="daVIDSON" localSheetId="21">#REF!</definedName>
    <definedName name="daVIDSON">'[40]CROQUIS DE DIST.'!daVIDSON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DCEDSDFV" localSheetId="20" hidden="1">{"'REL CUSTODIF'!$B$1:$H$72"}</definedName>
    <definedName name="dcDCEDSDFV" hidden="1">{"'REL CUSTODIF'!$B$1:$H$72"}</definedName>
    <definedName name="dd" localSheetId="21">#REF!</definedName>
    <definedName name="dd">#REF!</definedName>
    <definedName name="dd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localSheetId="21">#REF!</definedName>
    <definedName name="ddd">'[113]Quantidades e Preços - Lote 01'!$H$6</definedName>
    <definedName name="DDD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" localSheetId="21">#N/A</definedName>
    <definedName name="DDDD">#N/A</definedName>
    <definedName name="dddd_1" localSheetId="20" hidden="1">{#N/A,#N/A,FALSE,"PCOL"}</definedName>
    <definedName name="dddd_1" hidden="1">{#N/A,#N/A,FALSE,"PCOL"}</definedName>
    <definedName name="dddd_1_1" localSheetId="20" hidden="1">{#N/A,#N/A,FALSE,"PCOL"}</definedName>
    <definedName name="dddd_1_1" hidden="1">{#N/A,#N/A,FALSE,"PCOL"}</definedName>
    <definedName name="dddd_1_1_1" localSheetId="20" hidden="1">{#N/A,#N/A,FALSE,"PCOL"}</definedName>
    <definedName name="dddd_1_1_1" hidden="1">{#N/A,#N/A,FALSE,"PCOL"}</definedName>
    <definedName name="dddd_1_2" localSheetId="20" hidden="1">{#N/A,#N/A,FALSE,"PCOL"}</definedName>
    <definedName name="dddd_1_2" hidden="1">{#N/A,#N/A,FALSE,"PCOL"}</definedName>
    <definedName name="dddd_2" localSheetId="20" hidden="1">{#N/A,#N/A,FALSE,"PCOL"}</definedName>
    <definedName name="dddd_2" hidden="1">{#N/A,#N/A,FALSE,"PCOL"}</definedName>
    <definedName name="ddddd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" localSheetId="21">#REF!</definedName>
    <definedName name="DDDDD" localSheetId="0">[114]!PassaExtenso</definedName>
    <definedName name="DDDDD" localSheetId="30">[114]!PassaExtenso</definedName>
    <definedName name="DDDDD">[114]!PassaExtenso</definedName>
    <definedName name="ddddd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">#N/A</definedName>
    <definedName name="dddddddd" localSheetId="20" hidden="1">{"CAPA",#N/A,FALSE,"CAPA"}</definedName>
    <definedName name="dddddddd" hidden="1">{"CAPA",#N/A,FALSE,"CAPA"}</definedName>
    <definedName name="dddddddd_1" localSheetId="20" hidden="1">{"CAPA",#N/A,FALSE,"CAPA"}</definedName>
    <definedName name="dddddddd_1" hidden="1">{"CAPA",#N/A,FALSE,"CAPA"}</definedName>
    <definedName name="dddddddd_1_1" localSheetId="20" hidden="1">{"CAPA",#N/A,FALSE,"CAPA"}</definedName>
    <definedName name="dddddddd_1_1" hidden="1">{"CAPA",#N/A,FALSE,"CAPA"}</definedName>
    <definedName name="dddddddd_1_1_1" localSheetId="20" hidden="1">{"CAPA",#N/A,FALSE,"CAPA"}</definedName>
    <definedName name="dddddddd_1_1_1" hidden="1">{"CAPA",#N/A,FALSE,"CAPA"}</definedName>
    <definedName name="dddddddd_1_2" localSheetId="20" hidden="1">{"CAPA",#N/A,FALSE,"CAPA"}</definedName>
    <definedName name="dddddddd_1_2" hidden="1">{"CAPA",#N/A,FALSE,"CAPA"}</definedName>
    <definedName name="dddddddd_2" localSheetId="20" hidden="1">{"CAPA",#N/A,FALSE,"CAPA"}</definedName>
    <definedName name="dddddddd_2" hidden="1">{"CAPA",#N/A,FALSE,"CAPA"}</definedName>
    <definedName name="dddddddddd">#N/A</definedName>
    <definedName name="ddddddddddd">[34]!ddddddddddd</definedName>
    <definedName name="dddddddddddd" localSheetId="20" hidden="1">{"'gráf jan00'!$A$1:$AK$41"}</definedName>
    <definedName name="dddddddddddd" hidden="1">{"'gráf jan00'!$A$1:$AK$41"}</definedName>
    <definedName name="dddddddddddd_1" localSheetId="20" hidden="1">{"'gráf jan00'!$A$1:$AK$41"}</definedName>
    <definedName name="dddddddddddd_1" hidden="1">{"'gráf jan00'!$A$1:$AK$41"}</definedName>
    <definedName name="dddddddddddd_1_1" localSheetId="20" hidden="1">{"'gráf jan00'!$A$1:$AK$41"}</definedName>
    <definedName name="dddddddddddd_1_1" hidden="1">{"'gráf jan00'!$A$1:$AK$41"}</definedName>
    <definedName name="dddddddddddd_1_1_1" localSheetId="20" hidden="1">{"'gráf jan00'!$A$1:$AK$41"}</definedName>
    <definedName name="dddddddddddd_1_1_1" hidden="1">{"'gráf jan00'!$A$1:$AK$41"}</definedName>
    <definedName name="dddddddddddd_1_2" localSheetId="20" hidden="1">{"'gráf jan00'!$A$1:$AK$41"}</definedName>
    <definedName name="dddddddddddd_1_2" hidden="1">{"'gráf jan00'!$A$1:$AK$41"}</definedName>
    <definedName name="dddddddddddd_2" localSheetId="20" hidden="1">{"'gráf jan00'!$A$1:$AK$41"}</definedName>
    <definedName name="dddddddddddd_2" hidden="1">{"'gráf jan00'!$A$1:$AK$41"}</definedName>
    <definedName name="DDDDDDDDDDDDDDDDD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f">#N/A</definedName>
    <definedName name="DDEEERE" localSheetId="20" hidden="1">{"'gráf jan00'!$A$1:$AK$41"}</definedName>
    <definedName name="DDEEERE" hidden="1">{"'gráf jan00'!$A$1:$AK$41"}</definedName>
    <definedName name="DDEEERE_1" localSheetId="20" hidden="1">{"'gráf jan00'!$A$1:$AK$41"}</definedName>
    <definedName name="DDEEERE_1" hidden="1">{"'gráf jan00'!$A$1:$AK$41"}</definedName>
    <definedName name="DDEEERE_1_1" localSheetId="20" hidden="1">{"'gráf jan00'!$A$1:$AK$41"}</definedName>
    <definedName name="DDEEERE_1_1" hidden="1">{"'gráf jan00'!$A$1:$AK$41"}</definedName>
    <definedName name="DDEEERE_1_1_1" localSheetId="20" hidden="1">{"'gráf jan00'!$A$1:$AK$41"}</definedName>
    <definedName name="DDEEERE_1_1_1" hidden="1">{"'gráf jan00'!$A$1:$AK$41"}</definedName>
    <definedName name="DDEEERE_1_2" localSheetId="20" hidden="1">{"'gráf jan00'!$A$1:$AK$41"}</definedName>
    <definedName name="DDEEERE_1_2" hidden="1">{"'gráf jan00'!$A$1:$AK$41"}</definedName>
    <definedName name="DDEEERE_2" localSheetId="20" hidden="1">{"'gráf jan00'!$A$1:$AK$41"}</definedName>
    <definedName name="DDEEERE_2" hidden="1">{"'gráf jan00'!$A$1:$AK$41"}</definedName>
    <definedName name="ddere" localSheetId="20" hidden="1">{#N/A,#N/A,FALSE,"MO (2)"}</definedName>
    <definedName name="ddere" hidden="1">{#N/A,#N/A,FALSE,"MO (2)"}</definedName>
    <definedName name="ddff">#N/A</definedName>
    <definedName name="ddfghj" localSheetId="20" hidden="1">{"'CptDifn'!$AA$32:$AG$32"}</definedName>
    <definedName name="ddfghj" hidden="1">{"'CptDifn'!$AA$32:$AG$32"}</definedName>
    <definedName name="ddfghj_1" localSheetId="20" hidden="1">{"'CptDifn'!$AA$32:$AG$32"}</definedName>
    <definedName name="ddfghj_1" hidden="1">{"'CptDifn'!$AA$32:$AG$32"}</definedName>
    <definedName name="ddfghj_1_1" localSheetId="20" hidden="1">{"'CptDifn'!$AA$32:$AG$32"}</definedName>
    <definedName name="ddfghj_1_1" hidden="1">{"'CptDifn'!$AA$32:$AG$32"}</definedName>
    <definedName name="ddfghj_1_1_1" localSheetId="20" hidden="1">{"'CptDifn'!$AA$32:$AG$32"}</definedName>
    <definedName name="ddfghj_1_1_1" hidden="1">{"'CptDifn'!$AA$32:$AG$32"}</definedName>
    <definedName name="ddfghj_1_2" localSheetId="20" hidden="1">{"'CptDifn'!$AA$32:$AG$32"}</definedName>
    <definedName name="ddfghj_1_2" hidden="1">{"'CptDifn'!$AA$32:$AG$32"}</definedName>
    <definedName name="ddfghj_2" localSheetId="20" hidden="1">{"'CptDifn'!$AA$32:$AG$32"}</definedName>
    <definedName name="ddfghj_2" hidden="1">{"'CptDifn'!$AA$32:$AG$32"}</definedName>
    <definedName name="DE_km">'[41]Fresagem de Pista Ago-98'!#REF!</definedName>
    <definedName name="DEAM" localSheetId="20" hidden="1">{"'CptDifn'!$AA$32:$AG$32"}</definedName>
    <definedName name="DEAM" hidden="1">{"'CptDifn'!$AA$32:$AG$32"}</definedName>
    <definedName name="DEAM_1" localSheetId="20" hidden="1">{"'CptDifn'!$AA$32:$AG$32"}</definedName>
    <definedName name="DEAM_1" hidden="1">{"'CptDifn'!$AA$32:$AG$32"}</definedName>
    <definedName name="DEAM_1_1" localSheetId="20" hidden="1">{"'CptDifn'!$AA$32:$AG$32"}</definedName>
    <definedName name="DEAM_1_1" hidden="1">{"'CptDifn'!$AA$32:$AG$32"}</definedName>
    <definedName name="DEAM_1_1_1" localSheetId="20" hidden="1">{"'CptDifn'!$AA$32:$AG$32"}</definedName>
    <definedName name="DEAM_1_1_1" hidden="1">{"'CptDifn'!$AA$32:$AG$32"}</definedName>
    <definedName name="DEAM_1_2" localSheetId="20" hidden="1">{"'CptDifn'!$AA$32:$AG$32"}</definedName>
    <definedName name="DEAM_1_2" hidden="1">{"'CptDifn'!$AA$32:$AG$32"}</definedName>
    <definedName name="DEAM_2" localSheetId="20" hidden="1">{"'CptDifn'!$AA$32:$AG$32"}</definedName>
    <definedName name="DEAM_2" hidden="1">{"'CptDifn'!$AA$32:$AG$32"}</definedName>
    <definedName name="DEAS" localSheetId="20" hidden="1">{"'CptDifn'!$AA$32:$AG$32"}</definedName>
    <definedName name="DEAS" hidden="1">{"'CptDifn'!$AA$32:$AG$32"}</definedName>
    <definedName name="DEAS_1" localSheetId="20" hidden="1">{"'CptDifn'!$AA$32:$AG$32"}</definedName>
    <definedName name="DEAS_1" hidden="1">{"'CptDifn'!$AA$32:$AG$32"}</definedName>
    <definedName name="DEAS_1_1" localSheetId="20" hidden="1">{"'CptDifn'!$AA$32:$AG$32"}</definedName>
    <definedName name="DEAS_1_1" hidden="1">{"'CptDifn'!$AA$32:$AG$32"}</definedName>
    <definedName name="DEAS_1_1_1" localSheetId="20" hidden="1">{"'CptDifn'!$AA$32:$AG$32"}</definedName>
    <definedName name="DEAS_1_1_1" hidden="1">{"'CptDifn'!$AA$32:$AG$32"}</definedName>
    <definedName name="DEAS_1_2" localSheetId="20" hidden="1">{"'CptDifn'!$AA$32:$AG$32"}</definedName>
    <definedName name="DEAS_1_2" hidden="1">{"'CptDifn'!$AA$32:$AG$32"}</definedName>
    <definedName name="DEAS_2" localSheetId="20" hidden="1">{"'CptDifn'!$AA$32:$AG$32"}</definedName>
    <definedName name="DEAS_2" hidden="1">{"'CptDifn'!$AA$32:$AG$32"}</definedName>
    <definedName name="deb" hidden="1">#REF!</definedName>
    <definedName name="DECG" localSheetId="20" hidden="1">{"'CptDifn'!$AA$32:$AG$32"}</definedName>
    <definedName name="DECG" hidden="1">{"'CptDifn'!$AA$32:$AG$32"}</definedName>
    <definedName name="DECG_1" localSheetId="20" hidden="1">{"'CptDifn'!$AA$32:$AG$32"}</definedName>
    <definedName name="DECG_1" hidden="1">{"'CptDifn'!$AA$32:$AG$32"}</definedName>
    <definedName name="DECG_1_1" localSheetId="20" hidden="1">{"'CptDifn'!$AA$32:$AG$32"}</definedName>
    <definedName name="DECG_1_1" hidden="1">{"'CptDifn'!$AA$32:$AG$32"}</definedName>
    <definedName name="DECG_1_1_1" localSheetId="20" hidden="1">{"'CptDifn'!$AA$32:$AG$32"}</definedName>
    <definedName name="DECG_1_1_1" hidden="1">{"'CptDifn'!$AA$32:$AG$32"}</definedName>
    <definedName name="DECG_1_2" localSheetId="20" hidden="1">{"'CptDifn'!$AA$32:$AG$32"}</definedName>
    <definedName name="DECG_1_2" hidden="1">{"'CptDifn'!$AA$32:$AG$32"}</definedName>
    <definedName name="DECG_2" localSheetId="20" hidden="1">{"'CptDifn'!$AA$32:$AG$32"}</definedName>
    <definedName name="DECG_2" hidden="1">{"'CptDifn'!$AA$32:$AG$32"}</definedName>
    <definedName name="DECG1" localSheetId="20" hidden="1">{"'CptDifn'!$AA$32:$AG$32"}</definedName>
    <definedName name="DECG1" hidden="1">{"'CptDifn'!$AA$32:$AG$32"}</definedName>
    <definedName name="DECG1_1" localSheetId="20" hidden="1">{"'CptDifn'!$AA$32:$AG$32"}</definedName>
    <definedName name="DECG1_1" hidden="1">{"'CptDifn'!$AA$32:$AG$32"}</definedName>
    <definedName name="DECG1_1_1" localSheetId="20" hidden="1">{"'CptDifn'!$AA$32:$AG$32"}</definedName>
    <definedName name="DECG1_1_1" hidden="1">{"'CptDifn'!$AA$32:$AG$32"}</definedName>
    <definedName name="DECG1_1_1_1" localSheetId="20" hidden="1">{"'CptDifn'!$AA$32:$AG$32"}</definedName>
    <definedName name="DECG1_1_1_1" hidden="1">{"'CptDifn'!$AA$32:$AG$32"}</definedName>
    <definedName name="DECG1_1_2" localSheetId="20" hidden="1">{"'CptDifn'!$AA$32:$AG$32"}</definedName>
    <definedName name="DECG1_1_2" hidden="1">{"'CptDifn'!$AA$32:$AG$32"}</definedName>
    <definedName name="DECG1_2" localSheetId="20" hidden="1">{"'CptDifn'!$AA$32:$AG$32"}</definedName>
    <definedName name="DECG1_2" hidden="1">{"'CptDifn'!$AA$32:$AG$32"}</definedName>
    <definedName name="Decl" localSheetId="21">NA()</definedName>
    <definedName name="Decl">NA()</definedName>
    <definedName name="deeee">[4]COMPOS1!#REF!</definedName>
    <definedName name="def" hidden="1">#REF!</definedName>
    <definedName name="defensa">#N/A</definedName>
    <definedName name="defensas" hidden="1">#REF!</definedName>
    <definedName name="defwe" localSheetId="20" hidden="1">{"'Quadro'!$A$4:$BG$78"}</definedName>
    <definedName name="defwe" hidden="1">{"'Quadro'!$A$4:$BG$78"}</definedName>
    <definedName name="defwe_1" localSheetId="20" hidden="1">{"'Quadro'!$A$4:$BG$78"}</definedName>
    <definedName name="defwe_1" hidden="1">{"'Quadro'!$A$4:$BG$78"}</definedName>
    <definedName name="defwe_1_1" localSheetId="20" hidden="1">{"'Quadro'!$A$4:$BG$78"}</definedName>
    <definedName name="defwe_1_1" hidden="1">{"'Quadro'!$A$4:$BG$78"}</definedName>
    <definedName name="defwe_1_1_1" localSheetId="20" hidden="1">{"'Quadro'!$A$4:$BG$78"}</definedName>
    <definedName name="defwe_1_1_1" hidden="1">{"'Quadro'!$A$4:$BG$78"}</definedName>
    <definedName name="defwe_1_2" localSheetId="20" hidden="1">{"'Quadro'!$A$4:$BG$78"}</definedName>
    <definedName name="defwe_1_2" hidden="1">{"'Quadro'!$A$4:$BG$78"}</definedName>
    <definedName name="defwe_2" localSheetId="20" hidden="1">{"'Quadro'!$A$4:$BG$78"}</definedName>
    <definedName name="defwe_2" hidden="1">{"'Quadro'!$A$4:$BG$78"}</definedName>
    <definedName name="deg" localSheetId="20" hidden="1">{"'CptDifn'!$AA$32:$AG$32"}</definedName>
    <definedName name="deg" hidden="1">{"'CptDifn'!$AA$32:$AG$32"}</definedName>
    <definedName name="deg_1" localSheetId="20" hidden="1">{"'CptDifn'!$AA$32:$AG$32"}</definedName>
    <definedName name="deg_1" hidden="1">{"'CptDifn'!$AA$32:$AG$32"}</definedName>
    <definedName name="deg_1_1" localSheetId="20" hidden="1">{"'CptDifn'!$AA$32:$AG$32"}</definedName>
    <definedName name="deg_1_1" hidden="1">{"'CptDifn'!$AA$32:$AG$32"}</definedName>
    <definedName name="deg_1_1_1" localSheetId="20" hidden="1">{"'CptDifn'!$AA$32:$AG$32"}</definedName>
    <definedName name="deg_1_1_1" hidden="1">{"'CptDifn'!$AA$32:$AG$32"}</definedName>
    <definedName name="deg_1_2" localSheetId="20" hidden="1">{"'CptDifn'!$AA$32:$AG$32"}</definedName>
    <definedName name="deg_1_2" hidden="1">{"'CptDifn'!$AA$32:$AG$32"}</definedName>
    <definedName name="deg_2" localSheetId="20" hidden="1">{"'CptDifn'!$AA$32:$AG$32"}</definedName>
    <definedName name="deg_2" hidden="1">{"'CptDifn'!$AA$32:$AG$32"}</definedName>
    <definedName name="DEGL" localSheetId="20" hidden="1">{"'CptDifn'!$AA$32:$AG$32"}</definedName>
    <definedName name="DEGL" hidden="1">{"'CptDifn'!$AA$32:$AG$32"}</definedName>
    <definedName name="DEGL_1" localSheetId="20" hidden="1">{"'CptDifn'!$AA$32:$AG$32"}</definedName>
    <definedName name="DEGL_1" hidden="1">{"'CptDifn'!$AA$32:$AG$32"}</definedName>
    <definedName name="DEGL_1_1" localSheetId="20" hidden="1">{"'CptDifn'!$AA$32:$AG$32"}</definedName>
    <definedName name="DEGL_1_1" hidden="1">{"'CptDifn'!$AA$32:$AG$32"}</definedName>
    <definedName name="DEGL_1_1_1" localSheetId="20" hidden="1">{"'CptDifn'!$AA$32:$AG$32"}</definedName>
    <definedName name="DEGL_1_1_1" hidden="1">{"'CptDifn'!$AA$32:$AG$32"}</definedName>
    <definedName name="DEGL_1_2" localSheetId="20" hidden="1">{"'CptDifn'!$AA$32:$AG$32"}</definedName>
    <definedName name="DEGL_1_2" hidden="1">{"'CptDifn'!$AA$32:$AG$32"}</definedName>
    <definedName name="DEGL_2" localSheetId="20" hidden="1">{"'CptDifn'!$AA$32:$AG$32"}</definedName>
    <definedName name="DEGL_2" hidden="1">{"'CptDifn'!$AA$32:$AG$32"}</definedName>
    <definedName name="deinfra072005">"$#REF!.$A$32:$O$1004"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">"$#REF!.$B$7:$C$2056"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letar" hidden="1">#REF!</definedName>
    <definedName name="delet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mais" localSheetId="20" hidden="1">{"'CptDifn'!$AA$32:$AG$32"}</definedName>
    <definedName name="Demais" hidden="1">{"'CptDifn'!$AA$32:$AG$32"}</definedName>
    <definedName name="Demais_1" localSheetId="20" hidden="1">{"'CptDifn'!$AA$32:$AG$32"}</definedName>
    <definedName name="Demais_1" hidden="1">{"'CptDifn'!$AA$32:$AG$32"}</definedName>
    <definedName name="Demais_1_1" localSheetId="20" hidden="1">{"'CptDifn'!$AA$32:$AG$32"}</definedName>
    <definedName name="Demais_1_1" hidden="1">{"'CptDifn'!$AA$32:$AG$32"}</definedName>
    <definedName name="Demais_1_1_1" localSheetId="20" hidden="1">{"'CptDifn'!$AA$32:$AG$32"}</definedName>
    <definedName name="Demais_1_1_1" hidden="1">{"'CptDifn'!$AA$32:$AG$32"}</definedName>
    <definedName name="Demais_1_2" localSheetId="20" hidden="1">{"'CptDifn'!$AA$32:$AG$32"}</definedName>
    <definedName name="Demais_1_2" hidden="1">{"'CptDifn'!$AA$32:$AG$32"}</definedName>
    <definedName name="Demais_2" localSheetId="20" hidden="1">{"'CptDifn'!$AA$32:$AG$32"}</definedName>
    <definedName name="Demais_2" hidden="1">{"'CptDifn'!$AA$32:$AG$32"}</definedName>
    <definedName name="Demol" localSheetId="0">[115]!PassaExtenso</definedName>
    <definedName name="Demol" localSheetId="30">[115]!PassaExtenso</definedName>
    <definedName name="Demol">[115]!PassaExtenso</definedName>
    <definedName name="DEMOLIÇÃO">[64]PROJETO!#REF!</definedName>
    <definedName name="DEMONSTRATIVO_DO_RESULTADO_GERENCIAL___DGR">#REF!</definedName>
    <definedName name="dens.asfalto" localSheetId="20">' 6.0 - Empréstimos '!dens.asfalto</definedName>
    <definedName name="dens.asfalto">[0]!dens.asfalto</definedName>
    <definedName name="dens.pó" localSheetId="20">' 6.0 - Empréstimos '!dens.pó</definedName>
    <definedName name="dens.pó">[0]!dens.pó</definedName>
    <definedName name="densidade001" localSheetId="20">' 6.0 - Empréstimos '!densidade001</definedName>
    <definedName name="densidade001">[0]!densidade001</definedName>
    <definedName name="Densidades">#REF!</definedName>
    <definedName name="Densidades_11">#REF!</definedName>
    <definedName name="Densidades_15">#REF!</definedName>
    <definedName name="depreciaciones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QUIP">#REF!</definedName>
    <definedName name="DEQUIP_1">#REF!</definedName>
    <definedName name="deqwrfqe" localSheetId="20" hidden="1">{"'REL CUSTODIF'!$B$1:$H$72"}</definedName>
    <definedName name="deqwrfqe" hidden="1">{"'REL CUSTODIF'!$B$1:$H$72"}</definedName>
    <definedName name="DER">'[99]TPU-MARÇO_2002'!$E$2:$E$1965</definedName>
    <definedName name="DERF" localSheetId="2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sagio">#REF!</definedName>
    <definedName name="desagio_8">#REF!</definedName>
    <definedName name="desagio_9" localSheetId="21">#REF!</definedName>
    <definedName name="desagio_9">#REF!</definedName>
    <definedName name="DescAux" hidden="1">#N/A</definedName>
    <definedName name="DESCONTÍNUO_3_AN">#REF!</definedName>
    <definedName name="DESCONTÍNUO_3_AT">#REF!</definedName>
    <definedName name="DESCONTÍNUO_7_AN">#REF!</definedName>
    <definedName name="DESCONTÍNUO_7_AT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OR" localSheetId="20" hidden="1">{"'gráf jan00'!$A$1:$AK$41"}</definedName>
    <definedName name="DESCOR" hidden="1">{"'gráf jan00'!$A$1:$AK$41"}</definedName>
    <definedName name="DESCOR_1" localSheetId="20" hidden="1">{"'gráf jan00'!$A$1:$AK$41"}</definedName>
    <definedName name="DESCOR_1" hidden="1">{"'gráf jan00'!$A$1:$AK$41"}</definedName>
    <definedName name="DESCOR_1_1" localSheetId="20" hidden="1">{"'gráf jan00'!$A$1:$AK$41"}</definedName>
    <definedName name="DESCOR_1_1" hidden="1">{"'gráf jan00'!$A$1:$AK$41"}</definedName>
    <definedName name="DESCOR_1_1_1" localSheetId="20" hidden="1">{"'gráf jan00'!$A$1:$AK$41"}</definedName>
    <definedName name="DESCOR_1_1_1" hidden="1">{"'gráf jan00'!$A$1:$AK$41"}</definedName>
    <definedName name="DESCOR_1_2" localSheetId="20" hidden="1">{"'gráf jan00'!$A$1:$AK$41"}</definedName>
    <definedName name="DESCOR_1_2" hidden="1">{"'gráf jan00'!$A$1:$AK$41"}</definedName>
    <definedName name="DESCOR_2" localSheetId="20" hidden="1">{"'gráf jan00'!$A$1:$AK$41"}</definedName>
    <definedName name="DESCOR_2" hidden="1">{"'gráf jan00'!$A$1:$AK$41"}</definedName>
    <definedName name="DESCR_COMPL">#REF!="S"</definedName>
    <definedName name="descricao">#REF!</definedName>
    <definedName name="DESCRIÇÃO">#REF!</definedName>
    <definedName name="descricao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são" localSheetId="20" hidden="1">{"'gráf jan00'!$A$1:$AK$41"}</definedName>
    <definedName name="descrisão" hidden="1">{"'gráf jan00'!$A$1:$AK$41"}</definedName>
    <definedName name="descrisão_1" localSheetId="20" hidden="1">{"'gráf jan00'!$A$1:$AK$41"}</definedName>
    <definedName name="descrisão_1" hidden="1">{"'gráf jan00'!$A$1:$AK$41"}</definedName>
    <definedName name="descrisão_1_1" localSheetId="20" hidden="1">{"'gráf jan00'!$A$1:$AK$41"}</definedName>
    <definedName name="descrisão_1_1" hidden="1">{"'gráf jan00'!$A$1:$AK$41"}</definedName>
    <definedName name="descrisão_1_1_1" localSheetId="20" hidden="1">{"'gráf jan00'!$A$1:$AK$41"}</definedName>
    <definedName name="descrisão_1_1_1" hidden="1">{"'gráf jan00'!$A$1:$AK$41"}</definedName>
    <definedName name="descrisão_1_2" localSheetId="20" hidden="1">{"'gráf jan00'!$A$1:$AK$41"}</definedName>
    <definedName name="descrisão_1_2" hidden="1">{"'gráf jan00'!$A$1:$AK$41"}</definedName>
    <definedName name="descrisão_2" localSheetId="20" hidden="1">{"'gráf jan00'!$A$1:$AK$41"}</definedName>
    <definedName name="descrisão_2" hidden="1">{"'gráf jan00'!$A$1:$AK$41"}</definedName>
    <definedName name="DesfazerLimpar">#N/A</definedName>
    <definedName name="DESM">[15]DADOS!$C$22</definedName>
    <definedName name="Desmatamento">#REF!</definedName>
    <definedName name="DESNIVEL" localSheetId="20" hidden="1">{#N/A,#N/A,FALSE,"RESUMO-BB1";#N/A,#N/A,FALSE,"MOD-A01-R - BB1";#N/A,#N/A,FALSE,"URB-BB1"}</definedName>
    <definedName name="DESNIVEL" hidden="1">{#N/A,#N/A,FALSE,"RESUMO-BB1";#N/A,#N/A,FALSE,"MOD-A01-R - BB1";#N/A,#N/A,FALSE,"URB-BB1"}</definedName>
    <definedName name="DESNIVEL_1" localSheetId="20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BSTR">#REF!</definedName>
    <definedName name="DESVIO">'[116]MEDIÇÃO RESUMO'!#REF!</definedName>
    <definedName name="DESVIOMETA_FM_CRU_IJC" localSheetId="20" hidden="1">{#N/A,#N/A,FALSE,"RAINHA TOPPER CONSOL 16";#N/A,#N/A,FALSE,"BOLAS 17";#N/A,#N/A,FALSE,"VESTUÁRIO 18";#N/A,#N/A,FALSE,"Rainha Topper Mês e Acum 19";#N/A,#N/A,FALSE,"Rainha Topper Acum 20"}</definedName>
    <definedName name="DESVIOMETA_FM_CRU_IJC" hidden="1">{#N/A,#N/A,FALSE,"RAINHA TOPPER CONSOL 16";#N/A,#N/A,FALSE,"BOLAS 17";#N/A,#N/A,FALSE,"VESTUÁRIO 18";#N/A,#N/A,FALSE,"Rainha Topper Mês e Acum 19";#N/A,#N/A,FALSE,"Rainha Topper Acum 20"}</definedName>
    <definedName name="DESVIOMETA_FM_CRU_IJC_1" localSheetId="20" hidden="1">{#N/A,#N/A,FALSE,"RAINHA TOPPER CONSOL 16";#N/A,#N/A,FALSE,"BOLAS 17";#N/A,#N/A,FALSE,"VESTUÁRIO 18";#N/A,#N/A,FALSE,"Rainha Topper Mês e Acum 19";#N/A,#N/A,FALSE,"Rainha Topper Acum 20"}</definedName>
    <definedName name="DESVIOMETA_FM_CRU_IJC_1" hidden="1">{#N/A,#N/A,FALSE,"RAINHA TOPPER CONSOL 16";#N/A,#N/A,FALSE,"BOLAS 17";#N/A,#N/A,FALSE,"VESTUÁRIO 18";#N/A,#N/A,FALSE,"Rainha Topper Mês e Acum 19";#N/A,#N/A,FALSE,"Rainha Topper Acum 20"}</definedName>
    <definedName name="DESVIOMETA_FM_CRU_IJC_1_1" localSheetId="20" hidden="1">{#N/A,#N/A,FALSE,"RAINHA TOPPER CONSOL 16";#N/A,#N/A,FALSE,"BOLAS 17";#N/A,#N/A,FALSE,"VESTUÁRIO 18";#N/A,#N/A,FALSE,"Rainha Topper Mês e Acum 19";#N/A,#N/A,FALSE,"Rainha Topper Acum 20"}</definedName>
    <definedName name="DESVIOMETA_FM_CRU_IJC_1_1" hidden="1">{#N/A,#N/A,FALSE,"RAINHA TOPPER CONSOL 16";#N/A,#N/A,FALSE,"BOLAS 17";#N/A,#N/A,FALSE,"VESTUÁRIO 18";#N/A,#N/A,FALSE,"Rainha Topper Mês e Acum 19";#N/A,#N/A,FALSE,"Rainha Topper Acum 20"}</definedName>
    <definedName name="DESVIOMETA_FM_CRU_IJC_1_1_1" localSheetId="20" hidden="1">{#N/A,#N/A,FALSE,"RAINHA TOPPER CONSOL 16";#N/A,#N/A,FALSE,"BOLAS 17";#N/A,#N/A,FALSE,"VESTUÁRIO 18";#N/A,#N/A,FALSE,"Rainha Topper Mês e Acum 19";#N/A,#N/A,FALSE,"Rainha Topper Acum 20"}</definedName>
    <definedName name="DESVIOMETA_FM_CRU_IJC_1_1_1" hidden="1">{#N/A,#N/A,FALSE,"RAINHA TOPPER CONSOL 16";#N/A,#N/A,FALSE,"BOLAS 17";#N/A,#N/A,FALSE,"VESTUÁRIO 18";#N/A,#N/A,FALSE,"Rainha Topper Mês e Acum 19";#N/A,#N/A,FALSE,"Rainha Topper Acum 20"}</definedName>
    <definedName name="DESVIOMETA_FM_CRU_IJC_1_2" localSheetId="20" hidden="1">{#N/A,#N/A,FALSE,"RAINHA TOPPER CONSOL 16";#N/A,#N/A,FALSE,"BOLAS 17";#N/A,#N/A,FALSE,"VESTUÁRIO 18";#N/A,#N/A,FALSE,"Rainha Topper Mês e Acum 19";#N/A,#N/A,FALSE,"Rainha Topper Acum 20"}</definedName>
    <definedName name="DESVIOMETA_FM_CRU_IJC_1_2" hidden="1">{#N/A,#N/A,FALSE,"RAINHA TOPPER CONSOL 16";#N/A,#N/A,FALSE,"BOLAS 17";#N/A,#N/A,FALSE,"VESTUÁRIO 18";#N/A,#N/A,FALSE,"Rainha Topper Mês e Acum 19";#N/A,#N/A,FALSE,"Rainha Topper Acum 20"}</definedName>
    <definedName name="DESVIOMETA_FM_CRU_IJC_2" localSheetId="20" hidden="1">{#N/A,#N/A,FALSE,"RAINHA TOPPER CONSOL 16";#N/A,#N/A,FALSE,"BOLAS 17";#N/A,#N/A,FALSE,"VESTUÁRIO 18";#N/A,#N/A,FALSE,"Rainha Topper Mês e Acum 19";#N/A,#N/A,FALSE,"Rainha Topper Acum 20"}</definedName>
    <definedName name="DESVIOMETA_FM_CRU_IJC_2" hidden="1">{#N/A,#N/A,FALSE,"RAINHA TOPPER CONSOL 16";#N/A,#N/A,FALSE,"BOLAS 17";#N/A,#N/A,FALSE,"VESTUÁRIO 18";#N/A,#N/A,FALSE,"Rainha Topper Mês e Acum 19";#N/A,#N/A,FALSE,"Rainha Topper Acum 20"}</definedName>
    <definedName name="Detalhe" localSheetId="20" hidden="1">{"'Resumo'!$A$4:$N$60"}</definedName>
    <definedName name="Detalhe" hidden="1">{"'Resumo'!$A$4:$N$60"}</definedName>
    <definedName name="Detalhe_1" localSheetId="20" hidden="1">{"'Resumo'!$A$4:$N$60"}</definedName>
    <definedName name="Detalhe_1" hidden="1">{"'Resumo'!$A$4:$N$60"}</definedName>
    <definedName name="Detalhe_1_1" localSheetId="20" hidden="1">{"'Resumo'!$A$4:$N$60"}</definedName>
    <definedName name="Detalhe_1_1" hidden="1">{"'Resumo'!$A$4:$N$60"}</definedName>
    <definedName name="Detalhe_1_1_1" localSheetId="20" hidden="1">{"'Resumo'!$A$4:$N$60"}</definedName>
    <definedName name="Detalhe_1_1_1" hidden="1">{"'Resumo'!$A$4:$N$60"}</definedName>
    <definedName name="Detalhe_1_2" localSheetId="20" hidden="1">{"'Resumo'!$A$4:$N$60"}</definedName>
    <definedName name="Detalhe_1_2" hidden="1">{"'Resumo'!$A$4:$N$60"}</definedName>
    <definedName name="Detalhe_2" localSheetId="20" hidden="1">{"'Resumo'!$A$4:$N$60"}</definedName>
    <definedName name="Detalhe_2" hidden="1">{"'Resumo'!$A$4:$N$60"}</definedName>
    <definedName name="deuda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VOLVER" localSheetId="20" hidden="1">{#N/A,#N/A,FALSE,"CPV";#N/A,#N/A,FALSE,"Pareto";#N/A,#N/A,FALSE,"Gráficos"}</definedName>
    <definedName name="DEVOLVER" hidden="1">{#N/A,#N/A,FALSE,"CPV";#N/A,#N/A,FALSE,"Pareto";#N/A,#N/A,FALSE,"Gráficos"}</definedName>
    <definedName name="DEVOLVER_1" localSheetId="20" hidden="1">{#N/A,#N/A,FALSE,"CPV";#N/A,#N/A,FALSE,"Pareto";#N/A,#N/A,FALSE,"Gráficos"}</definedName>
    <definedName name="DEVOLVER_1" hidden="1">{#N/A,#N/A,FALSE,"CPV";#N/A,#N/A,FALSE,"Pareto";#N/A,#N/A,FALSE,"Gráficos"}</definedName>
    <definedName name="DEWD" localSheetId="20" hidden="1">{"'REL CUSTODIF'!$B$1:$H$72"}</definedName>
    <definedName name="DEWD" hidden="1">{"'REL CUSTODIF'!$B$1:$H$72"}</definedName>
    <definedName name="dez">#REF!</definedName>
    <definedName name="DEZA">#REF!</definedName>
    <definedName name="DEZENAS">#REF!</definedName>
    <definedName name="DF" localSheetId="18" hidden="1">#REF!</definedName>
    <definedName name="df" hidden="1">#REF!</definedName>
    <definedName name="DFADFD" localSheetId="20" hidden="1">{"'REL CUSTODIF'!$B$1:$H$72"}</definedName>
    <definedName name="DFADFD" hidden="1">{"'REL CUSTODIF'!$B$1:$H$72"}</definedName>
    <definedName name="dfadsfsadf" localSheetId="20" hidden="1">{"'gráf jan00'!$A$1:$AK$41"}</definedName>
    <definedName name="dfadsfsadf" hidden="1">{"'gráf jan00'!$A$1:$AK$41"}</definedName>
    <definedName name="dfadsfsadf_1" localSheetId="20" hidden="1">{"'gráf jan00'!$A$1:$AK$41"}</definedName>
    <definedName name="dfadsfsadf_1" hidden="1">{"'gráf jan00'!$A$1:$AK$41"}</definedName>
    <definedName name="dfadsfsadf_1_1" localSheetId="20" hidden="1">{"'gráf jan00'!$A$1:$AK$41"}</definedName>
    <definedName name="dfadsfsadf_1_1" hidden="1">{"'gráf jan00'!$A$1:$AK$41"}</definedName>
    <definedName name="dfadsfsadf_1_1_1" localSheetId="20" hidden="1">{"'gráf jan00'!$A$1:$AK$41"}</definedName>
    <definedName name="dfadsfsadf_1_1_1" hidden="1">{"'gráf jan00'!$A$1:$AK$41"}</definedName>
    <definedName name="dfadsfsadf_1_2" localSheetId="20" hidden="1">{"'gráf jan00'!$A$1:$AK$41"}</definedName>
    <definedName name="dfadsfsadf_1_2" hidden="1">{"'gráf jan00'!$A$1:$AK$41"}</definedName>
    <definedName name="dfadsfsadf_2" localSheetId="20" hidden="1">{"'gráf jan00'!$A$1:$AK$41"}</definedName>
    <definedName name="dfadsfsadf_2" hidden="1">{"'gráf jan00'!$A$1:$AK$41"}</definedName>
    <definedName name="DFASD">#REF!</definedName>
    <definedName name="dfd" localSheetId="20" hidden="1">{"'gráf jan00'!$A$1:$AK$41"}</definedName>
    <definedName name="dfd" hidden="1">{"'gráf jan00'!$A$1:$AK$41"}</definedName>
    <definedName name="dfd_1" localSheetId="20" hidden="1">{"'gráf jan00'!$A$1:$AK$41"}</definedName>
    <definedName name="dfd_1" hidden="1">{"'gráf jan00'!$A$1:$AK$41"}</definedName>
    <definedName name="dfd_1_1" localSheetId="20" hidden="1">{"'gráf jan00'!$A$1:$AK$41"}</definedName>
    <definedName name="dfd_1_1" hidden="1">{"'gráf jan00'!$A$1:$AK$41"}</definedName>
    <definedName name="dfd_1_1_1" localSheetId="20" hidden="1">{"'gráf jan00'!$A$1:$AK$41"}</definedName>
    <definedName name="dfd_1_1_1" hidden="1">{"'gráf jan00'!$A$1:$AK$41"}</definedName>
    <definedName name="dfd_1_2" localSheetId="20" hidden="1">{"'gráf jan00'!$A$1:$AK$41"}</definedName>
    <definedName name="dfd_1_2" hidden="1">{"'gráf jan00'!$A$1:$AK$41"}</definedName>
    <definedName name="dfd_2" localSheetId="20" hidden="1">{"'gráf jan00'!$A$1:$AK$41"}</definedName>
    <definedName name="dfd_2" hidden="1">{"'gráf jan00'!$A$1:$AK$41"}</definedName>
    <definedName name="dfdafdsf" localSheetId="20" hidden="1">{"'REL CUSTODIF'!$B$1:$H$72"}</definedName>
    <definedName name="dfdafdsf" hidden="1">{"'REL CUSTODIF'!$B$1:$H$72"}</definedName>
    <definedName name="dfdd" localSheetId="20" hidden="1">{"'gráf jan00'!$A$1:$AK$41"}</definedName>
    <definedName name="dfdd" hidden="1">{"'gráf jan00'!$A$1:$AK$41"}</definedName>
    <definedName name="dfdd_1" localSheetId="20" hidden="1">{"'gráf jan00'!$A$1:$AK$41"}</definedName>
    <definedName name="dfdd_1" hidden="1">{"'gráf jan00'!$A$1:$AK$41"}</definedName>
    <definedName name="dfdd_1_1" localSheetId="20" hidden="1">{"'gráf jan00'!$A$1:$AK$41"}</definedName>
    <definedName name="dfdd_1_1" hidden="1">{"'gráf jan00'!$A$1:$AK$41"}</definedName>
    <definedName name="dfdd_1_1_1" localSheetId="20" hidden="1">{"'gráf jan00'!$A$1:$AK$41"}</definedName>
    <definedName name="dfdd_1_1_1" hidden="1">{"'gráf jan00'!$A$1:$AK$41"}</definedName>
    <definedName name="dfdd_1_2" localSheetId="20" hidden="1">{"'gráf jan00'!$A$1:$AK$41"}</definedName>
    <definedName name="dfdd_1_2" hidden="1">{"'gráf jan00'!$A$1:$AK$41"}</definedName>
    <definedName name="dfdd_2" localSheetId="20" hidden="1">{"'gráf jan00'!$A$1:$AK$41"}</definedName>
    <definedName name="dfdd_2" hidden="1">{"'gráf jan00'!$A$1:$AK$41"}</definedName>
    <definedName name="dfdf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a" localSheetId="20" hidden="1">{"'REL CUSTODIF'!$B$1:$H$72"}</definedName>
    <definedName name="dfdfa" hidden="1">{"'REL CUSTODIF'!$B$1:$H$72"}</definedName>
    <definedName name="DFDFDF" localSheetId="20" hidden="1">{"'gráf jan00'!$A$1:$AK$41"}</definedName>
    <definedName name="DFDFDF" hidden="1">{"'gráf jan00'!$A$1:$AK$41"}</definedName>
    <definedName name="DFDFDF_1" localSheetId="20" hidden="1">{"'gráf jan00'!$A$1:$AK$41"}</definedName>
    <definedName name="DFDFDF_1" hidden="1">{"'gráf jan00'!$A$1:$AK$41"}</definedName>
    <definedName name="DFDFDF_1_1" localSheetId="20" hidden="1">{"'gráf jan00'!$A$1:$AK$41"}</definedName>
    <definedName name="DFDFDF_1_1" hidden="1">{"'gráf jan00'!$A$1:$AK$41"}</definedName>
    <definedName name="DFDFDF_1_1_1" localSheetId="20" hidden="1">{"'gráf jan00'!$A$1:$AK$41"}</definedName>
    <definedName name="DFDFDF_1_1_1" hidden="1">{"'gráf jan00'!$A$1:$AK$41"}</definedName>
    <definedName name="DFDFDF_1_2" localSheetId="20" hidden="1">{"'gráf jan00'!$A$1:$AK$41"}</definedName>
    <definedName name="DFDFDF_1_2" hidden="1">{"'gráf jan00'!$A$1:$AK$41"}</definedName>
    <definedName name="DFDFDF_2" localSheetId="20" hidden="1">{"'gráf jan00'!$A$1:$AK$41"}</definedName>
    <definedName name="DFDFDF_2" hidden="1">{"'gráf jan00'!$A$1:$AK$41"}</definedName>
    <definedName name="dfdfdfd" hidden="1">#N/A</definedName>
    <definedName name="dfdfdfd_1" localSheetId="20" hidden="1">{"'gráf jan00'!$A$1:$AK$41"}</definedName>
    <definedName name="dfdfdfd_1" hidden="1">{"'gráf jan00'!$A$1:$AK$41"}</definedName>
    <definedName name="dfdfdfd_1_1" localSheetId="20" hidden="1">{"'gráf jan00'!$A$1:$AK$41"}</definedName>
    <definedName name="dfdfdfd_1_1" hidden="1">{"'gráf jan00'!$A$1:$AK$41"}</definedName>
    <definedName name="dfdfdfd_1_1_1" localSheetId="20" hidden="1">{"'gráf jan00'!$A$1:$AK$41"}</definedName>
    <definedName name="dfdfdfd_1_1_1" hidden="1">{"'gráf jan00'!$A$1:$AK$41"}</definedName>
    <definedName name="dfdfdfd_1_2" localSheetId="20" hidden="1">{"'gráf jan00'!$A$1:$AK$41"}</definedName>
    <definedName name="dfdfdfd_1_2" hidden="1">{"'gráf jan00'!$A$1:$AK$41"}</definedName>
    <definedName name="dfdfdfd_2" localSheetId="20" hidden="1">{"'gráf jan00'!$A$1:$AK$41"}</definedName>
    <definedName name="dfdfdfd_2" hidden="1">{"'gráf jan00'!$A$1:$AK$41"}</definedName>
    <definedName name="DFEDFE" localSheetId="20" hidden="1">{"'REL CUSTODIF'!$B$1:$H$72"}</definedName>
    <definedName name="DFEDFE" hidden="1">{"'REL CUSTODIF'!$B$1:$H$72"}</definedName>
    <definedName name="DFEFE" localSheetId="20" hidden="1">{"'REL CUSTODIF'!$B$1:$H$72"}</definedName>
    <definedName name="DFEFE" hidden="1">{"'REL CUSTODIF'!$B$1:$H$72"}</definedName>
    <definedName name="dferf" localSheetId="20" hidden="1">{"'REL CUSTODIF'!$B$1:$H$72"}</definedName>
    <definedName name="dferf" hidden="1">{"'REL CUSTODIF'!$B$1:$H$72"}</definedName>
    <definedName name="dferfewf" localSheetId="20" hidden="1">{"'REL CUSTODIF'!$B$1:$H$72"}</definedName>
    <definedName name="dferfewf" hidden="1">{"'REL CUSTODIF'!$B$1:$H$72"}</definedName>
    <definedName name="DFEWFEW" localSheetId="20" hidden="1">{"'REL CUSTODIF'!$B$1:$H$72"}</definedName>
    <definedName name="DFEWFEW" hidden="1">{"'REL CUSTODIF'!$B$1:$H$72"}</definedName>
    <definedName name="DFF" localSheetId="20" hidden="1">{#N/A,#N/A,FALSE,"GQGEMPRE"}</definedName>
    <definedName name="DFF" hidden="1">{#N/A,#N/A,FALSE,"GQGEMPRE"}</definedName>
    <definedName name="DFF_1" localSheetId="20" hidden="1">{#N/A,#N/A,FALSE,"GQGEMPRE"}</definedName>
    <definedName name="DFF_1" hidden="1">{#N/A,#N/A,FALSE,"GQGEMPRE"}</definedName>
    <definedName name="DFF_1_1" localSheetId="20" hidden="1">{#N/A,#N/A,FALSE,"GQGEMPRE"}</definedName>
    <definedName name="DFF_1_1" hidden="1">{#N/A,#N/A,FALSE,"GQGEMPRE"}</definedName>
    <definedName name="DFF_1_1_1" localSheetId="20" hidden="1">{#N/A,#N/A,FALSE,"GQGEMPRE"}</definedName>
    <definedName name="DFF_1_1_1" hidden="1">{#N/A,#N/A,FALSE,"GQGEMPRE"}</definedName>
    <definedName name="DFF_1_2" localSheetId="20" hidden="1">{#N/A,#N/A,FALSE,"GQGEMPRE"}</definedName>
    <definedName name="DFF_1_2" hidden="1">{#N/A,#N/A,FALSE,"GQGEMPRE"}</definedName>
    <definedName name="DFF_2" localSheetId="20" hidden="1">{#N/A,#N/A,FALSE,"GQGEMPRE"}</definedName>
    <definedName name="DFF_2" hidden="1">{#N/A,#N/A,FALSE,"GQGEMPRE"}</definedName>
    <definedName name="dffasf" localSheetId="20" hidden="1">{#N/A,#N/A,TRUE,"indice";#N/A,#N/A,TRUE,"indicadores";#N/A,#N/A,TRUE,"comentarios"}</definedName>
    <definedName name="dffasf" hidden="1">{#N/A,#N/A,TRUE,"indice";#N/A,#N/A,TRUE,"indicadores";#N/A,#N/A,TRUE,"comentarios"}</definedName>
    <definedName name="dffasf_1" localSheetId="20" hidden="1">{#N/A,#N/A,TRUE,"indice";#N/A,#N/A,TRUE,"indicadores";#N/A,#N/A,TRUE,"comentarios"}</definedName>
    <definedName name="dffasf_1" hidden="1">{#N/A,#N/A,TRUE,"indice";#N/A,#N/A,TRUE,"indicadores";#N/A,#N/A,TRUE,"comentarios"}</definedName>
    <definedName name="dffasf_1_1" localSheetId="20" hidden="1">{#N/A,#N/A,TRUE,"indice";#N/A,#N/A,TRUE,"indicadores";#N/A,#N/A,TRUE,"comentarios"}</definedName>
    <definedName name="dffasf_1_1" hidden="1">{#N/A,#N/A,TRUE,"indice";#N/A,#N/A,TRUE,"indicadores";#N/A,#N/A,TRUE,"comentarios"}</definedName>
    <definedName name="dffasf_1_1_1" localSheetId="20" hidden="1">{#N/A,#N/A,TRUE,"indice";#N/A,#N/A,TRUE,"indicadores";#N/A,#N/A,TRUE,"comentarios"}</definedName>
    <definedName name="dffasf_1_1_1" hidden="1">{#N/A,#N/A,TRUE,"indice";#N/A,#N/A,TRUE,"indicadores";#N/A,#N/A,TRUE,"comentarios"}</definedName>
    <definedName name="dffasf_1_2" localSheetId="20" hidden="1">{#N/A,#N/A,TRUE,"indice";#N/A,#N/A,TRUE,"indicadores";#N/A,#N/A,TRUE,"comentarios"}</definedName>
    <definedName name="dffasf_1_2" hidden="1">{#N/A,#N/A,TRUE,"indice";#N/A,#N/A,TRUE,"indicadores";#N/A,#N/A,TRUE,"comentarios"}</definedName>
    <definedName name="dffasf_2" localSheetId="20" hidden="1">{#N/A,#N/A,TRUE,"indice";#N/A,#N/A,TRUE,"indicadores";#N/A,#N/A,TRUE,"comentarios"}</definedName>
    <definedName name="dffasf_2" hidden="1">{#N/A,#N/A,TRUE,"indice";#N/A,#N/A,TRUE,"indicadores";#N/A,#N/A,TRUE,"comentarios"}</definedName>
    <definedName name="dffgjh" localSheetId="20" hidden="1">{"'CptDifn'!$AA$32:$AG$32"}</definedName>
    <definedName name="dffgjh" hidden="1">{"'CptDifn'!$AA$32:$AG$32"}</definedName>
    <definedName name="dffgjh_1" localSheetId="20" hidden="1">{"'CptDifn'!$AA$32:$AG$32"}</definedName>
    <definedName name="dffgjh_1" hidden="1">{"'CptDifn'!$AA$32:$AG$32"}</definedName>
    <definedName name="dffgjh_1_1" localSheetId="20" hidden="1">{"'CptDifn'!$AA$32:$AG$32"}</definedName>
    <definedName name="dffgjh_1_1" hidden="1">{"'CptDifn'!$AA$32:$AG$32"}</definedName>
    <definedName name="dffgjh_1_1_1" localSheetId="20" hidden="1">{"'CptDifn'!$AA$32:$AG$32"}</definedName>
    <definedName name="dffgjh_1_1_1" hidden="1">{"'CptDifn'!$AA$32:$AG$32"}</definedName>
    <definedName name="dffgjh_1_2" localSheetId="20" hidden="1">{"'CptDifn'!$AA$32:$AG$32"}</definedName>
    <definedName name="dffgjh_1_2" hidden="1">{"'CptDifn'!$AA$32:$AG$32"}</definedName>
    <definedName name="dffgjh_2" localSheetId="20" hidden="1">{"'CptDifn'!$AA$32:$AG$32"}</definedName>
    <definedName name="dffgjh_2" hidden="1">{"'CptDifn'!$AA$32:$AG$32"}</definedName>
    <definedName name="DFfssgsd" localSheetId="20" hidden="1">{"'gráf jan00'!$A$1:$AK$41"}</definedName>
    <definedName name="DFfssgsd" hidden="1">{"'gráf jan00'!$A$1:$AK$41"}</definedName>
    <definedName name="DFfssgsd_1" localSheetId="20" hidden="1">{"'gráf jan00'!$A$1:$AK$41"}</definedName>
    <definedName name="DFfssgsd_1" hidden="1">{"'gráf jan00'!$A$1:$AK$41"}</definedName>
    <definedName name="DFfssgsd_1_1" localSheetId="20" hidden="1">{"'gráf jan00'!$A$1:$AK$41"}</definedName>
    <definedName name="DFfssgsd_1_1" hidden="1">{"'gráf jan00'!$A$1:$AK$41"}</definedName>
    <definedName name="DFfssgsd_1_1_1" localSheetId="20" hidden="1">{"'gráf jan00'!$A$1:$AK$41"}</definedName>
    <definedName name="DFfssgsd_1_1_1" hidden="1">{"'gráf jan00'!$A$1:$AK$41"}</definedName>
    <definedName name="DFfssgsd_1_2" localSheetId="20" hidden="1">{"'gráf jan00'!$A$1:$AK$41"}</definedName>
    <definedName name="DFfssgsd_1_2" hidden="1">{"'gráf jan00'!$A$1:$AK$41"}</definedName>
    <definedName name="DFfssgsd_2" localSheetId="20" hidden="1">{"'gráf jan00'!$A$1:$AK$41"}</definedName>
    <definedName name="DFfssgsd_2" hidden="1">{"'gráf jan00'!$A$1:$AK$41"}</definedName>
    <definedName name="DFG" localSheetId="20" hidden="1">{#N/A,#N/A,FALSE,"CPV";#N/A,#N/A,FALSE,"Pareto";#N/A,#N/A,FALSE,"Gráficos"}</definedName>
    <definedName name="DFG" hidden="1">{#N/A,#N/A,FALSE,"CPV";#N/A,#N/A,FALSE,"Pareto";#N/A,#N/A,FALSE,"Gráficos"}</definedName>
    <definedName name="DFG_1" localSheetId="20" hidden="1">{#N/A,#N/A,FALSE,"CPV";#N/A,#N/A,FALSE,"Pareto";#N/A,#N/A,FALSE,"Gráficos"}</definedName>
    <definedName name="DFG_1" hidden="1">{#N/A,#N/A,FALSE,"CPV";#N/A,#N/A,FALSE,"Pareto";#N/A,#N/A,FALSE,"Gráficos"}</definedName>
    <definedName name="DFGADET" localSheetId="20" hidden="1">{"'gráf jan00'!$A$1:$AK$41"}</definedName>
    <definedName name="DFGADET" hidden="1">{"'gráf jan00'!$A$1:$AK$41"}</definedName>
    <definedName name="DFGADET_1" localSheetId="20" hidden="1">{"'gráf jan00'!$A$1:$AK$41"}</definedName>
    <definedName name="DFGADET_1" hidden="1">{"'gráf jan00'!$A$1:$AK$41"}</definedName>
    <definedName name="DFGADET_1_1" localSheetId="20" hidden="1">{"'gráf jan00'!$A$1:$AK$41"}</definedName>
    <definedName name="DFGADET_1_1" hidden="1">{"'gráf jan00'!$A$1:$AK$41"}</definedName>
    <definedName name="DFGADET_1_1_1" localSheetId="20" hidden="1">{"'gráf jan00'!$A$1:$AK$41"}</definedName>
    <definedName name="DFGADET_1_1_1" hidden="1">{"'gráf jan00'!$A$1:$AK$41"}</definedName>
    <definedName name="DFGADET_1_2" localSheetId="20" hidden="1">{"'gráf jan00'!$A$1:$AK$41"}</definedName>
    <definedName name="DFGADET_1_2" hidden="1">{"'gráf jan00'!$A$1:$AK$41"}</definedName>
    <definedName name="DFGADET_2" localSheetId="20" hidden="1">{"'gráf jan00'!$A$1:$AK$41"}</definedName>
    <definedName name="DFGADET_2" hidden="1">{"'gráf jan00'!$A$1:$AK$41"}</definedName>
    <definedName name="DFGDFG">#REF!</definedName>
    <definedName name="DFGDFG_11">#REF!</definedName>
    <definedName name="DFGDFG_15">#REF!</definedName>
    <definedName name="DFGDFGD" localSheetId="20" hidden="1">{"'Quadro'!$A$4:$BG$78"}</definedName>
    <definedName name="DFGDFGD" hidden="1">{"'Quadro'!$A$4:$BG$78"}</definedName>
    <definedName name="DFGDFGD_1" localSheetId="20" hidden="1">{"'Quadro'!$A$4:$BG$78"}</definedName>
    <definedName name="DFGDFGD_1" hidden="1">{"'Quadro'!$A$4:$BG$78"}</definedName>
    <definedName name="DFGDFGD_1_1" localSheetId="20" hidden="1">{"'Quadro'!$A$4:$BG$78"}</definedName>
    <definedName name="DFGDFGD_1_1" hidden="1">{"'Quadro'!$A$4:$BG$78"}</definedName>
    <definedName name="DFGDFGD_1_1_1" localSheetId="20" hidden="1">{"'Quadro'!$A$4:$BG$78"}</definedName>
    <definedName name="DFGDFGD_1_1_1" hidden="1">{"'Quadro'!$A$4:$BG$78"}</definedName>
    <definedName name="DFGDFGD_1_2" localSheetId="20" hidden="1">{"'Quadro'!$A$4:$BG$78"}</definedName>
    <definedName name="DFGDFGD_1_2" hidden="1">{"'Quadro'!$A$4:$BG$78"}</definedName>
    <definedName name="DFGDFGD_2" localSheetId="20" hidden="1">{"'Quadro'!$A$4:$BG$78"}</definedName>
    <definedName name="DFGDFGD_2" hidden="1">{"'Quadro'!$A$4:$BG$78"}</definedName>
    <definedName name="dfgdfghgj" localSheetId="20" hidden="1">{"'CptDifn'!$AA$32:$AG$32"}</definedName>
    <definedName name="dfgdfghgj" hidden="1">{"'CptDifn'!$AA$32:$AG$32"}</definedName>
    <definedName name="dfgdfghgj_1" localSheetId="20" hidden="1">{"'CptDifn'!$AA$32:$AG$32"}</definedName>
    <definedName name="dfgdfghgj_1" hidden="1">{"'CptDifn'!$AA$32:$AG$32"}</definedName>
    <definedName name="dfgdfghgj_1_1" localSheetId="20" hidden="1">{"'CptDifn'!$AA$32:$AG$32"}</definedName>
    <definedName name="dfgdfghgj_1_1" hidden="1">{"'CptDifn'!$AA$32:$AG$32"}</definedName>
    <definedName name="dfgdfghgj_1_1_1" localSheetId="20" hidden="1">{"'CptDifn'!$AA$32:$AG$32"}</definedName>
    <definedName name="dfgdfghgj_1_1_1" hidden="1">{"'CptDifn'!$AA$32:$AG$32"}</definedName>
    <definedName name="dfgdfghgj_1_2" localSheetId="20" hidden="1">{"'CptDifn'!$AA$32:$AG$32"}</definedName>
    <definedName name="dfgdfghgj_1_2" hidden="1">{"'CptDifn'!$AA$32:$AG$32"}</definedName>
    <definedName name="dfgdfghgj_2" localSheetId="20" hidden="1">{"'CptDifn'!$AA$32:$AG$32"}</definedName>
    <definedName name="dfgdfghgj_2" hidden="1">{"'CptDifn'!$AA$32:$AG$32"}</definedName>
    <definedName name="dfgdfh" localSheetId="20" hidden="1">{"'CptDifn'!$AA$32:$AG$32"}</definedName>
    <definedName name="dfgdfh" hidden="1">{"'CptDifn'!$AA$32:$AG$32"}</definedName>
    <definedName name="dfgdfh_1" localSheetId="20" hidden="1">{"'CptDifn'!$AA$32:$AG$32"}</definedName>
    <definedName name="dfgdfh_1" hidden="1">{"'CptDifn'!$AA$32:$AG$32"}</definedName>
    <definedName name="dfgdfh_1_1" localSheetId="20" hidden="1">{"'CptDifn'!$AA$32:$AG$32"}</definedName>
    <definedName name="dfgdfh_1_1" hidden="1">{"'CptDifn'!$AA$32:$AG$32"}</definedName>
    <definedName name="dfgdfh_1_1_1" localSheetId="20" hidden="1">{"'CptDifn'!$AA$32:$AG$32"}</definedName>
    <definedName name="dfgdfh_1_1_1" hidden="1">{"'CptDifn'!$AA$32:$AG$32"}</definedName>
    <definedName name="dfgdfh_1_2" localSheetId="20" hidden="1">{"'CptDifn'!$AA$32:$AG$32"}</definedName>
    <definedName name="dfgdfh_1_2" hidden="1">{"'CptDifn'!$AA$32:$AG$32"}</definedName>
    <definedName name="dfgdfh_2" localSheetId="20" hidden="1">{"'CptDifn'!$AA$32:$AG$32"}</definedName>
    <definedName name="dfgdfh_2" hidden="1">{"'CptDifn'!$AA$32:$AG$32"}</definedName>
    <definedName name="dfgdh" localSheetId="20" hidden="1">{"'CptDifn'!$AA$32:$AG$32"}</definedName>
    <definedName name="dfgdh" hidden="1">{"'CptDifn'!$AA$32:$AG$32"}</definedName>
    <definedName name="dfgdh_1" localSheetId="20" hidden="1">{"'CptDifn'!$AA$32:$AG$32"}</definedName>
    <definedName name="dfgdh_1" hidden="1">{"'CptDifn'!$AA$32:$AG$32"}</definedName>
    <definedName name="dfgdh_1_1" localSheetId="20" hidden="1">{"'CptDifn'!$AA$32:$AG$32"}</definedName>
    <definedName name="dfgdh_1_1" hidden="1">{"'CptDifn'!$AA$32:$AG$32"}</definedName>
    <definedName name="dfgdh_1_1_1" localSheetId="20" hidden="1">{"'CptDifn'!$AA$32:$AG$32"}</definedName>
    <definedName name="dfgdh_1_1_1" hidden="1">{"'CptDifn'!$AA$32:$AG$32"}</definedName>
    <definedName name="dfgdh_1_2" localSheetId="20" hidden="1">{"'CptDifn'!$AA$32:$AG$32"}</definedName>
    <definedName name="dfgdh_1_2" hidden="1">{"'CptDifn'!$AA$32:$AG$32"}</definedName>
    <definedName name="dfgdh_2" localSheetId="20" hidden="1">{"'CptDifn'!$AA$32:$AG$32"}</definedName>
    <definedName name="dfgdh_2" hidden="1">{"'CptDifn'!$AA$32:$AG$32"}</definedName>
    <definedName name="dfgg" localSheetId="20" hidden="1">{"'CptDifn'!$AA$32:$AG$32"}</definedName>
    <definedName name="dfgg" hidden="1">{"'CptDifn'!$AA$32:$AG$32"}</definedName>
    <definedName name="dfgg_1" localSheetId="20" hidden="1">{"'CptDifn'!$AA$32:$AG$32"}</definedName>
    <definedName name="dfgg_1" hidden="1">{"'CptDifn'!$AA$32:$AG$32"}</definedName>
    <definedName name="dfgg_1_1" localSheetId="20" hidden="1">{"'CptDifn'!$AA$32:$AG$32"}</definedName>
    <definedName name="dfgg_1_1" hidden="1">{"'CptDifn'!$AA$32:$AG$32"}</definedName>
    <definedName name="dfgg_1_1_1" localSheetId="20" hidden="1">{"'CptDifn'!$AA$32:$AG$32"}</definedName>
    <definedName name="dfgg_1_1_1" hidden="1">{"'CptDifn'!$AA$32:$AG$32"}</definedName>
    <definedName name="dfgg_1_2" localSheetId="20" hidden="1">{"'CptDifn'!$AA$32:$AG$32"}</definedName>
    <definedName name="dfgg_1_2" hidden="1">{"'CptDifn'!$AA$32:$AG$32"}</definedName>
    <definedName name="dfgg_2" localSheetId="20" hidden="1">{"'CptDifn'!$AA$32:$AG$32"}</definedName>
    <definedName name="dfgg_2" hidden="1">{"'CptDifn'!$AA$32:$AG$32"}</definedName>
    <definedName name="DFGGBB" hidden="1">#REF!</definedName>
    <definedName name="dfghd" localSheetId="20" hidden="1">{"'gráf jan00'!$A$1:$AK$41"}</definedName>
    <definedName name="dfghd" hidden="1">{"'gráf jan00'!$A$1:$AK$41"}</definedName>
    <definedName name="dfghd_1" localSheetId="20" hidden="1">{"'gráf jan00'!$A$1:$AK$41"}</definedName>
    <definedName name="dfghd_1" hidden="1">{"'gráf jan00'!$A$1:$AK$41"}</definedName>
    <definedName name="dfghd_1_1" localSheetId="20" hidden="1">{"'gráf jan00'!$A$1:$AK$41"}</definedName>
    <definedName name="dfghd_1_1" hidden="1">{"'gráf jan00'!$A$1:$AK$41"}</definedName>
    <definedName name="dfghd_1_1_1" localSheetId="20" hidden="1">{"'gráf jan00'!$A$1:$AK$41"}</definedName>
    <definedName name="dfghd_1_1_1" hidden="1">{"'gráf jan00'!$A$1:$AK$41"}</definedName>
    <definedName name="dfghd_1_2" localSheetId="20" hidden="1">{"'gráf jan00'!$A$1:$AK$41"}</definedName>
    <definedName name="dfghd_1_2" hidden="1">{"'gráf jan00'!$A$1:$AK$41"}</definedName>
    <definedName name="dfghd_2" localSheetId="20" hidden="1">{"'gráf jan00'!$A$1:$AK$41"}</definedName>
    <definedName name="dfghd_2" hidden="1">{"'gráf jan00'!$A$1:$AK$41"}</definedName>
    <definedName name="dfghdfhd" localSheetId="20" hidden="1">{"'CptDifn'!$AA$32:$AG$32"}</definedName>
    <definedName name="dfghdfhd" hidden="1">{"'CptDifn'!$AA$32:$AG$32"}</definedName>
    <definedName name="dfghdfhd_1" localSheetId="20" hidden="1">{"'CptDifn'!$AA$32:$AG$32"}</definedName>
    <definedName name="dfghdfhd_1" hidden="1">{"'CptDifn'!$AA$32:$AG$32"}</definedName>
    <definedName name="dfghdfhd_1_1" localSheetId="20" hidden="1">{"'CptDifn'!$AA$32:$AG$32"}</definedName>
    <definedName name="dfghdfhd_1_1" hidden="1">{"'CptDifn'!$AA$32:$AG$32"}</definedName>
    <definedName name="dfghdfhd_1_1_1" localSheetId="20" hidden="1">{"'CptDifn'!$AA$32:$AG$32"}</definedName>
    <definedName name="dfghdfhd_1_1_1" hidden="1">{"'CptDifn'!$AA$32:$AG$32"}</definedName>
    <definedName name="dfghdfhd_1_2" localSheetId="20" hidden="1">{"'CptDifn'!$AA$32:$AG$32"}</definedName>
    <definedName name="dfghdfhd_1_2" hidden="1">{"'CptDifn'!$AA$32:$AG$32"}</definedName>
    <definedName name="dfghdfhd_2" localSheetId="20" hidden="1">{"'CptDifn'!$AA$32:$AG$32"}</definedName>
    <definedName name="dfghdfhd_2" hidden="1">{"'CptDifn'!$AA$32:$AG$32"}</definedName>
    <definedName name="dfghf" localSheetId="20" hidden="1">{"'CptDifn'!$AA$32:$AG$32"}</definedName>
    <definedName name="dfghf" hidden="1">{"'CptDifn'!$AA$32:$AG$32"}</definedName>
    <definedName name="dfghf_1" localSheetId="20" hidden="1">{"'CptDifn'!$AA$32:$AG$32"}</definedName>
    <definedName name="dfghf_1" hidden="1">{"'CptDifn'!$AA$32:$AG$32"}</definedName>
    <definedName name="dfghf_1_1" localSheetId="20" hidden="1">{"'CptDifn'!$AA$32:$AG$32"}</definedName>
    <definedName name="dfghf_1_1" hidden="1">{"'CptDifn'!$AA$32:$AG$32"}</definedName>
    <definedName name="dfghf_1_1_1" localSheetId="20" hidden="1">{"'CptDifn'!$AA$32:$AG$32"}</definedName>
    <definedName name="dfghf_1_1_1" hidden="1">{"'CptDifn'!$AA$32:$AG$32"}</definedName>
    <definedName name="dfghf_1_2" localSheetId="20" hidden="1">{"'CptDifn'!$AA$32:$AG$32"}</definedName>
    <definedName name="dfghf_1_2" hidden="1">{"'CptDifn'!$AA$32:$AG$32"}</definedName>
    <definedName name="dfghf_2" localSheetId="20" hidden="1">{"'CptDifn'!$AA$32:$AG$32"}</definedName>
    <definedName name="dfghf_2" hidden="1">{"'CptDifn'!$AA$32:$AG$32"}</definedName>
    <definedName name="dfgs" localSheetId="20" hidden="1">{#N/A,#N/A,TRUE,"Serviços"}</definedName>
    <definedName name="dfgs" localSheetId="2" hidden="1">{#N/A,#N/A,TRUE,"Serviços"}</definedName>
    <definedName name="dfgs" hidden="1">{#N/A,#N/A,TRUE,"Serviços"}</definedName>
    <definedName name="dfgss" localSheetId="20" hidden="1">{#N/A,#N/A,TRUE,"Serviços"}</definedName>
    <definedName name="dfgss" localSheetId="2" hidden="1">{#N/A,#N/A,TRUE,"Serviços"}</definedName>
    <definedName name="dfgss" hidden="1">{#N/A,#N/A,TRUE,"Serviços"}</definedName>
    <definedName name="dfh" localSheetId="20" hidden="1">{"'gráf jan00'!$A$1:$AK$41"}</definedName>
    <definedName name="dfh" hidden="1">{"'gráf jan00'!$A$1:$AK$41"}</definedName>
    <definedName name="dfh_1" localSheetId="20" hidden="1">{"'gráf jan00'!$A$1:$AK$41"}</definedName>
    <definedName name="dfh_1" hidden="1">{"'gráf jan00'!$A$1:$AK$41"}</definedName>
    <definedName name="dfh_1_1" localSheetId="20" hidden="1">{"'gráf jan00'!$A$1:$AK$41"}</definedName>
    <definedName name="dfh_1_1" hidden="1">{"'gráf jan00'!$A$1:$AK$41"}</definedName>
    <definedName name="dfh_1_1_1" localSheetId="20" hidden="1">{"'gráf jan00'!$A$1:$AK$41"}</definedName>
    <definedName name="dfh_1_1_1" hidden="1">{"'gráf jan00'!$A$1:$AK$41"}</definedName>
    <definedName name="dfh_1_2" localSheetId="20" hidden="1">{"'gráf jan00'!$A$1:$AK$41"}</definedName>
    <definedName name="dfh_1_2" hidden="1">{"'gráf jan00'!$A$1:$AK$41"}</definedName>
    <definedName name="dfh_2" localSheetId="20" hidden="1">{"'gráf jan00'!$A$1:$AK$41"}</definedName>
    <definedName name="dfh_2" hidden="1">{"'gráf jan00'!$A$1:$AK$41"}</definedName>
    <definedName name="dfhdfh" localSheetId="20" hidden="1">{"'CptDifn'!$AA$32:$AG$32"}</definedName>
    <definedName name="dfhdfh" hidden="1">{"'CptDifn'!$AA$32:$AG$32"}</definedName>
    <definedName name="dfhdfh_1" localSheetId="20" hidden="1">{"'CptDifn'!$AA$32:$AG$32"}</definedName>
    <definedName name="dfhdfh_1" hidden="1">{"'CptDifn'!$AA$32:$AG$32"}</definedName>
    <definedName name="dfhdfh_1_1" localSheetId="20" hidden="1">{"'CptDifn'!$AA$32:$AG$32"}</definedName>
    <definedName name="dfhdfh_1_1" hidden="1">{"'CptDifn'!$AA$32:$AG$32"}</definedName>
    <definedName name="dfhdfh_1_1_1" localSheetId="20" hidden="1">{"'CptDifn'!$AA$32:$AG$32"}</definedName>
    <definedName name="dfhdfh_1_1_1" hidden="1">{"'CptDifn'!$AA$32:$AG$32"}</definedName>
    <definedName name="dfhdfh_1_2" localSheetId="20" hidden="1">{"'CptDifn'!$AA$32:$AG$32"}</definedName>
    <definedName name="dfhdfh_1_2" hidden="1">{"'CptDifn'!$AA$32:$AG$32"}</definedName>
    <definedName name="dfhdfh_2" localSheetId="20" hidden="1">{"'CptDifn'!$AA$32:$AG$32"}</definedName>
    <definedName name="dfhdfh_2" hidden="1">{"'CptDifn'!$AA$32:$AG$32"}</definedName>
    <definedName name="dfhgdf" localSheetId="20" hidden="1">{#N/A,#N/A,TRUE,"indice";#N/A,#N/A,TRUE,"indicadores";#N/A,#N/A,TRUE,"comentarios"}</definedName>
    <definedName name="dfhgdf" hidden="1">{#N/A,#N/A,TRUE,"indice";#N/A,#N/A,TRUE,"indicadores";#N/A,#N/A,TRUE,"comentarios"}</definedName>
    <definedName name="dfhgdf_1" localSheetId="20" hidden="1">{#N/A,#N/A,TRUE,"indice";#N/A,#N/A,TRUE,"indicadores";#N/A,#N/A,TRUE,"comentarios"}</definedName>
    <definedName name="dfhgdf_1" hidden="1">{#N/A,#N/A,TRUE,"indice";#N/A,#N/A,TRUE,"indicadores";#N/A,#N/A,TRUE,"comentarios"}</definedName>
    <definedName name="dfhgdf_1_1" localSheetId="20" hidden="1">{#N/A,#N/A,TRUE,"indice";#N/A,#N/A,TRUE,"indicadores";#N/A,#N/A,TRUE,"comentarios"}</definedName>
    <definedName name="dfhgdf_1_1" hidden="1">{#N/A,#N/A,TRUE,"indice";#N/A,#N/A,TRUE,"indicadores";#N/A,#N/A,TRUE,"comentarios"}</definedName>
    <definedName name="dfhgdf_1_1_1" localSheetId="20" hidden="1">{#N/A,#N/A,TRUE,"indice";#N/A,#N/A,TRUE,"indicadores";#N/A,#N/A,TRUE,"comentarios"}</definedName>
    <definedName name="dfhgdf_1_1_1" hidden="1">{#N/A,#N/A,TRUE,"indice";#N/A,#N/A,TRUE,"indicadores";#N/A,#N/A,TRUE,"comentarios"}</definedName>
    <definedName name="dfhgdf_1_2" localSheetId="20" hidden="1">{#N/A,#N/A,TRUE,"indice";#N/A,#N/A,TRUE,"indicadores";#N/A,#N/A,TRUE,"comentarios"}</definedName>
    <definedName name="dfhgdf_1_2" hidden="1">{#N/A,#N/A,TRUE,"indice";#N/A,#N/A,TRUE,"indicadores";#N/A,#N/A,TRUE,"comentarios"}</definedName>
    <definedName name="dfhgdf_2" localSheetId="20" hidden="1">{#N/A,#N/A,TRUE,"indice";#N/A,#N/A,TRUE,"indicadores";#N/A,#N/A,TRUE,"comentarios"}</definedName>
    <definedName name="dfhgdf_2" hidden="1">{#N/A,#N/A,TRUE,"indice";#N/A,#N/A,TRUE,"indicadores";#N/A,#N/A,TRUE,"comentarios"}</definedName>
    <definedName name="dfhghfg" localSheetId="20" hidden="1">{"'CptDifn'!$AA$32:$AG$32"}</definedName>
    <definedName name="dfhghfg" hidden="1">{"'CptDifn'!$AA$32:$AG$32"}</definedName>
    <definedName name="dfhghfg_1" localSheetId="20" hidden="1">{"'CptDifn'!$AA$32:$AG$32"}</definedName>
    <definedName name="dfhghfg_1" hidden="1">{"'CptDifn'!$AA$32:$AG$32"}</definedName>
    <definedName name="dfhghfg_1_1" localSheetId="20" hidden="1">{"'CptDifn'!$AA$32:$AG$32"}</definedName>
    <definedName name="dfhghfg_1_1" hidden="1">{"'CptDifn'!$AA$32:$AG$32"}</definedName>
    <definedName name="dfhghfg_1_1_1" localSheetId="20" hidden="1">{"'CptDifn'!$AA$32:$AG$32"}</definedName>
    <definedName name="dfhghfg_1_1_1" hidden="1">{"'CptDifn'!$AA$32:$AG$32"}</definedName>
    <definedName name="dfhghfg_1_2" localSheetId="20" hidden="1">{"'CptDifn'!$AA$32:$AG$32"}</definedName>
    <definedName name="dfhghfg_1_2" hidden="1">{"'CptDifn'!$AA$32:$AG$32"}</definedName>
    <definedName name="dfhghfg_2" localSheetId="20" hidden="1">{"'CptDifn'!$AA$32:$AG$32"}</definedName>
    <definedName name="dfhghfg_2" hidden="1">{"'CptDifn'!$AA$32:$AG$32"}</definedName>
    <definedName name="dfqefefqef" localSheetId="20" hidden="1">{"'REL CUSTODIF'!$B$1:$H$72"}</definedName>
    <definedName name="dfqefefqef" hidden="1">{"'REL CUSTODIF'!$B$1:$H$72"}</definedName>
    <definedName name="DFQEFEWFE" localSheetId="20" hidden="1">{"'REL CUSTODIF'!$B$1:$H$72"}</definedName>
    <definedName name="DFQEFEWFE" hidden="1">{"'REL CUSTODIF'!$B$1:$H$72"}</definedName>
    <definedName name="DFQFEWF" localSheetId="20" hidden="1">{"'REL CUSTODIF'!$B$1:$H$72"}</definedName>
    <definedName name="DFQFEWF" hidden="1">{"'REL CUSTODIF'!$B$1:$H$72"}</definedName>
    <definedName name="dfre">[34]!dfre</definedName>
    <definedName name="DFS" localSheetId="20" hidden="1">{"'REL CUSTODIF'!$B$1:$H$72"}</definedName>
    <definedName name="DFS" hidden="1">{"'REL CUSTODIF'!$B$1:$H$72"}</definedName>
    <definedName name="DFSD" localSheetId="21">#REF!</definedName>
    <definedName name="DFSD">#REF!</definedName>
    <definedName name="dfuil" localSheetId="20" hidden="1">{"'RR'!$A$2:$E$81"}</definedName>
    <definedName name="dfuil" hidden="1">{"'RR'!$A$2:$E$81"}</definedName>
    <definedName name="dfuil_1" localSheetId="20" hidden="1">{"'RR'!$A$2:$E$81"}</definedName>
    <definedName name="dfuil_1" hidden="1">{"'RR'!$A$2:$E$81"}</definedName>
    <definedName name="dfuil_1_1" localSheetId="20" hidden="1">{"'RR'!$A$2:$E$81"}</definedName>
    <definedName name="dfuil_1_1" hidden="1">{"'RR'!$A$2:$E$81"}</definedName>
    <definedName name="dfuil_1_1_1" localSheetId="20" hidden="1">{"'RR'!$A$2:$E$81"}</definedName>
    <definedName name="dfuil_1_1_1" hidden="1">{"'RR'!$A$2:$E$81"}</definedName>
    <definedName name="dfuil_1_2" localSheetId="20" hidden="1">{"'RR'!$A$2:$E$81"}</definedName>
    <definedName name="dfuil_1_2" hidden="1">{"'RR'!$A$2:$E$81"}</definedName>
    <definedName name="dfuil_2" localSheetId="20" hidden="1">{"'RR'!$A$2:$E$81"}</definedName>
    <definedName name="dfuil_2" hidden="1">{"'RR'!$A$2:$E$81"}</definedName>
    <definedName name="dg">#REF!</definedName>
    <definedName name="DGA" localSheetId="21">#REF!</definedName>
    <definedName name="DGA">'[47]PRO-08'!#REF!</definedName>
    <definedName name="DGA_11">[48]PRO_08!#REF!</definedName>
    <definedName name="DGA_15">[48]PRO_08!#REF!</definedName>
    <definedName name="DGA_24">'[49]PRO-08'!#REF!</definedName>
    <definedName name="DGA_26">'[50]PRO-08'!#REF!</definedName>
    <definedName name="DGA_27">'[49]PRO-08'!#REF!</definedName>
    <definedName name="DGA_27_11">[51]PRO_08!#REF!</definedName>
    <definedName name="DGA_9">'[49]PRO-08'!#REF!</definedName>
    <definedName name="DGA_9_11">[51]PRO_08!#REF!</definedName>
    <definedName name="DGF" localSheetId="20" hidden="1">{#N/A,#N/A,FALSE,"MO (2)"}</definedName>
    <definedName name="DGF" hidden="1">{#N/A,#N/A,FALSE,"MO (2)"}</definedName>
    <definedName name="DGF_1" localSheetId="20" hidden="1">{#N/A,#N/A,FALSE,"MO (2)"}</definedName>
    <definedName name="DGF_1" hidden="1">{#N/A,#N/A,FALSE,"MO (2)"}</definedName>
    <definedName name="DGFAERFE" localSheetId="20" hidden="1">{"'REL CUSTODIF'!$B$1:$H$72"}</definedName>
    <definedName name="DGFAERFE" hidden="1">{"'REL CUSTODIF'!$B$1:$H$72"}</definedName>
    <definedName name="dgffffffffffffff">#REF!</definedName>
    <definedName name="dgfh" localSheetId="20" hidden="1">{"'gráf jan00'!$A$1:$AK$41"}</definedName>
    <definedName name="dgfh" hidden="1">{"'gráf jan00'!$A$1:$AK$41"}</definedName>
    <definedName name="dgfh_1" localSheetId="20" hidden="1">{"'gráf jan00'!$A$1:$AK$41"}</definedName>
    <definedName name="dgfh_1" hidden="1">{"'gráf jan00'!$A$1:$AK$41"}</definedName>
    <definedName name="dgfh_1_1" localSheetId="20" hidden="1">{"'gráf jan00'!$A$1:$AK$41"}</definedName>
    <definedName name="dgfh_1_1" hidden="1">{"'gráf jan00'!$A$1:$AK$41"}</definedName>
    <definedName name="dgfh_1_1_1" localSheetId="20" hidden="1">{"'gráf jan00'!$A$1:$AK$41"}</definedName>
    <definedName name="dgfh_1_1_1" hidden="1">{"'gráf jan00'!$A$1:$AK$41"}</definedName>
    <definedName name="dgfh_1_2" localSheetId="20" hidden="1">{"'gráf jan00'!$A$1:$AK$41"}</definedName>
    <definedName name="dgfh_1_2" hidden="1">{"'gráf jan00'!$A$1:$AK$41"}</definedName>
    <definedName name="dgfh_2" localSheetId="20" hidden="1">{"'gráf jan00'!$A$1:$AK$41"}</definedName>
    <definedName name="dgfh_2" hidden="1">{"'gráf jan00'!$A$1:$AK$41"}</definedName>
    <definedName name="dggr" localSheetId="20" hidden="1">{"'CptDifn'!$AA$32:$AG$32"}</definedName>
    <definedName name="dggr" hidden="1">{"'CptDifn'!$AA$32:$AG$32"}</definedName>
    <definedName name="dggr_1" localSheetId="20" hidden="1">{"'CptDifn'!$AA$32:$AG$32"}</definedName>
    <definedName name="dggr_1" hidden="1">{"'CptDifn'!$AA$32:$AG$32"}</definedName>
    <definedName name="dggr_1_1" localSheetId="20" hidden="1">{"'CptDifn'!$AA$32:$AG$32"}</definedName>
    <definedName name="dggr_1_1" hidden="1">{"'CptDifn'!$AA$32:$AG$32"}</definedName>
    <definedName name="dggr_1_1_1" localSheetId="20" hidden="1">{"'CptDifn'!$AA$32:$AG$32"}</definedName>
    <definedName name="dggr_1_1_1" hidden="1">{"'CptDifn'!$AA$32:$AG$32"}</definedName>
    <definedName name="dggr_1_2" localSheetId="20" hidden="1">{"'CptDifn'!$AA$32:$AG$32"}</definedName>
    <definedName name="dggr_1_2" hidden="1">{"'CptDifn'!$AA$32:$AG$32"}</definedName>
    <definedName name="dggr_2" localSheetId="20" hidden="1">{"'CptDifn'!$AA$32:$AG$32"}</definedName>
    <definedName name="dggr_2" hidden="1">{"'CptDifn'!$AA$32:$AG$32"}</definedName>
    <definedName name="dhdhd" localSheetId="20" hidden="1">{"'CptDifn'!$AA$32:$AG$32"}</definedName>
    <definedName name="dhdhd" hidden="1">{"'CptDifn'!$AA$32:$AG$32"}</definedName>
    <definedName name="dhdhd_1" localSheetId="20" hidden="1">{"'CptDifn'!$AA$32:$AG$32"}</definedName>
    <definedName name="dhdhd_1" hidden="1">{"'CptDifn'!$AA$32:$AG$32"}</definedName>
    <definedName name="dhdhd_1_1" localSheetId="20" hidden="1">{"'CptDifn'!$AA$32:$AG$32"}</definedName>
    <definedName name="dhdhd_1_1" hidden="1">{"'CptDifn'!$AA$32:$AG$32"}</definedName>
    <definedName name="dhdhd_1_1_1" localSheetId="20" hidden="1">{"'CptDifn'!$AA$32:$AG$32"}</definedName>
    <definedName name="dhdhd_1_1_1" hidden="1">{"'CptDifn'!$AA$32:$AG$32"}</definedName>
    <definedName name="dhdhd_1_2" localSheetId="20" hidden="1">{"'CptDifn'!$AA$32:$AG$32"}</definedName>
    <definedName name="dhdhd_1_2" hidden="1">{"'CptDifn'!$AA$32:$AG$32"}</definedName>
    <definedName name="dhdhd_2" localSheetId="20" hidden="1">{"'CptDifn'!$AA$32:$AG$32"}</definedName>
    <definedName name="dhdhd_2" hidden="1">{"'CptDifn'!$AA$32:$AG$32"}</definedName>
    <definedName name="dhgj" localSheetId="20" hidden="1">{"'CptDifn'!$AA$32:$AG$32"}</definedName>
    <definedName name="dhgj" hidden="1">{"'CptDifn'!$AA$32:$AG$32"}</definedName>
    <definedName name="dhgj_1" localSheetId="20" hidden="1">{"'CptDifn'!$AA$32:$AG$32"}</definedName>
    <definedName name="dhgj_1" hidden="1">{"'CptDifn'!$AA$32:$AG$32"}</definedName>
    <definedName name="dhgj_1_1" localSheetId="20" hidden="1">{"'CptDifn'!$AA$32:$AG$32"}</definedName>
    <definedName name="dhgj_1_1" hidden="1">{"'CptDifn'!$AA$32:$AG$32"}</definedName>
    <definedName name="dhgj_1_1_1" localSheetId="20" hidden="1">{"'CptDifn'!$AA$32:$AG$32"}</definedName>
    <definedName name="dhgj_1_1_1" hidden="1">{"'CptDifn'!$AA$32:$AG$32"}</definedName>
    <definedName name="dhgj_1_2" localSheetId="20" hidden="1">{"'CptDifn'!$AA$32:$AG$32"}</definedName>
    <definedName name="dhgj_1_2" hidden="1">{"'CptDifn'!$AA$32:$AG$32"}</definedName>
    <definedName name="dhgj_2" localSheetId="20" hidden="1">{"'CptDifn'!$AA$32:$AG$32"}</definedName>
    <definedName name="dhgj_2" hidden="1">{"'CptDifn'!$AA$32:$AG$32"}</definedName>
    <definedName name="D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A">#REF!</definedName>
    <definedName name="DIA_1">#REF!</definedName>
    <definedName name="Dia_trab">#N/A</definedName>
    <definedName name="dias">#N/A</definedName>
    <definedName name="diego" localSheetId="20" hidden="1">{#N/A,#N/A,TRUE,"Serviços"}</definedName>
    <definedName name="diego" hidden="1">{#N/A,#N/A,TRUE,"Serviços"}</definedName>
    <definedName name="DIESEL">[117]INSUMOS!$N$305</definedName>
    <definedName name="DIESEL_1">#REF!</definedName>
    <definedName name="DIGITAL">'[40]CROQUIS DE DIST.'!DIGITAL</definedName>
    <definedName name="DIGITAL_10">#N/A</definedName>
    <definedName name="DIGITAL_12">#N/A</definedName>
    <definedName name="DIGITAL_13">#N/A</definedName>
    <definedName name="DIGITAL_15">#N/A</definedName>
    <definedName name="DIGITAL_5">#N/A</definedName>
    <definedName name="DIGITAL_6">#N/A</definedName>
    <definedName name="DIGITAL_7">#N/A</definedName>
    <definedName name="DIGITAL_8">#N/A</definedName>
    <definedName name="DIGITAL_9">#N/A</definedName>
    <definedName name="DILO_Ferrovia" localSheetId="20" hidden="1">{"'Quadro'!$A$4:$BG$78"}</definedName>
    <definedName name="DILO_Ferrovia" hidden="1">{"'Quadro'!$A$4:$BG$78"}</definedName>
    <definedName name="DILO_Ferrovia_1" localSheetId="20" hidden="1">{"'Quadro'!$A$4:$BG$78"}</definedName>
    <definedName name="DILO_Ferrovia_1" hidden="1">{"'Quadro'!$A$4:$BG$78"}</definedName>
    <definedName name="DILO_Ferrovia_1_1" localSheetId="20" hidden="1">{"'Quadro'!$A$4:$BG$78"}</definedName>
    <definedName name="DILO_Ferrovia_1_1" hidden="1">{"'Quadro'!$A$4:$BG$78"}</definedName>
    <definedName name="DILO_Ferrovia_1_1_1" localSheetId="20" hidden="1">{"'Quadro'!$A$4:$BG$78"}</definedName>
    <definedName name="DILO_Ferrovia_1_1_1" hidden="1">{"'Quadro'!$A$4:$BG$78"}</definedName>
    <definedName name="DILO_Ferrovia_1_2" localSheetId="20" hidden="1">{"'Quadro'!$A$4:$BG$78"}</definedName>
    <definedName name="DILO_Ferrovia_1_2" hidden="1">{"'Quadro'!$A$4:$BG$78"}</definedName>
    <definedName name="DILO_Ferrovia_2" localSheetId="20" hidden="1">{"'Quadro'!$A$4:$BG$78"}</definedName>
    <definedName name="DILO_Ferrovia_2" hidden="1">{"'Quadro'!$A$4:$BG$78"}</definedName>
    <definedName name="DIMPAV">#REF!</definedName>
    <definedName name="direcionador_2">#N/A</definedName>
    <definedName name="disp1" localSheetId="20" hidden="1">{"'RR'!$A$2:$E$81"}</definedName>
    <definedName name="disp1" hidden="1">{"'RR'!$A$2:$E$81"}</definedName>
    <definedName name="disp1_1" localSheetId="20" hidden="1">{"'RR'!$A$2:$E$81"}</definedName>
    <definedName name="disp1_1" hidden="1">{"'RR'!$A$2:$E$81"}</definedName>
    <definedName name="disp1_1_1" localSheetId="20" hidden="1">{"'RR'!$A$2:$E$81"}</definedName>
    <definedName name="disp1_1_1" hidden="1">{"'RR'!$A$2:$E$81"}</definedName>
    <definedName name="disp1_1_1_1" localSheetId="20" hidden="1">{"'RR'!$A$2:$E$81"}</definedName>
    <definedName name="disp1_1_1_1" hidden="1">{"'RR'!$A$2:$E$81"}</definedName>
    <definedName name="disp1_1_2" localSheetId="20" hidden="1">{"'RR'!$A$2:$E$81"}</definedName>
    <definedName name="disp1_1_2" hidden="1">{"'RR'!$A$2:$E$81"}</definedName>
    <definedName name="disp1_2" localSheetId="20" hidden="1">{"'RR'!$A$2:$E$81"}</definedName>
    <definedName name="disp1_2" hidden="1">{"'RR'!$A$2:$E$81"}</definedName>
    <definedName name="Displocopaul1" localSheetId="20" hidden="1">{"'gráf jan00'!$A$1:$AK$41"}</definedName>
    <definedName name="Displocopaul1" hidden="1">{"'gráf jan00'!$A$1:$AK$41"}</definedName>
    <definedName name="Displocopaul1_1" localSheetId="20" hidden="1">{"'gráf jan00'!$A$1:$AK$41"}</definedName>
    <definedName name="Displocopaul1_1" hidden="1">{"'gráf jan00'!$A$1:$AK$41"}</definedName>
    <definedName name="Displocopaul1_1_1" localSheetId="20" hidden="1">{"'gráf jan00'!$A$1:$AK$41"}</definedName>
    <definedName name="Displocopaul1_1_1" hidden="1">{"'gráf jan00'!$A$1:$AK$41"}</definedName>
    <definedName name="Displocopaul1_1_1_1" localSheetId="20" hidden="1">{"'gráf jan00'!$A$1:$AK$41"}</definedName>
    <definedName name="Displocopaul1_1_1_1" hidden="1">{"'gráf jan00'!$A$1:$AK$41"}</definedName>
    <definedName name="Displocopaul1_1_2" localSheetId="20" hidden="1">{"'gráf jan00'!$A$1:$AK$41"}</definedName>
    <definedName name="Displocopaul1_1_2" hidden="1">{"'gráf jan00'!$A$1:$AK$41"}</definedName>
    <definedName name="Displocopaul1_2" localSheetId="20" hidden="1">{"'gráf jan00'!$A$1:$AK$41"}</definedName>
    <definedName name="Displocopaul1_2" hidden="1">{"'gráf jan00'!$A$1:$AK$41"}</definedName>
    <definedName name="disppaul" localSheetId="20" hidden="1">{"'gráf jan00'!$A$1:$AK$41"}</definedName>
    <definedName name="disppaul" hidden="1">{"'gráf jan00'!$A$1:$AK$41"}</definedName>
    <definedName name="disppaul_1" localSheetId="20" hidden="1">{"'gráf jan00'!$A$1:$AK$41"}</definedName>
    <definedName name="disppaul_1" hidden="1">{"'gráf jan00'!$A$1:$AK$41"}</definedName>
    <definedName name="disppaul_1_1" localSheetId="20" hidden="1">{"'gráf jan00'!$A$1:$AK$41"}</definedName>
    <definedName name="disppaul_1_1" hidden="1">{"'gráf jan00'!$A$1:$AK$41"}</definedName>
    <definedName name="disppaul_1_1_1" localSheetId="20" hidden="1">{"'gráf jan00'!$A$1:$AK$41"}</definedName>
    <definedName name="disppaul_1_1_1" hidden="1">{"'gráf jan00'!$A$1:$AK$41"}</definedName>
    <definedName name="disppaul_1_2" localSheetId="20" hidden="1">{"'gráf jan00'!$A$1:$AK$41"}</definedName>
    <definedName name="disppaul_1_2" hidden="1">{"'gráf jan00'!$A$1:$AK$41"}</definedName>
    <definedName name="disppaul_2" localSheetId="20" hidden="1">{"'gráf jan00'!$A$1:$AK$41"}</definedName>
    <definedName name="disppaul_2" hidden="1">{"'gráf jan00'!$A$1:$AK$41"}</definedName>
    <definedName name="Disppaul1" localSheetId="20" hidden="1">{"'gráf jan00'!$A$1:$AK$41"}</definedName>
    <definedName name="Disppaul1" hidden="1">{"'gráf jan00'!$A$1:$AK$41"}</definedName>
    <definedName name="Disppaul1_1" localSheetId="20" hidden="1">{"'gráf jan00'!$A$1:$AK$41"}</definedName>
    <definedName name="Disppaul1_1" hidden="1">{"'gráf jan00'!$A$1:$AK$41"}</definedName>
    <definedName name="Disppaul1_1_1" localSheetId="20" hidden="1">{"'gráf jan00'!$A$1:$AK$41"}</definedName>
    <definedName name="Disppaul1_1_1" hidden="1">{"'gráf jan00'!$A$1:$AK$41"}</definedName>
    <definedName name="Disppaul1_1_1_1" localSheetId="20" hidden="1">{"'gráf jan00'!$A$1:$AK$41"}</definedName>
    <definedName name="Disppaul1_1_1_1" hidden="1">{"'gráf jan00'!$A$1:$AK$41"}</definedName>
    <definedName name="Disppaul1_1_2" localSheetId="20" hidden="1">{"'gráf jan00'!$A$1:$AK$41"}</definedName>
    <definedName name="Disppaul1_1_2" hidden="1">{"'gráf jan00'!$A$1:$AK$41"}</definedName>
    <definedName name="Disppaul1_2" localSheetId="20" hidden="1">{"'gráf jan00'!$A$1:$AK$41"}</definedName>
    <definedName name="Disppaul1_2" hidden="1">{"'gráf jan00'!$A$1:$AK$41"}</definedName>
    <definedName name="disppaul10" localSheetId="20" hidden="1">{"'gráf jan00'!$A$1:$AK$41"}</definedName>
    <definedName name="disppaul10" hidden="1">{"'gráf jan00'!$A$1:$AK$41"}</definedName>
    <definedName name="disppaul10_1" localSheetId="20" hidden="1">{"'gráf jan00'!$A$1:$AK$41"}</definedName>
    <definedName name="disppaul10_1" hidden="1">{"'gráf jan00'!$A$1:$AK$41"}</definedName>
    <definedName name="disppaul10_1_1" localSheetId="20" hidden="1">{"'gráf jan00'!$A$1:$AK$41"}</definedName>
    <definedName name="disppaul10_1_1" hidden="1">{"'gráf jan00'!$A$1:$AK$41"}</definedName>
    <definedName name="disppaul10_1_1_1" localSheetId="20" hidden="1">{"'gráf jan00'!$A$1:$AK$41"}</definedName>
    <definedName name="disppaul10_1_1_1" hidden="1">{"'gráf jan00'!$A$1:$AK$41"}</definedName>
    <definedName name="disppaul10_1_2" localSheetId="20" hidden="1">{"'gráf jan00'!$A$1:$AK$41"}</definedName>
    <definedName name="disppaul10_1_2" hidden="1">{"'gráf jan00'!$A$1:$AK$41"}</definedName>
    <definedName name="disppaul10_2" localSheetId="20" hidden="1">{"'gráf jan00'!$A$1:$AK$41"}</definedName>
    <definedName name="disppaul10_2" hidden="1">{"'gráf jan00'!$A$1:$AK$41"}</definedName>
    <definedName name="disppaul100" localSheetId="20" hidden="1">{"'gráf jan00'!$A$1:$AK$41"}</definedName>
    <definedName name="disppaul100" hidden="1">{"'gráf jan00'!$A$1:$AK$41"}</definedName>
    <definedName name="disppaul100_1" localSheetId="20" hidden="1">{"'gráf jan00'!$A$1:$AK$41"}</definedName>
    <definedName name="disppaul100_1" hidden="1">{"'gráf jan00'!$A$1:$AK$41"}</definedName>
    <definedName name="disppaul100_1_1" localSheetId="20" hidden="1">{"'gráf jan00'!$A$1:$AK$41"}</definedName>
    <definedName name="disppaul100_1_1" hidden="1">{"'gráf jan00'!$A$1:$AK$41"}</definedName>
    <definedName name="disppaul100_1_1_1" localSheetId="20" hidden="1">{"'gráf jan00'!$A$1:$AK$41"}</definedName>
    <definedName name="disppaul100_1_1_1" hidden="1">{"'gráf jan00'!$A$1:$AK$41"}</definedName>
    <definedName name="disppaul100_1_2" localSheetId="20" hidden="1">{"'gráf jan00'!$A$1:$AK$41"}</definedName>
    <definedName name="disppaul100_1_2" hidden="1">{"'gráf jan00'!$A$1:$AK$41"}</definedName>
    <definedName name="disppaul100_2" localSheetId="20" hidden="1">{"'gráf jan00'!$A$1:$AK$41"}</definedName>
    <definedName name="disppaul100_2" hidden="1">{"'gráf jan00'!$A$1:$AK$41"}</definedName>
    <definedName name="disppaul11" localSheetId="20" hidden="1">{"'Quadro'!$A$4:$BG$78"}</definedName>
    <definedName name="disppaul11" hidden="1">{"'Quadro'!$A$4:$BG$78"}</definedName>
    <definedName name="disppaul11_1" localSheetId="20" hidden="1">{"'Quadro'!$A$4:$BG$78"}</definedName>
    <definedName name="disppaul11_1" hidden="1">{"'Quadro'!$A$4:$BG$78"}</definedName>
    <definedName name="disppaul11_1_1" localSheetId="20" hidden="1">{"'Quadro'!$A$4:$BG$78"}</definedName>
    <definedName name="disppaul11_1_1" hidden="1">{"'Quadro'!$A$4:$BG$78"}</definedName>
    <definedName name="disppaul11_1_1_1" localSheetId="20" hidden="1">{"'Quadro'!$A$4:$BG$78"}</definedName>
    <definedName name="disppaul11_1_1_1" hidden="1">{"'Quadro'!$A$4:$BG$78"}</definedName>
    <definedName name="disppaul11_1_2" localSheetId="20" hidden="1">{"'Quadro'!$A$4:$BG$78"}</definedName>
    <definedName name="disppaul11_1_2" hidden="1">{"'Quadro'!$A$4:$BG$78"}</definedName>
    <definedName name="disppaul11_2" localSheetId="20" hidden="1">{"'Quadro'!$A$4:$BG$78"}</definedName>
    <definedName name="disppaul11_2" hidden="1">{"'Quadro'!$A$4:$BG$78"}</definedName>
    <definedName name="disppaul12" localSheetId="20" hidden="1">{"'gráf jan00'!$A$1:$AK$41"}</definedName>
    <definedName name="disppaul12" hidden="1">{"'gráf jan00'!$A$1:$AK$41"}</definedName>
    <definedName name="disppaul12_1" localSheetId="20" hidden="1">{"'gráf jan00'!$A$1:$AK$41"}</definedName>
    <definedName name="disppaul12_1" hidden="1">{"'gráf jan00'!$A$1:$AK$41"}</definedName>
    <definedName name="disppaul12_1_1" localSheetId="20" hidden="1">{"'gráf jan00'!$A$1:$AK$41"}</definedName>
    <definedName name="disppaul12_1_1" hidden="1">{"'gráf jan00'!$A$1:$AK$41"}</definedName>
    <definedName name="disppaul12_1_1_1" localSheetId="20" hidden="1">{"'gráf jan00'!$A$1:$AK$41"}</definedName>
    <definedName name="disppaul12_1_1_1" hidden="1">{"'gráf jan00'!$A$1:$AK$41"}</definedName>
    <definedName name="disppaul12_1_2" localSheetId="20" hidden="1">{"'gráf jan00'!$A$1:$AK$41"}</definedName>
    <definedName name="disppaul12_1_2" hidden="1">{"'gráf jan00'!$A$1:$AK$41"}</definedName>
    <definedName name="disppaul12_2" localSheetId="20" hidden="1">{"'gráf jan00'!$A$1:$AK$41"}</definedName>
    <definedName name="disppaul12_2" hidden="1">{"'gráf jan00'!$A$1:$AK$41"}</definedName>
    <definedName name="disppaul13" localSheetId="20" hidden="1">{"'gráf jan00'!$A$1:$AK$41"}</definedName>
    <definedName name="disppaul13" hidden="1">{"'gráf jan00'!$A$1:$AK$41"}</definedName>
    <definedName name="disppaul13_1" localSheetId="20" hidden="1">{"'gráf jan00'!$A$1:$AK$41"}</definedName>
    <definedName name="disppaul13_1" hidden="1">{"'gráf jan00'!$A$1:$AK$41"}</definedName>
    <definedName name="disppaul13_1_1" localSheetId="20" hidden="1">{"'gráf jan00'!$A$1:$AK$41"}</definedName>
    <definedName name="disppaul13_1_1" hidden="1">{"'gráf jan00'!$A$1:$AK$41"}</definedName>
    <definedName name="disppaul13_1_1_1" localSheetId="20" hidden="1">{"'gráf jan00'!$A$1:$AK$41"}</definedName>
    <definedName name="disppaul13_1_1_1" hidden="1">{"'gráf jan00'!$A$1:$AK$41"}</definedName>
    <definedName name="disppaul13_1_2" localSheetId="20" hidden="1">{"'gráf jan00'!$A$1:$AK$41"}</definedName>
    <definedName name="disppaul13_1_2" hidden="1">{"'gráf jan00'!$A$1:$AK$41"}</definedName>
    <definedName name="disppaul13_2" localSheetId="20" hidden="1">{"'gráf jan00'!$A$1:$AK$41"}</definedName>
    <definedName name="disppaul13_2" hidden="1">{"'gráf jan00'!$A$1:$AK$41"}</definedName>
    <definedName name="disppaul14" localSheetId="20" hidden="1">{"'gráf jan00'!$A$1:$AK$41"}</definedName>
    <definedName name="disppaul14" hidden="1">{"'gráf jan00'!$A$1:$AK$41"}</definedName>
    <definedName name="disppaul14_1" localSheetId="20" hidden="1">{"'gráf jan00'!$A$1:$AK$41"}</definedName>
    <definedName name="disppaul14_1" hidden="1">{"'gráf jan00'!$A$1:$AK$41"}</definedName>
    <definedName name="disppaul14_1_1" localSheetId="20" hidden="1">{"'gráf jan00'!$A$1:$AK$41"}</definedName>
    <definedName name="disppaul14_1_1" hidden="1">{"'gráf jan00'!$A$1:$AK$41"}</definedName>
    <definedName name="disppaul14_1_1_1" localSheetId="20" hidden="1">{"'gráf jan00'!$A$1:$AK$41"}</definedName>
    <definedName name="disppaul14_1_1_1" hidden="1">{"'gráf jan00'!$A$1:$AK$41"}</definedName>
    <definedName name="disppaul14_1_2" localSheetId="20" hidden="1">{"'gráf jan00'!$A$1:$AK$41"}</definedName>
    <definedName name="disppaul14_1_2" hidden="1">{"'gráf jan00'!$A$1:$AK$41"}</definedName>
    <definedName name="disppaul14_2" localSheetId="20" hidden="1">{"'gráf jan00'!$A$1:$AK$41"}</definedName>
    <definedName name="disppaul14_2" hidden="1">{"'gráf jan00'!$A$1:$AK$41"}</definedName>
    <definedName name="disppaul15" localSheetId="20" hidden="1">{"'gráf jan00'!$A$1:$AK$41"}</definedName>
    <definedName name="disppaul15" hidden="1">{"'gráf jan00'!$A$1:$AK$41"}</definedName>
    <definedName name="disppaul15_1" localSheetId="20" hidden="1">{"'gráf jan00'!$A$1:$AK$41"}</definedName>
    <definedName name="disppaul15_1" hidden="1">{"'gráf jan00'!$A$1:$AK$41"}</definedName>
    <definedName name="disppaul15_1_1" localSheetId="20" hidden="1">{"'gráf jan00'!$A$1:$AK$41"}</definedName>
    <definedName name="disppaul15_1_1" hidden="1">{"'gráf jan00'!$A$1:$AK$41"}</definedName>
    <definedName name="disppaul15_1_1_1" localSheetId="20" hidden="1">{"'gráf jan00'!$A$1:$AK$41"}</definedName>
    <definedName name="disppaul15_1_1_1" hidden="1">{"'gráf jan00'!$A$1:$AK$41"}</definedName>
    <definedName name="disppaul15_1_2" localSheetId="20" hidden="1">{"'gráf jan00'!$A$1:$AK$41"}</definedName>
    <definedName name="disppaul15_1_2" hidden="1">{"'gráf jan00'!$A$1:$AK$41"}</definedName>
    <definedName name="disppaul15_2" localSheetId="20" hidden="1">{"'gráf jan00'!$A$1:$AK$41"}</definedName>
    <definedName name="disppaul15_2" hidden="1">{"'gráf jan00'!$A$1:$AK$41"}</definedName>
    <definedName name="disppaul2" localSheetId="20" hidden="1">{"'gráf jan00'!$A$1:$AK$41"}</definedName>
    <definedName name="disppaul2" hidden="1">{"'gráf jan00'!$A$1:$AK$41"}</definedName>
    <definedName name="disppaul2_1" localSheetId="20" hidden="1">{"'gráf jan00'!$A$1:$AK$41"}</definedName>
    <definedName name="disppaul2_1" hidden="1">{"'gráf jan00'!$A$1:$AK$41"}</definedName>
    <definedName name="disppaul2_1_1" localSheetId="20" hidden="1">{"'gráf jan00'!$A$1:$AK$41"}</definedName>
    <definedName name="disppaul2_1_1" hidden="1">{"'gráf jan00'!$A$1:$AK$41"}</definedName>
    <definedName name="disppaul2_1_1_1" localSheetId="20" hidden="1">{"'gráf jan00'!$A$1:$AK$41"}</definedName>
    <definedName name="disppaul2_1_1_1" hidden="1">{"'gráf jan00'!$A$1:$AK$41"}</definedName>
    <definedName name="disppaul2_1_2" localSheetId="20" hidden="1">{"'gráf jan00'!$A$1:$AK$41"}</definedName>
    <definedName name="disppaul2_1_2" hidden="1">{"'gráf jan00'!$A$1:$AK$41"}</definedName>
    <definedName name="disppaul2_2" localSheetId="20" hidden="1">{"'gráf jan00'!$A$1:$AK$41"}</definedName>
    <definedName name="disppaul2_2" hidden="1">{"'gráf jan00'!$A$1:$AK$41"}</definedName>
    <definedName name="disppaul4" localSheetId="20" hidden="1">{"'gráf jan00'!$A$1:$AK$41"}</definedName>
    <definedName name="disppaul4" hidden="1">{"'gráf jan00'!$A$1:$AK$41"}</definedName>
    <definedName name="disppaul4_1" localSheetId="20" hidden="1">{"'gráf jan00'!$A$1:$AK$41"}</definedName>
    <definedName name="disppaul4_1" hidden="1">{"'gráf jan00'!$A$1:$AK$41"}</definedName>
    <definedName name="disppaul4_1_1" localSheetId="20" hidden="1">{"'gráf jan00'!$A$1:$AK$41"}</definedName>
    <definedName name="disppaul4_1_1" hidden="1">{"'gráf jan00'!$A$1:$AK$41"}</definedName>
    <definedName name="disppaul4_1_1_1" localSheetId="20" hidden="1">{"'gráf jan00'!$A$1:$AK$41"}</definedName>
    <definedName name="disppaul4_1_1_1" hidden="1">{"'gráf jan00'!$A$1:$AK$41"}</definedName>
    <definedName name="disppaul4_1_2" localSheetId="20" hidden="1">{"'gráf jan00'!$A$1:$AK$41"}</definedName>
    <definedName name="disppaul4_1_2" hidden="1">{"'gráf jan00'!$A$1:$AK$41"}</definedName>
    <definedName name="disppaul4_2" localSheetId="20" hidden="1">{"'gráf jan00'!$A$1:$AK$41"}</definedName>
    <definedName name="disppaul4_2" hidden="1">{"'gráf jan00'!$A$1:$AK$41"}</definedName>
    <definedName name="DispTelGASAG" localSheetId="20" hidden="1">{"'teste'!$B$2:$R$49"}</definedName>
    <definedName name="DispTelGASAG" hidden="1">{"'teste'!$B$2:$R$49"}</definedName>
    <definedName name="DispTelGASAG_1" localSheetId="20" hidden="1">{"'teste'!$B$2:$R$49"}</definedName>
    <definedName name="DispTelGASAG_1" hidden="1">{"'teste'!$B$2:$R$49"}</definedName>
    <definedName name="DispTelGASAG_1_1" localSheetId="20" hidden="1">{"'teste'!$B$2:$R$49"}</definedName>
    <definedName name="DispTelGASAG_1_1" hidden="1">{"'teste'!$B$2:$R$49"}</definedName>
    <definedName name="DispTelGASAG_1_1_1" localSheetId="20" hidden="1">{"'teste'!$B$2:$R$49"}</definedName>
    <definedName name="DispTelGASAG_1_1_1" hidden="1">{"'teste'!$B$2:$R$49"}</definedName>
    <definedName name="DispTelGASAG_1_2" localSheetId="20" hidden="1">{"'teste'!$B$2:$R$49"}</definedName>
    <definedName name="DispTelGASAG_1_2" hidden="1">{"'teste'!$B$2:$R$49"}</definedName>
    <definedName name="DispTelGASAG_2" localSheetId="20" hidden="1">{"'teste'!$B$2:$R$49"}</definedName>
    <definedName name="DispTelGASAG_2" hidden="1">{"'teste'!$B$2:$R$49"}</definedName>
    <definedName name="DIST">#REF!</definedName>
    <definedName name="DIST_CANTEIRO">#REF!</definedName>
    <definedName name="Dist_Eixo" localSheetId="21">NA()</definedName>
    <definedName name="Dist_Eixo">NA()</definedName>
    <definedName name="Dist_Talv" localSheetId="21">NA()</definedName>
    <definedName name="Dist_Talv">NA()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ribuição">#REF!</definedName>
    <definedName name="ditf" localSheetId="20" hidden="1">{"'CptDifn'!$AA$32:$AG$32"}</definedName>
    <definedName name="ditf" hidden="1">{"'CptDifn'!$AA$32:$AG$32"}</definedName>
    <definedName name="ditf_1" localSheetId="20" hidden="1">{"'CptDifn'!$AA$32:$AG$32"}</definedName>
    <definedName name="ditf_1" hidden="1">{"'CptDifn'!$AA$32:$AG$32"}</definedName>
    <definedName name="ditf_1_1" localSheetId="20" hidden="1">{"'CptDifn'!$AA$32:$AG$32"}</definedName>
    <definedName name="ditf_1_1" hidden="1">{"'CptDifn'!$AA$32:$AG$32"}</definedName>
    <definedName name="ditf_1_1_1" localSheetId="20" hidden="1">{"'CptDifn'!$AA$32:$AG$32"}</definedName>
    <definedName name="ditf_1_1_1" hidden="1">{"'CptDifn'!$AA$32:$AG$32"}</definedName>
    <definedName name="ditf_1_2" localSheetId="20" hidden="1">{"'CptDifn'!$AA$32:$AG$32"}</definedName>
    <definedName name="ditf_1_2" hidden="1">{"'CptDifn'!$AA$32:$AG$32"}</definedName>
    <definedName name="ditf_2" localSheetId="20" hidden="1">{"'CptDifn'!$AA$32:$AG$32"}</definedName>
    <definedName name="ditf_2" hidden="1">{"'CptDifn'!$AA$32:$AG$32"}</definedName>
    <definedName name="Divi" localSheetId="20" hidden="1">{"'Quadro'!$A$4:$BG$78"}</definedName>
    <definedName name="Divi" hidden="1">{"'Quadro'!$A$4:$BG$78"}</definedName>
    <definedName name="Divi_1" localSheetId="20" hidden="1">{"'Quadro'!$A$4:$BG$78"}</definedName>
    <definedName name="Divi_1" hidden="1">{"'Quadro'!$A$4:$BG$78"}</definedName>
    <definedName name="Divi_1_1" localSheetId="20" hidden="1">{"'Quadro'!$A$4:$BG$78"}</definedName>
    <definedName name="Divi_1_1" hidden="1">{"'Quadro'!$A$4:$BG$78"}</definedName>
    <definedName name="Divi_1_1_1" localSheetId="20" hidden="1">{"'Quadro'!$A$4:$BG$78"}</definedName>
    <definedName name="Divi_1_1_1" hidden="1">{"'Quadro'!$A$4:$BG$78"}</definedName>
    <definedName name="Divi_1_2" localSheetId="20" hidden="1">{"'Quadro'!$A$4:$BG$78"}</definedName>
    <definedName name="Divi_1_2" hidden="1">{"'Quadro'!$A$4:$BG$78"}</definedName>
    <definedName name="Divi_2" localSheetId="20" hidden="1">{"'Quadro'!$A$4:$BG$78"}</definedName>
    <definedName name="Divi_2" hidden="1">{"'Quadro'!$A$4:$BG$78"}</definedName>
    <definedName name="Dizeres" localSheetId="1">#REF!</definedName>
    <definedName name="Dizeres">#REF!</definedName>
    <definedName name="DJ">#REF!</definedName>
    <definedName name="dj_1" localSheetId="20" hidden="1">{"'CptDifn'!$AA$32:$AG$32"}</definedName>
    <definedName name="dj_1" hidden="1">{"'CptDifn'!$AA$32:$AG$32"}</definedName>
    <definedName name="dj_1_1" localSheetId="20" hidden="1">{"'CptDifn'!$AA$32:$AG$32"}</definedName>
    <definedName name="dj_1_1" hidden="1">{"'CptDifn'!$AA$32:$AG$32"}</definedName>
    <definedName name="dj_1_1_1" localSheetId="20" hidden="1">{"'CptDifn'!$AA$32:$AG$32"}</definedName>
    <definedName name="dj_1_1_1" hidden="1">{"'CptDifn'!$AA$32:$AG$32"}</definedName>
    <definedName name="dj_1_2" localSheetId="20" hidden="1">{"'CptDifn'!$AA$32:$AG$32"}</definedName>
    <definedName name="dj_1_2" hidden="1">{"'CptDifn'!$AA$32:$AG$32"}</definedName>
    <definedName name="DJ_11">#REF!</definedName>
    <definedName name="DJ_12">#REF!</definedName>
    <definedName name="DJ_13">#REF!</definedName>
    <definedName name="DJ_15">#REF!</definedName>
    <definedName name="dj_2" localSheetId="20" hidden="1">{"'CptDifn'!$AA$32:$AG$32"}</definedName>
    <definedName name="DJ_2" localSheetId="21">#REF!</definedName>
    <definedName name="DJ_2">#REF!</definedName>
    <definedName name="DJ_4">#REF!</definedName>
    <definedName name="DJ_5">#REF!</definedName>
    <definedName name="DJ_6">#REF!</definedName>
    <definedName name="DJ_7">#REF!</definedName>
    <definedName name="DJ_8">#REF!</definedName>
    <definedName name="DJ_9">#REF!</definedName>
    <definedName name="DJJ">#REF!</definedName>
    <definedName name="dksojd" localSheetId="20" hidden="1">{#N/A,#N/A,FALSE,"PCOL"}</definedName>
    <definedName name="dksojd" hidden="1">{#N/A,#N/A,FALSE,"PCOL"}</definedName>
    <definedName name="dksojd_1" localSheetId="20" hidden="1">{#N/A,#N/A,FALSE,"PCOL"}</definedName>
    <definedName name="dksojd_1" hidden="1">{#N/A,#N/A,FALSE,"PCOL"}</definedName>
    <definedName name="dksojd_1_1" localSheetId="20" hidden="1">{#N/A,#N/A,FALSE,"PCOL"}</definedName>
    <definedName name="dksojd_1_1" hidden="1">{#N/A,#N/A,FALSE,"PCOL"}</definedName>
    <definedName name="dksojd_1_1_1" localSheetId="20" hidden="1">{#N/A,#N/A,FALSE,"PCOL"}</definedName>
    <definedName name="dksojd_1_1_1" hidden="1">{#N/A,#N/A,FALSE,"PCOL"}</definedName>
    <definedName name="dksojd_1_2" localSheetId="20" hidden="1">{#N/A,#N/A,FALSE,"PCOL"}</definedName>
    <definedName name="dksojd_1_2" hidden="1">{#N/A,#N/A,FALSE,"PCOL"}</definedName>
    <definedName name="dksojd_2" localSheetId="20" hidden="1">{#N/A,#N/A,FALSE,"PCOL"}</definedName>
    <definedName name="dksojd_2" hidden="1">{#N/A,#N/A,FALSE,"PCOL"}</definedName>
    <definedName name="dkvn" localSheetId="20" hidden="1">{"'gráf jan00'!$A$1:$AK$41"}</definedName>
    <definedName name="dkvn" hidden="1">{"'gráf jan00'!$A$1:$AK$41"}</definedName>
    <definedName name="dkvn_1" localSheetId="20" hidden="1">{"'gráf jan00'!$A$1:$AK$41"}</definedName>
    <definedName name="dkvn_1" hidden="1">{"'gráf jan00'!$A$1:$AK$41"}</definedName>
    <definedName name="dkvn_1_1" localSheetId="20" hidden="1">{"'gráf jan00'!$A$1:$AK$41"}</definedName>
    <definedName name="dkvn_1_1" hidden="1">{"'gráf jan00'!$A$1:$AK$41"}</definedName>
    <definedName name="dkvn_1_1_1" localSheetId="20" hidden="1">{"'gráf jan00'!$A$1:$AK$41"}</definedName>
    <definedName name="dkvn_1_1_1" hidden="1">{"'gráf jan00'!$A$1:$AK$41"}</definedName>
    <definedName name="dkvn_1_2" localSheetId="20" hidden="1">{"'gráf jan00'!$A$1:$AK$41"}</definedName>
    <definedName name="dkvn_1_2" hidden="1">{"'gráf jan00'!$A$1:$AK$41"}</definedName>
    <definedName name="dkvn_2" localSheetId="20" hidden="1">{"'gráf jan00'!$A$1:$AK$41"}</definedName>
    <definedName name="dkvn_2" hidden="1">{"'gráf jan00'!$A$1:$AK$41"}</definedName>
    <definedName name="dlkfj" localSheetId="20" hidden="1">{"'gráf jan00'!$A$1:$AK$41"}</definedName>
    <definedName name="dlkfj" hidden="1">{"'gráf jan00'!$A$1:$AK$41"}</definedName>
    <definedName name="dlkfj_1" localSheetId="20" hidden="1">{"'gráf jan00'!$A$1:$AK$41"}</definedName>
    <definedName name="dlkfj_1" hidden="1">{"'gráf jan00'!$A$1:$AK$41"}</definedName>
    <definedName name="dlkfj_1_1" localSheetId="20" hidden="1">{"'gráf jan00'!$A$1:$AK$41"}</definedName>
    <definedName name="dlkfj_1_1" hidden="1">{"'gráf jan00'!$A$1:$AK$41"}</definedName>
    <definedName name="dlkfj_1_1_1" localSheetId="20" hidden="1">{"'gráf jan00'!$A$1:$AK$41"}</definedName>
    <definedName name="dlkfj_1_1_1" hidden="1">{"'gráf jan00'!$A$1:$AK$41"}</definedName>
    <definedName name="dlkfj_1_2" localSheetId="20" hidden="1">{"'gráf jan00'!$A$1:$AK$41"}</definedName>
    <definedName name="dlkfj_1_2" hidden="1">{"'gráf jan00'!$A$1:$AK$41"}</definedName>
    <definedName name="dlkfj_2" localSheetId="20" hidden="1">{"'gráf jan00'!$A$1:$AK$41"}</definedName>
    <definedName name="dlkfj_2" hidden="1">{"'gráf jan00'!$A$1:$AK$41"}</definedName>
    <definedName name="DMB">#REF!</definedName>
    <definedName name="DMT" localSheetId="21">#REF!,#REF!</definedName>
    <definedName name="DMT">'[118]Instalação e manutenção de cant'!$D$1651,'[118]Instalação e manutenção de cant'!$D$1155</definedName>
    <definedName name="dmt_1">0</definedName>
    <definedName name="dmt_10">0</definedName>
    <definedName name="dmt_11">0</definedName>
    <definedName name="dmt_12">0</definedName>
    <definedName name="dmt_13">0</definedName>
    <definedName name="dmt_14">0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[119]C_U!$D$1651,[119]C_U!$D$1155</definedName>
    <definedName name="dmt_5">0</definedName>
    <definedName name="dmt_6">0</definedName>
    <definedName name="dmt_7">0</definedName>
    <definedName name="dmt_8">0</definedName>
    <definedName name="dmt_9">0</definedName>
    <definedName name="DMTCAPECM">[85]Croqui!$R$31</definedName>
    <definedName name="dmtr">#REF!</definedName>
    <definedName name="DMTRR">[85]Croqui!#REF!</definedName>
    <definedName name="DMTRRR">[85]Croqui!#REF!</definedName>
    <definedName name="DN">#REF!</definedName>
    <definedName name="dng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'[85]Comp P Unit '!$O$37</definedName>
    <definedName name="dois" localSheetId="21">#N/A</definedName>
    <definedName name="dois">#N/A</definedName>
    <definedName name="Dom_Carna">[103]!Dom_Páscoa-49</definedName>
    <definedName name="Dom_Páscoa">#N/A</definedName>
    <definedName name="Dope">'[53]2.2.9.Medição de dop'!$I$49</definedName>
    <definedName name="doze">#REF!</definedName>
    <definedName name="DPD">#REF!</definedName>
    <definedName name="DPESSO">#REF!</definedName>
    <definedName name="DPESSO_1">#REF!</definedName>
    <definedName name="Dr_AGREGADO">#REF!</definedName>
    <definedName name="draft53" localSheetId="20" hidden="1">{"det (May)",#N/A,FALSE,"June";"sum (MAY YTD)",#N/A,FALSE,"June YTD"}</definedName>
    <definedName name="draft53" hidden="1">{"det (May)",#N/A,FALSE,"June";"sum (MAY YTD)",#N/A,FALSE,"June YTD"}</definedName>
    <definedName name="draft53_1" localSheetId="20" hidden="1">{"det (May)",#N/A,FALSE,"June";"sum (MAY YTD)",#N/A,FALSE,"June YTD"}</definedName>
    <definedName name="draft53_1" hidden="1">{"det (May)",#N/A,FALSE,"June";"sum (MAY YTD)",#N/A,FALSE,"June YTD"}</definedName>
    <definedName name="draft53_1_1" localSheetId="20" hidden="1">{"det (May)",#N/A,FALSE,"June";"sum (MAY YTD)",#N/A,FALSE,"June YTD"}</definedName>
    <definedName name="draft53_1_1" hidden="1">{"det (May)",#N/A,FALSE,"June";"sum (MAY YTD)",#N/A,FALSE,"June YTD"}</definedName>
    <definedName name="draft53_1_1_1" localSheetId="20" hidden="1">{"det (May)",#N/A,FALSE,"June";"sum (MAY YTD)",#N/A,FALSE,"June YTD"}</definedName>
    <definedName name="draft53_1_1_1" hidden="1">{"det (May)",#N/A,FALSE,"June";"sum (MAY YTD)",#N/A,FALSE,"June YTD"}</definedName>
    <definedName name="draft53_1_2" localSheetId="20" hidden="1">{"det (May)",#N/A,FALSE,"June";"sum (MAY YTD)",#N/A,FALSE,"June YTD"}</definedName>
    <definedName name="draft53_1_2" hidden="1">{"det (May)",#N/A,FALSE,"June";"sum (MAY YTD)",#N/A,FALSE,"June YTD"}</definedName>
    <definedName name="draft53_2" localSheetId="20" hidden="1">{"det (May)",#N/A,FALSE,"June";"sum (MAY YTD)",#N/A,FALSE,"June YTD"}</definedName>
    <definedName name="draft53_2" hidden="1">{"det (May)",#N/A,FALSE,"June";"sum (MAY YTD)",#N/A,FALSE,"June YTD"}</definedName>
    <definedName name="DRE">#REF!</definedName>
    <definedName name="dren">#NAME?</definedName>
    <definedName name="DRENAG">'[101]P reaj x P atual'!$S$6</definedName>
    <definedName name="DRENAGEM">#REF!</definedName>
    <definedName name="drenagem_1">#REF!</definedName>
    <definedName name="drenagem_10">#REF!</definedName>
    <definedName name="drenagem_12">#REF!</definedName>
    <definedName name="drenagem_2">#REF!</definedName>
    <definedName name="drenagem_3">#REF!</definedName>
    <definedName name="drenagem_4">#REF!</definedName>
    <definedName name="drenagem_9">#REF!</definedName>
    <definedName name="Dreno">'[53]3.4.5.DRENO_SUB_SUPERF'!$I$117</definedName>
    <definedName name="drfggjh" localSheetId="20" hidden="1">{"'CptDifn'!$AA$32:$AG$32"}</definedName>
    <definedName name="drfggjh" hidden="1">{"'CptDifn'!$AA$32:$AG$32"}</definedName>
    <definedName name="drfggjh_1" localSheetId="20" hidden="1">{"'CptDifn'!$AA$32:$AG$32"}</definedName>
    <definedName name="drfggjh_1" hidden="1">{"'CptDifn'!$AA$32:$AG$32"}</definedName>
    <definedName name="drfggjh_1_1" localSheetId="20" hidden="1">{"'CptDifn'!$AA$32:$AG$32"}</definedName>
    <definedName name="drfggjh_1_1" hidden="1">{"'CptDifn'!$AA$32:$AG$32"}</definedName>
    <definedName name="drfggjh_1_1_1" localSheetId="20" hidden="1">{"'CptDifn'!$AA$32:$AG$32"}</definedName>
    <definedName name="drfggjh_1_1_1" hidden="1">{"'CptDifn'!$AA$32:$AG$32"}</definedName>
    <definedName name="drfggjh_1_2" localSheetId="20" hidden="1">{"'CptDifn'!$AA$32:$AG$32"}</definedName>
    <definedName name="drfggjh_1_2" hidden="1">{"'CptDifn'!$AA$32:$AG$32"}</definedName>
    <definedName name="drfggjh_2" localSheetId="20" hidden="1">{"'CptDifn'!$AA$32:$AG$32"}</definedName>
    <definedName name="drfggjh_2" hidden="1">{"'CptDifn'!$AA$32:$AG$32"}</definedName>
    <definedName name="DRI">#REF!</definedName>
    <definedName name="DS">#REF!</definedName>
    <definedName name="dsa" localSheetId="20" hidden="1">{"'gráf jan00'!$A$1:$AK$41"}</definedName>
    <definedName name="dsa" hidden="1">{"'gráf jan00'!$A$1:$AK$41"}</definedName>
    <definedName name="dsa_1" localSheetId="20" hidden="1">{"'gráf jan00'!$A$1:$AK$41"}</definedName>
    <definedName name="dsa_1" hidden="1">{"'gráf jan00'!$A$1:$AK$41"}</definedName>
    <definedName name="dsa_1_1" localSheetId="20" hidden="1">{"'gráf jan00'!$A$1:$AK$41"}</definedName>
    <definedName name="dsa_1_1" hidden="1">{"'gráf jan00'!$A$1:$AK$41"}</definedName>
    <definedName name="dsa_1_1_1" localSheetId="20" hidden="1">{"'gráf jan00'!$A$1:$AK$41"}</definedName>
    <definedName name="dsa_1_1_1" hidden="1">{"'gráf jan00'!$A$1:$AK$41"}</definedName>
    <definedName name="dsa_1_2" localSheetId="20" hidden="1">{"'gráf jan00'!$A$1:$AK$41"}</definedName>
    <definedName name="dsa_1_2" hidden="1">{"'gráf jan00'!$A$1:$AK$41"}</definedName>
    <definedName name="dsa_2" localSheetId="20" hidden="1">{"'gráf jan00'!$A$1:$AK$41"}</definedName>
    <definedName name="dsa_2" hidden="1">{"'gráf jan00'!$A$1:$AK$41"}</definedName>
    <definedName name="DSAD" localSheetId="20" hidden="1">{"'REL CUSTODIF'!$B$1:$H$72"}</definedName>
    <definedName name="dsad">#REF!</definedName>
    <definedName name="dsadswd" localSheetId="20" hidden="1">{"'REL CUSTODIF'!$B$1:$H$72"}</definedName>
    <definedName name="dsadswd" hidden="1">{"'REL CUSTODIF'!$B$1:$H$72"}</definedName>
    <definedName name="dsaf" localSheetId="20" hidden="1">{"'Quadro'!$A$4:$BG$78"}</definedName>
    <definedName name="dsaf" hidden="1">{"'Quadro'!$A$4:$BG$78"}</definedName>
    <definedName name="dsaf_1" localSheetId="20" hidden="1">{"'Quadro'!$A$4:$BG$78"}</definedName>
    <definedName name="dsaf_1" hidden="1">{"'Quadro'!$A$4:$BG$78"}</definedName>
    <definedName name="dsaf_1_1" localSheetId="20" hidden="1">{"'Quadro'!$A$4:$BG$78"}</definedName>
    <definedName name="dsaf_1_1" hidden="1">{"'Quadro'!$A$4:$BG$78"}</definedName>
    <definedName name="dsaf_1_1_1" localSheetId="20" hidden="1">{"'Quadro'!$A$4:$BG$78"}</definedName>
    <definedName name="dsaf_1_1_1" hidden="1">{"'Quadro'!$A$4:$BG$78"}</definedName>
    <definedName name="dsaf_1_2" localSheetId="20" hidden="1">{"'Quadro'!$A$4:$BG$78"}</definedName>
    <definedName name="dsaf_1_2" hidden="1">{"'Quadro'!$A$4:$BG$78"}</definedName>
    <definedName name="dsaf_2" localSheetId="20" hidden="1">{"'Quadro'!$A$4:$BG$78"}</definedName>
    <definedName name="dsaf_2" hidden="1">{"'Quadro'!$A$4:$BG$78"}</definedName>
    <definedName name="dsafs">#REF!</definedName>
    <definedName name="dsafsad" localSheetId="20" hidden="1">{"'Quadro'!$A$4:$BG$78"}</definedName>
    <definedName name="dsafsad" hidden="1">{"'Quadro'!$A$4:$BG$78"}</definedName>
    <definedName name="dsafsad_1" localSheetId="20" hidden="1">{"'Quadro'!$A$4:$BG$78"}</definedName>
    <definedName name="dsafsad_1" hidden="1">{"'Quadro'!$A$4:$BG$78"}</definedName>
    <definedName name="dsafsad_1_1" localSheetId="20" hidden="1">{"'Quadro'!$A$4:$BG$78"}</definedName>
    <definedName name="dsafsad_1_1" hidden="1">{"'Quadro'!$A$4:$BG$78"}</definedName>
    <definedName name="dsafsad_1_1_1" localSheetId="20" hidden="1">{"'Quadro'!$A$4:$BG$78"}</definedName>
    <definedName name="dsafsad_1_1_1" hidden="1">{"'Quadro'!$A$4:$BG$78"}</definedName>
    <definedName name="dsafsad_1_2" localSheetId="20" hidden="1">{"'Quadro'!$A$4:$BG$78"}</definedName>
    <definedName name="dsafsad_1_2" hidden="1">{"'Quadro'!$A$4:$BG$78"}</definedName>
    <definedName name="dsafsad_2" localSheetId="20" hidden="1">{"'Quadro'!$A$4:$BG$78"}</definedName>
    <definedName name="dsafsad_2" hidden="1">{"'Quadro'!$A$4:$BG$78"}</definedName>
    <definedName name="dsalkjdkjsad" hidden="1">#REF!</definedName>
    <definedName name="dsc">[120]QuQuant!#REF!</definedName>
    <definedName name="Dsc_26">NA()</definedName>
    <definedName name="Dsc_27">NA()</definedName>
    <definedName name="DSCR_DEBT_EQUITY" hidden="1">#REF!-1 &amp; "." &amp; MAX(1,COUNTA(INDEX(#REF!,MATCH(#REF!-1,#REF!,FALSE)):#REF!))</definedName>
    <definedName name="dsda" localSheetId="20" hidden="1">{#N/A,#N/A,TRUE,"indice";#N/A,#N/A,TRUE,"indicadores";#N/A,#N/A,TRUE,"comentarios"}</definedName>
    <definedName name="dsda" hidden="1">{#N/A,#N/A,TRUE,"indice";#N/A,#N/A,TRUE,"indicadores";#N/A,#N/A,TRUE,"comentarios"}</definedName>
    <definedName name="dsda_1" localSheetId="20" hidden="1">{#N/A,#N/A,TRUE,"indice";#N/A,#N/A,TRUE,"indicadores";#N/A,#N/A,TRUE,"comentarios"}</definedName>
    <definedName name="dsda_1" hidden="1">{#N/A,#N/A,TRUE,"indice";#N/A,#N/A,TRUE,"indicadores";#N/A,#N/A,TRUE,"comentarios"}</definedName>
    <definedName name="dsda_1_1" localSheetId="20" hidden="1">{#N/A,#N/A,TRUE,"indice";#N/A,#N/A,TRUE,"indicadores";#N/A,#N/A,TRUE,"comentarios"}</definedName>
    <definedName name="dsda_1_1" hidden="1">{#N/A,#N/A,TRUE,"indice";#N/A,#N/A,TRUE,"indicadores";#N/A,#N/A,TRUE,"comentarios"}</definedName>
    <definedName name="dsda_1_1_1" localSheetId="20" hidden="1">{#N/A,#N/A,TRUE,"indice";#N/A,#N/A,TRUE,"indicadores";#N/A,#N/A,TRUE,"comentarios"}</definedName>
    <definedName name="dsda_1_1_1" hidden="1">{#N/A,#N/A,TRUE,"indice";#N/A,#N/A,TRUE,"indicadores";#N/A,#N/A,TRUE,"comentarios"}</definedName>
    <definedName name="dsda_1_2" localSheetId="20" hidden="1">{#N/A,#N/A,TRUE,"indice";#N/A,#N/A,TRUE,"indicadores";#N/A,#N/A,TRUE,"comentarios"}</definedName>
    <definedName name="dsda_1_2" hidden="1">{#N/A,#N/A,TRUE,"indice";#N/A,#N/A,TRUE,"indicadores";#N/A,#N/A,TRUE,"comentarios"}</definedName>
    <definedName name="dsda_2" localSheetId="20" hidden="1">{#N/A,#N/A,TRUE,"indice";#N/A,#N/A,TRUE,"indicadores";#N/A,#N/A,TRUE,"comentarios"}</definedName>
    <definedName name="dsda_2" hidden="1">{#N/A,#N/A,TRUE,"indice";#N/A,#N/A,TRUE,"indicadores";#N/A,#N/A,TRUE,"comentarios"}</definedName>
    <definedName name="dsfad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ASDFDasf" localSheetId="20" hidden="1">{"'REL CUSTODIF'!$B$1:$H$72"}</definedName>
    <definedName name="DSFASDFDasf" hidden="1">{"'REL CUSTODIF'!$B$1:$H$72"}</definedName>
    <definedName name="dsfed" localSheetId="20" hidden="1">{"'REL CUSTODIF'!$B$1:$H$72"}</definedName>
    <definedName name="dsfed" hidden="1">{"'REL CUSTODIF'!$B$1:$H$72"}</definedName>
    <definedName name="dsf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ipaul" localSheetId="20" hidden="1">{"'gráf jan00'!$A$1:$AK$41"}</definedName>
    <definedName name="dsipaul" hidden="1">{"'gráf jan00'!$A$1:$AK$41"}</definedName>
    <definedName name="dsipaul_1" localSheetId="20" hidden="1">{"'gráf jan00'!$A$1:$AK$41"}</definedName>
    <definedName name="dsipaul_1" hidden="1">{"'gráf jan00'!$A$1:$AK$41"}</definedName>
    <definedName name="dsipaul_1_1" localSheetId="20" hidden="1">{"'gráf jan00'!$A$1:$AK$41"}</definedName>
    <definedName name="dsipaul_1_1" hidden="1">{"'gráf jan00'!$A$1:$AK$41"}</definedName>
    <definedName name="dsipaul_1_1_1" localSheetId="20" hidden="1">{"'gráf jan00'!$A$1:$AK$41"}</definedName>
    <definedName name="dsipaul_1_1_1" hidden="1">{"'gráf jan00'!$A$1:$AK$41"}</definedName>
    <definedName name="dsipaul_1_2" localSheetId="20" hidden="1">{"'gráf jan00'!$A$1:$AK$41"}</definedName>
    <definedName name="dsipaul_1_2" hidden="1">{"'gráf jan00'!$A$1:$AK$41"}</definedName>
    <definedName name="dsipaul_2" localSheetId="20" hidden="1">{"'gráf jan00'!$A$1:$AK$41"}</definedName>
    <definedName name="dsipaul_2" hidden="1">{"'gráf jan00'!$A$1:$AK$41"}</definedName>
    <definedName name="dsoif" localSheetId="20" hidden="1">{"'gráf jan00'!$A$1:$AK$41"}</definedName>
    <definedName name="dsoif" hidden="1">{"'gráf jan00'!$A$1:$AK$41"}</definedName>
    <definedName name="dsoif_1" localSheetId="20" hidden="1">{"'gráf jan00'!$A$1:$AK$41"}</definedName>
    <definedName name="dsoif_1" hidden="1">{"'gráf jan00'!$A$1:$AK$41"}</definedName>
    <definedName name="dsoif_1_1" localSheetId="20" hidden="1">{"'gráf jan00'!$A$1:$AK$41"}</definedName>
    <definedName name="dsoif_1_1" hidden="1">{"'gráf jan00'!$A$1:$AK$41"}</definedName>
    <definedName name="dsoif_1_1_1" localSheetId="20" hidden="1">{"'gráf jan00'!$A$1:$AK$41"}</definedName>
    <definedName name="dsoif_1_1_1" hidden="1">{"'gráf jan00'!$A$1:$AK$41"}</definedName>
    <definedName name="dsoif_1_2" localSheetId="20" hidden="1">{"'gráf jan00'!$A$1:$AK$41"}</definedName>
    <definedName name="dsoif_1_2" hidden="1">{"'gráf jan00'!$A$1:$AK$41"}</definedName>
    <definedName name="dsoif_2" localSheetId="20" hidden="1">{"'gráf jan00'!$A$1:$AK$41"}</definedName>
    <definedName name="dsoif_2" hidden="1">{"'gráf jan00'!$A$1:$AK$41"}</definedName>
    <definedName name="dsolo">#REF!</definedName>
    <definedName name="dsrgdergdrg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SD" localSheetId="20" hidden="1">{#N/A,#N/A,FALSE,"ORC-ACKE";#N/A,#N/A,FALSE,"RESUMO"}</definedName>
    <definedName name="DSSD" hidden="1">{#N/A,#N/A,FALSE,"ORC-ACKE";#N/A,#N/A,FALSE,"RESUMO"}</definedName>
    <definedName name="dssssss" localSheetId="20" hidden="1">{"'gráf jan00'!$A$1:$AK$41"}</definedName>
    <definedName name="dssssss" hidden="1">{"'gráf jan00'!$A$1:$AK$41"}</definedName>
    <definedName name="dssssss_1" localSheetId="20" hidden="1">{"'gráf jan00'!$A$1:$AK$41"}</definedName>
    <definedName name="dssssss_1" hidden="1">{"'gráf jan00'!$A$1:$AK$41"}</definedName>
    <definedName name="dssssss_1_1" localSheetId="20" hidden="1">{"'gráf jan00'!$A$1:$AK$41"}</definedName>
    <definedName name="dssssss_1_1" hidden="1">{"'gráf jan00'!$A$1:$AK$41"}</definedName>
    <definedName name="dssssss_1_1_1" localSheetId="20" hidden="1">{"'gráf jan00'!$A$1:$AK$41"}</definedName>
    <definedName name="dssssss_1_1_1" hidden="1">{"'gráf jan00'!$A$1:$AK$41"}</definedName>
    <definedName name="dssssss_1_2" localSheetId="20" hidden="1">{"'gráf jan00'!$A$1:$AK$41"}</definedName>
    <definedName name="dssssss_1_2" hidden="1">{"'gráf jan00'!$A$1:$AK$41"}</definedName>
    <definedName name="dssssss_2" localSheetId="20" hidden="1">{"'gráf jan00'!$A$1:$AK$41"}</definedName>
    <definedName name="dssssss_2" hidden="1">{"'gráf jan00'!$A$1:$AK$41"}</definedName>
    <definedName name="dsvbgl" localSheetId="20" hidden="1">{"det (May)",#N/A,FALSE,"June";"sum (MAY YTD)",#N/A,FALSE,"June YTD"}</definedName>
    <definedName name="dsvbgl" hidden="1">{"det (May)",#N/A,FALSE,"June";"sum (MAY YTD)",#N/A,FALSE,"June YTD"}</definedName>
    <definedName name="dsvbgl_1" localSheetId="20" hidden="1">{"det (May)",#N/A,FALSE,"June";"sum (MAY YTD)",#N/A,FALSE,"June YTD"}</definedName>
    <definedName name="dsvbgl_1" hidden="1">{"det (May)",#N/A,FALSE,"June";"sum (MAY YTD)",#N/A,FALSE,"June YTD"}</definedName>
    <definedName name="dsvbgl_1_1" localSheetId="20" hidden="1">{"det (May)",#N/A,FALSE,"June";"sum (MAY YTD)",#N/A,FALSE,"June YTD"}</definedName>
    <definedName name="dsvbgl_1_1" hidden="1">{"det (May)",#N/A,FALSE,"June";"sum (MAY YTD)",#N/A,FALSE,"June YTD"}</definedName>
    <definedName name="dsvbgl_1_1_1" localSheetId="20" hidden="1">{"det (May)",#N/A,FALSE,"June";"sum (MAY YTD)",#N/A,FALSE,"June YTD"}</definedName>
    <definedName name="dsvbgl_1_1_1" hidden="1">{"det (May)",#N/A,FALSE,"June";"sum (MAY YTD)",#N/A,FALSE,"June YTD"}</definedName>
    <definedName name="dsvbgl_1_2" localSheetId="20" hidden="1">{"det (May)",#N/A,FALSE,"June";"sum (MAY YTD)",#N/A,FALSE,"June YTD"}</definedName>
    <definedName name="dsvbgl_1_2" hidden="1">{"det (May)",#N/A,FALSE,"June";"sum (MAY YTD)",#N/A,FALSE,"June YTD"}</definedName>
    <definedName name="dsvbgl_2" localSheetId="20" hidden="1">{"det (May)",#N/A,FALSE,"June";"sum (MAY YTD)",#N/A,FALSE,"June YTD"}</definedName>
    <definedName name="dsvbgl_2" hidden="1">{"det (May)",#N/A,FALSE,"June";"sum (MAY YTD)",#N/A,FALSE,"June YTD"}</definedName>
    <definedName name="DT_BF">#REF!</definedName>
    <definedName name="DT_BRITA_GAP">#REF!</definedName>
    <definedName name="DT_CASC">#REF!</definedName>
    <definedName name="DT_LIMP">#REF!</definedName>
    <definedName name="DT_OBRA">#REF!</definedName>
    <definedName name="DTF">#REF!</definedName>
    <definedName name="DTF_8" localSheetId="21">#REF!</definedName>
    <definedName name="DTF_8">#REF!</definedName>
    <definedName name="DTF_9" localSheetId="21">#REF!</definedName>
    <definedName name="DTF_9">#REF!</definedName>
    <definedName name="DTI">#REF!</definedName>
    <definedName name="DTI_8" localSheetId="21">#REF!</definedName>
    <definedName name="DTI_8">#REF!</definedName>
    <definedName name="DTI_9" localSheetId="21">#REF!</definedName>
    <definedName name="DTI_9">#REF!</definedName>
    <definedName name="DTMED">#REF!</definedName>
    <definedName name="Dtrecho">[16]CROQUIS!$K$36</definedName>
    <definedName name="DTUBOS">#REF!</definedName>
    <definedName name="DUCOL" localSheetId="20" hidden="1">{"'Plan1 (2)'!$A$5:$F$63"}</definedName>
    <definedName name="DUCOL" hidden="1">{"'Plan1 (2)'!$A$5:$F$63"}</definedName>
    <definedName name="DURAÇÃO_ETE">#REF!</definedName>
    <definedName name="DURAÇÃO_OBRA" localSheetId="21">#REF!</definedName>
    <definedName name="DURAÇÃO_OBRA">[94]Planejamento!#REF!</definedName>
    <definedName name="Dúvidas" localSheetId="20" hidden="1">{"'Quadro'!$A$4:$BG$78"}</definedName>
    <definedName name="Dúvidas" hidden="1">{"'Quadro'!$A$4:$BG$78"}</definedName>
    <definedName name="DV" localSheetId="20" hidden="1">{"'Quadro'!$A$4:$BG$78"}</definedName>
    <definedName name="DV" localSheetId="21">#REF!</definedName>
    <definedName name="DV">[121]motors!$A$15:$A$19</definedName>
    <definedName name="DV_1" localSheetId="20" hidden="1">{"'Quadro'!$A$4:$BG$78"}</definedName>
    <definedName name="DV_1" hidden="1">{"'Quadro'!$A$4:$BG$78"}</definedName>
    <definedName name="DV_1_1" localSheetId="20" hidden="1">{"'Quadro'!$A$4:$BG$78"}</definedName>
    <definedName name="DV_1_1" hidden="1">{"'Quadro'!$A$4:$BG$78"}</definedName>
    <definedName name="DV_1_1_1" localSheetId="20" hidden="1">{"'Quadro'!$A$4:$BG$78"}</definedName>
    <definedName name="DV_1_1_1" hidden="1">{"'Quadro'!$A$4:$BG$78"}</definedName>
    <definedName name="DV_1_2" localSheetId="20" hidden="1">{"'Quadro'!$A$4:$BG$78"}</definedName>
    <definedName name="DV_1_2" hidden="1">{"'Quadro'!$A$4:$BG$78"}</definedName>
    <definedName name="DV_2" localSheetId="20" hidden="1">{"'Quadro'!$A$4:$BG$78"}</definedName>
    <definedName name="DV_2" hidden="1">{"'Quadro'!$A$4:$BG$78"}</definedName>
    <definedName name="DVASDV" localSheetId="20" hidden="1">{"'REL CUSTODIF'!$B$1:$H$72"}</definedName>
    <definedName name="DVASDV" hidden="1">{"'REL CUSTODIF'!$B$1:$H$72"}</definedName>
    <definedName name="DVGFAZD" localSheetId="20" hidden="1">{"'REL CUSTODIF'!$B$1:$H$72"}</definedName>
    <definedName name="DVGFAZD" hidden="1">{"'REL CUSTODIF'!$B$1:$H$72"}</definedName>
    <definedName name="dvlnke" localSheetId="20" hidden="1">{"'gráf jan00'!$A$1:$AK$41"}</definedName>
    <definedName name="dvlnke" hidden="1">{"'gráf jan00'!$A$1:$AK$41"}</definedName>
    <definedName name="dvlnke_1" localSheetId="20" hidden="1">{"'gráf jan00'!$A$1:$AK$41"}</definedName>
    <definedName name="dvlnke_1" hidden="1">{"'gráf jan00'!$A$1:$AK$41"}</definedName>
    <definedName name="dvlnke_1_1" localSheetId="20" hidden="1">{"'gráf jan00'!$A$1:$AK$41"}</definedName>
    <definedName name="dvlnke_1_1" hidden="1">{"'gráf jan00'!$A$1:$AK$41"}</definedName>
    <definedName name="dvlnke_1_1_1" localSheetId="20" hidden="1">{"'gráf jan00'!$A$1:$AK$41"}</definedName>
    <definedName name="dvlnke_1_1_1" hidden="1">{"'gráf jan00'!$A$1:$AK$41"}</definedName>
    <definedName name="dvlnke_1_2" localSheetId="20" hidden="1">{"'gráf jan00'!$A$1:$AK$41"}</definedName>
    <definedName name="dvlnke_1_2" hidden="1">{"'gráf jan00'!$A$1:$AK$41"}</definedName>
    <definedName name="dvlnke_2" localSheetId="20" hidden="1">{"'gráf jan00'!$A$1:$AK$41"}</definedName>
    <definedName name="dvlnke_2" hidden="1">{"'gráf jan00'!$A$1:$AK$41"}</definedName>
    <definedName name="dwd" localSheetId="20" hidden="1">{"'Quadro'!$A$4:$BG$78"}</definedName>
    <definedName name="dwd" hidden="1">{"'Quadro'!$A$4:$BG$78"}</definedName>
    <definedName name="dwd_1" localSheetId="20" hidden="1">{"'Quadro'!$A$4:$BG$78"}</definedName>
    <definedName name="dwd_1" hidden="1">{"'Quadro'!$A$4:$BG$78"}</definedName>
    <definedName name="dwd_1_1" localSheetId="20" hidden="1">{"'Quadro'!$A$4:$BG$78"}</definedName>
    <definedName name="dwd_1_1" hidden="1">{"'Quadro'!$A$4:$BG$78"}</definedName>
    <definedName name="dwd_1_1_1" localSheetId="20" hidden="1">{"'Quadro'!$A$4:$BG$78"}</definedName>
    <definedName name="dwd_1_1_1" hidden="1">{"'Quadro'!$A$4:$BG$78"}</definedName>
    <definedName name="dwd_1_2" localSheetId="20" hidden="1">{"'Quadro'!$A$4:$BG$78"}</definedName>
    <definedName name="dwd_1_2" hidden="1">{"'Quadro'!$A$4:$BG$78"}</definedName>
    <definedName name="dwd_2" localSheetId="20" hidden="1">{"'Quadro'!$A$4:$BG$78"}</definedName>
    <definedName name="dwd_2" hidden="1">{"'Quadro'!$A$4:$BG$78"}</definedName>
    <definedName name="dwsdad" localSheetId="20" hidden="1">{"'ReceitaLiquidaME'!$AA$25:$AN$32"}</definedName>
    <definedName name="dwsdad" hidden="1">{"'ReceitaLiquidaME'!$AA$25:$AN$32"}</definedName>
    <definedName name="dwsdad_1" localSheetId="20" hidden="1">{"'ReceitaLiquidaME'!$AA$25:$AN$32"}</definedName>
    <definedName name="dwsdad_1" hidden="1">{"'ReceitaLiquidaME'!$AA$25:$AN$32"}</definedName>
    <definedName name="dwsdad_1_1" localSheetId="20" hidden="1">{"'ReceitaLiquidaME'!$AA$25:$AN$32"}</definedName>
    <definedName name="dwsdad_1_1" hidden="1">{"'ReceitaLiquidaME'!$AA$25:$AN$32"}</definedName>
    <definedName name="dwsdad_1_1_1" localSheetId="20" hidden="1">{"'ReceitaLiquidaME'!$AA$25:$AN$32"}</definedName>
    <definedName name="dwsdad_1_1_1" hidden="1">{"'ReceitaLiquidaME'!$AA$25:$AN$32"}</definedName>
    <definedName name="dwsdad_1_2" localSheetId="20" hidden="1">{"'ReceitaLiquidaME'!$AA$25:$AN$32"}</definedName>
    <definedName name="dwsdad_1_2" hidden="1">{"'ReceitaLiquidaME'!$AA$25:$AN$32"}</definedName>
    <definedName name="dwsdad_2" localSheetId="20" hidden="1">{"'ReceitaLiquidaME'!$AA$25:$AN$32"}</definedName>
    <definedName name="dwsdad_2" hidden="1">{"'ReceitaLiquidaME'!$AA$25:$AN$32"}</definedName>
    <definedName name="dxdxdx" localSheetId="20" hidden="1">{"'RR'!$A$2:$E$81"}</definedName>
    <definedName name="dxdxdx" hidden="1">{"'RR'!$A$2:$E$81"}</definedName>
    <definedName name="e">#REF!</definedName>
    <definedName name="e__cm">'[41]Fresagem de Pista Ago-98'!#REF!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 localSheetId="21">NA()</definedName>
    <definedName name="E_1">NA()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 localSheetId="21">NA()</definedName>
    <definedName name="E_2">NA()</definedName>
    <definedName name="E_208">#NAME?</definedName>
    <definedName name="E_208_1">#REF!</definedName>
    <definedName name="E_209">#NAME?</definedName>
    <definedName name="E_209_1">#REF!</definedName>
    <definedName name="E_3" localSheetId="21">NA()</definedName>
    <definedName name="E_3">NA()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0">'[42]Convert Lat, Long to UTM'!$C$21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1sq">'[42]Convert Lat, Long to UTM'!$C$11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4WR" localSheetId="2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A">#REF!</definedName>
    <definedName name="EA_1">#REF!</definedName>
    <definedName name="ea_1_1" localSheetId="20" hidden="1">{"'CptDifn'!$AA$32:$AG$32"}</definedName>
    <definedName name="ea_1_1" hidden="1">{"'CptDifn'!$AA$32:$AG$32"}</definedName>
    <definedName name="ea_1_1_1" localSheetId="20" hidden="1">{"'CptDifn'!$AA$32:$AG$32"}</definedName>
    <definedName name="ea_1_1_1" hidden="1">{"'CptDifn'!$AA$32:$AG$32"}</definedName>
    <definedName name="ea_1_2" localSheetId="20" hidden="1">{"'CptDifn'!$AA$32:$AG$32"}</definedName>
    <definedName name="ea_1_2" hidden="1">{"'CptDifn'!$AA$32:$AG$32"}</definedName>
    <definedName name="ea_2" localSheetId="20" hidden="1">{"'CptDifn'!$AA$32:$AG$32"}</definedName>
    <definedName name="ea_2" hidden="1">{"'CptDifn'!$AA$32:$AG$32"}</definedName>
    <definedName name="eai">#REF!</definedName>
    <definedName name="ECJ">#REF!</definedName>
    <definedName name="ECJ_11">#REF!</definedName>
    <definedName name="ECJ_12">#REF!</definedName>
    <definedName name="ECJ_13">#REF!</definedName>
    <definedName name="ECJ_15">#REF!</definedName>
    <definedName name="ECJ_2">#REF!</definedName>
    <definedName name="ECJ_4">#REF!</definedName>
    <definedName name="ECJ_5">#REF!</definedName>
    <definedName name="ECJ_6">#REF!</definedName>
    <definedName name="ECJ_7">#REF!</definedName>
    <definedName name="ECJ_8">#REF!</definedName>
    <definedName name="ECJ_9">#REF!</definedName>
    <definedName name="ECJJ">#REF!</definedName>
    <definedName name="ec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d" localSheetId="20" hidden="1">{"'CptDifn'!$AA$32:$AG$32"}</definedName>
    <definedName name="ed" hidden="1">{"'CptDifn'!$AA$32:$AG$32"}</definedName>
    <definedName name="ed_1" localSheetId="20" hidden="1">{"'CptDifn'!$AA$32:$AG$32"}</definedName>
    <definedName name="ed_1" hidden="1">{"'CptDifn'!$AA$32:$AG$32"}</definedName>
    <definedName name="ed_1_1" localSheetId="20" hidden="1">{"'CptDifn'!$AA$32:$AG$32"}</definedName>
    <definedName name="ed_1_1" hidden="1">{"'CptDifn'!$AA$32:$AG$32"}</definedName>
    <definedName name="ed_1_1_1" localSheetId="20" hidden="1">{"'CptDifn'!$AA$32:$AG$32"}</definedName>
    <definedName name="ed_1_1_1" hidden="1">{"'CptDifn'!$AA$32:$AG$32"}</definedName>
    <definedName name="ed_1_2" localSheetId="20" hidden="1">{"'CptDifn'!$AA$32:$AG$32"}</definedName>
    <definedName name="ed_1_2" hidden="1">{"'CptDifn'!$AA$32:$AG$32"}</definedName>
    <definedName name="ed_2" localSheetId="20" hidden="1">{"'CptDifn'!$AA$32:$AG$32"}</definedName>
    <definedName name="ed_2" hidden="1">{"'CptDifn'!$AA$32:$AG$32"}</definedName>
    <definedName name="EDC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DC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dc_1" localSheetId="20" hidden="1">{"'gráf jan00'!$A$1:$AK$41"}</definedName>
    <definedName name="edc_1" hidden="1">{"'gráf jan00'!$A$1:$AK$41"}</definedName>
    <definedName name="edc_1_1" localSheetId="20" hidden="1">{"'gráf jan00'!$A$1:$AK$41"}</definedName>
    <definedName name="edc_1_1" hidden="1">{"'gráf jan00'!$A$1:$AK$41"}</definedName>
    <definedName name="edc_1_1_1" localSheetId="20" hidden="1">{"'gráf jan00'!$A$1:$AK$41"}</definedName>
    <definedName name="edc_1_1_1" hidden="1">{"'gráf jan00'!$A$1:$AK$41"}</definedName>
    <definedName name="edc_1_2" localSheetId="20" hidden="1">{"'gráf jan00'!$A$1:$AK$41"}</definedName>
    <definedName name="edc_1_2" hidden="1">{"'gráf jan00'!$A$1:$AK$41"}</definedName>
    <definedName name="edc_2" localSheetId="20" hidden="1">{"'gráf jan00'!$A$1:$AK$41"}</definedName>
    <definedName name="edc_2" hidden="1">{"'gráf jan00'!$A$1:$AK$41"}</definedName>
    <definedName name="EDEDDC" localSheetId="20" hidden="1">{#N/A,#N/A,FALSE,"Cadastro";#N/A,#N/A,FALSE,"Diasmês";#N/A,#N/A,FALSE,"Refeição_3t";#N/A,#N/A,FALSE,"Refeição_Adm";#N/A,#N/A,FALSE,"Custo"}</definedName>
    <definedName name="EDEDDC" hidden="1">{#N/A,#N/A,FALSE,"Cadastro";#N/A,#N/A,FALSE,"Diasmês";#N/A,#N/A,FALSE,"Refeição_3t";#N/A,#N/A,FALSE,"Refeição_Adm";#N/A,#N/A,FALSE,"Custo"}</definedName>
    <definedName name="EDFREWRF" localSheetId="20" hidden="1">{"'REL CUSTODIF'!$B$1:$H$72"}</definedName>
    <definedName name="EDFREWRF" hidden="1">{"'REL CUSTODIF'!$B$1:$H$72"}</definedName>
    <definedName name="Edit" hidden="1">#REF!</definedName>
    <definedName name="EDITAL">[111]IDENTIFICAÇÃO!$D$3</definedName>
    <definedName name="edital_10">#REF!</definedName>
    <definedName name="edital_12">#REF!</definedName>
    <definedName name="edital_4">#REF!</definedName>
    <definedName name="edital_9">#REF!</definedName>
    <definedName name="edrty" localSheetId="20" hidden="1">{"'CptDifn'!$AA$32:$AG$32"}</definedName>
    <definedName name="edrty" hidden="1">{"'CptDifn'!$AA$32:$AG$32"}</definedName>
    <definedName name="edrty_1" localSheetId="20" hidden="1">{"'CptDifn'!$AA$32:$AG$32"}</definedName>
    <definedName name="edrty_1" hidden="1">{"'CptDifn'!$AA$32:$AG$32"}</definedName>
    <definedName name="edrty_1_1" localSheetId="20" hidden="1">{"'CptDifn'!$AA$32:$AG$32"}</definedName>
    <definedName name="edrty_1_1" hidden="1">{"'CptDifn'!$AA$32:$AG$32"}</definedName>
    <definedName name="edrty_1_1_1" localSheetId="20" hidden="1">{"'CptDifn'!$AA$32:$AG$32"}</definedName>
    <definedName name="edrty_1_1_1" hidden="1">{"'CptDifn'!$AA$32:$AG$32"}</definedName>
    <definedName name="edrty_1_2" localSheetId="20" hidden="1">{"'CptDifn'!$AA$32:$AG$32"}</definedName>
    <definedName name="edrty_1_2" hidden="1">{"'CptDifn'!$AA$32:$AG$32"}</definedName>
    <definedName name="edrty_2" localSheetId="20" hidden="1">{"'CptDifn'!$AA$32:$AG$32"}</definedName>
    <definedName name="edrty_2" hidden="1">{"'CptDifn'!$AA$32:$AG$32"}</definedName>
    <definedName name="EDUC" localSheetId="1">#REF!</definedName>
    <definedName name="EDUC">#REF!</definedName>
    <definedName name="Educativa" localSheetId="1">#REF!</definedName>
    <definedName name="Educativa">#REF!</definedName>
    <definedName name="Educativas" localSheetId="1">#REF!</definedName>
    <definedName name="Educativas">#REF!</definedName>
    <definedName name="ee" localSheetId="20">Plan1</definedName>
    <definedName name="ee" localSheetId="21">'Modelo 10.0 - Resumo e Quant.'!plan1</definedName>
    <definedName name="ee">Plan1</definedName>
    <definedName name="ee_1">#NAME?</definedName>
    <definedName name="ee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4" localSheetId="21">#REF!</definedName>
    <definedName name="ee_14">#REF!</definedName>
    <definedName name="ee_18" localSheetId="21">#REF!</definedName>
    <definedName name="ee_18">#REF!</definedName>
    <definedName name="ee_19" localSheetId="21">#REF!</definedName>
    <definedName name="ee_19">#REF!</definedName>
    <definedName name="ee_2" localSheetId="21">#REF!</definedName>
    <definedName name="ee_2">#REF!</definedName>
    <definedName name="ee_20" localSheetId="21">#REF!</definedName>
    <definedName name="ee_20">#REF!</definedName>
    <definedName name="ee_22" localSheetId="21">#REF!</definedName>
    <definedName name="ee_22">#REF!</definedName>
    <definedName name="EE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ee" localSheetId="21">#REF!</definedName>
    <definedName name="eee">[34]!eee</definedName>
    <definedName name="eeee">[34]!eeee</definedName>
    <definedName name="eeeee" localSheetId="21">#N/A</definedName>
    <definedName name="eeeee">#N/A</definedName>
    <definedName name="EEEEEE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EEEE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eeeee_1" localSheetId="20" hidden="1">{#N/A,#N/A,FALSE,"GRAF.";"USGV",#N/A,FALSE,"S-USGV";"MDE",#N/A,FALSE,"S-MDE";"BELGO",#N/A,FALSE,"S-BELGO";#N/A,#N/A,FALSE,"CAPA"}</definedName>
    <definedName name="eeeeee_1" hidden="1">{#N/A,#N/A,FALSE,"GRAF.";"USGV",#N/A,FALSE,"S-USGV";"MDE",#N/A,FALSE,"S-MDE";"BELGO",#N/A,FALSE,"S-BELGO";#N/A,#N/A,FALSE,"CAPA"}</definedName>
    <definedName name="eeeeee_1_1" localSheetId="20" hidden="1">{#N/A,#N/A,FALSE,"GRAF.";"USGV",#N/A,FALSE,"S-USGV";"MDE",#N/A,FALSE,"S-MDE";"BELGO",#N/A,FALSE,"S-BELGO";#N/A,#N/A,FALSE,"CAPA"}</definedName>
    <definedName name="eeeeee_1_1" hidden="1">{#N/A,#N/A,FALSE,"GRAF.";"USGV",#N/A,FALSE,"S-USGV";"MDE",#N/A,FALSE,"S-MDE";"BELGO",#N/A,FALSE,"S-BELGO";#N/A,#N/A,FALSE,"CAPA"}</definedName>
    <definedName name="eeeeee_1_1_1" localSheetId="20" hidden="1">{#N/A,#N/A,FALSE,"GRAF.";"USGV",#N/A,FALSE,"S-USGV";"MDE",#N/A,FALSE,"S-MDE";"BELGO",#N/A,FALSE,"S-BELGO";#N/A,#N/A,FALSE,"CAPA"}</definedName>
    <definedName name="eeeeee_1_1_1" hidden="1">{#N/A,#N/A,FALSE,"GRAF.";"USGV",#N/A,FALSE,"S-USGV";"MDE",#N/A,FALSE,"S-MDE";"BELGO",#N/A,FALSE,"S-BELGO";#N/A,#N/A,FALSE,"CAPA"}</definedName>
    <definedName name="eeeeee_1_2" localSheetId="20" hidden="1">{#N/A,#N/A,FALSE,"GRAF.";"USGV",#N/A,FALSE,"S-USGV";"MDE",#N/A,FALSE,"S-MDE";"BELGO",#N/A,FALSE,"S-BELGO";#N/A,#N/A,FALSE,"CAPA"}</definedName>
    <definedName name="eeeeee_1_2" hidden="1">{#N/A,#N/A,FALSE,"GRAF.";"USGV",#N/A,FALSE,"S-USGV";"MDE",#N/A,FALSE,"S-MDE";"BELGO",#N/A,FALSE,"S-BELGO";#N/A,#N/A,FALSE,"CAPA"}</definedName>
    <definedName name="eeeeee_2" localSheetId="20" hidden="1">{#N/A,#N/A,FALSE,"GRAF.";"USGV",#N/A,FALSE,"S-USGV";"MDE",#N/A,FALSE,"S-MDE";"BELGO",#N/A,FALSE,"S-BELGO";#N/A,#N/A,FALSE,"CAPA"}</definedName>
    <definedName name="eeeeee_2" hidden="1">{#N/A,#N/A,FALSE,"GRAF.";"USGV",#N/A,FALSE,"S-USGV";"MDE",#N/A,FALSE,"S-MDE";"BELGO",#N/A,FALSE,"S-BELGO";#N/A,#N/A,FALSE,"CAPA"}</definedName>
    <definedName name="EEGPZEHVUR" hidden="1">#REF!</definedName>
    <definedName name="eesdd" localSheetId="20" hidden="1">{#N/A,#N/A,TRUE,"indice";#N/A,#N/A,TRUE,"indicadores";#N/A,#N/A,TRUE,"comentarios"}</definedName>
    <definedName name="eesdd" hidden="1">{#N/A,#N/A,TRUE,"indice";#N/A,#N/A,TRUE,"indicadores";#N/A,#N/A,TRUE,"comentarios"}</definedName>
    <definedName name="eesdd_1" localSheetId="20" hidden="1">{#N/A,#N/A,TRUE,"indice";#N/A,#N/A,TRUE,"indicadores";#N/A,#N/A,TRUE,"comentarios"}</definedName>
    <definedName name="eesdd_1" hidden="1">{#N/A,#N/A,TRUE,"indice";#N/A,#N/A,TRUE,"indicadores";#N/A,#N/A,TRUE,"comentarios"}</definedName>
    <definedName name="eesdd_1_1" localSheetId="20" hidden="1">{#N/A,#N/A,TRUE,"indice";#N/A,#N/A,TRUE,"indicadores";#N/A,#N/A,TRUE,"comentarios"}</definedName>
    <definedName name="eesdd_1_1" hidden="1">{#N/A,#N/A,TRUE,"indice";#N/A,#N/A,TRUE,"indicadores";#N/A,#N/A,TRUE,"comentarios"}</definedName>
    <definedName name="eesdd_1_1_1" localSheetId="20" hidden="1">{#N/A,#N/A,TRUE,"indice";#N/A,#N/A,TRUE,"indicadores";#N/A,#N/A,TRUE,"comentarios"}</definedName>
    <definedName name="eesdd_1_1_1" hidden="1">{#N/A,#N/A,TRUE,"indice";#N/A,#N/A,TRUE,"indicadores";#N/A,#N/A,TRUE,"comentarios"}</definedName>
    <definedName name="eesdd_1_2" localSheetId="20" hidden="1">{#N/A,#N/A,TRUE,"indice";#N/A,#N/A,TRUE,"indicadores";#N/A,#N/A,TRUE,"comentarios"}</definedName>
    <definedName name="eesdd_1_2" hidden="1">{#N/A,#N/A,TRUE,"indice";#N/A,#N/A,TRUE,"indicadores";#N/A,#N/A,TRUE,"comentarios"}</definedName>
    <definedName name="eesdd_2" localSheetId="20" hidden="1">{#N/A,#N/A,TRUE,"indice";#N/A,#N/A,TRUE,"indicadores";#N/A,#N/A,TRUE,"comentarios"}</definedName>
    <definedName name="eesdd_2" hidden="1">{#N/A,#N/A,TRUE,"indice";#N/A,#N/A,TRUE,"indicadores";#N/A,#N/A,TRUE,"comentarios"}</definedName>
    <definedName name="eett" localSheetId="20" hidden="1">{"'CptDifn'!$AA$32:$AG$32"}</definedName>
    <definedName name="eett" hidden="1">{"'CptDifn'!$AA$32:$AG$32"}</definedName>
    <definedName name="eett_1" localSheetId="20" hidden="1">{"'CptDifn'!$AA$32:$AG$32"}</definedName>
    <definedName name="eett_1" hidden="1">{"'CptDifn'!$AA$32:$AG$32"}</definedName>
    <definedName name="eett_1_1" localSheetId="20" hidden="1">{"'CptDifn'!$AA$32:$AG$32"}</definedName>
    <definedName name="eett_1_1" hidden="1">{"'CptDifn'!$AA$32:$AG$32"}</definedName>
    <definedName name="eett_1_1_1" localSheetId="20" hidden="1">{"'CptDifn'!$AA$32:$AG$32"}</definedName>
    <definedName name="eett_1_1_1" hidden="1">{"'CptDifn'!$AA$32:$AG$32"}</definedName>
    <definedName name="eett_1_2" localSheetId="20" hidden="1">{"'CptDifn'!$AA$32:$AG$32"}</definedName>
    <definedName name="eett_1_2" hidden="1">{"'CptDifn'!$AA$32:$AG$32"}</definedName>
    <definedName name="eett_2" localSheetId="20" hidden="1">{"'CptDifn'!$AA$32:$AG$32"}</definedName>
    <definedName name="eett_2" hidden="1">{"'CptDifn'!$AA$32:$AG$32"}</definedName>
    <definedName name="ef" localSheetId="20" hidden="1">{#N/A,#N/A,FALSE,"BETER -1";#N/A,#N/A,FALSE,"BETER -2";#N/A,#N/A,FALSE,"BETER -3";#N/A,#N/A,FALSE,"BETER -urb";#N/A,#N/A,FALSE,"BETER -RESUMO"}</definedName>
    <definedName name="Ef" localSheetId="21">#REF!</definedName>
    <definedName name="Ef">#REF!</definedName>
    <definedName name="ef_1" localSheetId="20" hidden="1">{"'CptDifn'!$AA$32:$AG$32"}</definedName>
    <definedName name="ef_1" hidden="1">{"'CptDifn'!$AA$32:$AG$32"}</definedName>
    <definedName name="ef_1_1" localSheetId="20" hidden="1">{"'CptDifn'!$AA$32:$AG$32"}</definedName>
    <definedName name="ef_1_1" hidden="1">{"'CptDifn'!$AA$32:$AG$32"}</definedName>
    <definedName name="ef_1_1_1" localSheetId="20" hidden="1">{"'CptDifn'!$AA$32:$AG$32"}</definedName>
    <definedName name="ef_1_1_1" hidden="1">{"'CptDifn'!$AA$32:$AG$32"}</definedName>
    <definedName name="ef_1_2" localSheetId="20" hidden="1">{"'CptDifn'!$AA$32:$AG$32"}</definedName>
    <definedName name="ef_1_2" hidden="1">{"'CptDifn'!$AA$32:$AG$32"}</definedName>
    <definedName name="ef_2" localSheetId="20" hidden="1">{"'CptDifn'!$AA$32:$AG$32"}</definedName>
    <definedName name="ef_2" hidden="1">{"'CptDifn'!$AA$32:$AG$32"}</definedName>
    <definedName name="Efaixa">'[122]P A T O  D'!#REF!</definedName>
    <definedName name="Efaixa_1">"'file:///C:/Documents and Settings/mauricio.ferrao/Desktop/ARQUIVOS R96/EXCEL/PATOs/BR153_99.XLS'#$'P A T O  D'.$#REF!$#REF!"</definedName>
    <definedName name="Efaixa_3">'[123]P A T O  D'!#REF!</definedName>
    <definedName name="Efaixa_4">'[123]P A T O  D'!#REF!</definedName>
    <definedName name="Efaixa_5">'[123]P A T O  D'!#REF!</definedName>
    <definedName name="Efaixaa">'[124]P A T O  D'!#REF!</definedName>
    <definedName name="EFC" localSheetId="20" hidden="1">{"'RR'!$A$2:$E$81"}</definedName>
    <definedName name="EFC" hidden="1">{"'RR'!$A$2:$E$81"}</definedName>
    <definedName name="EFC_1" localSheetId="20" hidden="1">{"'RR'!$A$2:$E$81"}</definedName>
    <definedName name="EFC_1" hidden="1">{"'RR'!$A$2:$E$81"}</definedName>
    <definedName name="EFC_1_1" localSheetId="20" hidden="1">{"'RR'!$A$2:$E$81"}</definedName>
    <definedName name="EFC_1_1" hidden="1">{"'RR'!$A$2:$E$81"}</definedName>
    <definedName name="EFC_1_1_1" localSheetId="20" hidden="1">{"'RR'!$A$2:$E$81"}</definedName>
    <definedName name="EFC_1_1_1" hidden="1">{"'RR'!$A$2:$E$81"}</definedName>
    <definedName name="EFC_1_2" localSheetId="20" hidden="1">{"'RR'!$A$2:$E$81"}</definedName>
    <definedName name="EFC_1_2" hidden="1">{"'RR'!$A$2:$E$81"}</definedName>
    <definedName name="EFC_2" localSheetId="20" hidden="1">{"'RR'!$A$2:$E$81"}</definedName>
    <definedName name="EFC_2" hidden="1">{"'RR'!$A$2:$E$81"}</definedName>
    <definedName name="EFCEletron" localSheetId="20" hidden="1">{"'RR'!$A$2:$E$81"}</definedName>
    <definedName name="EFCEletron" hidden="1">{"'RR'!$A$2:$E$81"}</definedName>
    <definedName name="EFCEletron_1" localSheetId="20" hidden="1">{"'RR'!$A$2:$E$81"}</definedName>
    <definedName name="EFCEletron_1" hidden="1">{"'RR'!$A$2:$E$81"}</definedName>
    <definedName name="EFCEletron_1_1" localSheetId="20" hidden="1">{"'RR'!$A$2:$E$81"}</definedName>
    <definedName name="EFCEletron_1_1" hidden="1">{"'RR'!$A$2:$E$81"}</definedName>
    <definedName name="EFCEletron_1_1_1" localSheetId="20" hidden="1">{"'RR'!$A$2:$E$81"}</definedName>
    <definedName name="EFCEletron_1_1_1" hidden="1">{"'RR'!$A$2:$E$81"}</definedName>
    <definedName name="EFCEletron_1_2" localSheetId="20" hidden="1">{"'RR'!$A$2:$E$81"}</definedName>
    <definedName name="EFCEletron_1_2" hidden="1">{"'RR'!$A$2:$E$81"}</definedName>
    <definedName name="EFCEletron_2" localSheetId="20" hidden="1">{"'RR'!$A$2:$E$81"}</definedName>
    <definedName name="EFCEletron_2" hidden="1">{"'RR'!$A$2:$E$81"}</definedName>
    <definedName name="EFEQF" localSheetId="20" hidden="1">{"'REL CUSTODIF'!$B$1:$H$72"}</definedName>
    <definedName name="EFEQF" hidden="1">{"'REL CUSTODIF'!$B$1:$H$72"}</definedName>
    <definedName name="EF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mwakOPVAUQHNFVBPOI" localSheetId="20">{#N/A,#N/A,TRUE,"Serviços"}</definedName>
    <definedName name="efmwakOPVAUQHNFVBPOI">{#N/A,#N/A,TRUE,"Serviços"}</definedName>
    <definedName name="EFVM" localSheetId="20" hidden="1">{"'RR'!$A$2:$E$81"}</definedName>
    <definedName name="EFVM" hidden="1">{"'RR'!$A$2:$E$81"}</definedName>
    <definedName name="EFVM_1" localSheetId="20" hidden="1">{"'RR'!$A$2:$E$81"}</definedName>
    <definedName name="EFVM_1" hidden="1">{"'RR'!$A$2:$E$81"}</definedName>
    <definedName name="EFVM_1_1" localSheetId="20" hidden="1">{"'RR'!$A$2:$E$81"}</definedName>
    <definedName name="EFVM_1_1" hidden="1">{"'RR'!$A$2:$E$81"}</definedName>
    <definedName name="EFVM_1_1_1" localSheetId="20" hidden="1">{"'RR'!$A$2:$E$81"}</definedName>
    <definedName name="EFVM_1_1_1" hidden="1">{"'RR'!$A$2:$E$81"}</definedName>
    <definedName name="EFVM_1_2" localSheetId="20" hidden="1">{"'RR'!$A$2:$E$81"}</definedName>
    <definedName name="EFVM_1_2" hidden="1">{"'RR'!$A$2:$E$81"}</definedName>
    <definedName name="EFVM_2" localSheetId="20" hidden="1">{"'RR'!$A$2:$E$81"}</definedName>
    <definedName name="EFVM_2" hidden="1">{"'RR'!$A$2:$E$81"}</definedName>
    <definedName name="EFVM2" localSheetId="20" hidden="1">{"'RR'!$A$2:$E$81"}</definedName>
    <definedName name="EFVM2" hidden="1">{"'RR'!$A$2:$E$81"}</definedName>
    <definedName name="EFVM2_1" localSheetId="20" hidden="1">{"'RR'!$A$2:$E$81"}</definedName>
    <definedName name="EFVM2_1" hidden="1">{"'RR'!$A$2:$E$81"}</definedName>
    <definedName name="EFVM2_1_1" localSheetId="20" hidden="1">{"'RR'!$A$2:$E$81"}</definedName>
    <definedName name="EFVM2_1_1" hidden="1">{"'RR'!$A$2:$E$81"}</definedName>
    <definedName name="EFVM2_1_1_1" localSheetId="20" hidden="1">{"'RR'!$A$2:$E$81"}</definedName>
    <definedName name="EFVM2_1_1_1" hidden="1">{"'RR'!$A$2:$E$81"}</definedName>
    <definedName name="EFVM2_1_2" localSheetId="20" hidden="1">{"'RR'!$A$2:$E$81"}</definedName>
    <definedName name="EFVM2_1_2" hidden="1">{"'RR'!$A$2:$E$81"}</definedName>
    <definedName name="EFVM2_2" localSheetId="20" hidden="1">{"'RR'!$A$2:$E$81"}</definedName>
    <definedName name="EFVM2_2" hidden="1">{"'RR'!$A$2:$E$81"}</definedName>
    <definedName name="EFVM3" localSheetId="20" hidden="1">{"'RR'!$A$2:$E$81"}</definedName>
    <definedName name="EFVM3" hidden="1">{"'RR'!$A$2:$E$81"}</definedName>
    <definedName name="EFVM3_1" localSheetId="20" hidden="1">{"'RR'!$A$2:$E$81"}</definedName>
    <definedName name="EFVM3_1" hidden="1">{"'RR'!$A$2:$E$81"}</definedName>
    <definedName name="EFVM3_1_1" localSheetId="20" hidden="1">{"'RR'!$A$2:$E$81"}</definedName>
    <definedName name="EFVM3_1_1" hidden="1">{"'RR'!$A$2:$E$81"}</definedName>
    <definedName name="EFVM3_1_1_1" localSheetId="20" hidden="1">{"'RR'!$A$2:$E$81"}</definedName>
    <definedName name="EFVM3_1_1_1" hidden="1">{"'RR'!$A$2:$E$81"}</definedName>
    <definedName name="EFVM3_1_2" localSheetId="20" hidden="1">{"'RR'!$A$2:$E$81"}</definedName>
    <definedName name="EFVM3_1_2" hidden="1">{"'RR'!$A$2:$E$81"}</definedName>
    <definedName name="EFVM3_2" localSheetId="20" hidden="1">{"'RR'!$A$2:$E$81"}</definedName>
    <definedName name="EFVM3_2" hidden="1">{"'RR'!$A$2:$E$81"}</definedName>
    <definedName name="EFwegfWE" localSheetId="20" hidden="1">{#N/A,#N/A,FALSE,"Anexo I";#N/A,#N/A,FALSE,"Anexo II";#N/A,#N/A,FALSE,"Anexo III"}</definedName>
    <definedName name="EFwegfWE" hidden="1">{#N/A,#N/A,FALSE,"Anexo I";#N/A,#N/A,FALSE,"Anexo II";#N/A,#N/A,FALSE,"Anexo III"}</definedName>
    <definedName name="eg" localSheetId="20" hidden="1">{"'CptDifn'!$AA$32:$AG$32"}</definedName>
    <definedName name="eg" hidden="1">{"'CptDifn'!$AA$32:$AG$32"}</definedName>
    <definedName name="eg_1" localSheetId="20" hidden="1">{"'CptDifn'!$AA$32:$AG$32"}</definedName>
    <definedName name="eg_1" hidden="1">{"'CptDifn'!$AA$32:$AG$32"}</definedName>
    <definedName name="eg_1_1" localSheetId="20" hidden="1">{"'CptDifn'!$AA$32:$AG$32"}</definedName>
    <definedName name="eg_1_1" hidden="1">{"'CptDifn'!$AA$32:$AG$32"}</definedName>
    <definedName name="eg_1_1_1" localSheetId="20" hidden="1">{"'CptDifn'!$AA$32:$AG$32"}</definedName>
    <definedName name="eg_1_1_1" hidden="1">{"'CptDifn'!$AA$32:$AG$32"}</definedName>
    <definedName name="eg_1_2" localSheetId="20" hidden="1">{"'CptDifn'!$AA$32:$AG$32"}</definedName>
    <definedName name="eg_1_2" hidden="1">{"'CptDifn'!$AA$32:$AG$32"}</definedName>
    <definedName name="eg_2" localSheetId="20" hidden="1">{"'CptDifn'!$AA$32:$AG$32"}</definedName>
    <definedName name="eg_2" hidden="1">{"'CptDifn'!$AA$32:$AG$32"}</definedName>
    <definedName name="EGFewgfWEG" localSheetId="20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EGFewgfWEG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eh" localSheetId="20" hidden="1">{"'CptDifn'!$AA$32:$AG$32"}</definedName>
    <definedName name="eh" hidden="1">{"'CptDifn'!$AA$32:$AG$32"}</definedName>
    <definedName name="eh_1" localSheetId="20" hidden="1">{"'CptDifn'!$AA$32:$AG$32"}</definedName>
    <definedName name="eh_1" hidden="1">{"'CptDifn'!$AA$32:$AG$32"}</definedName>
    <definedName name="eh_1_1" localSheetId="20" hidden="1">{"'CptDifn'!$AA$32:$AG$32"}</definedName>
    <definedName name="eh_1_1" hidden="1">{"'CptDifn'!$AA$32:$AG$32"}</definedName>
    <definedName name="Ei">#REF!</definedName>
    <definedName name="eirhg" localSheetId="20" hidden="1">{"det (May)",#N/A,FALSE,"June";"sum (MAY YTD)",#N/A,FALSE,"June YTD"}</definedName>
    <definedName name="eirhg" hidden="1">{"det (May)",#N/A,FALSE,"June";"sum (MAY YTD)",#N/A,FALSE,"June YTD"}</definedName>
    <definedName name="eirhg_1" localSheetId="20" hidden="1">{"det (May)",#N/A,FALSE,"June";"sum (MAY YTD)",#N/A,FALSE,"June YTD"}</definedName>
    <definedName name="eirhg_1" hidden="1">{"det (May)",#N/A,FALSE,"June";"sum (MAY YTD)",#N/A,FALSE,"June YTD"}</definedName>
    <definedName name="eirhg_1_1" localSheetId="20" hidden="1">{"det (May)",#N/A,FALSE,"June";"sum (MAY YTD)",#N/A,FALSE,"June YTD"}</definedName>
    <definedName name="eirhg_1_1" hidden="1">{"det (May)",#N/A,FALSE,"June";"sum (MAY YTD)",#N/A,FALSE,"June YTD"}</definedName>
    <definedName name="eirhg_1_1_1" localSheetId="20" hidden="1">{"det (May)",#N/A,FALSE,"June";"sum (MAY YTD)",#N/A,FALSE,"June YTD"}</definedName>
    <definedName name="eirhg_1_1_1" hidden="1">{"det (May)",#N/A,FALSE,"June";"sum (MAY YTD)",#N/A,FALSE,"June YTD"}</definedName>
    <definedName name="eirhg_1_2" localSheetId="20" hidden="1">{"det (May)",#N/A,FALSE,"June";"sum (MAY YTD)",#N/A,FALSE,"June YTD"}</definedName>
    <definedName name="eirhg_1_2" hidden="1">{"det (May)",#N/A,FALSE,"June";"sum (MAY YTD)",#N/A,FALSE,"June YTD"}</definedName>
    <definedName name="eirhg_2" localSheetId="20" hidden="1">{"det (May)",#N/A,FALSE,"June";"sum (MAY YTD)",#N/A,FALSE,"June YTD"}</definedName>
    <definedName name="eirhg_2" hidden="1">{"det (May)",#N/A,FALSE,"June";"sum (MAY YTD)",#N/A,FALSE,"June YTD"}</definedName>
    <definedName name="eirnf" localSheetId="20" hidden="1">{"det (May)",#N/A,FALSE,"June";"sum (MAY YTD)",#N/A,FALSE,"June YTD"}</definedName>
    <definedName name="eirnf" hidden="1">{"det (May)",#N/A,FALSE,"June";"sum (MAY YTD)",#N/A,FALSE,"June YTD"}</definedName>
    <definedName name="eirnf_1" localSheetId="20" hidden="1">{"det (May)",#N/A,FALSE,"June";"sum (MAY YTD)",#N/A,FALSE,"June YTD"}</definedName>
    <definedName name="eirnf_1" hidden="1">{"det (May)",#N/A,FALSE,"June";"sum (MAY YTD)",#N/A,FALSE,"June YTD"}</definedName>
    <definedName name="eirnf_1_1" localSheetId="20" hidden="1">{"det (May)",#N/A,FALSE,"June";"sum (MAY YTD)",#N/A,FALSE,"June YTD"}</definedName>
    <definedName name="eirnf_1_1" hidden="1">{"det (May)",#N/A,FALSE,"June";"sum (MAY YTD)",#N/A,FALSE,"June YTD"}</definedName>
    <definedName name="eirnf_1_1_1" localSheetId="20" hidden="1">{"det (May)",#N/A,FALSE,"June";"sum (MAY YTD)",#N/A,FALSE,"June YTD"}</definedName>
    <definedName name="eirnf_1_1_1" hidden="1">{"det (May)",#N/A,FALSE,"June";"sum (MAY YTD)",#N/A,FALSE,"June YTD"}</definedName>
    <definedName name="eirnf_1_2" localSheetId="20" hidden="1">{"det (May)",#N/A,FALSE,"June";"sum (MAY YTD)",#N/A,FALSE,"June YTD"}</definedName>
    <definedName name="eirnf_1_2" hidden="1">{"det (May)",#N/A,FALSE,"June";"sum (MAY YTD)",#N/A,FALSE,"June YTD"}</definedName>
    <definedName name="eirnf_2" localSheetId="20" hidden="1">{"det (May)",#N/A,FALSE,"June";"sum (MAY YTD)",#N/A,FALSE,"June YTD"}</definedName>
    <definedName name="eirnf_2" hidden="1">{"det (May)",#N/A,FALSE,"June";"sum (MAY YTD)",#N/A,FALSE,"June YTD"}</definedName>
    <definedName name="EJ">#REF!</definedName>
    <definedName name="EJ_1">#REF!</definedName>
    <definedName name="ej_1_1" localSheetId="20" hidden="1">{"'CptDifn'!$AA$32:$AG$32"}</definedName>
    <definedName name="ej_1_1" hidden="1">{"'CptDifn'!$AA$32:$AG$32"}</definedName>
    <definedName name="ej_1_1_1" localSheetId="20" hidden="1">{"'CptDifn'!$AA$32:$AG$32"}</definedName>
    <definedName name="ej_1_1_1" hidden="1">{"'CptDifn'!$AA$32:$AG$32"}</definedName>
    <definedName name="ej_1_2" localSheetId="20" hidden="1">{"'CptDifn'!$AA$32:$AG$32"}</definedName>
    <definedName name="ej_1_2" hidden="1">{"'CptDifn'!$AA$32:$AG$32"}</definedName>
    <definedName name="EJ_11">#REF!</definedName>
    <definedName name="EJ_12">#REF!</definedName>
    <definedName name="EJ_13">#REF!</definedName>
    <definedName name="EJ_15">#REF!</definedName>
    <definedName name="ej_2" localSheetId="20" hidden="1">{"'CptDifn'!$AA$32:$AG$32"}</definedName>
    <definedName name="EJ_2" localSheetId="21">#REF!</definedName>
    <definedName name="EJ_2">#REF!</definedName>
    <definedName name="EJ_4">#REF!</definedName>
    <definedName name="EJ_5">#REF!</definedName>
    <definedName name="EJ_6">#REF!</definedName>
    <definedName name="EJ_7">#REF!</definedName>
    <definedName name="EJ_8">#REF!</definedName>
    <definedName name="EJ_9">#REF!</definedName>
    <definedName name="EJI" localSheetId="20" hidden="1">{"'Quadro'!$A$4:$BG$78"}</definedName>
    <definedName name="EJI" hidden="1">{"'Quadro'!$A$4:$BG$78"}</definedName>
    <definedName name="EJI_1" localSheetId="20" hidden="1">{"'Quadro'!$A$4:$BG$78"}</definedName>
    <definedName name="EJI_1" hidden="1">{"'Quadro'!$A$4:$BG$78"}</definedName>
    <definedName name="EJI_1_1" localSheetId="20" hidden="1">{"'Quadro'!$A$4:$BG$78"}</definedName>
    <definedName name="EJI_1_1" hidden="1">{"'Quadro'!$A$4:$BG$78"}</definedName>
    <definedName name="EJI_1_1_1" localSheetId="20" hidden="1">{"'Quadro'!$A$4:$BG$78"}</definedName>
    <definedName name="EJI_1_1_1" hidden="1">{"'Quadro'!$A$4:$BG$78"}</definedName>
    <definedName name="EJI_1_2" localSheetId="20" hidden="1">{"'Quadro'!$A$4:$BG$78"}</definedName>
    <definedName name="EJI_1_2" hidden="1">{"'Quadro'!$A$4:$BG$78"}</definedName>
    <definedName name="EJI_2" localSheetId="20" hidden="1">{"'Quadro'!$A$4:$BG$78"}</definedName>
    <definedName name="EJI_2" hidden="1">{"'Quadro'!$A$4:$BG$78"}</definedName>
    <definedName name="EJJ">#REF!</definedName>
    <definedName name="Eletric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ISTA">#NAME?</definedName>
    <definedName name="eli" localSheetId="20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kjfds" localSheetId="20" hidden="1">{"'gráf jan00'!$A$1:$AK$41"}</definedName>
    <definedName name="elkjfds" hidden="1">{"'gráf jan00'!$A$1:$AK$41"}</definedName>
    <definedName name="elkjfds_1" localSheetId="20" hidden="1">{"'gráf jan00'!$A$1:$AK$41"}</definedName>
    <definedName name="elkjfds_1" hidden="1">{"'gráf jan00'!$A$1:$AK$41"}</definedName>
    <definedName name="elkjfds_1_1" localSheetId="20" hidden="1">{"'gráf jan00'!$A$1:$AK$41"}</definedName>
    <definedName name="elkjfds_1_1" hidden="1">{"'gráf jan00'!$A$1:$AK$41"}</definedName>
    <definedName name="elkjfds_1_1_1" localSheetId="20" hidden="1">{"'gráf jan00'!$A$1:$AK$41"}</definedName>
    <definedName name="elkjfds_1_1_1" hidden="1">{"'gráf jan00'!$A$1:$AK$41"}</definedName>
    <definedName name="elkjfds_1_2" localSheetId="20" hidden="1">{"'gráf jan00'!$A$1:$AK$41"}</definedName>
    <definedName name="elkjfds_1_2" hidden="1">{"'gráf jan00'!$A$1:$AK$41"}</definedName>
    <definedName name="elkjfds_2" localSheetId="20" hidden="1">{"'gráf jan00'!$A$1:$AK$41"}</definedName>
    <definedName name="elkjfds_2" hidden="1">{"'gráf jan00'!$A$1:$AK$41"}</definedName>
    <definedName name="Elton" localSheetId="20" hidden="1">{"'RR'!$A$2:$E$81"}</definedName>
    <definedName name="Elton" hidden="1">{"'RR'!$A$2:$E$81"}</definedName>
    <definedName name="Em">#REF!</definedName>
    <definedName name="EMN">#REF!</definedName>
    <definedName name="EmpAux" hidden="1">""</definedName>
    <definedName name="EmpMn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r" hidden="1">#REF!</definedName>
    <definedName name="Empresa">#REF!</definedName>
    <definedName name="emul">#NAME?</definedName>
    <definedName name="EMULPOL">'[85]CUSTO MATERIAL'!$F$28</definedName>
    <definedName name="EMULPOLROO">'[85]CALCULOS AUXILIARES'!$E$42</definedName>
    <definedName name="EMW">#REF!</definedName>
    <definedName name="EMWA">#REF!</definedName>
    <definedName name="enc">#REF!</definedName>
    <definedName name="ENERGIA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localSheetId="20" hidden="1">{#N/A,#N/A,FALSE,"MO (2)"}</definedName>
    <definedName name="eng." hidden="1">{#N/A,#N/A,FALSE,"MO (2)"}</definedName>
    <definedName name="ENGENHARIA" localSheetId="20" hidden="1">{#N/A,#N/A,FALSE,"MO (2)"}</definedName>
    <definedName name="ENGENHARIA" hidden="1">{#N/A,#N/A,FALSE,"MO (2)"}</definedName>
    <definedName name="ENGEVIX">#REF!</definedName>
    <definedName name="ENLEIV">#REF!</definedName>
    <definedName name="ENLEIV_10">#REF!</definedName>
    <definedName name="ENLEIV_12">#REF!</definedName>
    <definedName name="ENLEIV_9">#REF!</definedName>
    <definedName name="Enrocamento" localSheetId="20">Plan1</definedName>
    <definedName name="Enrocamento" localSheetId="21">'Modelo 10.0 - Resumo e Quant.'!plan1</definedName>
    <definedName name="Enrocamento">Plan1</definedName>
    <definedName name="Enrocamento_1">#NAME?</definedName>
    <definedName name="Enrocamento_14" localSheetId="21">#REF!</definedName>
    <definedName name="Enrocamento_14">#REF!</definedName>
    <definedName name="Enrocamento_18" localSheetId="21">#REF!</definedName>
    <definedName name="Enrocamento_18">#REF!</definedName>
    <definedName name="Enrocamento_19" localSheetId="21">#REF!</definedName>
    <definedName name="Enrocamento_19">#REF!</definedName>
    <definedName name="Enrocamento_2" localSheetId="21">#REF!</definedName>
    <definedName name="Enrocamento_2">#REF!</definedName>
    <definedName name="Enrocamento_20" localSheetId="21">#REF!</definedName>
    <definedName name="Enrocamento_20">#REF!</definedName>
    <definedName name="Enrocamento_22" localSheetId="21">#REF!</definedName>
    <definedName name="Enrocamento_22">#REF!</definedName>
    <definedName name="Enrocamentos" localSheetId="20" hidden="1">{#N/A,#N/A,TRUE,"Plan1"}</definedName>
    <definedName name="Enrocamentos" hidden="1">{#N/A,#N/A,TRUE,"Plan1"}</definedName>
    <definedName name="Entrega">#REF!</definedName>
    <definedName name="ENTUPIMENTO_AN">#REF!</definedName>
    <definedName name="ENTUPIMENTO_AT">#REF!</definedName>
    <definedName name="ep">'[16]Mão de Obra'!$E$15</definedName>
    <definedName name="EQ" localSheetId="21" hidden="1">#REF!</definedName>
    <definedName name="EQ" hidden="1">#REF!</definedName>
    <definedName name="EQ_LEVES">#REF!</definedName>
    <definedName name="EQ_PESADOS">#REF!</definedName>
    <definedName name="Eqel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P" localSheetId="21">#REF!</definedName>
    <definedName name="EQP">[37]COMPOS1!#REF!</definedName>
    <definedName name="EQPM">'[52]Q-01'!#REF!</definedName>
    <definedName name="EQPTOS">#REF!</definedName>
    <definedName name="Equatorial" localSheetId="20" hidden="1">{#N/A,#N/A,FALSE,"TOTAL"}</definedName>
    <definedName name="Equatorial" hidden="1">{#N/A,#N/A,FALSE,"TOTAL"}</definedName>
    <definedName name="Equatorial_1" localSheetId="20" hidden="1">{#N/A,#N/A,FALSE,"TOTAL"}</definedName>
    <definedName name="Equatorial_1" hidden="1">{#N/A,#N/A,FALSE,"TOTAL"}</definedName>
    <definedName name="Equatorial_1_1" localSheetId="20" hidden="1">{#N/A,#N/A,FALSE,"TOTAL"}</definedName>
    <definedName name="Equatorial_1_1" hidden="1">{#N/A,#N/A,FALSE,"TOTAL"}</definedName>
    <definedName name="Equatorial_1_1_1" localSheetId="20" hidden="1">{#N/A,#N/A,FALSE,"TOTAL"}</definedName>
    <definedName name="Equatorial_1_1_1" hidden="1">{#N/A,#N/A,FALSE,"TOTAL"}</definedName>
    <definedName name="Equatorial_1_2" localSheetId="20" hidden="1">{#N/A,#N/A,FALSE,"TOTAL"}</definedName>
    <definedName name="Equatorial_1_2" hidden="1">{#N/A,#N/A,FALSE,"TOTAL"}</definedName>
    <definedName name="Equatorial_2" localSheetId="20" hidden="1">{#N/A,#N/A,FALSE,"TOTAL"}</definedName>
    <definedName name="Equatorial_2" hidden="1">{#N/A,#N/A,FALSE,"TOTAL"}</definedName>
    <definedName name="equip">#REF!</definedName>
    <definedName name="Equip_dados">[125]BD_Equipamentos!$E$8:$R$137</definedName>
    <definedName name="EQUIP_LEVE">#REF!</definedName>
    <definedName name="EQUIP_PESADO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>#REF!</definedName>
    <definedName name="equipp">#REF!</definedName>
    <definedName name="E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r" localSheetId="21" hidden="1">#REF!</definedName>
    <definedName name="er" hidden="1">[126]Poço!#REF!</definedName>
    <definedName name="er_1" localSheetId="20" hidden="1">{"'gráf jan00'!$A$1:$AK$41"}</definedName>
    <definedName name="er_1" hidden="1">{"'gráf jan00'!$A$1:$AK$41"}</definedName>
    <definedName name="er_1_1" localSheetId="20" hidden="1">{"'gráf jan00'!$A$1:$AK$41"}</definedName>
    <definedName name="er_1_1" hidden="1">{"'gráf jan00'!$A$1:$AK$41"}</definedName>
    <definedName name="er_1_1_1" localSheetId="20" hidden="1">{"'gráf jan00'!$A$1:$AK$41"}</definedName>
    <definedName name="er_1_1_1" hidden="1">{"'gráf jan00'!$A$1:$AK$41"}</definedName>
    <definedName name="er_1_2" localSheetId="20" hidden="1">{"'gráf jan00'!$A$1:$AK$41"}</definedName>
    <definedName name="er_1_2" hidden="1">{"'gráf jan00'!$A$1:$AK$41"}</definedName>
    <definedName name="er_2" localSheetId="20" hidden="1">{"'gráf jan00'!$A$1:$AK$41"}</definedName>
    <definedName name="er_2" hidden="1">{"'gráf jan00'!$A$1:$AK$41"}</definedName>
    <definedName name="ERA" localSheetId="20" hidden="1">{#N/A,#N/A,FALSE,"ORC-ACKE";#N/A,#N/A,FALSE,"RESUMO"}</definedName>
    <definedName name="ERA" hidden="1">{#N/A,#N/A,FALSE,"ORC-ACKE";#N/A,#N/A,FALSE,"RESUMO"}</definedName>
    <definedName name="erb" localSheetId="20" hidden="1">{"'Quadro'!$A$4:$BG$78"}</definedName>
    <definedName name="erb" hidden="1">{"'Quadro'!$A$4:$BG$78"}</definedName>
    <definedName name="erb_1" localSheetId="20" hidden="1">{"'Quadro'!$A$4:$BG$78"}</definedName>
    <definedName name="erb_1" hidden="1">{"'Quadro'!$A$4:$BG$78"}</definedName>
    <definedName name="erb_1_1" localSheetId="20" hidden="1">{"'Quadro'!$A$4:$BG$78"}</definedName>
    <definedName name="erb_1_1" hidden="1">{"'Quadro'!$A$4:$BG$78"}</definedName>
    <definedName name="erb_1_1_1" localSheetId="20" hidden="1">{"'Quadro'!$A$4:$BG$78"}</definedName>
    <definedName name="erb_1_1_1" hidden="1">{"'Quadro'!$A$4:$BG$78"}</definedName>
    <definedName name="erb_1_2" localSheetId="20" hidden="1">{"'Quadro'!$A$4:$BG$78"}</definedName>
    <definedName name="erb_1_2" hidden="1">{"'Quadro'!$A$4:$BG$78"}</definedName>
    <definedName name="erb_2" localSheetId="20" hidden="1">{"'Quadro'!$A$4:$BG$78"}</definedName>
    <definedName name="erb_2" hidden="1">{"'Quadro'!$A$4:$BG$78"}</definedName>
    <definedName name="erc" localSheetId="20" hidden="1">{"'RR'!$A$2:$E$81"}</definedName>
    <definedName name="erc" hidden="1">{"'RR'!$A$2:$E$81"}</definedName>
    <definedName name="erc_1" localSheetId="20" hidden="1">{"'RR'!$A$2:$E$81"}</definedName>
    <definedName name="erc_1" hidden="1">{"'RR'!$A$2:$E$81"}</definedName>
    <definedName name="erc_1_1" localSheetId="20" hidden="1">{"'RR'!$A$2:$E$81"}</definedName>
    <definedName name="erc_1_1" hidden="1">{"'RR'!$A$2:$E$81"}</definedName>
    <definedName name="erc_1_1_1" localSheetId="20" hidden="1">{"'RR'!$A$2:$E$81"}</definedName>
    <definedName name="erc_1_1_1" hidden="1">{"'RR'!$A$2:$E$81"}</definedName>
    <definedName name="erc_1_2" localSheetId="20" hidden="1">{"'RR'!$A$2:$E$81"}</definedName>
    <definedName name="erc_1_2" hidden="1">{"'RR'!$A$2:$E$81"}</definedName>
    <definedName name="erc_2" localSheetId="20" hidden="1">{"'RR'!$A$2:$E$81"}</definedName>
    <definedName name="erc_2" hidden="1">{"'RR'!$A$2:$E$81"}</definedName>
    <definedName name="erdfg" localSheetId="20" hidden="1">{"'gráf jan00'!$A$1:$AK$41"}</definedName>
    <definedName name="erdfg" hidden="1">{"'gráf jan00'!$A$1:$AK$41"}</definedName>
    <definedName name="erdfg_1" localSheetId="20" hidden="1">{"'gráf jan00'!$A$1:$AK$41"}</definedName>
    <definedName name="erdfg_1" hidden="1">{"'gráf jan00'!$A$1:$AK$41"}</definedName>
    <definedName name="erdfg_1_1" localSheetId="20" hidden="1">{"'gráf jan00'!$A$1:$AK$41"}</definedName>
    <definedName name="erdfg_1_1" hidden="1">{"'gráf jan00'!$A$1:$AK$41"}</definedName>
    <definedName name="erdfg_1_1_1" localSheetId="20" hidden="1">{"'gráf jan00'!$A$1:$AK$41"}</definedName>
    <definedName name="erdfg_1_1_1" hidden="1">{"'gráf jan00'!$A$1:$AK$41"}</definedName>
    <definedName name="erdfg_1_2" localSheetId="20" hidden="1">{"'gráf jan00'!$A$1:$AK$41"}</definedName>
    <definedName name="erdfg_1_2" hidden="1">{"'gráf jan00'!$A$1:$AK$41"}</definedName>
    <definedName name="erdfg_2" localSheetId="20" hidden="1">{"'gráf jan00'!$A$1:$AK$41"}</definedName>
    <definedName name="erdfg_2" hidden="1">{"'gráf jan00'!$A$1:$AK$41"}</definedName>
    <definedName name="ERDQWD" localSheetId="20" hidden="1">{"'REL CUSTODIF'!$B$1:$H$72"}</definedName>
    <definedName name="ERDQWD" hidden="1">{"'REL CUSTODIF'!$B$1:$H$72"}</definedName>
    <definedName name="ereerer" localSheetId="20" hidden="1">{#N/A,#N/A,FALSE,"MO (2)"}</definedName>
    <definedName name="ereerer" hidden="1">{#N/A,#N/A,FALSE,"MO (2)"}</definedName>
    <definedName name="erewq">#REF!</definedName>
    <definedName name="EROSOES" localSheetId="20" hidden="1">{#N/A,#N/A,TRUE,"Serviços"}</definedName>
    <definedName name="EROSOES" hidden="1">{#N/A,#N/A,TRUE,"Serviços"}</definedName>
    <definedName name="eroweir" localSheetId="20" hidden="1">{"det (May)",#N/A,FALSE,"June";"sum (MAY YTD)",#N/A,FALSE,"June YTD"}</definedName>
    <definedName name="eroweir" hidden="1">{"det (May)",#N/A,FALSE,"June";"sum (MAY YTD)",#N/A,FALSE,"June YTD"}</definedName>
    <definedName name="eroweir_1" localSheetId="20" hidden="1">{"det (May)",#N/A,FALSE,"June";"sum (MAY YTD)",#N/A,FALSE,"June YTD"}</definedName>
    <definedName name="eroweir_1" hidden="1">{"det (May)",#N/A,FALSE,"June";"sum (MAY YTD)",#N/A,FALSE,"June YTD"}</definedName>
    <definedName name="eroweir_1_1" localSheetId="20" hidden="1">{"det (May)",#N/A,FALSE,"June";"sum (MAY YTD)",#N/A,FALSE,"June YTD"}</definedName>
    <definedName name="eroweir_1_1" hidden="1">{"det (May)",#N/A,FALSE,"June";"sum (MAY YTD)",#N/A,FALSE,"June YTD"}</definedName>
    <definedName name="eroweir_1_1_1" localSheetId="20" hidden="1">{"det (May)",#N/A,FALSE,"June";"sum (MAY YTD)",#N/A,FALSE,"June YTD"}</definedName>
    <definedName name="eroweir_1_1_1" hidden="1">{"det (May)",#N/A,FALSE,"June";"sum (MAY YTD)",#N/A,FALSE,"June YTD"}</definedName>
    <definedName name="eroweir_1_2" localSheetId="20" hidden="1">{"det (May)",#N/A,FALSE,"June";"sum (MAY YTD)",#N/A,FALSE,"June YTD"}</definedName>
    <definedName name="eroweir_1_2" hidden="1">{"det (May)",#N/A,FALSE,"June";"sum (MAY YTD)",#N/A,FALSE,"June YTD"}</definedName>
    <definedName name="eroweir_2" localSheetId="20" hidden="1">{"det (May)",#N/A,FALSE,"June";"sum (MAY YTD)",#N/A,FALSE,"June YTD"}</definedName>
    <definedName name="eroweir_2" hidden="1">{"det (May)",#N/A,FALSE,"June";"sum (MAY YTD)",#N/A,FALSE,"June YTD"}</definedName>
    <definedName name="ERQ4TRWER" localSheetId="20" hidden="1">{"'REL CUSTODIF'!$B$1:$H$72"}</definedName>
    <definedName name="ERQ4TRWER" hidden="1">{"'REL CUSTODIF'!$B$1:$H$72"}</definedName>
    <definedName name="ERQEER" localSheetId="20" hidden="1">{"'REL CUSTODIF'!$B$1:$H$72"}</definedName>
    <definedName name="ERQEER" hidden="1">{"'REL CUSTODIF'!$B$1:$H$72"}</definedName>
    <definedName name="erqwttew" localSheetId="20" hidden="1">{"'gráf jan00'!$A$1:$AK$41"}</definedName>
    <definedName name="erqwttew" hidden="1">{"'gráf jan00'!$A$1:$AK$41"}</definedName>
    <definedName name="erqwttew_1" localSheetId="20" hidden="1">{"'gráf jan00'!$A$1:$AK$41"}</definedName>
    <definedName name="erqwttew_1" hidden="1">{"'gráf jan00'!$A$1:$AK$41"}</definedName>
    <definedName name="erqwttew_1_1" localSheetId="20" hidden="1">{"'gráf jan00'!$A$1:$AK$41"}</definedName>
    <definedName name="erqwttew_1_1" hidden="1">{"'gráf jan00'!$A$1:$AK$41"}</definedName>
    <definedName name="erqwttew_1_1_1" localSheetId="20" hidden="1">{"'gráf jan00'!$A$1:$AK$41"}</definedName>
    <definedName name="erqwttew_1_1_1" hidden="1">{"'gráf jan00'!$A$1:$AK$41"}</definedName>
    <definedName name="erqwttew_1_2" localSheetId="20" hidden="1">{"'gráf jan00'!$A$1:$AK$41"}</definedName>
    <definedName name="erqwttew_1_2" hidden="1">{"'gráf jan00'!$A$1:$AK$41"}</definedName>
    <definedName name="erqwttew_2" localSheetId="20" hidden="1">{"'gráf jan00'!$A$1:$AK$41"}</definedName>
    <definedName name="erqwttew_2" hidden="1">{"'gráf jan00'!$A$1:$AK$41"}</definedName>
    <definedName name="err">[34]!err</definedName>
    <definedName name="ERRO" localSheetId="20" hidden="1">{"'CptDifn'!$AA$32:$AG$32"}</definedName>
    <definedName name="ERRO" hidden="1">{"'CptDifn'!$AA$32:$AG$32"}</definedName>
    <definedName name="ERRO_1" localSheetId="20" hidden="1">{"'CptDifn'!$AA$32:$AG$32"}</definedName>
    <definedName name="ERRO_1" hidden="1">{"'CptDifn'!$AA$32:$AG$32"}</definedName>
    <definedName name="ERRO_1_1" localSheetId="20" hidden="1">{"'CptDifn'!$AA$32:$AG$32"}</definedName>
    <definedName name="ERRO_1_1" hidden="1">{"'CptDifn'!$AA$32:$AG$32"}</definedName>
    <definedName name="ERRO_1_1_1" localSheetId="20" hidden="1">{"'CptDifn'!$AA$32:$AG$32"}</definedName>
    <definedName name="ERRO_1_1_1" hidden="1">{"'CptDifn'!$AA$32:$AG$32"}</definedName>
    <definedName name="ERRO_1_2" localSheetId="20" hidden="1">{"'CptDifn'!$AA$32:$AG$32"}</definedName>
    <definedName name="ERRO_1_2" hidden="1">{"'CptDifn'!$AA$32:$AG$32"}</definedName>
    <definedName name="ERRO_2" localSheetId="20" hidden="1">{"'CptDifn'!$AA$32:$AG$32"}</definedName>
    <definedName name="ERRO_2" hidden="1">{"'CptDifn'!$AA$32:$AG$32"}</definedName>
    <definedName name="ERRO1" localSheetId="20" hidden="1">{"'CptDifn'!$AA$32:$AG$32"}</definedName>
    <definedName name="ERRO1" hidden="1">{"'CptDifn'!$AA$32:$AG$32"}</definedName>
    <definedName name="ERRO1_1" localSheetId="20" hidden="1">{"'CptDifn'!$AA$32:$AG$32"}</definedName>
    <definedName name="ERRO1_1" hidden="1">{"'CptDifn'!$AA$32:$AG$32"}</definedName>
    <definedName name="ERRO1_1_1" localSheetId="20" hidden="1">{"'CptDifn'!$AA$32:$AG$32"}</definedName>
    <definedName name="ERRO1_1_1" hidden="1">{"'CptDifn'!$AA$32:$AG$32"}</definedName>
    <definedName name="ERRO1_1_1_1" localSheetId="20" hidden="1">{"'CptDifn'!$AA$32:$AG$32"}</definedName>
    <definedName name="ERRO1_1_1_1" hidden="1">{"'CptDifn'!$AA$32:$AG$32"}</definedName>
    <definedName name="ERRO1_1_2" localSheetId="20" hidden="1">{"'CptDifn'!$AA$32:$AG$32"}</definedName>
    <definedName name="ERRO1_1_2" hidden="1">{"'CptDifn'!$AA$32:$AG$32"}</definedName>
    <definedName name="ERRO1_2" localSheetId="20" hidden="1">{"'CptDifn'!$AA$32:$AG$32"}</definedName>
    <definedName name="ERRO1_2" hidden="1">{"'CptDifn'!$AA$32:$AG$32"}</definedName>
    <definedName name="ERRO3" localSheetId="20" hidden="1">{"'CptDifn'!$AA$32:$AG$32"}</definedName>
    <definedName name="ERRO3" hidden="1">{"'CptDifn'!$AA$32:$AG$32"}</definedName>
    <definedName name="ERRO3_1" localSheetId="20" hidden="1">{"'CptDifn'!$AA$32:$AG$32"}</definedName>
    <definedName name="ERRO3_1" hidden="1">{"'CptDifn'!$AA$32:$AG$32"}</definedName>
    <definedName name="ERRO3_1_1" localSheetId="20" hidden="1">{"'CptDifn'!$AA$32:$AG$32"}</definedName>
    <definedName name="ERRO3_1_1" hidden="1">{"'CptDifn'!$AA$32:$AG$32"}</definedName>
    <definedName name="ERRO3_1_1_1" localSheetId="20" hidden="1">{"'CptDifn'!$AA$32:$AG$32"}</definedName>
    <definedName name="ERRO3_1_1_1" hidden="1">{"'CptDifn'!$AA$32:$AG$32"}</definedName>
    <definedName name="ERRO3_1_2" localSheetId="20" hidden="1">{"'CptDifn'!$AA$32:$AG$32"}</definedName>
    <definedName name="ERRO3_1_2" hidden="1">{"'CptDifn'!$AA$32:$AG$32"}</definedName>
    <definedName name="ERRO3_2" localSheetId="20" hidden="1">{"'CptDifn'!$AA$32:$AG$32"}</definedName>
    <definedName name="ERRO3_2" hidden="1">{"'CptDifn'!$AA$32:$AG$32"}</definedName>
    <definedName name="ERRO4" localSheetId="20" hidden="1">{"'CptDifn'!$AA$32:$AG$32"}</definedName>
    <definedName name="ERRO4" hidden="1">{"'CptDifn'!$AA$32:$AG$32"}</definedName>
    <definedName name="ERRO4_1" localSheetId="20" hidden="1">{"'CptDifn'!$AA$32:$AG$32"}</definedName>
    <definedName name="ERRO4_1" hidden="1">{"'CptDifn'!$AA$32:$AG$32"}</definedName>
    <definedName name="ERRO4_1_1" localSheetId="20" hidden="1">{"'CptDifn'!$AA$32:$AG$32"}</definedName>
    <definedName name="ERRO4_1_1" hidden="1">{"'CptDifn'!$AA$32:$AG$32"}</definedName>
    <definedName name="ERRO4_1_1_1" localSheetId="20" hidden="1">{"'CptDifn'!$AA$32:$AG$32"}</definedName>
    <definedName name="ERRO4_1_1_1" hidden="1">{"'CptDifn'!$AA$32:$AG$32"}</definedName>
    <definedName name="ERRO4_1_2" localSheetId="20" hidden="1">{"'CptDifn'!$AA$32:$AG$32"}</definedName>
    <definedName name="ERRO4_1_2" hidden="1">{"'CptDifn'!$AA$32:$AG$32"}</definedName>
    <definedName name="ERRO4_2" localSheetId="20" hidden="1">{"'CptDifn'!$AA$32:$AG$32"}</definedName>
    <definedName name="ERRO4_2" hidden="1">{"'CptDifn'!$AA$32:$AG$32"}</definedName>
    <definedName name="ERRO5" localSheetId="20" hidden="1">{"'CptDifn'!$AA$32:$AG$32"}</definedName>
    <definedName name="ERRO5" hidden="1">{"'CptDifn'!$AA$32:$AG$32"}</definedName>
    <definedName name="ERRO5_1" localSheetId="20" hidden="1">{"'CptDifn'!$AA$32:$AG$32"}</definedName>
    <definedName name="ERRO5_1" hidden="1">{"'CptDifn'!$AA$32:$AG$32"}</definedName>
    <definedName name="ERRO5_1_1" localSheetId="20" hidden="1">{"'CptDifn'!$AA$32:$AG$32"}</definedName>
    <definedName name="ERRO5_1_1" hidden="1">{"'CptDifn'!$AA$32:$AG$32"}</definedName>
    <definedName name="ERRO5_1_1_1" localSheetId="20" hidden="1">{"'CptDifn'!$AA$32:$AG$32"}</definedName>
    <definedName name="ERRO5_1_1_1" hidden="1">{"'CptDifn'!$AA$32:$AG$32"}</definedName>
    <definedName name="ERRO5_1_2" localSheetId="20" hidden="1">{"'CptDifn'!$AA$32:$AG$32"}</definedName>
    <definedName name="ERRO5_1_2" hidden="1">{"'CptDifn'!$AA$32:$AG$32"}</definedName>
    <definedName name="ERRO5_2" localSheetId="20" hidden="1">{"'CptDifn'!$AA$32:$AG$32"}</definedName>
    <definedName name="ERRO5_2" hidden="1">{"'CptDifn'!$AA$32:$AG$32"}</definedName>
    <definedName name="ERRO6" localSheetId="20" hidden="1">{"'CptDifn'!$AA$32:$AG$32"}</definedName>
    <definedName name="ERRO6" hidden="1">{"'CptDifn'!$AA$32:$AG$32"}</definedName>
    <definedName name="ERRO6_1" localSheetId="20" hidden="1">{"'CptDifn'!$AA$32:$AG$32"}</definedName>
    <definedName name="ERRO6_1" hidden="1">{"'CptDifn'!$AA$32:$AG$32"}</definedName>
    <definedName name="ERRO6_1_1" localSheetId="20" hidden="1">{"'CptDifn'!$AA$32:$AG$32"}</definedName>
    <definedName name="ERRO6_1_1" hidden="1">{"'CptDifn'!$AA$32:$AG$32"}</definedName>
    <definedName name="ERRO6_1_1_1" localSheetId="20" hidden="1">{"'CptDifn'!$AA$32:$AG$32"}</definedName>
    <definedName name="ERRO6_1_1_1" hidden="1">{"'CptDifn'!$AA$32:$AG$32"}</definedName>
    <definedName name="ERRO6_1_2" localSheetId="20" hidden="1">{"'CptDifn'!$AA$32:$AG$32"}</definedName>
    <definedName name="ERRO6_1_2" hidden="1">{"'CptDifn'!$AA$32:$AG$32"}</definedName>
    <definedName name="ERRO6_2" localSheetId="20" hidden="1">{"'CptDifn'!$AA$32:$AG$32"}</definedName>
    <definedName name="ERRO6_2" hidden="1">{"'CptDifn'!$AA$32:$AG$32"}</definedName>
    <definedName name="ERRRRRRRRRRRRRRRO" localSheetId="20" hidden="1">{"'CptDifn'!$AA$32:$AG$32"}</definedName>
    <definedName name="ERRRRRRRRRRRRRRRO" hidden="1">{"'CptDifn'!$AA$32:$AG$32"}</definedName>
    <definedName name="ERRRRRRRRRRRRRRRO_1" localSheetId="20" hidden="1">{"'CptDifn'!$AA$32:$AG$32"}</definedName>
    <definedName name="ERRRRRRRRRRRRRRRO_1" hidden="1">{"'CptDifn'!$AA$32:$AG$32"}</definedName>
    <definedName name="ERRRRRRRRRRRRRRRO_1_1" localSheetId="20" hidden="1">{"'CptDifn'!$AA$32:$AG$32"}</definedName>
    <definedName name="ERRRRRRRRRRRRRRRO_1_1" hidden="1">{"'CptDifn'!$AA$32:$AG$32"}</definedName>
    <definedName name="ERRRRRRRRRRRRRRRO_1_1_1" localSheetId="20" hidden="1">{"'CptDifn'!$AA$32:$AG$32"}</definedName>
    <definedName name="ERRRRRRRRRRRRRRRO_1_1_1" hidden="1">{"'CptDifn'!$AA$32:$AG$32"}</definedName>
    <definedName name="ERRRRRRRRRRRRRRRO_1_2" localSheetId="20" hidden="1">{"'CptDifn'!$AA$32:$AG$32"}</definedName>
    <definedName name="ERRRRRRRRRRRRRRRO_1_2" hidden="1">{"'CptDifn'!$AA$32:$AG$32"}</definedName>
    <definedName name="ERRRRRRRRRRRRRRRO_2" localSheetId="20" hidden="1">{"'CptDifn'!$AA$32:$AG$32"}</definedName>
    <definedName name="ERRRRRRRRRRRRRRRO_2" hidden="1">{"'CptDifn'!$AA$32:$AG$32"}</definedName>
    <definedName name="ERT">#REF!</definedName>
    <definedName name="ertert" hidden="1">#REF!</definedName>
    <definedName name="erttttt">'[41]Fresagem de Pista Ago-98'!#REF!</definedName>
    <definedName name="erwer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GF2R3GF" localSheetId="20" hidden="1">{"'REL CUSTODIF'!$B$1:$H$72"}</definedName>
    <definedName name="ERWGF2R3GF" hidden="1">{"'REL CUSTODIF'!$B$1:$H$72"}</definedName>
    <definedName name="es" localSheetId="20" hidden="1">{"'CptDifn'!$AA$32:$AG$32"}</definedName>
    <definedName name="ES" hidden="1">#REF!</definedName>
    <definedName name="es_1" localSheetId="20" hidden="1">{"'CptDifn'!$AA$32:$AG$32"}</definedName>
    <definedName name="es_1" hidden="1">{"'CptDifn'!$AA$32:$AG$32"}</definedName>
    <definedName name="es_1_1" localSheetId="20" hidden="1">{"'CptDifn'!$AA$32:$AG$32"}</definedName>
    <definedName name="es_1_1" hidden="1">{"'CptDifn'!$AA$32:$AG$32"}</definedName>
    <definedName name="es_1_1_1" localSheetId="20" hidden="1">{"'CptDifn'!$AA$32:$AG$32"}</definedName>
    <definedName name="es_1_1_1" hidden="1">{"'CptDifn'!$AA$32:$AG$32"}</definedName>
    <definedName name="es_1_2" localSheetId="20" hidden="1">{"'CptDifn'!$AA$32:$AG$32"}</definedName>
    <definedName name="es_1_2" hidden="1">{"'CptDifn'!$AA$32:$AG$32"}</definedName>
    <definedName name="es_2" localSheetId="20" hidden="1">{"'CptDifn'!$AA$32:$AG$32"}</definedName>
    <definedName name="es_2" hidden="1">{"'CptDifn'!$AA$32:$AG$32"}</definedName>
    <definedName name="esag">'[123]P A T O  D'!#REF!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oram">#REF!</definedName>
    <definedName name="EscPonte">#REF!</definedName>
    <definedName name="ESCRITÓRIO">#REF!</definedName>
    <definedName name="esdr" localSheetId="20" hidden="1">{#N/A,#N/A,FALSE,"ROTINA";#N/A,#N/A,FALSE,"ITENS";#N/A,#N/A,FALSE,"ACOMP"}</definedName>
    <definedName name="esdr" hidden="1">{#N/A,#N/A,FALSE,"ROTINA";#N/A,#N/A,FALSE,"ITENS";#N/A,#N/A,FALSE,"ACOMP"}</definedName>
    <definedName name="esdr_1" localSheetId="20" hidden="1">{#N/A,#N/A,FALSE,"ROTINA";#N/A,#N/A,FALSE,"ITENS";#N/A,#N/A,FALSE,"ACOMP"}</definedName>
    <definedName name="esdr_1" hidden="1">{#N/A,#N/A,FALSE,"ROTINA";#N/A,#N/A,FALSE,"ITENS";#N/A,#N/A,FALSE,"ACOMP"}</definedName>
    <definedName name="esdr_1_1" localSheetId="20" hidden="1">{#N/A,#N/A,FALSE,"ROTINA";#N/A,#N/A,FALSE,"ITENS";#N/A,#N/A,FALSE,"ACOMP"}</definedName>
    <definedName name="esdr_1_1" hidden="1">{#N/A,#N/A,FALSE,"ROTINA";#N/A,#N/A,FALSE,"ITENS";#N/A,#N/A,FALSE,"ACOMP"}</definedName>
    <definedName name="esdr_1_1_1" localSheetId="20" hidden="1">{#N/A,#N/A,FALSE,"ROTINA";#N/A,#N/A,FALSE,"ITENS";#N/A,#N/A,FALSE,"ACOMP"}</definedName>
    <definedName name="esdr_1_1_1" hidden="1">{#N/A,#N/A,FALSE,"ROTINA";#N/A,#N/A,FALSE,"ITENS";#N/A,#N/A,FALSE,"ACOMP"}</definedName>
    <definedName name="esdr_1_2" localSheetId="20" hidden="1">{#N/A,#N/A,FALSE,"ROTINA";#N/A,#N/A,FALSE,"ITENS";#N/A,#N/A,FALSE,"ACOMP"}</definedName>
    <definedName name="esdr_1_2" hidden="1">{#N/A,#N/A,FALSE,"ROTINA";#N/A,#N/A,FALSE,"ITENS";#N/A,#N/A,FALSE,"ACOMP"}</definedName>
    <definedName name="esdr_2" localSheetId="20" hidden="1">{#N/A,#N/A,FALSE,"ROTINA";#N/A,#N/A,FALSE,"ITENS";#N/A,#N/A,FALSE,"ACOMP"}</definedName>
    <definedName name="esdr_2" hidden="1">{#N/A,#N/A,FALSE,"ROTINA";#N/A,#N/A,FALSE,"ITENS";#N/A,#N/A,FALSE,"ACOMP"}</definedName>
    <definedName name="ESGOTAMENTO_AN">#REF!</definedName>
    <definedName name="ESGOTAMENTO_AT">#REF!</definedName>
    <definedName name="ESP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">'[101]P reaj x P atual'!#REF!</definedName>
    <definedName name="ESP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BRITA">#REF!</definedName>
    <definedName name="ESPALHAMENTO_AN">#REF!</definedName>
    <definedName name="ESPALHAMENTO_AT">#REF!</definedName>
    <definedName name="ESPCON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LHO">#REF!</definedName>
    <definedName name="ESPESSAMENT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xSeção" localSheetId="21">NA()</definedName>
    <definedName name="EspxSeção">NA()</definedName>
    <definedName name="EST">#REF!</definedName>
    <definedName name="EST_11">#REF!</definedName>
    <definedName name="EST_15">#REF!</definedName>
    <definedName name="Est_Ant" localSheetId="21">NA()</definedName>
    <definedName name="Est_Ant">NA()</definedName>
    <definedName name="est_B" localSheetId="20" hidden="1">{#N/A,#N/A,FALSE,"PCOL"}</definedName>
    <definedName name="est_B" hidden="1">{#N/A,#N/A,FALSE,"PCOL"}</definedName>
    <definedName name="est_B_1" localSheetId="20" hidden="1">{#N/A,#N/A,FALSE,"PCOL"}</definedName>
    <definedName name="est_B_1" hidden="1">{#N/A,#N/A,FALSE,"PCOL"}</definedName>
    <definedName name="est_B_1_1" localSheetId="20" hidden="1">{#N/A,#N/A,FALSE,"PCOL"}</definedName>
    <definedName name="est_B_1_1" hidden="1">{#N/A,#N/A,FALSE,"PCOL"}</definedName>
    <definedName name="est_B_1_1_1" localSheetId="20" hidden="1">{#N/A,#N/A,FALSE,"PCOL"}</definedName>
    <definedName name="est_B_1_1_1" hidden="1">{#N/A,#N/A,FALSE,"PCOL"}</definedName>
    <definedName name="est_B_1_2" localSheetId="20" hidden="1">{#N/A,#N/A,FALSE,"PCOL"}</definedName>
    <definedName name="est_B_1_2" hidden="1">{#N/A,#N/A,FALSE,"PCOL"}</definedName>
    <definedName name="est_B_2" localSheetId="20" hidden="1">{#N/A,#N/A,FALSE,"PCOL"}</definedName>
    <definedName name="est_B_2" hidden="1">{#N/A,#N/A,FALSE,"PCOL"}</definedName>
    <definedName name="Est_Eixo" localSheetId="21">NA()</definedName>
    <definedName name="Est_Eixo">NA()</definedName>
    <definedName name="Est_Pos" localSheetId="21">NA()</definedName>
    <definedName name="Est_Pos">NA()</definedName>
    <definedName name="Est_Talv" localSheetId="21">NA()</definedName>
    <definedName name="Est_Talv">NA()</definedName>
    <definedName name="est1_1">#REF!</definedName>
    <definedName name="est1_14" localSheetId="21">#REF!</definedName>
    <definedName name="est1_14">#REF!</definedName>
    <definedName name="est1_7">#REF!</definedName>
    <definedName name="est1_7_1">#REF!</definedName>
    <definedName name="est1_7_14" localSheetId="21">#REF!</definedName>
    <definedName name="est1_7_14">#REF!</definedName>
    <definedName name="EStabilidad">#REF!</definedName>
    <definedName name="Estabilidade">#REF!</definedName>
    <definedName name="EstacaFinal" localSheetId="1">#REF!</definedName>
    <definedName name="EstacaFinal">#REF!</definedName>
    <definedName name="EstacaInicial" localSheetId="1">#REF!</definedName>
    <definedName name="EstacaInicial">#REF!</definedName>
    <definedName name="estacionamento" hidden="1">#REF!</definedName>
    <definedName name="EstKm">#VALUE!</definedName>
    <definedName name="EstP">#VALUE!</definedName>
    <definedName name="Estudo">#REF!</definedName>
    <definedName name="et" localSheetId="20" hidden="1">{"'teste'!$B$2:$R$49"}</definedName>
    <definedName name="et" localSheetId="21">#REF!</definedName>
    <definedName name="et">'[16]Mão de Obra'!$E$14</definedName>
    <definedName name="et_1" localSheetId="20" hidden="1">{"'teste'!$B$2:$R$49"}</definedName>
    <definedName name="et_1" hidden="1">{"'teste'!$B$2:$R$49"}</definedName>
    <definedName name="et_1_1" localSheetId="20" hidden="1">{"'teste'!$B$2:$R$49"}</definedName>
    <definedName name="et_1_1" hidden="1">{"'teste'!$B$2:$R$49"}</definedName>
    <definedName name="et_1_1_1" localSheetId="20" hidden="1">{"'teste'!$B$2:$R$49"}</definedName>
    <definedName name="et_1_1_1" hidden="1">{"'teste'!$B$2:$R$49"}</definedName>
    <definedName name="et_1_2" localSheetId="20" hidden="1">{"'teste'!$B$2:$R$49"}</definedName>
    <definedName name="et_1_2" hidden="1">{"'teste'!$B$2:$R$49"}</definedName>
    <definedName name="et_2" localSheetId="20" hidden="1">{"'teste'!$B$2:$R$49"}</definedName>
    <definedName name="et_2" hidden="1">{"'teste'!$B$2:$R$49"}</definedName>
    <definedName name="ETA" localSheetId="20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20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tw" localSheetId="20" hidden="1">{"'CptDifn'!$AA$32:$AG$32"}</definedName>
    <definedName name="etw" hidden="1">{"'CptDifn'!$AA$32:$AG$32"}</definedName>
    <definedName name="etw_1" localSheetId="20" hidden="1">{"'CptDifn'!$AA$32:$AG$32"}</definedName>
    <definedName name="etw_1" hidden="1">{"'CptDifn'!$AA$32:$AG$32"}</definedName>
    <definedName name="etw_1_1" localSheetId="20" hidden="1">{"'CptDifn'!$AA$32:$AG$32"}</definedName>
    <definedName name="etw_1_1" hidden="1">{"'CptDifn'!$AA$32:$AG$32"}</definedName>
    <definedName name="etw_1_1_1" localSheetId="20" hidden="1">{"'CptDifn'!$AA$32:$AG$32"}</definedName>
    <definedName name="etw_1_1_1" hidden="1">{"'CptDifn'!$AA$32:$AG$32"}</definedName>
    <definedName name="etw_1_2" localSheetId="20" hidden="1">{"'CptDifn'!$AA$32:$AG$32"}</definedName>
    <definedName name="etw_1_2" hidden="1">{"'CptDifn'!$AA$32:$AG$32"}</definedName>
    <definedName name="etw_2" localSheetId="20" hidden="1">{"'CptDifn'!$AA$32:$AG$32"}</definedName>
    <definedName name="etw_2" hidden="1">{"'CptDifn'!$AA$32:$AG$32"}</definedName>
    <definedName name="etyh" localSheetId="20" hidden="1">{"'CptDifn'!$AA$32:$AG$32"}</definedName>
    <definedName name="etyh" hidden="1">{"'CptDifn'!$AA$32:$AG$32"}</definedName>
    <definedName name="etyh_1" localSheetId="20" hidden="1">{"'CptDifn'!$AA$32:$AG$32"}</definedName>
    <definedName name="etyh_1" hidden="1">{"'CptDifn'!$AA$32:$AG$32"}</definedName>
    <definedName name="etyh_1_1" localSheetId="20" hidden="1">{"'CptDifn'!$AA$32:$AG$32"}</definedName>
    <definedName name="etyh_1_1" hidden="1">{"'CptDifn'!$AA$32:$AG$32"}</definedName>
    <definedName name="etyh_1_1_1" localSheetId="20" hidden="1">{"'CptDifn'!$AA$32:$AG$32"}</definedName>
    <definedName name="etyh_1_1_1" hidden="1">{"'CptDifn'!$AA$32:$AG$32"}</definedName>
    <definedName name="etyh_1_2" localSheetId="20" hidden="1">{"'CptDifn'!$AA$32:$AG$32"}</definedName>
    <definedName name="etyh_1_2" hidden="1">{"'CptDifn'!$AA$32:$AG$32"}</definedName>
    <definedName name="etyh_2" localSheetId="20" hidden="1">{"'CptDifn'!$AA$32:$AG$32"}</definedName>
    <definedName name="etyh_2" hidden="1">{"'CptDifn'!$AA$32:$AG$32"}</definedName>
    <definedName name="EU" localSheetId="20" hidden="1">{#N/A,#N/A,FALSE,"MO (2)"}</definedName>
    <definedName name="eu" localSheetId="21" hidden="1">{#N/A,#N/A,FALSE,"MO (2)"}</definedName>
    <definedName name="eu" hidden="1">{#N/A,#N/A,FALSE,"MO (2)"}</definedName>
    <definedName name="eU_1" localSheetId="20" hidden="1">{#N/A,#N/A,FALSE,"PCOL"}</definedName>
    <definedName name="eU_1" hidden="1">{#N/A,#N/A,FALSE,"PCOL"}</definedName>
    <definedName name="eU_1_1" localSheetId="20" hidden="1">{#N/A,#N/A,FALSE,"PCOL"}</definedName>
    <definedName name="eU_1_1" hidden="1">{#N/A,#N/A,FALSE,"PCOL"}</definedName>
    <definedName name="eU_1_1_1" localSheetId="20" hidden="1">{#N/A,#N/A,FALSE,"PCOL"}</definedName>
    <definedName name="eU_1_1_1" hidden="1">{#N/A,#N/A,FALSE,"PCOL"}</definedName>
    <definedName name="eU_1_2" localSheetId="20" hidden="1">{#N/A,#N/A,FALSE,"PCOL"}</definedName>
    <definedName name="eU_1_2" hidden="1">{#N/A,#N/A,FALSE,"PCOL"}</definedName>
    <definedName name="eU_2" localSheetId="20" hidden="1">{#N/A,#N/A,FALSE,"PCOL"}</definedName>
    <definedName name="eU_2" hidden="1">{#N/A,#N/A,FALSE,"PCOL"}</definedName>
    <definedName name="Euip" localSheetId="20" hidden="1">{#N/A,#N/A,FALSE,"ET-CAPA";#N/A,#N/A,FALSE,"ET-PAG1";#N/A,#N/A,FALSE,"ET-PAG2";#N/A,#N/A,FALSE,"ET-PAG3";#N/A,#N/A,FALSE,"ET-PAG4";#N/A,#N/A,FALSE,"ET-PAG5"}</definedName>
    <definedName name="Euip" hidden="1">{#N/A,#N/A,FALSE,"ET-CAPA";#N/A,#N/A,FALSE,"ET-PAG1";#N/A,#N/A,FALSE,"ET-PAG2";#N/A,#N/A,FALSE,"ET-PAG3";#N/A,#N/A,FALSE,"ET-PAG4";#N/A,#N/A,FALSE,"ET-PAG5"}</definedName>
    <definedName name="Euip_1" localSheetId="20" hidden="1">{#N/A,#N/A,FALSE,"ET-CAPA";#N/A,#N/A,FALSE,"ET-PAG1";#N/A,#N/A,FALSE,"ET-PAG2";#N/A,#N/A,FALSE,"ET-PAG3";#N/A,#N/A,FALSE,"ET-PAG4";#N/A,#N/A,FALSE,"ET-PAG5"}</definedName>
    <definedName name="Euip_1" hidden="1">{#N/A,#N/A,FALSE,"ET-CAPA";#N/A,#N/A,FALSE,"ET-PAG1";#N/A,#N/A,FALSE,"ET-PAG2";#N/A,#N/A,FALSE,"ET-PAG3";#N/A,#N/A,FALSE,"ET-PAG4";#N/A,#N/A,FALSE,"ET-PAG5"}</definedName>
    <definedName name="Euip_1_1" localSheetId="20" hidden="1">{#N/A,#N/A,FALSE,"ET-CAPA";#N/A,#N/A,FALSE,"ET-PAG1";#N/A,#N/A,FALSE,"ET-PAG2";#N/A,#N/A,FALSE,"ET-PAG3";#N/A,#N/A,FALSE,"ET-PAG4";#N/A,#N/A,FALSE,"ET-PAG5"}</definedName>
    <definedName name="Euip_1_1" hidden="1">{#N/A,#N/A,FALSE,"ET-CAPA";#N/A,#N/A,FALSE,"ET-PAG1";#N/A,#N/A,FALSE,"ET-PAG2";#N/A,#N/A,FALSE,"ET-PAG3";#N/A,#N/A,FALSE,"ET-PAG4";#N/A,#N/A,FALSE,"ET-PAG5"}</definedName>
    <definedName name="Euip_1_1_1" localSheetId="20" hidden="1">{#N/A,#N/A,FALSE,"ET-CAPA";#N/A,#N/A,FALSE,"ET-PAG1";#N/A,#N/A,FALSE,"ET-PAG2";#N/A,#N/A,FALSE,"ET-PAG3";#N/A,#N/A,FALSE,"ET-PAG4";#N/A,#N/A,FALSE,"ET-PAG5"}</definedName>
    <definedName name="Euip_1_1_1" hidden="1">{#N/A,#N/A,FALSE,"ET-CAPA";#N/A,#N/A,FALSE,"ET-PAG1";#N/A,#N/A,FALSE,"ET-PAG2";#N/A,#N/A,FALSE,"ET-PAG3";#N/A,#N/A,FALSE,"ET-PAG4";#N/A,#N/A,FALSE,"ET-PAG5"}</definedName>
    <definedName name="Euip_1_2" localSheetId="20" hidden="1">{#N/A,#N/A,FALSE,"ET-CAPA";#N/A,#N/A,FALSE,"ET-PAG1";#N/A,#N/A,FALSE,"ET-PAG2";#N/A,#N/A,FALSE,"ET-PAG3";#N/A,#N/A,FALSE,"ET-PAG4";#N/A,#N/A,FALSE,"ET-PAG5"}</definedName>
    <definedName name="Euip_1_2" hidden="1">{#N/A,#N/A,FALSE,"ET-CAPA";#N/A,#N/A,FALSE,"ET-PAG1";#N/A,#N/A,FALSE,"ET-PAG2";#N/A,#N/A,FALSE,"ET-PAG3";#N/A,#N/A,FALSE,"ET-PAG4";#N/A,#N/A,FALSE,"ET-PAG5"}</definedName>
    <definedName name="Euip_2" localSheetId="20" hidden="1">{#N/A,#N/A,FALSE,"ET-CAPA";#N/A,#N/A,FALSE,"ET-PAG1";#N/A,#N/A,FALSE,"ET-PAG2";#N/A,#N/A,FALSE,"ET-PAG3";#N/A,#N/A,FALSE,"ET-PAG4";#N/A,#N/A,FALSE,"ET-PAG5"}</definedName>
    <definedName name="Euip_2" hidden="1">{#N/A,#N/A,FALSE,"ET-CAPA";#N/A,#N/A,FALSE,"ET-PAG1";#N/A,#N/A,FALSE,"ET-PAG2";#N/A,#N/A,FALSE,"ET-PAG3";#N/A,#N/A,FALSE,"ET-PAG4";#N/A,#N/A,FALSE,"ET-PAG5"}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VOLUTION_DES_ROI" localSheetId="2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S">#REF!</definedName>
    <definedName name="ewqe" localSheetId="20" hidden="1">{"MDE",#N/A,FALSE,"S-MDE"}</definedName>
    <definedName name="ewqe" hidden="1">{"MDE",#N/A,FALSE,"S-MDE"}</definedName>
    <definedName name="ewqe_1" localSheetId="20" hidden="1">{"MDE",#N/A,FALSE,"S-MDE"}</definedName>
    <definedName name="ewqe_1" hidden="1">{"MDE",#N/A,FALSE,"S-MDE"}</definedName>
    <definedName name="ewqe_1_1" localSheetId="20" hidden="1">{"MDE",#N/A,FALSE,"S-MDE"}</definedName>
    <definedName name="ewqe_1_1" hidden="1">{"MDE",#N/A,FALSE,"S-MDE"}</definedName>
    <definedName name="ewqe_1_1_1" localSheetId="20" hidden="1">{"MDE",#N/A,FALSE,"S-MDE"}</definedName>
    <definedName name="ewqe_1_1_1" hidden="1">{"MDE",#N/A,FALSE,"S-MDE"}</definedName>
    <definedName name="ewqe_1_2" localSheetId="20" hidden="1">{"MDE",#N/A,FALSE,"S-MDE"}</definedName>
    <definedName name="ewqe_1_2" hidden="1">{"MDE",#N/A,FALSE,"S-MDE"}</definedName>
    <definedName name="ewqe_2" localSheetId="20" hidden="1">{"MDE",#N/A,FALSE,"S-MDE"}</definedName>
    <definedName name="ewqe_2" hidden="1">{"MDE",#N/A,FALSE,"S-MDE"}</definedName>
    <definedName name="ewrtwe" localSheetId="20" hidden="1">{"'gráf jan00'!$A$1:$AK$41"}</definedName>
    <definedName name="ewrtwe" hidden="1">{"'gráf jan00'!$A$1:$AK$41"}</definedName>
    <definedName name="ewrtwe_1" localSheetId="20" hidden="1">{"'gráf jan00'!$A$1:$AK$41"}</definedName>
    <definedName name="ewrtwe_1" hidden="1">{"'gráf jan00'!$A$1:$AK$41"}</definedName>
    <definedName name="ewrtwe_1_1" localSheetId="20" hidden="1">{"'gráf jan00'!$A$1:$AK$41"}</definedName>
    <definedName name="ewrtwe_1_1" hidden="1">{"'gráf jan00'!$A$1:$AK$41"}</definedName>
    <definedName name="ewrtwe_1_1_1" localSheetId="20" hidden="1">{"'gráf jan00'!$A$1:$AK$41"}</definedName>
    <definedName name="ewrtwe_1_1_1" hidden="1">{"'gráf jan00'!$A$1:$AK$41"}</definedName>
    <definedName name="ewrtwe_1_2" localSheetId="20" hidden="1">{"'gráf jan00'!$A$1:$AK$41"}</definedName>
    <definedName name="ewrtwe_1_2" hidden="1">{"'gráf jan00'!$A$1:$AK$41"}</definedName>
    <definedName name="ewrtwe_2" localSheetId="20" hidden="1">{"'gráf jan00'!$A$1:$AK$41"}</definedName>
    <definedName name="ewrtwe_2" hidden="1">{"'gráf jan00'!$A$1:$AK$41"}</definedName>
    <definedName name="ewt">'[127]P A T O 98 D'!#REF!</definedName>
    <definedName name="EXA" localSheetId="21">#REF!</definedName>
    <definedName name="EXA">'[47]PRO-08'!#REF!</definedName>
    <definedName name="EXA_11">[48]PRO_08!#REF!</definedName>
    <definedName name="EXA_15">[48]PRO_08!#REF!</definedName>
    <definedName name="EXA_24">'[49]PRO-08'!#REF!</definedName>
    <definedName name="EXA_26">'[50]PRO-08'!#REF!</definedName>
    <definedName name="EXA_27">'[49]PRO-08'!#REF!</definedName>
    <definedName name="EXA_27_11">[51]PRO_08!#REF!</definedName>
    <definedName name="EXA_9">'[49]PRO-08'!#REF!</definedName>
    <definedName name="EXA_9_11">[51]PRO_08!#REF!</definedName>
    <definedName name="Excel_BuiltIn__FilterDatabase_1">#REF!</definedName>
    <definedName name="Excel_BuiltIn__FilterDatabase_1_1">#REF!</definedName>
    <definedName name="Excel_BuiltIn__FilterDatabase_1_14" localSheetId="21">#REF!</definedName>
    <definedName name="Excel_BuiltIn__FilterDatabase_1_14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'[128]CUSTO INDIRETO'!#REF!</definedName>
    <definedName name="Excel_BuiltIn_Criteria_1">#REF!</definedName>
    <definedName name="Excel_BuiltIn_Criteria_10">#REF!</definedName>
    <definedName name="Excel_BuiltIn_Criteria_10_1">#REF!</definedName>
    <definedName name="Excel_BuiltIn_Criteria_11">#REF!</definedName>
    <definedName name="Excel_BuiltIn_Criteria_12">#REF!</definedName>
    <definedName name="Excel_BuiltIn_Criteria_12_1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3_1">#REF!</definedName>
    <definedName name="Excel_BuiltIn_Criteria_4">#REF!</definedName>
    <definedName name="Excel_BuiltIn_Criteria_7">#REF!</definedName>
    <definedName name="Excel_BuiltIn_Criteria_9">#REF!</definedName>
    <definedName name="Excel_BuiltIn_Criteria_9_1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10">#REF!</definedName>
    <definedName name="Excel_BuiltIn_Database_10_1">#REF!</definedName>
    <definedName name="Excel_BuiltIn_Database_11">#REF!</definedName>
    <definedName name="Excel_BuiltIn_Database_12">#REF!</definedName>
    <definedName name="Excel_BuiltIn_Database_12_1">#REF!</definedName>
    <definedName name="Excel_BuiltIn_Database_13">#REF!</definedName>
    <definedName name="Excel_BuiltIn_Database_15">[129]LVC215O1_1_!$B$1:$O$158</definedName>
    <definedName name="Excel_BuiltIn_Database_2">#REF!</definedName>
    <definedName name="Excel_BuiltIn_Database_2_1">#REF!</definedName>
    <definedName name="Excel_BuiltIn_Database_3">#REF!</definedName>
    <definedName name="Excel_BuiltIn_Database_4">#REF!</definedName>
    <definedName name="Excel_BuiltIn_Database_5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Database_9_1">#REF!</definedName>
    <definedName name="Excel_BuiltIn_Extract">#REF!</definedName>
    <definedName name="Excel_BuiltIn_Print_Area" localSheetId="21">#REF!</definedName>
    <definedName name="Excel_BuiltIn_Print_Area">[51]Plan1!#REF!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 localSheetId="21">#REF!</definedName>
    <definedName name="Excel_BuiltIn_Print_Area_1_1_1_1_18">#REF!</definedName>
    <definedName name="Excel_BuiltIn_Print_Area_1_1_1_18" localSheetId="21">#REF!</definedName>
    <definedName name="Excel_BuiltIn_Print_Area_1_1_1_18">#REF!</definedName>
    <definedName name="Excel_BuiltIn_Print_Area_1_1_1_19" localSheetId="21">#REF!</definedName>
    <definedName name="Excel_BuiltIn_Print_Area_1_1_1_19">#REF!</definedName>
    <definedName name="Excel_BuiltIn_Print_Area_1_1_1_21">#REF!</definedName>
    <definedName name="Excel_BuiltIn_Print_Area_1_1_18" localSheetId="21">#REF!</definedName>
    <definedName name="Excel_BuiltIn_Print_Area_1_1_18">#REF!</definedName>
    <definedName name="Excel_BuiltIn_Print_Area_1_1_19" localSheetId="21">#REF!</definedName>
    <definedName name="Excel_BuiltIn_Print_Area_1_1_19">#REF!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'[130]Cronog Físico Finaceiro '!#REF!</definedName>
    <definedName name="Excel_BuiltIn_Print_Area_10_1">#REF!</definedName>
    <definedName name="Excel_BuiltIn_Print_Area_10_10">'[130]Cronog Físico Finaceiro '!#REF!</definedName>
    <definedName name="Excel_BuiltIn_Print_Area_10_12">'[130]Cronog Físico Finaceiro '!#REF!</definedName>
    <definedName name="Excel_BuiltIn_Print_Area_10_15">'[131]Cronog Físico Finaceiro '!#REF!</definedName>
    <definedName name="Excel_BuiltIn_Print_Area_10_3">'[130]Cronog Físico Finaceiro '!#REF!</definedName>
    <definedName name="Excel_BuiltIn_Print_Area_10_9">'[130]Cronog Físico Finaceiro '!#REF!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7_1">#REF!</definedName>
    <definedName name="Excel_BuiltIn_Print_Area_19">"$#REF!.$A$1:$G$44"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0">#REF!</definedName>
    <definedName name="Excel_BuiltIn_Print_Area_2_12">#REF!</definedName>
    <definedName name="Excel_BuiltIn_Print_Area_2_21">#REF!</definedName>
    <definedName name="Excel_BuiltIn_Print_Area_2_9">#REF!</definedName>
    <definedName name="Excel_BuiltIn_Print_Area_20">"$#REF!.$A$1:$G$33"</definedName>
    <definedName name="Excel_BuiltIn_Print_Area_21">#REF!</definedName>
    <definedName name="Excel_BuiltIn_Print_Area_21_1">#REF!</definedName>
    <definedName name="Excel_BuiltIn_Print_Area_22">#REF!</definedName>
    <definedName name="Excel_BuiltIn_Print_Area_23">"$#REF!.$A$1:$H$85"</definedName>
    <definedName name="Excel_BuiltIn_Print_Area_23_1">#REF!</definedName>
    <definedName name="Excel_BuiltIn_Print_Area_24">#REF!</definedName>
    <definedName name="Excel_BuiltIn_Print_Area_25">#N/A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8">#REF!</definedName>
    <definedName name="Excel_BuiltIn_Print_Area_29">[132]DESMATAMENTO!#REF!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1_1">#REF!</definedName>
    <definedName name="Excel_BuiltIn_Print_Area_33_1">('[133]TAB_  POÇOS DEFINITIVO _2007  c'!$A$1:$E$115,'[133]TAB_  POÇOS DEFINITIVO _2007  c'!$A$1:$F$65)</definedName>
    <definedName name="Excel_BuiltIn_Print_Area_35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2">#REF!</definedName>
    <definedName name="Excel_BuiltIn_Print_Area_4_1_1_9">#REF!</definedName>
    <definedName name="Excel_BuiltIn_Print_Area_4_1_10">#REF!</definedName>
    <definedName name="Excel_BuiltIn_Print_Area_4_1_12">#REF!</definedName>
    <definedName name="Excel_BuiltIn_Print_Area_4_1_21">#REF!</definedName>
    <definedName name="Excel_BuiltIn_Print_Area_4_1_3">#REF!</definedName>
    <definedName name="Excel_BuiltIn_Print_Area_4_1_9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5_1_1_1">#REF!</definedName>
    <definedName name="Excel_BuiltIn_Print_Area_6">#REF!</definedName>
    <definedName name="Excel_BuiltIn_Print_Area_6_1" localSheetId="21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1_10">#REF!</definedName>
    <definedName name="Excel_BuiltIn_Print_Area_6_1_1_1_12">#REF!</definedName>
    <definedName name="Excel_BuiltIn_Print_Area_6_1_1_1_9">#REF!</definedName>
    <definedName name="Excel_BuiltIn_Print_Area_6_1_1_10">#REF!</definedName>
    <definedName name="Excel_BuiltIn_Print_Area_6_1_1_12">#REF!</definedName>
    <definedName name="Excel_BuiltIn_Print_Area_6_1_1_9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">#REF!</definedName>
    <definedName name="Excel_BuiltIn_Print_Titles_1">#REF!</definedName>
    <definedName name="Excel_BuiltIn_Print_Titles_1_1">'[134]Carimbo de Nota'!#REF!</definedName>
    <definedName name="Excel_BuiltIn_Print_Titles_1_1_1">#REF!</definedName>
    <definedName name="Excel_BuiltIn_Print_Titles_1_1_1_1">#REF!</definedName>
    <definedName name="Excel_BuiltIn_Print_Titles_1_10">'[134]Carimbo de Nota'!#REF!</definedName>
    <definedName name="Excel_BuiltIn_Print_Titles_1_12">'[134]Carimbo de Nota'!#REF!</definedName>
    <definedName name="Excel_BuiltIn_Print_Titles_1_3">'[134]Carimbo de Nota'!#REF!</definedName>
    <definedName name="Excel_BuiltIn_Print_Titles_1_9">'[134]Carimbo de Nota'!#REF!</definedName>
    <definedName name="Excel_BuiltIn_Print_Titles_10">#REF!</definedName>
    <definedName name="Excel_BuiltIn_Print_Titles_10_1_1">#REF!</definedName>
    <definedName name="Excel_BuiltIn_Print_Titles_11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('[26]Capa Memória de Calc'!$A:$F,'[26]Capa Memória de Calc'!#REF!)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4_11">('[135]Capa Memória de Calc'!$A$1:$F$65536,'[135]Capa Memória de Calc'!#REF!)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">#REF!,#REF!</definedName>
    <definedName name="Excel_BuiltIn_Print_Titles_17_1_1_1_1">#REF!</definedName>
    <definedName name="Excel_BuiltIn_Print_Titles_17_1_1_1_1_1">#REF!</definedName>
    <definedName name="Excel_BuiltIn_Print_Titles_18_1">#REF!,#REF!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>#REF!</definedName>
    <definedName name="Excel_BuiltIn_Print_Titles_2_1">#REF!</definedName>
    <definedName name="Excel_BuiltIn_Print_Titles_2_10">#REF!</definedName>
    <definedName name="Excel_BuiltIn_Print_Titles_2_1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_9">#REF!</definedName>
    <definedName name="Excel_BuiltIn_Print_Titles_20">('[26]Capa Resumo'!$A:$F,'[26]Capa Resumo'!#REF!)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('[136]Capa Resumo'!$A:$F,'[136]Capa Resumo'!#REF!)</definedName>
    <definedName name="Excel_BuiltIn_Print_Titles_22_11">('[135]Capa Resumo'!$A$1:$F$65536,'[135]Capa Resumo'!#REF!)</definedName>
    <definedName name="Excel_BuiltIn_Print_Titles_24">"$#REF!.$A$1:$IV$8"</definedName>
    <definedName name="Excel_BuiltIn_Print_Titles_27">('[26]Capa Documentação'!$A:$F,'[26]Capa Documentação'!#REF!)</definedName>
    <definedName name="Excel_BuiltIn_Print_Titles_28">('[26]Capa Anexo I'!$A:$F,'[26]Capa Anexo I'!#REF!)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_11">('[135]Capa Apres'!$A$1:$F$65536,'[135]Capa Apres'!#REF!)</definedName>
    <definedName name="Excel_BuiltIn_Print_Titles_30">('[26]Capa Anexo II'!$A:$F,'[26]Capa Anexo II'!#REF!)</definedName>
    <definedName name="Excel_BuiltIn_Print_Titles_30_11">('[135]Capa Documentação'!$A$1:$F$65536,'[135]Capa Documentação'!#REF!)</definedName>
    <definedName name="Excel_BuiltIn_Print_Titles_31">('[26]Capa Anexo III'!$A:$F,'[26]Capa Anexo III'!#REF!)</definedName>
    <definedName name="Excel_BuiltIn_Print_Titles_31_11">('[135]Capa Anexo I'!$A$1:$F$65536,'[135]Capa Anexo I'!#REF!)</definedName>
    <definedName name="Excel_BuiltIn_Print_Titles_32">('[26]Capa Anexo IV'!$A:$F,'[26]Capa Anexo IV'!#REF!)</definedName>
    <definedName name="Excel_BuiltIn_Print_Titles_33">('[136]Capa Anexo II'!$A:$F,'[136]Capa Anexo II'!#REF!)</definedName>
    <definedName name="Excel_BuiltIn_Print_Titles_33_11">('[135]Capa Anexo II'!$A$1:$F$65536,'[135]Capa Anexo II'!#REF!)</definedName>
    <definedName name="Excel_BuiltIn_Print_Titles_34">('[136]Capa Anexo III'!$A:$F,'[136]Capa Anexo III'!#REF!)</definedName>
    <definedName name="Excel_BuiltIn_Print_Titles_34_11">('[135]Capa Anexo III'!$A$1:$F$65536,'[135]Capa Anexo III'!#REF!)</definedName>
    <definedName name="Excel_BuiltIn_Print_Titles_35">#REF!</definedName>
    <definedName name="Excel_BuiltIn_Print_Titles_35_11">('[135]Capa Anexo IV'!$A$1:$F$65536,'[135]Capa Anexo IV'!#REF!)</definedName>
    <definedName name="Excel_BuiltIn_Print_Titles_4">#REF!</definedName>
    <definedName name="Excel_BuiltIn_Print_Titles_4_1">#REF!</definedName>
    <definedName name="Excel_BuiltIn_Print_Titles_4_1_1">#REF!</definedName>
    <definedName name="Excel_BuiltIn_Print_Titles_4_10">#REF!</definedName>
    <definedName name="Excel_BuiltIn_Print_Titles_4_12">#REF!</definedName>
    <definedName name="Excel_BuiltIn_Print_Titles_4_9">#REF!</definedName>
    <definedName name="Excel_BuiltIn_Print_Titles_5">#REF!</definedName>
    <definedName name="Excel_BuiltIn_Print_Titles_5_1" localSheetId="21">(#REF!,#REF!)</definedName>
    <definedName name="Excel_BuiltIn_Print_Titles_5_1">([137]CRONFISFIN_!$A:$D,[137]CRONFISFIN_!$1:$5)</definedName>
    <definedName name="Excel_BuiltIn_Print_Titles_5_1_15">([138]CRONFISFIN_!$A:$D,[138]CRONFISFIN_!$1:$5)</definedName>
    <definedName name="Excel_BuiltIn_Print_Titles_5_11">('[135]Capa Mapa'!$A$1:$F$65536,'[135]Capa Mapa'!#REF!)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1_1_1_1_10">#REF!</definedName>
    <definedName name="Excel_BuiltIn_Print_Titles_6_1_1_1_1_12">#REF!</definedName>
    <definedName name="Excel_BuiltIn_Print_Titles_6_1_1_1_1_9">#REF!</definedName>
    <definedName name="Excel_BuiltIn_Print_Titles_6_1_1_10">#REF!</definedName>
    <definedName name="Excel_BuiltIn_Print_Titles_6_1_1_12">#REF!</definedName>
    <definedName name="Excel_BuiltIn_Print_Titles_6_1_1_9">#REF!</definedName>
    <definedName name="Excel_BuiltIn_Print_Titles_6_1_10">#REF!</definedName>
    <definedName name="Excel_BuiltIn_Print_Titles_6_1_12">#REF!</definedName>
    <definedName name="Excel_BuiltIn_Print_Titles_6_1_9">#REF!</definedName>
    <definedName name="Excel_BuiltIn_Print_Titles_7">('[26]Capa Premissas'!$A:$F,'[26]Capa Premissas'!#REF!)</definedName>
    <definedName name="Excel_BuiltIn_Print_Titles_7_1">#REF!</definedName>
    <definedName name="Excel_BuiltIn_Print_Titles_7_1_1">#REF!</definedName>
    <definedName name="Excel_BuiltIn_Print_Titles_7_11">('[135]Capa Premissas'!$A$1:$F$65536,'[135]Capa Premissas'!#REF!)</definedName>
    <definedName name="Excel_BuiltIn_Print_Titles_8">#REF!</definedName>
    <definedName name="Excel_BuiltIn_Print_Titles_8_1">#REF!</definedName>
    <definedName name="Excel_BuiltIn_Print_Titles_8_1_1">#REF!</definedName>
    <definedName name="Excel_BuiltIn_Print_Titles_9">"$#REF!.$A$1:$IV$5"</definedName>
    <definedName name="Excel_BuiltIn_Print_Titles_9_1">#REF!</definedName>
    <definedName name="Excel_BuiltIn_Print_Titles_9_1_1">#REF!</definedName>
    <definedName name="Excel_BuiltIn_Print_Titles_9_11">('[135]Capa Caract_ Seg_'!$A$1:$F$65536,'[135]Capa Caract_ Seg_'!#REF!)</definedName>
    <definedName name="ExecFerro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Pes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ibir_1000" localSheetId="0">[107]!exibir_1000</definedName>
    <definedName name="exibir_1000" localSheetId="30">[107]!exibir_1000</definedName>
    <definedName name="exibir_1000">[107]!exibir_1000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ist">#REF!</definedName>
    <definedName name="expansao" localSheetId="20" hidden="1">{"'CptDifn'!$AA$32:$AG$32"}</definedName>
    <definedName name="EXPANSAO" localSheetId="21">#REF!</definedName>
    <definedName name="EXPANSAO">#REF!</definedName>
    <definedName name="EXPLOSIVO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t">#REF!</definedName>
    <definedName name="ext.">#REF!</definedName>
    <definedName name="Ext.__pista_simples">#REF!</definedName>
    <definedName name="Ext._de_pista_dupla">#REF!</definedName>
    <definedName name="EXT__m">'[41]Fresagem de Pista Ago-98'!#REF!</definedName>
    <definedName name="Ext_1">'[139]P A T O 99 B'!#REF!</definedName>
    <definedName name="EXT_11">#N/A</definedName>
    <definedName name="EXT_12">#N/A</definedName>
    <definedName name="EXT_13">#N/A</definedName>
    <definedName name="EXT_15">#N/A</definedName>
    <definedName name="Ext_2">"'file:///A:/ARQUIVOS R96/EXCEL/PATOs/Pato PRRTN - BR476.xls'#$'P A T O 99 B'.$#REF!$#REF!"</definedName>
    <definedName name="ext_29" localSheetId="2">RESUMO!ext_29</definedName>
    <definedName name="ext_29">ext_29</definedName>
    <definedName name="Ext_3">'[139]P A T O 99 B'!#REF!</definedName>
    <definedName name="Ext_4">'[139]P A T O 99 B'!#REF!</definedName>
    <definedName name="Ext_5">'[139]P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#N/A</definedName>
    <definedName name="Ext2.1">'[12]P A T O 99 B'!#REF!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[95]INVENTÁRIO!#REF!</definedName>
    <definedName name="Extens">'[140]P A T O 98 D'!#REF!</definedName>
    <definedName name="Extens_1">"'file:///C:/Documents and Settings/mauricio.ferrao/Desktop/ARQUIVOS R-9-6/Excel/PATOs/BR153_98.XLS'#$'P A T O 98 D'.$#REF!$#REF!"</definedName>
    <definedName name="Extens_3">'[127]P A T O 98 D'!#REF!</definedName>
    <definedName name="Extens_4">'[127]P A T O 98 D'!#REF!</definedName>
    <definedName name="Extens_5">'[127]P A T O 98 D'!#REF!</definedName>
    <definedName name="EXTENSAO">[111]IDENTIFICAÇÃO!$D$9</definedName>
    <definedName name="extensão">'[112]Dados da Obra'!$B$6</definedName>
    <definedName name="Extensao_1">"'file:///C:/Documents and Settings/mauricio.ferrao/Desktop/ARQUIVOS R96/EXCEL/PATOs/BR153_99.XLS'#$'P A T O  D'.$#REF!$#REF!"</definedName>
    <definedName name="Extensão_1">#REF!</definedName>
    <definedName name="extensao_10">#REF!</definedName>
    <definedName name="extensao_12">#REF!</definedName>
    <definedName name="Extensao_3">'[123]P A T O  D'!#REF!</definedName>
    <definedName name="Extensao_4">'[123]P A T O  D'!#REF!</definedName>
    <definedName name="Extensao_5">'[123]P A T O  D'!#REF!</definedName>
    <definedName name="extensao_9">#REF!</definedName>
    <definedName name="EXTENSÃO1">[85]Croqui!$B$7</definedName>
    <definedName name="Extensaoo">'[124]P A T O  D'!#REF!</definedName>
    <definedName name="Extenso" localSheetId="21">#REF!</definedName>
    <definedName name="Extenso">[141]!Extenso</definedName>
    <definedName name="Extenso_1" localSheetId="2">RESUMO!Extenso_1</definedName>
    <definedName name="Extenso_1">Extenso_1</definedName>
    <definedName name="Extenso_1_10">#N/A</definedName>
    <definedName name="Extenso_1_12">#N/A</definedName>
    <definedName name="Extenso_1_13">#N/A</definedName>
    <definedName name="Extenso_1_15">#N/A</definedName>
    <definedName name="Extenso_1_5">#N/A</definedName>
    <definedName name="Extenso_1_6">#N/A</definedName>
    <definedName name="Extenso_1_7">#N/A</definedName>
    <definedName name="Extenso_1_8">#N/A</definedName>
    <definedName name="Extenso_1_9">#N/A</definedName>
    <definedName name="Extenso_10" localSheetId="2">RESUMO!Extenso_10</definedName>
    <definedName name="Extenso_10">Extenso_10</definedName>
    <definedName name="Extenso_11">#N/A</definedName>
    <definedName name="Extenso_12" localSheetId="2">RESUMO!Extenso_12</definedName>
    <definedName name="Extenso_12">Extenso_12</definedName>
    <definedName name="Extenso_13" localSheetId="2">RESUMO!Extenso_13</definedName>
    <definedName name="Extenso_13">Extenso_13</definedName>
    <definedName name="Extenso_13_10">#N/A</definedName>
    <definedName name="Extenso_13_12">#N/A</definedName>
    <definedName name="Extenso_13_13">#N/A</definedName>
    <definedName name="Extenso_13_15">#N/A</definedName>
    <definedName name="Extenso_13_5">#N/A</definedName>
    <definedName name="Extenso_13_6">#N/A</definedName>
    <definedName name="Extenso_13_7">#N/A</definedName>
    <definedName name="Extenso_13_8">#N/A</definedName>
    <definedName name="Extenso_13_9">#N/A</definedName>
    <definedName name="Extenso_14" localSheetId="2">RESUMO!Extenso_14</definedName>
    <definedName name="Extenso_14">Extenso_14</definedName>
    <definedName name="Extenso_14_10">#N/A</definedName>
    <definedName name="Extenso_14_12">#N/A</definedName>
    <definedName name="Extenso_14_13">#N/A</definedName>
    <definedName name="Extenso_14_15">#N/A</definedName>
    <definedName name="Extenso_14_5">#N/A</definedName>
    <definedName name="Extenso_14_6">#N/A</definedName>
    <definedName name="Extenso_14_7">#N/A</definedName>
    <definedName name="Extenso_14_8">#N/A</definedName>
    <definedName name="Extenso_14_9">#N/A</definedName>
    <definedName name="Extenso_15">#N/A</definedName>
    <definedName name="Extenso_19" localSheetId="2">RESUMO!Extenso_19</definedName>
    <definedName name="Extenso_19">Extenso_19</definedName>
    <definedName name="Extenso_2" localSheetId="2">RESUMO!Extenso_2</definedName>
    <definedName name="Extenso_2">Extenso_2</definedName>
    <definedName name="Extenso_2_10">#N/A</definedName>
    <definedName name="Extenso_2_12">#N/A</definedName>
    <definedName name="Extenso_2_13">#N/A</definedName>
    <definedName name="Extenso_2_15">#N/A</definedName>
    <definedName name="Extenso_2_5">#N/A</definedName>
    <definedName name="Extenso_2_6">#N/A</definedName>
    <definedName name="Extenso_2_7">#N/A</definedName>
    <definedName name="Extenso_2_8">#N/A</definedName>
    <definedName name="Extenso_2_9">#N/A</definedName>
    <definedName name="Extenso_20" localSheetId="2">RESUMO!Extenso_20</definedName>
    <definedName name="Extenso_20">Extenso_20</definedName>
    <definedName name="Extenso_21" localSheetId="2">RESUMO!Extenso_21</definedName>
    <definedName name="Extenso_21">Extenso_21</definedName>
    <definedName name="Extenso_22" localSheetId="2">RESUMO!Extenso_22</definedName>
    <definedName name="Extenso_22">Extenso_22</definedName>
    <definedName name="Extenso_22_10">#N/A</definedName>
    <definedName name="Extenso_22_12">#N/A</definedName>
    <definedName name="Extenso_22_13">#N/A</definedName>
    <definedName name="Extenso_22_15">#N/A</definedName>
    <definedName name="Extenso_22_5">#N/A</definedName>
    <definedName name="Extenso_22_6">#N/A</definedName>
    <definedName name="Extenso_22_7">#N/A</definedName>
    <definedName name="Extenso_22_8">#N/A</definedName>
    <definedName name="Extenso_22_9">#N/A</definedName>
    <definedName name="Extenso_23" localSheetId="2">RESUMO!Extenso_23</definedName>
    <definedName name="Extenso_23">Extenso_23</definedName>
    <definedName name="Extenso_24" localSheetId="2">RESUMO!Extenso_24</definedName>
    <definedName name="Extenso_24">Extenso_24</definedName>
    <definedName name="Extenso_25" localSheetId="2">RESUMO!Extenso_25</definedName>
    <definedName name="Extenso_25">Extenso_25</definedName>
    <definedName name="Extenso_25_10">#N/A</definedName>
    <definedName name="Extenso_25_12">#N/A</definedName>
    <definedName name="Extenso_25_13">#N/A</definedName>
    <definedName name="Extenso_25_15">#N/A</definedName>
    <definedName name="Extenso_25_5">#N/A</definedName>
    <definedName name="Extenso_25_6">#N/A</definedName>
    <definedName name="Extenso_25_7">#N/A</definedName>
    <definedName name="Extenso_25_8">#N/A</definedName>
    <definedName name="Extenso_25_9">#N/A</definedName>
    <definedName name="Extenso_26" localSheetId="2">RESUMO!Extenso_26</definedName>
    <definedName name="Extenso_26">Extenso_26</definedName>
    <definedName name="Extenso_26_10">#N/A</definedName>
    <definedName name="Extenso_26_12">#N/A</definedName>
    <definedName name="Extenso_26_13">#N/A</definedName>
    <definedName name="Extenso_26_15">#N/A</definedName>
    <definedName name="Extenso_26_5">#N/A</definedName>
    <definedName name="Extenso_26_6">#N/A</definedName>
    <definedName name="Extenso_26_7">#N/A</definedName>
    <definedName name="Extenso_26_8">#N/A</definedName>
    <definedName name="Extenso_26_9">#N/A</definedName>
    <definedName name="Extenso_27" localSheetId="2">RESUMO!Extenso_27</definedName>
    <definedName name="Extenso_27">Extenso_27</definedName>
    <definedName name="Extenso_27_10">#N/A</definedName>
    <definedName name="Extenso_27_12">#N/A</definedName>
    <definedName name="Extenso_27_13">#N/A</definedName>
    <definedName name="Extenso_27_15">#N/A</definedName>
    <definedName name="Extenso_27_5">#N/A</definedName>
    <definedName name="Extenso_27_6">#N/A</definedName>
    <definedName name="Extenso_27_7">#N/A</definedName>
    <definedName name="Extenso_27_8">#N/A</definedName>
    <definedName name="Extenso_27_9">#N/A</definedName>
    <definedName name="Extenso_28" localSheetId="2">RESUMO!Extenso_28</definedName>
    <definedName name="Extenso_28">Extenso_28</definedName>
    <definedName name="Extenso_29" localSheetId="2">RESUMO!Extenso_29</definedName>
    <definedName name="Extenso_29">Extenso_29</definedName>
    <definedName name="Extenso_29_10">#N/A</definedName>
    <definedName name="Extenso_29_12">#N/A</definedName>
    <definedName name="Extenso_29_13">#N/A</definedName>
    <definedName name="Extenso_29_15">#N/A</definedName>
    <definedName name="Extenso_29_5">#N/A</definedName>
    <definedName name="Extenso_29_6">#N/A</definedName>
    <definedName name="Extenso_29_7">#N/A</definedName>
    <definedName name="Extenso_29_8">#N/A</definedName>
    <definedName name="Extenso_29_9">#N/A</definedName>
    <definedName name="Extenso_3" localSheetId="2">RESUMO!Extenso_3</definedName>
    <definedName name="Extenso_3">Extenso_3</definedName>
    <definedName name="Extenso_3_10">#N/A</definedName>
    <definedName name="Extenso_3_12">#N/A</definedName>
    <definedName name="Extenso_3_13">#N/A</definedName>
    <definedName name="Extenso_3_15">#N/A</definedName>
    <definedName name="Extenso_3_5">#N/A</definedName>
    <definedName name="Extenso_3_6">#N/A</definedName>
    <definedName name="Extenso_3_7">#N/A</definedName>
    <definedName name="Extenso_3_8">#N/A</definedName>
    <definedName name="Extenso_3_9">#N/A</definedName>
    <definedName name="Extenso_30" localSheetId="2">RESUMO!Extenso_30</definedName>
    <definedName name="Extenso_30">Extenso_30</definedName>
    <definedName name="Extenso_30_10">#N/A</definedName>
    <definedName name="Extenso_30_12">#N/A</definedName>
    <definedName name="Extenso_30_13">#N/A</definedName>
    <definedName name="Extenso_30_15">#N/A</definedName>
    <definedName name="Extenso_30_5">#N/A</definedName>
    <definedName name="Extenso_30_6">#N/A</definedName>
    <definedName name="Extenso_30_7">#N/A</definedName>
    <definedName name="Extenso_30_8">#N/A</definedName>
    <definedName name="Extenso_30_9">#N/A</definedName>
    <definedName name="Extenso_31" localSheetId="2">RESUMO!Extenso_31</definedName>
    <definedName name="Extenso_31">Extenso_31</definedName>
    <definedName name="Extenso_31_10">#N/A</definedName>
    <definedName name="Extenso_31_12">#N/A</definedName>
    <definedName name="Extenso_31_13">#N/A</definedName>
    <definedName name="Extenso_31_15">#N/A</definedName>
    <definedName name="Extenso_31_5">#N/A</definedName>
    <definedName name="Extenso_31_6">#N/A</definedName>
    <definedName name="Extenso_31_7">#N/A</definedName>
    <definedName name="Extenso_31_8">#N/A</definedName>
    <definedName name="Extenso_31_9">#N/A</definedName>
    <definedName name="Extenso_32" localSheetId="2">RESUMO!Extenso_32</definedName>
    <definedName name="Extenso_32">Extenso_32</definedName>
    <definedName name="Extenso_33" localSheetId="2">RESUMO!Extenso_33</definedName>
    <definedName name="Extenso_33">Extenso_33</definedName>
    <definedName name="Extenso_33_10">#N/A</definedName>
    <definedName name="Extenso_33_12">#N/A</definedName>
    <definedName name="Extenso_33_13">#N/A</definedName>
    <definedName name="Extenso_33_15">#N/A</definedName>
    <definedName name="Extenso_33_5">#N/A</definedName>
    <definedName name="Extenso_33_6">#N/A</definedName>
    <definedName name="Extenso_33_7">#N/A</definedName>
    <definedName name="Extenso_33_8">#N/A</definedName>
    <definedName name="Extenso_33_9">#N/A</definedName>
    <definedName name="Extenso_34" localSheetId="2">RESUMO!Extenso_34</definedName>
    <definedName name="Extenso_34">Extenso_34</definedName>
    <definedName name="Extenso_34_10">#N/A</definedName>
    <definedName name="Extenso_34_12">#N/A</definedName>
    <definedName name="Extenso_34_13">#N/A</definedName>
    <definedName name="Extenso_34_15">#N/A</definedName>
    <definedName name="Extenso_34_5">#N/A</definedName>
    <definedName name="Extenso_34_6">#N/A</definedName>
    <definedName name="Extenso_34_7">#N/A</definedName>
    <definedName name="Extenso_34_8">#N/A</definedName>
    <definedName name="Extenso_34_9">#N/A</definedName>
    <definedName name="Extenso_35" localSheetId="2">RESUMO!Extenso_35</definedName>
    <definedName name="Extenso_35">Extenso_35</definedName>
    <definedName name="Extenso_35_10">#N/A</definedName>
    <definedName name="Extenso_35_12">#N/A</definedName>
    <definedName name="Extenso_35_13">#N/A</definedName>
    <definedName name="Extenso_35_15">#N/A</definedName>
    <definedName name="Extenso_35_5">#N/A</definedName>
    <definedName name="Extenso_35_6">#N/A</definedName>
    <definedName name="Extenso_35_7">#N/A</definedName>
    <definedName name="Extenso_35_8">#N/A</definedName>
    <definedName name="Extenso_35_9">#N/A</definedName>
    <definedName name="Extenso_36" localSheetId="2">RESUMO!Extenso_36</definedName>
    <definedName name="Extenso_36">Extenso_36</definedName>
    <definedName name="Extenso_36_10">#N/A</definedName>
    <definedName name="Extenso_36_12">#N/A</definedName>
    <definedName name="Extenso_36_13">#N/A</definedName>
    <definedName name="Extenso_36_15">#N/A</definedName>
    <definedName name="Extenso_36_5">#N/A</definedName>
    <definedName name="Extenso_36_6">#N/A</definedName>
    <definedName name="Extenso_36_7">#N/A</definedName>
    <definedName name="Extenso_36_8">#N/A</definedName>
    <definedName name="Extenso_36_9">#N/A</definedName>
    <definedName name="Extenso_37" localSheetId="2">RESUMO!Extenso_37</definedName>
    <definedName name="Extenso_37">Extenso_37</definedName>
    <definedName name="Extenso_38" localSheetId="2">RESUMO!Extenso_38</definedName>
    <definedName name="Extenso_38">Extenso_38</definedName>
    <definedName name="Extenso_39" localSheetId="2">RESUMO!Extenso_39</definedName>
    <definedName name="Extenso_39">Extenso_39</definedName>
    <definedName name="Extenso_4">#N/A</definedName>
    <definedName name="Extenso_40" localSheetId="2">RESUMO!Extenso_40</definedName>
    <definedName name="Extenso_40">Extenso_40</definedName>
    <definedName name="Extenso_41" localSheetId="2">RESUMO!Extenso_41</definedName>
    <definedName name="Extenso_41">Extenso_41</definedName>
    <definedName name="Extenso_42" localSheetId="2">RESUMO!Extenso_42</definedName>
    <definedName name="Extenso_42">Extenso_42</definedName>
    <definedName name="Extenso_43" localSheetId="2">RESUMO!Extenso_43</definedName>
    <definedName name="Extenso_43">Extenso_43</definedName>
    <definedName name="Extenso_44" localSheetId="2">RESUMO!Extenso_44</definedName>
    <definedName name="Extenso_44">Extenso_44</definedName>
    <definedName name="Extenso_45" localSheetId="2">RESUMO!Extenso_45</definedName>
    <definedName name="Extenso_45">Extenso_45</definedName>
    <definedName name="Extenso_46" localSheetId="2">RESUMO!Extenso_46</definedName>
    <definedName name="Extenso_46">Extenso_46</definedName>
    <definedName name="Extenso_47" localSheetId="2">RESUMO!Extenso_47</definedName>
    <definedName name="Extenso_47">Extenso_47</definedName>
    <definedName name="Extenso_48" localSheetId="2">RESUMO!Extenso_48</definedName>
    <definedName name="Extenso_48">Extenso_48</definedName>
    <definedName name="Extenso_5" localSheetId="2">RESUMO!Extenso_5</definedName>
    <definedName name="Extenso_5">Extenso_5</definedName>
    <definedName name="Extenso_5_10">#N/A</definedName>
    <definedName name="Extenso_5_12">#N/A</definedName>
    <definedName name="Extenso_5_13">#N/A</definedName>
    <definedName name="Extenso_5_15">#N/A</definedName>
    <definedName name="Extenso_5_5">#N/A</definedName>
    <definedName name="Extenso_5_6">#N/A</definedName>
    <definedName name="Extenso_5_7">#N/A</definedName>
    <definedName name="Extenso_5_8">#N/A</definedName>
    <definedName name="Extenso_5_9">#N/A</definedName>
    <definedName name="Extenso_51" localSheetId="2">RESUMO!Extenso_51</definedName>
    <definedName name="Extenso_51">Extenso_51</definedName>
    <definedName name="Extenso_52" localSheetId="2">RESUMO!Extenso_52</definedName>
    <definedName name="Extenso_52">Extenso_52</definedName>
    <definedName name="Extenso_53" localSheetId="2">RESUMO!Extenso_53</definedName>
    <definedName name="Extenso_53">Extenso_53</definedName>
    <definedName name="Extenso_54" localSheetId="2">RESUMO!Extenso_54</definedName>
    <definedName name="Extenso_54">Extenso_54</definedName>
    <definedName name="Extenso_55" localSheetId="2">RESUMO!Extenso_55</definedName>
    <definedName name="Extenso_55">Extenso_55</definedName>
    <definedName name="Extenso_56" localSheetId="2">RESUMO!Extenso_56</definedName>
    <definedName name="Extenso_56">Extenso_56</definedName>
    <definedName name="Extenso_57" localSheetId="2">RESUMO!Extenso_57</definedName>
    <definedName name="Extenso_57">Extenso_57</definedName>
    <definedName name="Extenso_58" localSheetId="2">RESUMO!Extenso_58</definedName>
    <definedName name="Extenso_58">Extenso_58</definedName>
    <definedName name="Extenso_59" localSheetId="2">RESUMO!Extenso_59</definedName>
    <definedName name="Extenso_59">Extenso_59</definedName>
    <definedName name="Extenso_6" localSheetId="2">RESUMO!Extenso_6</definedName>
    <definedName name="Extenso_6">Extenso_6</definedName>
    <definedName name="Extenso_6_10">#N/A</definedName>
    <definedName name="Extenso_6_12">#N/A</definedName>
    <definedName name="Extenso_6_13">#N/A</definedName>
    <definedName name="Extenso_6_15">#N/A</definedName>
    <definedName name="Extenso_6_5">#N/A</definedName>
    <definedName name="Extenso_6_6">#N/A</definedName>
    <definedName name="Extenso_6_7">#N/A</definedName>
    <definedName name="Extenso_6_8">#N/A</definedName>
    <definedName name="Extenso_6_9">#N/A</definedName>
    <definedName name="Extenso_60" localSheetId="2">RESUMO!Extenso_60</definedName>
    <definedName name="Extenso_60">Extenso_60</definedName>
    <definedName name="Extenso_61" localSheetId="2">RESUMO!Extenso_61</definedName>
    <definedName name="Extenso_61">Extenso_61</definedName>
    <definedName name="Extenso_62" localSheetId="2">RESUMO!Extenso_62</definedName>
    <definedName name="Extenso_62">Extenso_62</definedName>
    <definedName name="Extenso_63" localSheetId="2">RESUMO!Extenso_63</definedName>
    <definedName name="Extenso_63">Extenso_63</definedName>
    <definedName name="Extenso_64" localSheetId="2">RESUMO!Extenso_64</definedName>
    <definedName name="Extenso_64">Extenso_64</definedName>
    <definedName name="Extenso_65" localSheetId="2">RESUMO!Extenso_65</definedName>
    <definedName name="Extenso_65">Extenso_65</definedName>
    <definedName name="Extenso_66" localSheetId="2">RESUMO!Extenso_66</definedName>
    <definedName name="Extenso_66">Extenso_66</definedName>
    <definedName name="Extenso_67" localSheetId="2">RESUMO!Extenso_67</definedName>
    <definedName name="Extenso_67">Extenso_67</definedName>
    <definedName name="Extenso_68" localSheetId="2">RESUMO!Extenso_68</definedName>
    <definedName name="Extenso_68">Extenso_68</definedName>
    <definedName name="Extenso_69" localSheetId="2">RESUMO!Extenso_69</definedName>
    <definedName name="Extenso_69">Extenso_69</definedName>
    <definedName name="Extenso_7" localSheetId="2">RESUMO!Extenso_7</definedName>
    <definedName name="Extenso_7">Extenso_7</definedName>
    <definedName name="Extenso_7_10">#N/A</definedName>
    <definedName name="Extenso_7_12">#N/A</definedName>
    <definedName name="Extenso_7_13">#N/A</definedName>
    <definedName name="Extenso_7_15">#N/A</definedName>
    <definedName name="Extenso_7_5">#N/A</definedName>
    <definedName name="Extenso_7_6">#N/A</definedName>
    <definedName name="Extenso_7_7">#N/A</definedName>
    <definedName name="Extenso_7_8">#N/A</definedName>
    <definedName name="Extenso_7_9">#N/A</definedName>
    <definedName name="Extenso_70" localSheetId="2">RESUMO!Extenso_70</definedName>
    <definedName name="Extenso_70">Extenso_70</definedName>
    <definedName name="Extenso_71" localSheetId="2">RESUMO!Extenso_71</definedName>
    <definedName name="Extenso_71">Extenso_71</definedName>
    <definedName name="Extenso_72" localSheetId="2">RESUMO!Extenso_72</definedName>
    <definedName name="Extenso_72">Extenso_72</definedName>
    <definedName name="Extenso_8" localSheetId="2">RESUMO!Extenso_8</definedName>
    <definedName name="Extenso_8">Extenso_8</definedName>
    <definedName name="Extenso_8_10">#N/A</definedName>
    <definedName name="Extenso_8_12">#N/A</definedName>
    <definedName name="Extenso_8_13">#N/A</definedName>
    <definedName name="Extenso_8_15">#N/A</definedName>
    <definedName name="Extenso_8_5">#N/A</definedName>
    <definedName name="Extenso_8_6">#N/A</definedName>
    <definedName name="Extenso_8_7">#N/A</definedName>
    <definedName name="Extenso_8_8">#N/A</definedName>
    <definedName name="Extenso_8_9">#N/A</definedName>
    <definedName name="Extenso_9" localSheetId="2">RESUMO!Extenso_9</definedName>
    <definedName name="Extenso_9">Extenso_9</definedName>
    <definedName name="Extenso_9_10">#N/A</definedName>
    <definedName name="Extenso_9_12">#N/A</definedName>
    <definedName name="Extenso_9_13">#N/A</definedName>
    <definedName name="Extenso_9_15">#N/A</definedName>
    <definedName name="Extenso_9_5">#N/A</definedName>
    <definedName name="Extenso_9_6">#N/A</definedName>
    <definedName name="Extenso_9_7">#N/A</definedName>
    <definedName name="Extenso_9_8">#N/A</definedName>
    <definedName name="Extenso_9_9">#N/A</definedName>
    <definedName name="EXTENSOES" hidden="1">#REF!</definedName>
    <definedName name="Extenss">'[142]P A T O 98 D'!#REF!</definedName>
    <definedName name="ExtFaixa">#REF!</definedName>
    <definedName name="ExtFaixa_1">'[139]P A T O 99 B'!#REF!</definedName>
    <definedName name="ExtFaixa_11">#REF!</definedName>
    <definedName name="ExtFaixa_15">#REF!</definedName>
    <definedName name="ExtFaixa_2">"'file:///A:/ARQUIVOS R96/EXCEL/PATOs/Pato PRRTN - BR476.xls'#$'P A T O 99 B'.$#REF!$#REF!"</definedName>
    <definedName name="ExtFaixa_3">'[139]P A T O 99 B'!#REF!</definedName>
    <definedName name="ExtFaixa_4">'[139]P A T O 99 B'!#REF!</definedName>
    <definedName name="ExtFaixa_5">'[139]P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 localSheetId="21">#REF!</definedName>
    <definedName name="ExtFaixa2">'[12]P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11">'[9]P A T O 99 B'!#REF!</definedName>
    <definedName name="ExtFaixa2_2">"'file:///A:/ARQUIVOS R96/EXCEL/PATOs/Pato PRRTN - BR476.xls'#$'P A T O 99 B'.$#REF!$#REF!"</definedName>
    <definedName name="ExtFaixa2_3">'[13]P A T O 99 B'!#REF!</definedName>
    <definedName name="ExtFaixa2_4">'[13]P A T O 99 B'!#REF!</definedName>
    <definedName name="ExtFaixa2_5">'[13]P A T O 99 B'!#REF!</definedName>
    <definedName name="ExtFaixa22">'[6]P A T O 99 B'!#REF!</definedName>
    <definedName name="ExtFaixaa">'[143]P A T O'!#REF!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'[143]P A T O'!#REF!</definedName>
    <definedName name="eytuetyueyueytu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ytuetyueyuey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yty" localSheetId="20" hidden="1">{"'CptDifn'!$AA$32:$AG$32"}</definedName>
    <definedName name="eyty" hidden="1">{"'CptDifn'!$AA$32:$AG$32"}</definedName>
    <definedName name="eyty_1" localSheetId="20" hidden="1">{"'CptDifn'!$AA$32:$AG$32"}</definedName>
    <definedName name="eyty_1" hidden="1">{"'CptDifn'!$AA$32:$AG$32"}</definedName>
    <definedName name="eyty_1_1" localSheetId="20" hidden="1">{"'CptDifn'!$AA$32:$AG$32"}</definedName>
    <definedName name="eyty_1_1" hidden="1">{"'CptDifn'!$AA$32:$AG$32"}</definedName>
    <definedName name="eyty_1_1_1" localSheetId="20" hidden="1">{"'CptDifn'!$AA$32:$AG$32"}</definedName>
    <definedName name="eyty_1_1_1" hidden="1">{"'CptDifn'!$AA$32:$AG$32"}</definedName>
    <definedName name="eyty_1_2" localSheetId="20" hidden="1">{"'CptDifn'!$AA$32:$AG$32"}</definedName>
    <definedName name="eyty_1_2" hidden="1">{"'CptDifn'!$AA$32:$AG$32"}</definedName>
    <definedName name="eyty_2" localSheetId="20" hidden="1">{"'CptDifn'!$AA$32:$AG$32"}</definedName>
    <definedName name="eyty_2" hidden="1">{"'CptDifn'!$AA$32:$AG$32"}</definedName>
    <definedName name="f">#REF!</definedName>
    <definedName name="F_Compl" localSheetId="21">NA()</definedName>
    <definedName name="F_Compl">NA()</definedName>
    <definedName name="F_Estr" localSheetId="21">NA()</definedName>
    <definedName name="F_Estr">NA()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" localSheetId="21">#REF!</definedName>
    <definedName name="FA">#REF!</definedName>
    <definedName name="F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biana" localSheetId="20" hidden="1">{"'gráf jan00'!$A$1:$AK$41"}</definedName>
    <definedName name="fabiana" hidden="1">{"'gráf jan00'!$A$1:$AK$41"}</definedName>
    <definedName name="fabiana_1" localSheetId="20" hidden="1">{"'gráf jan00'!$A$1:$AK$41"}</definedName>
    <definedName name="fabiana_1" hidden="1">{"'gráf jan00'!$A$1:$AK$41"}</definedName>
    <definedName name="fabiana_1_1" localSheetId="20" hidden="1">{"'gráf jan00'!$A$1:$AK$41"}</definedName>
    <definedName name="fabiana_1_1" hidden="1">{"'gráf jan00'!$A$1:$AK$41"}</definedName>
    <definedName name="fabiana_1_1_1" localSheetId="20" hidden="1">{"'gráf jan00'!$A$1:$AK$41"}</definedName>
    <definedName name="fabiana_1_1_1" hidden="1">{"'gráf jan00'!$A$1:$AK$41"}</definedName>
    <definedName name="fabiana_1_2" localSheetId="20" hidden="1">{"'gráf jan00'!$A$1:$AK$41"}</definedName>
    <definedName name="fabiana_1_2" hidden="1">{"'gráf jan00'!$A$1:$AK$41"}</definedName>
    <definedName name="fabiana_2" localSheetId="20" hidden="1">{"'gráf jan00'!$A$1:$AK$41"}</definedName>
    <definedName name="fabiana_2" hidden="1">{"'gráf jan00'!$A$1:$AK$41"}</definedName>
    <definedName name="fabio">#REF!</definedName>
    <definedName name="Facão" localSheetId="20" hidden="1">{"'171'!$A$1:$Z$50"}</definedName>
    <definedName name="Facão" hidden="1">{"'171'!$A$1:$Z$50"}</definedName>
    <definedName name="Facão_1" localSheetId="20" hidden="1">{"'171'!$A$1:$Z$50"}</definedName>
    <definedName name="Facão_1" hidden="1">{"'171'!$A$1:$Z$50"}</definedName>
    <definedName name="Facão_1_1" localSheetId="20" hidden="1">{"'171'!$A$1:$Z$50"}</definedName>
    <definedName name="Facão_1_1" hidden="1">{"'171'!$A$1:$Z$50"}</definedName>
    <definedName name="Facão_1_1_1" localSheetId="20" hidden="1">{"'171'!$A$1:$Z$50"}</definedName>
    <definedName name="Facão_1_1_1" hidden="1">{"'171'!$A$1:$Z$50"}</definedName>
    <definedName name="Facão_1_2" localSheetId="20" hidden="1">{"'171'!$A$1:$Z$50"}</definedName>
    <definedName name="Facão_1_2" hidden="1">{"'171'!$A$1:$Z$50"}</definedName>
    <definedName name="Facão_2" localSheetId="20" hidden="1">{"'171'!$A$1:$Z$50"}</definedName>
    <definedName name="Facão_2" hidden="1">{"'171'!$A$1:$Z$50"}</definedName>
    <definedName name="FADSFDS" localSheetId="20" hidden="1">{"'REL CUSTODIF'!$B$1:$H$72"}</definedName>
    <definedName name="FADSFDS" hidden="1">{"'REL CUSTODIF'!$B$1:$H$72"}</definedName>
    <definedName name="Fae_08">'[144]Medição (2'!$K$143</definedName>
    <definedName name="Faixa">'[140]P A T O 98 D'!#REF!</definedName>
    <definedName name="Faixa_1">"'file:///C:/Documents and Settings/mauricio.ferrao/Desktop/ARQUIVOS R-9-6/Excel/PATOs/BR153_98.XLS'#$'P A T O 98 D'.$#REF!$#REF!"</definedName>
    <definedName name="Faixa_3">'[127]P A T O 98 D'!#REF!</definedName>
    <definedName name="Faixa_4">'[127]P A T O 98 D'!#REF!</definedName>
    <definedName name="Faixa_5">'[127]P A T O 98 D'!#REF!</definedName>
    <definedName name="FAIXA_AN">#REF!</definedName>
    <definedName name="Faixaa">'[142]P A T O 98 D'!#REF!</definedName>
    <definedName name="FAIXAS">#REF!</definedName>
    <definedName name="fanfaefnd" localSheetId="20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ROL_2" localSheetId="20" hidden="1">{"'gráf jan00'!$A$1:$AK$41"}</definedName>
    <definedName name="FAROL_2" hidden="1">{"'gráf jan00'!$A$1:$AK$41"}</definedName>
    <definedName name="FAROL_2_1" localSheetId="20" hidden="1">{"'gráf jan00'!$A$1:$AK$41"}</definedName>
    <definedName name="FAROL_2_1" hidden="1">{"'gráf jan00'!$A$1:$AK$41"}</definedName>
    <definedName name="FAROL_2_1_1" localSheetId="20" hidden="1">{"'gráf jan00'!$A$1:$AK$41"}</definedName>
    <definedName name="FAROL_2_1_1" hidden="1">{"'gráf jan00'!$A$1:$AK$41"}</definedName>
    <definedName name="FAROL_2_1_1_1" localSheetId="20" hidden="1">{"'gráf jan00'!$A$1:$AK$41"}</definedName>
    <definedName name="FAROL_2_1_1_1" hidden="1">{"'gráf jan00'!$A$1:$AK$41"}</definedName>
    <definedName name="FAROL_2_1_2" localSheetId="20" hidden="1">{"'gráf jan00'!$A$1:$AK$41"}</definedName>
    <definedName name="FAROL_2_1_2" hidden="1">{"'gráf jan00'!$A$1:$AK$41"}</definedName>
    <definedName name="FAROL_2_2" localSheetId="20" hidden="1">{"'gráf jan00'!$A$1:$AK$41"}</definedName>
    <definedName name="FAROL_2_2" hidden="1">{"'gráf jan00'!$A$1:$AK$41"}</definedName>
    <definedName name="FarolAno" localSheetId="20" hidden="1">{"'Quadro'!$A$4:$BG$78"}</definedName>
    <definedName name="FarolAno" hidden="1">{"'Quadro'!$A$4:$BG$78"}</definedName>
    <definedName name="FarolAno_1" localSheetId="20" hidden="1">{"'Quadro'!$A$4:$BG$78"}</definedName>
    <definedName name="FarolAno_1" hidden="1">{"'Quadro'!$A$4:$BG$78"}</definedName>
    <definedName name="FarolAno_1_1" localSheetId="20" hidden="1">{"'Quadro'!$A$4:$BG$78"}</definedName>
    <definedName name="FarolAno_1_1" hidden="1">{"'Quadro'!$A$4:$BG$78"}</definedName>
    <definedName name="FarolAno_1_1_1" localSheetId="20" hidden="1">{"'Quadro'!$A$4:$BG$78"}</definedName>
    <definedName name="FarolAno_1_1_1" hidden="1">{"'Quadro'!$A$4:$BG$78"}</definedName>
    <definedName name="FarolAno_1_2" localSheetId="20" hidden="1">{"'Quadro'!$A$4:$BG$78"}</definedName>
    <definedName name="FarolAno_1_2" hidden="1">{"'Quadro'!$A$4:$BG$78"}</definedName>
    <definedName name="FarolAno_2" localSheetId="20" hidden="1">{"'Quadro'!$A$4:$BG$78"}</definedName>
    <definedName name="FarolAno_2" hidden="1">{"'Quadro'!$A$4:$BG$78"}</definedName>
    <definedName name="fasd" localSheetId="20" hidden="1">{"'gráf jan00'!$A$1:$AK$41"}</definedName>
    <definedName name="fasd" hidden="1">{"'gráf jan00'!$A$1:$AK$41"}</definedName>
    <definedName name="fasd_1" localSheetId="20" hidden="1">{"'gráf jan00'!$A$1:$AK$41"}</definedName>
    <definedName name="fasd_1" hidden="1">{"'gráf jan00'!$A$1:$AK$41"}</definedName>
    <definedName name="fasd_1_1" localSheetId="20" hidden="1">{"'gráf jan00'!$A$1:$AK$41"}</definedName>
    <definedName name="fasd_1_1" hidden="1">{"'gráf jan00'!$A$1:$AK$41"}</definedName>
    <definedName name="fasd_1_1_1" localSheetId="20" hidden="1">{"'gráf jan00'!$A$1:$AK$41"}</definedName>
    <definedName name="fasd_1_1_1" hidden="1">{"'gráf jan00'!$A$1:$AK$41"}</definedName>
    <definedName name="fasd_1_2" localSheetId="20" hidden="1">{"'gráf jan00'!$A$1:$AK$41"}</definedName>
    <definedName name="fasd_1_2" hidden="1">{"'gráf jan00'!$A$1:$AK$41"}</definedName>
    <definedName name="fasd_2" localSheetId="20" hidden="1">{"'gráf jan00'!$A$1:$AK$41"}</definedName>
    <definedName name="fasd_2" hidden="1">{"'gráf jan00'!$A$1:$AK$41"}</definedName>
    <definedName name="FASDF" localSheetId="20" hidden="1">{#N/A,#N/A,FALSE,"ORC-ACKE";#N/A,#N/A,FALSE,"RESUMO"}</definedName>
    <definedName name="FASDF" hidden="1">{#N/A,#N/A,FALSE,"ORC-ACKE";#N/A,#N/A,FALSE,"RESUMO"}</definedName>
    <definedName name="fasdfasfdadsf" localSheetId="20" hidden="1">{"'gráf jan00'!$A$1:$AK$41"}</definedName>
    <definedName name="fasdfasfdadsf" hidden="1">{"'gráf jan00'!$A$1:$AK$41"}</definedName>
    <definedName name="fasdfasfdadsf_1" localSheetId="20" hidden="1">{"'gráf jan00'!$A$1:$AK$41"}</definedName>
    <definedName name="fasdfasfdadsf_1" hidden="1">{"'gráf jan00'!$A$1:$AK$41"}</definedName>
    <definedName name="fasdfasfdadsf_1_1" localSheetId="20" hidden="1">{"'gráf jan00'!$A$1:$AK$41"}</definedName>
    <definedName name="fasdfasfdadsf_1_1" hidden="1">{"'gráf jan00'!$A$1:$AK$41"}</definedName>
    <definedName name="fasdfasfdadsf_1_1_1" localSheetId="20" hidden="1">{"'gráf jan00'!$A$1:$AK$41"}</definedName>
    <definedName name="fasdfasfdadsf_1_1_1" hidden="1">{"'gráf jan00'!$A$1:$AK$41"}</definedName>
    <definedName name="fasdfasfdadsf_1_2" localSheetId="20" hidden="1">{"'gráf jan00'!$A$1:$AK$41"}</definedName>
    <definedName name="fasdfasfdadsf_1_2" hidden="1">{"'gráf jan00'!$A$1:$AK$41"}</definedName>
    <definedName name="fasdfasfdadsf_2" localSheetId="20" hidden="1">{"'gráf jan00'!$A$1:$AK$41"}</definedName>
    <definedName name="fasdfasfdadsf_2" hidden="1">{"'gráf jan00'!$A$1:$AK$41"}</definedName>
    <definedName name="Fase_07">'[144]Medição (2'!#REF!</definedName>
    <definedName name="fator">#REF!</definedName>
    <definedName name="FATOR1">'[99]TPU-MARÇO_2002'!$L$2:$L$20</definedName>
    <definedName name="fatoradm">#REF!</definedName>
    <definedName name="fatormob">#REF!</definedName>
    <definedName name="FatorMudançaBase" localSheetId="1">#REF!</definedName>
    <definedName name="FatorMudançaBase">#REF!</definedName>
    <definedName name="FATURAS2002" localSheetId="20" hidden="1">{#N/A,#N/A,TRUE,"Serviços"}</definedName>
    <definedName name="FATURAS2002" localSheetId="21">{#N/A,#N/A,TRUE,"Serviços"}</definedName>
    <definedName name="FATURAS2002" localSheetId="2" hidden="1">{#N/A,#N/A,TRUE,"Serviços"}</definedName>
    <definedName name="FATURAS2002" hidden="1">{#N/A,#N/A,TRUE,"Serviços"}</definedName>
    <definedName name="FATURAS2002_1" localSheetId="20">{#N/A,#N/A,TRUE,"Serviços"}</definedName>
    <definedName name="FATURAS2002_1" localSheetId="21">{#N/A,#N/A,TRUE,"Serviços"}</definedName>
    <definedName name="FATURAS2002_1">{#N/A,#N/A,TRUE,"Serviços"}</definedName>
    <definedName name="FATURAS20022" localSheetId="20" hidden="1">{#N/A,#N/A,TRUE,"Serviços"}</definedName>
    <definedName name="FATURAS20022" localSheetId="2" hidden="1">{#N/A,#N/A,TRUE,"Serviços"}</definedName>
    <definedName name="FATURAS20022" hidden="1">{#N/A,#N/A,TRUE,"Serviços"}</definedName>
    <definedName name="fc1a" localSheetId="21">#REF!</definedName>
    <definedName name="fc1a">'[47]PRO-08'!#REF!</definedName>
    <definedName name="fc1a_11">[48]PRO_08!#REF!</definedName>
    <definedName name="fc1a_15">[48]PRO_08!#REF!</definedName>
    <definedName name="fc1a_24">'[49]PRO-08'!#REF!</definedName>
    <definedName name="fc1a_26">'[50]PRO-08'!#REF!</definedName>
    <definedName name="fc1a_27">'[49]PRO-08'!#REF!</definedName>
    <definedName name="fc1a_27_11">[51]PRO_08!#REF!</definedName>
    <definedName name="fc1a_9">'[49]PRO-08'!#REF!</definedName>
    <definedName name="fc1a_9_11">[51]PRO_08!#REF!</definedName>
    <definedName name="FC2A" localSheetId="21">#REF!</definedName>
    <definedName name="FC2A">'[47]PRO-08'!#REF!</definedName>
    <definedName name="FC2A_11">[48]PRO_08!#REF!</definedName>
    <definedName name="FC2A_15">[48]PRO_08!#REF!</definedName>
    <definedName name="FC2A_24">'[49]PRO-08'!#REF!</definedName>
    <definedName name="FC2A_26">'[50]PRO-08'!#REF!</definedName>
    <definedName name="FC2A_27">'[49]PRO-08'!#REF!</definedName>
    <definedName name="FC2A_27_11">[51]PRO_08!#REF!</definedName>
    <definedName name="FC2A_9">'[49]PRO-08'!#REF!</definedName>
    <definedName name="FC2A_9_11">[51]PRO_08!#REF!</definedName>
    <definedName name="FC3A" localSheetId="21">#REF!</definedName>
    <definedName name="FC3A">'[47]PRO-08'!#REF!</definedName>
    <definedName name="FC3A_11">[48]PRO_08!#REF!</definedName>
    <definedName name="FC3A_15">[48]PRO_08!#REF!</definedName>
    <definedName name="FC3A_24">'[49]PRO-08'!#REF!</definedName>
    <definedName name="FC3A_26">'[50]PRO-08'!#REF!</definedName>
    <definedName name="FC3A_27">'[49]PRO-08'!#REF!</definedName>
    <definedName name="FC3A_27_11">[51]PRO_08!#REF!</definedName>
    <definedName name="FC3A_9">'[49]PRO-08'!#REF!</definedName>
    <definedName name="FC3A_9_11">[51]PRO_08!#REF!</definedName>
    <definedName name="fca">#N/A</definedName>
    <definedName name="FCA_1" localSheetId="20" hidden="1">{"'Quadro'!$A$4:$BG$78"}</definedName>
    <definedName name="FCA_1" hidden="1">{"'Quadro'!$A$4:$BG$78"}</definedName>
    <definedName name="FCA_1_1" localSheetId="20" hidden="1">{"'Quadro'!$A$4:$BG$78"}</definedName>
    <definedName name="FCA_1_1" hidden="1">{"'Quadro'!$A$4:$BG$78"}</definedName>
    <definedName name="FCA_1_1_1" localSheetId="20" hidden="1">{"'Quadro'!$A$4:$BG$78"}</definedName>
    <definedName name="FCA_1_1_1" hidden="1">{"'Quadro'!$A$4:$BG$78"}</definedName>
    <definedName name="FCA_1_2" localSheetId="20" hidden="1">{"'Quadro'!$A$4:$BG$78"}</definedName>
    <definedName name="FCA_1_2" hidden="1">{"'Quadro'!$A$4:$BG$78"}</definedName>
    <definedName name="FCA_2" localSheetId="20" hidden="1">{"'Quadro'!$A$4:$BG$78"}</definedName>
    <definedName name="FCA_2" hidden="1">{"'Quadro'!$A$4:$BG$78"}</definedName>
    <definedName name="FCT">#REF!</definedName>
    <definedName name="fd" localSheetId="20" hidden="1">{"'Quadro'!$A$4:$BG$78"}</definedName>
    <definedName name="fd" localSheetId="21">#REF!</definedName>
    <definedName name="fd">[145]RESUMO_AUT1!#REF!</definedName>
    <definedName name="fd_1" localSheetId="20" hidden="1">{"'Quadro'!$A$4:$BG$78"}</definedName>
    <definedName name="fd_1" hidden="1">{"'Quadro'!$A$4:$BG$78"}</definedName>
    <definedName name="fd_1_1" localSheetId="20" hidden="1">{"'Quadro'!$A$4:$BG$78"}</definedName>
    <definedName name="fd_1_1" hidden="1">{"'Quadro'!$A$4:$BG$78"}</definedName>
    <definedName name="fd_1_1_1" localSheetId="20" hidden="1">{"'Quadro'!$A$4:$BG$78"}</definedName>
    <definedName name="fd_1_1_1" hidden="1">{"'Quadro'!$A$4:$BG$78"}</definedName>
    <definedName name="fd_1_2" localSheetId="20" hidden="1">{"'Quadro'!$A$4:$BG$78"}</definedName>
    <definedName name="fd_1_2" hidden="1">{"'Quadro'!$A$4:$BG$78"}</definedName>
    <definedName name="fd_2" localSheetId="20" hidden="1">{"'Quadro'!$A$4:$BG$78"}</definedName>
    <definedName name="fd_2" hidden="1">{"'Quadro'!$A$4:$BG$78"}</definedName>
    <definedName name="fda" localSheetId="21">#REF!</definedName>
    <definedName name="fda">[146]PROJETO!#REF!</definedName>
    <definedName name="fdaf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eded" localSheetId="20" hidden="1">{"'REL CUSTODIF'!$B$1:$H$72"}</definedName>
    <definedName name="FDeded" hidden="1">{"'REL CUSTODIF'!$B$1:$H$72"}</definedName>
    <definedName name="FDEFDSF" localSheetId="20" hidden="1">{"'REL CUSTODIF'!$B$1:$H$72"}</definedName>
    <definedName name="FDEFDSF" hidden="1">{"'REL CUSTODIF'!$B$1:$H$72"}</definedName>
    <definedName name="fdf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d">#REF!</definedName>
    <definedName name="fdfd_1" localSheetId="20" hidden="1">{"'teste'!$B$2:$R$49"}</definedName>
    <definedName name="fdfd_1" hidden="1">{"'teste'!$B$2:$R$49"}</definedName>
    <definedName name="fdfd_1_1" localSheetId="20" hidden="1">{"'teste'!$B$2:$R$49"}</definedName>
    <definedName name="fdfd_1_1" hidden="1">{"'teste'!$B$2:$R$49"}</definedName>
    <definedName name="fdfd_1_1_1" localSheetId="20" hidden="1">{"'teste'!$B$2:$R$49"}</definedName>
    <definedName name="fdfd_1_1_1" hidden="1">{"'teste'!$B$2:$R$49"}</definedName>
    <definedName name="fdfd_1_2" localSheetId="20" hidden="1">{"'teste'!$B$2:$R$49"}</definedName>
    <definedName name="fdfd_1_2" hidden="1">{"'teste'!$B$2:$R$49"}</definedName>
    <definedName name="fdfd_2" localSheetId="20" hidden="1">{"'teste'!$B$2:$R$49"}</definedName>
    <definedName name="fdfd_2" hidden="1">{"'teste'!$B$2:$R$49"}</definedName>
    <definedName name="FDFDFDFDF" localSheetId="20" hidden="1">{"'gráf jan00'!$A$1:$AK$41"}</definedName>
    <definedName name="FDFDFDFDF" hidden="1">{"'gráf jan00'!$A$1:$AK$41"}</definedName>
    <definedName name="FDFDFDFDF_1" localSheetId="20" hidden="1">{"'gráf jan00'!$A$1:$AK$41"}</definedName>
    <definedName name="FDFDFDFDF_1" hidden="1">{"'gráf jan00'!$A$1:$AK$41"}</definedName>
    <definedName name="FDFDFDFDF_1_1" localSheetId="20" hidden="1">{"'gráf jan00'!$A$1:$AK$41"}</definedName>
    <definedName name="FDFDFDFDF_1_1" hidden="1">{"'gráf jan00'!$A$1:$AK$41"}</definedName>
    <definedName name="FDFDFDFDF_1_1_1" localSheetId="20" hidden="1">{"'gráf jan00'!$A$1:$AK$41"}</definedName>
    <definedName name="FDFDFDFDF_1_1_1" hidden="1">{"'gráf jan00'!$A$1:$AK$41"}</definedName>
    <definedName name="FDFDFDFDF_1_2" localSheetId="20" hidden="1">{"'gráf jan00'!$A$1:$AK$41"}</definedName>
    <definedName name="FDFDFDFDF_1_2" hidden="1">{"'gráf jan00'!$A$1:$AK$41"}</definedName>
    <definedName name="FDFDFDFDF_2" localSheetId="20" hidden="1">{"'gráf jan00'!$A$1:$AK$41"}</definedName>
    <definedName name="FDFDFDFDF_2" hidden="1">{"'gráf jan00'!$A$1:$AK$41"}</definedName>
    <definedName name="fdff" localSheetId="20" hidden="1">{"FORM 2",#N/A,FALSE,"Plan3"}</definedName>
    <definedName name="fdff" hidden="1">{"FORM 2",#N/A,FALSE,"Plan3"}</definedName>
    <definedName name="fdff_1" localSheetId="20" hidden="1">{"FORM 2",#N/A,FALSE,"Plan3"}</definedName>
    <definedName name="fdff_1" hidden="1">{"FORM 2",#N/A,FALSE,"Plan3"}</definedName>
    <definedName name="fdff_1_1" localSheetId="20" hidden="1">{"FORM 2",#N/A,FALSE,"Plan3"}</definedName>
    <definedName name="fdff_1_1" hidden="1">{"FORM 2",#N/A,FALSE,"Plan3"}</definedName>
    <definedName name="fdff_1_1_1" localSheetId="20" hidden="1">{"FORM 2",#N/A,FALSE,"Plan3"}</definedName>
    <definedName name="fdff_1_1_1" hidden="1">{"FORM 2",#N/A,FALSE,"Plan3"}</definedName>
    <definedName name="fdff_1_2" localSheetId="20" hidden="1">{"FORM 2",#N/A,FALSE,"Plan3"}</definedName>
    <definedName name="fdff_1_2" hidden="1">{"FORM 2",#N/A,FALSE,"Plan3"}</definedName>
    <definedName name="fdff_2" localSheetId="20" hidden="1">{"FORM 2",#N/A,FALSE,"Plan3"}</definedName>
    <definedName name="fdff_2" hidden="1">{"FORM 2",#N/A,FALSE,"Plan3"}</definedName>
    <definedName name="fdfng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12">'[3]Paulo de Carvalho'!#REF!</definedName>
    <definedName name="fdfsdfsdf">#REF!</definedName>
    <definedName name="fdgd" localSheetId="20" hidden="1">{"'CptDifn'!$AA$32:$AG$32"}</definedName>
    <definedName name="fdgd" hidden="1">{"'CptDifn'!$AA$32:$AG$32"}</definedName>
    <definedName name="fdgd_1" localSheetId="20" hidden="1">{"'CptDifn'!$AA$32:$AG$32"}</definedName>
    <definedName name="fdgd_1" hidden="1">{"'CptDifn'!$AA$32:$AG$32"}</definedName>
    <definedName name="fdgd_1_1" localSheetId="20" hidden="1">{"'CptDifn'!$AA$32:$AG$32"}</definedName>
    <definedName name="fdgd_1_1" hidden="1">{"'CptDifn'!$AA$32:$AG$32"}</definedName>
    <definedName name="fdgd_1_1_1" localSheetId="20" hidden="1">{"'CptDifn'!$AA$32:$AG$32"}</definedName>
    <definedName name="fdgd_1_1_1" hidden="1">{"'CptDifn'!$AA$32:$AG$32"}</definedName>
    <definedName name="fdgd_1_2" localSheetId="20" hidden="1">{"'CptDifn'!$AA$32:$AG$32"}</definedName>
    <definedName name="fdgd_1_2" hidden="1">{"'CptDifn'!$AA$32:$AG$32"}</definedName>
    <definedName name="fdgd_2" localSheetId="20" hidden="1">{"'CptDifn'!$AA$32:$AG$32"}</definedName>
    <definedName name="fdgd_2" hidden="1">{"'CptDifn'!$AA$32:$AG$32"}</definedName>
    <definedName name="fdgdf" localSheetId="20" hidden="1">{"'CptDifn'!$AA$32:$AG$32"}</definedName>
    <definedName name="fdgdf" hidden="1">{"'CptDifn'!$AA$32:$AG$32"}</definedName>
    <definedName name="fdgdf_1" localSheetId="20" hidden="1">{"'CptDifn'!$AA$32:$AG$32"}</definedName>
    <definedName name="fdgdf_1" hidden="1">{"'CptDifn'!$AA$32:$AG$32"}</definedName>
    <definedName name="fdgdf_1_1" localSheetId="20" hidden="1">{"'CptDifn'!$AA$32:$AG$32"}</definedName>
    <definedName name="fdgdf_1_1" hidden="1">{"'CptDifn'!$AA$32:$AG$32"}</definedName>
    <definedName name="fdgdf_1_1_1" localSheetId="20" hidden="1">{"'CptDifn'!$AA$32:$AG$32"}</definedName>
    <definedName name="fdgdf_1_1_1" hidden="1">{"'CptDifn'!$AA$32:$AG$32"}</definedName>
    <definedName name="fdgdf_1_2" localSheetId="20" hidden="1">{"'CptDifn'!$AA$32:$AG$32"}</definedName>
    <definedName name="fdgdf_1_2" hidden="1">{"'CptDifn'!$AA$32:$AG$32"}</definedName>
    <definedName name="fdgdf_2" localSheetId="20" hidden="1">{"'CptDifn'!$AA$32:$AG$32"}</definedName>
    <definedName name="fdgdf_2" hidden="1">{"'CptDifn'!$AA$32:$AG$32"}</definedName>
    <definedName name="fdjfksdjkfljsdlkfsjd">#REF!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#REF!</definedName>
    <definedName name="FDP_281_1_aSrv" hidden="1">#REF!</definedName>
    <definedName name="FDP_282_1_aSrv" hidden="1">#REF!</definedName>
    <definedName name="FDP_283_1_aSrv" hidden="1">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" localSheetId="20" hidden="1">{"'gráf jan00'!$A$1:$AK$41"}</definedName>
    <definedName name="fds" hidden="1">{"'gráf jan00'!$A$1:$AK$41"}</definedName>
    <definedName name="fdsafe">#REF!</definedName>
    <definedName name="FdsfdF" localSheetId="20" hidden="1">{"'REL CUSTODIF'!$B$1:$H$72"}</definedName>
    <definedName name="FdsfdF" hidden="1">{"'REL CUSTODIF'!$B$1:$H$72"}</definedName>
    <definedName name="FDSFSD" localSheetId="20" hidden="1">{"'gráf jan00'!$A$1:$AK$41"}</definedName>
    <definedName name="FDSFSD" hidden="1">{"'gráf jan00'!$A$1:$AK$41"}</definedName>
    <definedName name="FDSFSD_1" localSheetId="20" hidden="1">{"'gráf jan00'!$A$1:$AK$41"}</definedName>
    <definedName name="FDSFSD_1" hidden="1">{"'gráf jan00'!$A$1:$AK$41"}</definedName>
    <definedName name="FDSFSD_1_1" localSheetId="20" hidden="1">{"'gráf jan00'!$A$1:$AK$41"}</definedName>
    <definedName name="FDSFSD_1_1" hidden="1">{"'gráf jan00'!$A$1:$AK$41"}</definedName>
    <definedName name="FDSFSD_1_1_1" localSheetId="20" hidden="1">{"'gráf jan00'!$A$1:$AK$41"}</definedName>
    <definedName name="FDSFSD_1_1_1" hidden="1">{"'gráf jan00'!$A$1:$AK$41"}</definedName>
    <definedName name="FDSFSD_1_2" localSheetId="20" hidden="1">{"'gráf jan00'!$A$1:$AK$41"}</definedName>
    <definedName name="FDSFSD_1_2" hidden="1">{"'gráf jan00'!$A$1:$AK$41"}</definedName>
    <definedName name="FDSFSD_2" localSheetId="20" hidden="1">{"'gráf jan00'!$A$1:$AK$41"}</definedName>
    <definedName name="FDSFSD_2" hidden="1">{"'gráf jan00'!$A$1:$AK$41"}</definedName>
    <definedName name="fdsgdsgsdfgsdgsd">#REF!</definedName>
    <definedName name="FDVGD" localSheetId="21" hidden="1">#REF!</definedName>
    <definedName name="FDVGD" hidden="1">#REF!</definedName>
    <definedName name="fe" localSheetId="20" hidden="1">{#N/A,#N/A,FALSE,"ROTINA";#N/A,#N/A,FALSE,"ITENS";#N/A,#N/A,FALSE,"ACOMP"}</definedName>
    <definedName name="FE">#REF!</definedName>
    <definedName name="fe_3" localSheetId="20" hidden="1">{#N/A,#N/A,FALSE,"ROTINA";#N/A,#N/A,FALSE,"ITENS";#N/A,#N/A,FALSE,"ACOMP"}</definedName>
    <definedName name="fe_3" hidden="1">{#N/A,#N/A,FALSE,"ROTINA";#N/A,#N/A,FALSE,"ITENS";#N/A,#N/A,FALSE,"ACOMP"}</definedName>
    <definedName name="fe_3_1" localSheetId="20" hidden="1">{#N/A,#N/A,FALSE,"ROTINA";#N/A,#N/A,FALSE,"ITENS";#N/A,#N/A,FALSE,"ACOMP"}</definedName>
    <definedName name="fe_3_1" hidden="1">{#N/A,#N/A,FALSE,"ROTINA";#N/A,#N/A,FALSE,"ITENS";#N/A,#N/A,FALSE,"ACOMP"}</definedName>
    <definedName name="fe_3_1_1" localSheetId="20" hidden="1">{#N/A,#N/A,FALSE,"ROTINA";#N/A,#N/A,FALSE,"ITENS";#N/A,#N/A,FALSE,"ACOMP"}</definedName>
    <definedName name="fe_3_1_1" hidden="1">{#N/A,#N/A,FALSE,"ROTINA";#N/A,#N/A,FALSE,"ITENS";#N/A,#N/A,FALSE,"ACOMP"}</definedName>
    <definedName name="fe_3_2" localSheetId="20" hidden="1">{#N/A,#N/A,FALSE,"ROTINA";#N/A,#N/A,FALSE,"ITENS";#N/A,#N/A,FALSE,"ACOMP"}</definedName>
    <definedName name="fe_3_2" hidden="1">{#N/A,#N/A,FALSE,"ROTINA";#N/A,#N/A,FALSE,"ITENS";#N/A,#N/A,FALSE,"ACOMP"}</definedName>
    <definedName name="fe_areia">'[100]Dados Iniciais'!$B$5</definedName>
    <definedName name="fefewfew" localSheetId="0">[91]!Bt_Fechar_Clique</definedName>
    <definedName name="fefewfew" localSheetId="30">[91]!Bt_Fechar_Clique</definedName>
    <definedName name="fefewfew">[91]!Bt_Fechar_Clique</definedName>
    <definedName name="FEFRQEFEFD" localSheetId="20" hidden="1">{"'REL CUSTODIF'!$B$1:$H$72"}</definedName>
    <definedName name="FEFRQEFEFD" hidden="1">{"'REL CUSTODIF'!$B$1:$H$72"}</definedName>
    <definedName name="fegregtrtg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lipe" localSheetId="20" hidden="1">{"'CptDifn'!$AA$32:$AG$32"}</definedName>
    <definedName name="felipe" hidden="1">{"'CptDifn'!$AA$32:$AG$32"}</definedName>
    <definedName name="felipe_1" localSheetId="20" hidden="1">{"'CptDifn'!$AA$32:$AG$32"}</definedName>
    <definedName name="felipe_1" hidden="1">{"'CptDifn'!$AA$32:$AG$32"}</definedName>
    <definedName name="felipe_1_1" localSheetId="20" hidden="1">{"'CptDifn'!$AA$32:$AG$32"}</definedName>
    <definedName name="felipe_1_1" hidden="1">{"'CptDifn'!$AA$32:$AG$32"}</definedName>
    <definedName name="felipe_1_1_1" localSheetId="20" hidden="1">{"'CptDifn'!$AA$32:$AG$32"}</definedName>
    <definedName name="felipe_1_1_1" hidden="1">{"'CptDifn'!$AA$32:$AG$32"}</definedName>
    <definedName name="felipe_1_2" localSheetId="20" hidden="1">{"'CptDifn'!$AA$32:$AG$32"}</definedName>
    <definedName name="felipe_1_2" hidden="1">{"'CptDifn'!$AA$32:$AG$32"}</definedName>
    <definedName name="felipe_2" localSheetId="20" hidden="1">{"'CptDifn'!$AA$32:$AG$32"}</definedName>
    <definedName name="felipe_2" hidden="1">{"'CptDifn'!$AA$32:$AG$32"}</definedName>
    <definedName name="FENSIDADE">#N/A</definedName>
    <definedName name="Fer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E">#N/A</definedName>
    <definedName name="feriados">#REF!</definedName>
    <definedName name="fern" localSheetId="20" hidden="1">{"'gráf jan00'!$A$1:$AK$41"}</definedName>
    <definedName name="fern" hidden="1">{"'gráf jan00'!$A$1:$AK$41"}</definedName>
    <definedName name="fern_1" localSheetId="20" hidden="1">{"'gráf jan00'!$A$1:$AK$41"}</definedName>
    <definedName name="fern_1" hidden="1">{"'gráf jan00'!$A$1:$AK$41"}</definedName>
    <definedName name="fern_1_1" localSheetId="20" hidden="1">{"'gráf jan00'!$A$1:$AK$41"}</definedName>
    <definedName name="fern_1_1" hidden="1">{"'gráf jan00'!$A$1:$AK$41"}</definedName>
    <definedName name="fern_1_1_1" localSheetId="20" hidden="1">{"'gráf jan00'!$A$1:$AK$41"}</definedName>
    <definedName name="fern_1_1_1" hidden="1">{"'gráf jan00'!$A$1:$AK$41"}</definedName>
    <definedName name="fern_1_2" localSheetId="20" hidden="1">{"'gráf jan00'!$A$1:$AK$41"}</definedName>
    <definedName name="fern_1_2" hidden="1">{"'gráf jan00'!$A$1:$AK$41"}</definedName>
    <definedName name="fern_2" localSheetId="20" hidden="1">{"'gráf jan00'!$A$1:$AK$41"}</definedName>
    <definedName name="fern_2" hidden="1">{"'gráf jan00'!$A$1:$AK$41"}</definedName>
    <definedName name="fernananananana" localSheetId="20" hidden="1">{"'gráf jan00'!$A$1:$AK$41"}</definedName>
    <definedName name="fernananananana" hidden="1">{"'gráf jan00'!$A$1:$AK$41"}</definedName>
    <definedName name="fernananananana_1" localSheetId="20" hidden="1">{"'gráf jan00'!$A$1:$AK$41"}</definedName>
    <definedName name="fernananananana_1" hidden="1">{"'gráf jan00'!$A$1:$AK$41"}</definedName>
    <definedName name="fernananananana_1_1" localSheetId="20" hidden="1">{"'gráf jan00'!$A$1:$AK$41"}</definedName>
    <definedName name="fernananananana_1_1" hidden="1">{"'gráf jan00'!$A$1:$AK$41"}</definedName>
    <definedName name="fernananananana_1_1_1" localSheetId="20" hidden="1">{"'gráf jan00'!$A$1:$AK$41"}</definedName>
    <definedName name="fernananananana_1_1_1" hidden="1">{"'gráf jan00'!$A$1:$AK$41"}</definedName>
    <definedName name="fernananananana_1_2" localSheetId="20" hidden="1">{"'gráf jan00'!$A$1:$AK$41"}</definedName>
    <definedName name="fernananananana_1_2" hidden="1">{"'gráf jan00'!$A$1:$AK$41"}</definedName>
    <definedName name="fernananananana_2" localSheetId="20" hidden="1">{"'gráf jan00'!$A$1:$AK$41"}</definedName>
    <definedName name="fernananananana_2" hidden="1">{"'gráf jan00'!$A$1:$AK$41"}</definedName>
    <definedName name="fernand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2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_1" localSheetId="20" hidden="1">{#N/A,#N/A,TRUE,"indice";#N/A,#N/A,TRUE,"indicadores";#N/A,#N/A,TRUE,"comentarios"}</definedName>
    <definedName name="Fernanda_1" hidden="1">{#N/A,#N/A,TRUE,"indice";#N/A,#N/A,TRUE,"indicadores";#N/A,#N/A,TRUE,"comentarios"}</definedName>
    <definedName name="Fernanda_1_1" localSheetId="20" hidden="1">{#N/A,#N/A,TRUE,"indice";#N/A,#N/A,TRUE,"indicadores";#N/A,#N/A,TRUE,"comentarios"}</definedName>
    <definedName name="Fernanda_1_1" hidden="1">{#N/A,#N/A,TRUE,"indice";#N/A,#N/A,TRUE,"indicadores";#N/A,#N/A,TRUE,"comentarios"}</definedName>
    <definedName name="Fernanda_1_1_1" localSheetId="20" hidden="1">{#N/A,#N/A,TRUE,"indice";#N/A,#N/A,TRUE,"indicadores";#N/A,#N/A,TRUE,"comentarios"}</definedName>
    <definedName name="Fernanda_1_1_1" hidden="1">{#N/A,#N/A,TRUE,"indice";#N/A,#N/A,TRUE,"indicadores";#N/A,#N/A,TRUE,"comentarios"}</definedName>
    <definedName name="Fernanda_1_2" localSheetId="20" hidden="1">{#N/A,#N/A,TRUE,"indice";#N/A,#N/A,TRUE,"indicadores";#N/A,#N/A,TRUE,"comentarios"}</definedName>
    <definedName name="Fernanda_1_2" hidden="1">{#N/A,#N/A,TRUE,"indice";#N/A,#N/A,TRUE,"indicadores";#N/A,#N/A,TRUE,"comentarios"}</definedName>
    <definedName name="Fernanda_2" localSheetId="20" hidden="1">{#N/A,#N/A,TRUE,"indice";#N/A,#N/A,TRUE,"indicadores";#N/A,#N/A,TRUE,"comentarios"}</definedName>
    <definedName name="Fernanda_2" hidden="1">{#N/A,#N/A,TRUE,"indice";#N/A,#N/A,TRUE,"indicadores";#N/A,#N/A,TRUE,"comentarios"}</definedName>
    <definedName name="fernando" localSheetId="20" hidden="1">{"'gráf jan00'!$A$1:$AK$41"}</definedName>
    <definedName name="fernando" hidden="1">{"'gráf jan00'!$A$1:$AK$41"}</definedName>
    <definedName name="fernando_1" localSheetId="20" hidden="1">{"'gráf jan00'!$A$1:$AK$41"}</definedName>
    <definedName name="fernando_1" hidden="1">{"'gráf jan00'!$A$1:$AK$41"}</definedName>
    <definedName name="fernando_1_1" localSheetId="20" hidden="1">{"'gráf jan00'!$A$1:$AK$41"}</definedName>
    <definedName name="fernando_1_1" hidden="1">{"'gráf jan00'!$A$1:$AK$41"}</definedName>
    <definedName name="fernando_1_1_1" localSheetId="20" hidden="1">{"'gráf jan00'!$A$1:$AK$41"}</definedName>
    <definedName name="fernando_1_1_1" hidden="1">{"'gráf jan00'!$A$1:$AK$41"}</definedName>
    <definedName name="fernando_1_2" localSheetId="20" hidden="1">{"'gráf jan00'!$A$1:$AK$41"}</definedName>
    <definedName name="fernando_1_2" hidden="1">{"'gráf jan00'!$A$1:$AK$41"}</definedName>
    <definedName name="fernando_2" localSheetId="20" hidden="1">{"'gráf jan00'!$A$1:$AK$41"}</definedName>
    <definedName name="fernando_2" hidden="1">{"'gráf jan00'!$A$1:$AK$41"}</definedName>
    <definedName name="Fev" localSheetId="20" hidden="1">{#N/A,#N/A,FALSE,"SITUAÇÃO DIÁRIA ";#N/A,#N/A,FALSE,"7 à 7"}</definedName>
    <definedName name="Fev" hidden="1">{#N/A,#N/A,FALSE,"SITUAÇÃO DIÁRIA ";#N/A,#N/A,FALSE,"7 à 7"}</definedName>
    <definedName name="Fev_1" localSheetId="20" hidden="1">{#N/A,#N/A,FALSE,"SITUAÇÃO DIÁRIA ";#N/A,#N/A,FALSE,"7 à 7"}</definedName>
    <definedName name="Fev_1" hidden="1">{#N/A,#N/A,FALSE,"SITUAÇÃO DIÁRIA ";#N/A,#N/A,FALSE,"7 à 7"}</definedName>
    <definedName name="Fev_1_1" localSheetId="20" hidden="1">{#N/A,#N/A,FALSE,"SITUAÇÃO DIÁRIA ";#N/A,#N/A,FALSE,"7 à 7"}</definedName>
    <definedName name="Fev_1_1" hidden="1">{#N/A,#N/A,FALSE,"SITUAÇÃO DIÁRIA ";#N/A,#N/A,FALSE,"7 à 7"}</definedName>
    <definedName name="Fev_1_1_1" localSheetId="20" hidden="1">{#N/A,#N/A,FALSE,"SITUAÇÃO DIÁRIA ";#N/A,#N/A,FALSE,"7 à 7"}</definedName>
    <definedName name="Fev_1_1_1" hidden="1">{#N/A,#N/A,FALSE,"SITUAÇÃO DIÁRIA ";#N/A,#N/A,FALSE,"7 à 7"}</definedName>
    <definedName name="Fev_1_2" localSheetId="20" hidden="1">{#N/A,#N/A,FALSE,"SITUAÇÃO DIÁRIA ";#N/A,#N/A,FALSE,"7 à 7"}</definedName>
    <definedName name="Fev_1_2" hidden="1">{#N/A,#N/A,FALSE,"SITUAÇÃO DIÁRIA ";#N/A,#N/A,FALSE,"7 à 7"}</definedName>
    <definedName name="Fev_2" localSheetId="20" hidden="1">{#N/A,#N/A,FALSE,"SITUAÇÃO DIÁRIA ";#N/A,#N/A,FALSE,"7 à 7"}</definedName>
    <definedName name="Fev_2" hidden="1">{#N/A,#N/A,FALSE,"SITUAÇÃO DIÁRIA ";#N/A,#N/A,FALSE,"7 à 7"}</definedName>
    <definedName name="FEV00">[35]Consultoria!#REF!</definedName>
    <definedName name="FEVA">#REF!</definedName>
    <definedName name="Fevereiro" localSheetId="20" hidden="1">{"'Quadro'!$A$4:$BG$78"}</definedName>
    <definedName name="Fevereiro" hidden="1">{"'Quadro'!$A$4:$BG$78"}</definedName>
    <definedName name="Fevereiro_1" localSheetId="20" hidden="1">{"'Quadro'!$A$4:$BG$78"}</definedName>
    <definedName name="Fevereiro_1" hidden="1">{"'Quadro'!$A$4:$BG$78"}</definedName>
    <definedName name="Fevereiro_1_1" localSheetId="20" hidden="1">{"'Quadro'!$A$4:$BG$78"}</definedName>
    <definedName name="Fevereiro_1_1" hidden="1">{"'Quadro'!$A$4:$BG$78"}</definedName>
    <definedName name="Fevereiro_1_1_1" localSheetId="20" hidden="1">{"'Quadro'!$A$4:$BG$78"}</definedName>
    <definedName name="Fevereiro_1_1_1" hidden="1">{"'Quadro'!$A$4:$BG$78"}</definedName>
    <definedName name="Fevereiro_1_2" localSheetId="20" hidden="1">{"'Quadro'!$A$4:$BG$78"}</definedName>
    <definedName name="Fevereiro_1_2" hidden="1">{"'Quadro'!$A$4:$BG$78"}</definedName>
    <definedName name="Fevereiro_2" localSheetId="20" hidden="1">{"'Quadro'!$A$4:$BG$78"}</definedName>
    <definedName name="Fevereiro_2" hidden="1">{"'Quadro'!$A$4:$BG$78"}</definedName>
    <definedName name="ff">#REF!</definedName>
    <definedName name="ff_1" localSheetId="20" hidden="1">{"'gráf jan00'!$A$1:$AK$41"}</definedName>
    <definedName name="ff_1" hidden="1">{"'gráf jan00'!$A$1:$AK$41"}</definedName>
    <definedName name="ff_1_1" localSheetId="20" hidden="1">{"'gráf jan00'!$A$1:$AK$41"}</definedName>
    <definedName name="ff_1_1" hidden="1">{"'gráf jan00'!$A$1:$AK$41"}</definedName>
    <definedName name="ff_1_1_1" localSheetId="20" hidden="1">{"'gráf jan00'!$A$1:$AK$41"}</definedName>
    <definedName name="ff_1_1_1" hidden="1">{"'gráf jan00'!$A$1:$AK$41"}</definedName>
    <definedName name="ff_1_2" localSheetId="20" hidden="1">{"'gráf jan00'!$A$1:$AK$41"}</definedName>
    <definedName name="ff_1_2" hidden="1">{"'gráf jan00'!$A$1:$AK$41"}</definedName>
    <definedName name="ff_2" localSheetId="20" hidden="1">{"'gráf jan00'!$A$1:$AK$41"}</definedName>
    <definedName name="ff_2" hidden="1">{"'gráf jan00'!$A$1:$AK$41"}</definedName>
    <definedName name="FFDSA">#REF!</definedName>
    <definedName name="fff" localSheetId="20" hidden="1">{"'Plan1'!$B$10","'Plan1'!$A$1","'Plan1'!$C$2:$N$28"}</definedName>
    <definedName name="fff" localSheetId="21">#REF!</definedName>
    <definedName name="fff">'[123]P A T O  D'!#REF!</definedName>
    <definedName name="fff_1" localSheetId="20" hidden="1">{"'Plan1'!$B$10","'Plan1'!$A$1","'Plan1'!$C$2:$N$28"}</definedName>
    <definedName name="fff_1" hidden="1">{"'Plan1'!$B$10","'Plan1'!$A$1","'Plan1'!$C$2:$N$28"}</definedName>
    <definedName name="fff_1_1" localSheetId="20" hidden="1">{"'Plan1'!$B$10","'Plan1'!$A$1","'Plan1'!$C$2:$N$28"}</definedName>
    <definedName name="fff_1_1" hidden="1">{"'Plan1'!$B$10","'Plan1'!$A$1","'Plan1'!$C$2:$N$28"}</definedName>
    <definedName name="fff_1_1_1" localSheetId="20" hidden="1">{"'Plan1'!$B$10","'Plan1'!$A$1","'Plan1'!$C$2:$N$28"}</definedName>
    <definedName name="fff_1_1_1" hidden="1">{"'Plan1'!$B$10","'Plan1'!$A$1","'Plan1'!$C$2:$N$28"}</definedName>
    <definedName name="fff_1_2" localSheetId="20" hidden="1">{"'Plan1'!$B$10","'Plan1'!$A$1","'Plan1'!$C$2:$N$28"}</definedName>
    <definedName name="fff_1_2" hidden="1">{"'Plan1'!$B$10","'Plan1'!$A$1","'Plan1'!$C$2:$N$28"}</definedName>
    <definedName name="fff_2" localSheetId="20" hidden="1">{"'Plan1'!$B$10","'Plan1'!$A$1","'Plan1'!$C$2:$N$28"}</definedName>
    <definedName name="fff_2" hidden="1">{"'Plan1'!$B$10","'Plan1'!$A$1","'Plan1'!$C$2:$N$28"}</definedName>
    <definedName name="ffff">'[49]PRO-08'!#REF!</definedName>
    <definedName name="fffff" localSheetId="20" hidden="1">{"'EI 060 02'!$A$1:$K$59"}</definedName>
    <definedName name="fffff" localSheetId="21">#REF!</definedName>
    <definedName name="fffff">[4]COMPOS1!#REF!</definedName>
    <definedName name="fffff_1" localSheetId="20" hidden="1">{"'CptDifn'!$AA$32:$AG$32"}</definedName>
    <definedName name="fffff_1" hidden="1">{"'CptDifn'!$AA$32:$AG$32"}</definedName>
    <definedName name="fffff_1_1" localSheetId="20" hidden="1">{"'CptDifn'!$AA$32:$AG$32"}</definedName>
    <definedName name="fffff_1_1" hidden="1">{"'CptDifn'!$AA$32:$AG$32"}</definedName>
    <definedName name="fffff_1_1_1" localSheetId="20" hidden="1">{"'CptDifn'!$AA$32:$AG$32"}</definedName>
    <definedName name="fffff_1_1_1" hidden="1">{"'CptDifn'!$AA$32:$AG$32"}</definedName>
    <definedName name="fffff_1_2" localSheetId="20" hidden="1">{"'CptDifn'!$AA$32:$AG$32"}</definedName>
    <definedName name="fffff_1_2" hidden="1">{"'CptDifn'!$AA$32:$AG$32"}</definedName>
    <definedName name="fffff_2" localSheetId="20" hidden="1">{"'CptDifn'!$AA$32:$AG$32"}</definedName>
    <definedName name="fffff_2" hidden="1">{"'CptDifn'!$AA$32:$AG$32"}</definedName>
    <definedName name="FFFFFF" localSheetId="21">#REF!</definedName>
    <definedName name="FFFFFF">[51]Plan1!#REF!</definedName>
    <definedName name="FFFFFFFFFF" hidden="1">#REF!</definedName>
    <definedName name="fffffffffffff">'[41]Fresagem de Pista Ago-98'!#REF!</definedName>
    <definedName name="fffffffffffffff">#N/A</definedName>
    <definedName name="fffg">#N/A</definedName>
    <definedName name="FFTY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P" localSheetId="20" hidden="1">{"'gráf jan00'!$A$1:$AK$41"}</definedName>
    <definedName name="FFVP" hidden="1">{"'gráf jan00'!$A$1:$AK$41"}</definedName>
    <definedName name="FFVP_1" localSheetId="20" hidden="1">{"'gráf jan00'!$A$1:$AK$41"}</definedName>
    <definedName name="FFVP_1" hidden="1">{"'gráf jan00'!$A$1:$AK$41"}</definedName>
    <definedName name="FFVP_1_1" localSheetId="20" hidden="1">{"'gráf jan00'!$A$1:$AK$41"}</definedName>
    <definedName name="FFVP_1_1" hidden="1">{"'gráf jan00'!$A$1:$AK$41"}</definedName>
    <definedName name="FFVP_1_1_1" localSheetId="20" hidden="1">{"'gráf jan00'!$A$1:$AK$41"}</definedName>
    <definedName name="FFVP_1_1_1" hidden="1">{"'gráf jan00'!$A$1:$AK$41"}</definedName>
    <definedName name="FFVP_1_2" localSheetId="20" hidden="1">{"'gráf jan00'!$A$1:$AK$41"}</definedName>
    <definedName name="FFVP_1_2" hidden="1">{"'gráf jan00'!$A$1:$AK$41"}</definedName>
    <definedName name="FFVP_2" localSheetId="20" hidden="1">{"'gráf jan00'!$A$1:$AK$41"}</definedName>
    <definedName name="FFVP_2" hidden="1">{"'gráf jan00'!$A$1:$AK$41"}</definedName>
    <definedName name="ffvp00" localSheetId="20" hidden="1">{"'gráf jan00'!$A$1:$AK$41"}</definedName>
    <definedName name="ffvp00" hidden="1">{"'gráf jan00'!$A$1:$AK$41"}</definedName>
    <definedName name="ffvp00_1" localSheetId="20" hidden="1">{"'gráf jan00'!$A$1:$AK$41"}</definedName>
    <definedName name="ffvp00_1" hidden="1">{"'gráf jan00'!$A$1:$AK$41"}</definedName>
    <definedName name="ffvp00_1_1" localSheetId="20" hidden="1">{"'gráf jan00'!$A$1:$AK$41"}</definedName>
    <definedName name="ffvp00_1_1" hidden="1">{"'gráf jan00'!$A$1:$AK$41"}</definedName>
    <definedName name="ffvp00_1_1_1" localSheetId="20" hidden="1">{"'gráf jan00'!$A$1:$AK$41"}</definedName>
    <definedName name="ffvp00_1_1_1" hidden="1">{"'gráf jan00'!$A$1:$AK$41"}</definedName>
    <definedName name="ffvp00_1_2" localSheetId="20" hidden="1">{"'gráf jan00'!$A$1:$AK$41"}</definedName>
    <definedName name="ffvp00_1_2" hidden="1">{"'gráf jan00'!$A$1:$AK$41"}</definedName>
    <definedName name="ffvp00_2" localSheetId="20" hidden="1">{"'gráf jan00'!$A$1:$AK$41"}</definedName>
    <definedName name="ffvp00_2" hidden="1">{"'gráf jan00'!$A$1:$AK$41"}</definedName>
    <definedName name="FFVP1" localSheetId="20" hidden="1">{"'gráf jan00'!$A$1:$AK$41"}</definedName>
    <definedName name="FFVP1" hidden="1">{"'gráf jan00'!$A$1:$AK$41"}</definedName>
    <definedName name="FFVP1_1" localSheetId="20" hidden="1">{"'gráf jan00'!$A$1:$AK$41"}</definedName>
    <definedName name="FFVP1_1" hidden="1">{"'gráf jan00'!$A$1:$AK$41"}</definedName>
    <definedName name="FFVP1_1_1" localSheetId="20" hidden="1">{"'gráf jan00'!$A$1:$AK$41"}</definedName>
    <definedName name="FFVP1_1_1" hidden="1">{"'gráf jan00'!$A$1:$AK$41"}</definedName>
    <definedName name="FFVP1_1_1_1" localSheetId="20" hidden="1">{"'gráf jan00'!$A$1:$AK$41"}</definedName>
    <definedName name="FFVP1_1_1_1" hidden="1">{"'gráf jan00'!$A$1:$AK$41"}</definedName>
    <definedName name="FFVP1_1_2" localSheetId="20" hidden="1">{"'gráf jan00'!$A$1:$AK$41"}</definedName>
    <definedName name="FFVP1_1_2" hidden="1">{"'gráf jan00'!$A$1:$AK$41"}</definedName>
    <definedName name="FFVP1_2" localSheetId="20" hidden="1">{"'gráf jan00'!$A$1:$AK$41"}</definedName>
    <definedName name="FFVP1_2" hidden="1">{"'gráf jan00'!$A$1:$AK$41"}</definedName>
    <definedName name="FFVP10" localSheetId="20" hidden="1">{"'gráf jan00'!$A$1:$AK$41"}</definedName>
    <definedName name="FFVP10" hidden="1">{"'gráf jan00'!$A$1:$AK$41"}</definedName>
    <definedName name="FFVP10_1" localSheetId="20" hidden="1">{"'gráf jan00'!$A$1:$AK$41"}</definedName>
    <definedName name="FFVP10_1" hidden="1">{"'gráf jan00'!$A$1:$AK$41"}</definedName>
    <definedName name="FFVP10_1_1" localSheetId="20" hidden="1">{"'gráf jan00'!$A$1:$AK$41"}</definedName>
    <definedName name="FFVP10_1_1" hidden="1">{"'gráf jan00'!$A$1:$AK$41"}</definedName>
    <definedName name="FFVP10_1_1_1" localSheetId="20" hidden="1">{"'gráf jan00'!$A$1:$AK$41"}</definedName>
    <definedName name="FFVP10_1_1_1" hidden="1">{"'gráf jan00'!$A$1:$AK$41"}</definedName>
    <definedName name="FFVP10_1_2" localSheetId="20" hidden="1">{"'gráf jan00'!$A$1:$AK$41"}</definedName>
    <definedName name="FFVP10_1_2" hidden="1">{"'gráf jan00'!$A$1:$AK$41"}</definedName>
    <definedName name="FFVP10_2" localSheetId="20" hidden="1">{"'gráf jan00'!$A$1:$AK$41"}</definedName>
    <definedName name="FFVP10_2" hidden="1">{"'gráf jan00'!$A$1:$AK$41"}</definedName>
    <definedName name="FFVP11" localSheetId="20" hidden="1">{"'gráf jan00'!$A$1:$AK$41"}</definedName>
    <definedName name="FFVP11" hidden="1">{"'gráf jan00'!$A$1:$AK$41"}</definedName>
    <definedName name="FFVP11_1" localSheetId="20" hidden="1">{"'gráf jan00'!$A$1:$AK$41"}</definedName>
    <definedName name="FFVP11_1" hidden="1">{"'gráf jan00'!$A$1:$AK$41"}</definedName>
    <definedName name="FFVP11_1_1" localSheetId="20" hidden="1">{"'gráf jan00'!$A$1:$AK$41"}</definedName>
    <definedName name="FFVP11_1_1" hidden="1">{"'gráf jan00'!$A$1:$AK$41"}</definedName>
    <definedName name="FFVP11_1_1_1" localSheetId="20" hidden="1">{"'gráf jan00'!$A$1:$AK$41"}</definedName>
    <definedName name="FFVP11_1_1_1" hidden="1">{"'gráf jan00'!$A$1:$AK$41"}</definedName>
    <definedName name="FFVP11_1_2" localSheetId="20" hidden="1">{"'gráf jan00'!$A$1:$AK$41"}</definedName>
    <definedName name="FFVP11_1_2" hidden="1">{"'gráf jan00'!$A$1:$AK$41"}</definedName>
    <definedName name="FFVP11_2" localSheetId="20" hidden="1">{"'gráf jan00'!$A$1:$AK$41"}</definedName>
    <definedName name="FFVP11_2" hidden="1">{"'gráf jan00'!$A$1:$AK$41"}</definedName>
    <definedName name="FFVP12" localSheetId="20" hidden="1">{"'gráf jan00'!$A$1:$AK$41"}</definedName>
    <definedName name="FFVP12" hidden="1">{"'gráf jan00'!$A$1:$AK$41"}</definedName>
    <definedName name="FFVP12_1" localSheetId="20" hidden="1">{"'gráf jan00'!$A$1:$AK$41"}</definedName>
    <definedName name="FFVP12_1" hidden="1">{"'gráf jan00'!$A$1:$AK$41"}</definedName>
    <definedName name="FFVP12_1_1" localSheetId="20" hidden="1">{"'gráf jan00'!$A$1:$AK$41"}</definedName>
    <definedName name="FFVP12_1_1" hidden="1">{"'gráf jan00'!$A$1:$AK$41"}</definedName>
    <definedName name="FFVP12_1_1_1" localSheetId="20" hidden="1">{"'gráf jan00'!$A$1:$AK$41"}</definedName>
    <definedName name="FFVP12_1_1_1" hidden="1">{"'gráf jan00'!$A$1:$AK$41"}</definedName>
    <definedName name="FFVP12_1_2" localSheetId="20" hidden="1">{"'gráf jan00'!$A$1:$AK$41"}</definedName>
    <definedName name="FFVP12_1_2" hidden="1">{"'gráf jan00'!$A$1:$AK$41"}</definedName>
    <definedName name="FFVP12_2" localSheetId="20" hidden="1">{"'gráf jan00'!$A$1:$AK$41"}</definedName>
    <definedName name="FFVP12_2" hidden="1">{"'gráf jan00'!$A$1:$AK$41"}</definedName>
    <definedName name="FFVP13" localSheetId="20" hidden="1">{"'gráf jan00'!$A$1:$AK$41"}</definedName>
    <definedName name="FFVP13" hidden="1">{"'gráf jan00'!$A$1:$AK$41"}</definedName>
    <definedName name="FFVP13_1" localSheetId="20" hidden="1">{"'gráf jan00'!$A$1:$AK$41"}</definedName>
    <definedName name="FFVP13_1" hidden="1">{"'gráf jan00'!$A$1:$AK$41"}</definedName>
    <definedName name="FFVP13_1_1" localSheetId="20" hidden="1">{"'gráf jan00'!$A$1:$AK$41"}</definedName>
    <definedName name="FFVP13_1_1" hidden="1">{"'gráf jan00'!$A$1:$AK$41"}</definedName>
    <definedName name="FFVP13_1_1_1" localSheetId="20" hidden="1">{"'gráf jan00'!$A$1:$AK$41"}</definedName>
    <definedName name="FFVP13_1_1_1" hidden="1">{"'gráf jan00'!$A$1:$AK$41"}</definedName>
    <definedName name="FFVP13_1_2" localSheetId="20" hidden="1">{"'gráf jan00'!$A$1:$AK$41"}</definedName>
    <definedName name="FFVP13_1_2" hidden="1">{"'gráf jan00'!$A$1:$AK$41"}</definedName>
    <definedName name="FFVP13_2" localSheetId="20" hidden="1">{"'gráf jan00'!$A$1:$AK$41"}</definedName>
    <definedName name="FFVP13_2" hidden="1">{"'gráf jan00'!$A$1:$AK$41"}</definedName>
    <definedName name="FFVP14" localSheetId="20" hidden="1">{"'gráf jan00'!$A$1:$AK$41"}</definedName>
    <definedName name="FFVP14" hidden="1">{"'gráf jan00'!$A$1:$AK$41"}</definedName>
    <definedName name="FFVP14_1" localSheetId="20" hidden="1">{"'gráf jan00'!$A$1:$AK$41"}</definedName>
    <definedName name="FFVP14_1" hidden="1">{"'gráf jan00'!$A$1:$AK$41"}</definedName>
    <definedName name="FFVP14_1_1" localSheetId="20" hidden="1">{"'gráf jan00'!$A$1:$AK$41"}</definedName>
    <definedName name="FFVP14_1_1" hidden="1">{"'gráf jan00'!$A$1:$AK$41"}</definedName>
    <definedName name="FFVP14_1_1_1" localSheetId="20" hidden="1">{"'gráf jan00'!$A$1:$AK$41"}</definedName>
    <definedName name="FFVP14_1_1_1" hidden="1">{"'gráf jan00'!$A$1:$AK$41"}</definedName>
    <definedName name="FFVP14_1_2" localSheetId="20" hidden="1">{"'gráf jan00'!$A$1:$AK$41"}</definedName>
    <definedName name="FFVP14_1_2" hidden="1">{"'gráf jan00'!$A$1:$AK$41"}</definedName>
    <definedName name="FFVP14_2" localSheetId="20" hidden="1">{"'gráf jan00'!$A$1:$AK$41"}</definedName>
    <definedName name="FFVP14_2" hidden="1">{"'gráf jan00'!$A$1:$AK$41"}</definedName>
    <definedName name="FFVP15" localSheetId="20" hidden="1">{"'gráf jan00'!$A$1:$AK$41"}</definedName>
    <definedName name="FFVP15" hidden="1">{"'gráf jan00'!$A$1:$AK$41"}</definedName>
    <definedName name="FFVP15_1" localSheetId="20" hidden="1">{"'gráf jan00'!$A$1:$AK$41"}</definedName>
    <definedName name="FFVP15_1" hidden="1">{"'gráf jan00'!$A$1:$AK$41"}</definedName>
    <definedName name="FFVP15_1_1" localSheetId="20" hidden="1">{"'gráf jan00'!$A$1:$AK$41"}</definedName>
    <definedName name="FFVP15_1_1" hidden="1">{"'gráf jan00'!$A$1:$AK$41"}</definedName>
    <definedName name="FFVP15_1_1_1" localSheetId="20" hidden="1">{"'gráf jan00'!$A$1:$AK$41"}</definedName>
    <definedName name="FFVP15_1_1_1" hidden="1">{"'gráf jan00'!$A$1:$AK$41"}</definedName>
    <definedName name="FFVP15_1_2" localSheetId="20" hidden="1">{"'gráf jan00'!$A$1:$AK$41"}</definedName>
    <definedName name="FFVP15_1_2" hidden="1">{"'gráf jan00'!$A$1:$AK$41"}</definedName>
    <definedName name="FFVP15_2" localSheetId="20" hidden="1">{"'gráf jan00'!$A$1:$AK$41"}</definedName>
    <definedName name="FFVP15_2" hidden="1">{"'gráf jan00'!$A$1:$AK$41"}</definedName>
    <definedName name="FFVP16" localSheetId="20" hidden="1">{"'gráf jan00'!$A$1:$AK$41"}</definedName>
    <definedName name="FFVP16" hidden="1">{"'gráf jan00'!$A$1:$AK$41"}</definedName>
    <definedName name="FFVP16_1" localSheetId="20" hidden="1">{"'gráf jan00'!$A$1:$AK$41"}</definedName>
    <definedName name="FFVP16_1" hidden="1">{"'gráf jan00'!$A$1:$AK$41"}</definedName>
    <definedName name="FFVP16_1_1" localSheetId="20" hidden="1">{"'gráf jan00'!$A$1:$AK$41"}</definedName>
    <definedName name="FFVP16_1_1" hidden="1">{"'gráf jan00'!$A$1:$AK$41"}</definedName>
    <definedName name="FFVP16_1_1_1" localSheetId="20" hidden="1">{"'gráf jan00'!$A$1:$AK$41"}</definedName>
    <definedName name="FFVP16_1_1_1" hidden="1">{"'gráf jan00'!$A$1:$AK$41"}</definedName>
    <definedName name="FFVP16_1_2" localSheetId="20" hidden="1">{"'gráf jan00'!$A$1:$AK$41"}</definedName>
    <definedName name="FFVP16_1_2" hidden="1">{"'gráf jan00'!$A$1:$AK$41"}</definedName>
    <definedName name="FFVP16_2" localSheetId="20" hidden="1">{"'gráf jan00'!$A$1:$AK$41"}</definedName>
    <definedName name="FFVP16_2" hidden="1">{"'gráf jan00'!$A$1:$AK$41"}</definedName>
    <definedName name="FFVP2" localSheetId="20" hidden="1">{"'gráf jan00'!$A$1:$AK$41"}</definedName>
    <definedName name="FFVP2" hidden="1">{"'gráf jan00'!$A$1:$AK$41"}</definedName>
    <definedName name="FFVP2_1" localSheetId="20" hidden="1">{"'gráf jan00'!$A$1:$AK$41"}</definedName>
    <definedName name="FFVP2_1" hidden="1">{"'gráf jan00'!$A$1:$AK$41"}</definedName>
    <definedName name="FFVP2_1_1" localSheetId="20" hidden="1">{"'gráf jan00'!$A$1:$AK$41"}</definedName>
    <definedName name="FFVP2_1_1" hidden="1">{"'gráf jan00'!$A$1:$AK$41"}</definedName>
    <definedName name="FFVP2_1_1_1" localSheetId="20" hidden="1">{"'gráf jan00'!$A$1:$AK$41"}</definedName>
    <definedName name="FFVP2_1_1_1" hidden="1">{"'gráf jan00'!$A$1:$AK$41"}</definedName>
    <definedName name="FFVP2_1_2" localSheetId="20" hidden="1">{"'gráf jan00'!$A$1:$AK$41"}</definedName>
    <definedName name="FFVP2_1_2" hidden="1">{"'gráf jan00'!$A$1:$AK$41"}</definedName>
    <definedName name="FFVP2_2" localSheetId="20" hidden="1">{"'gráf jan00'!$A$1:$AK$41"}</definedName>
    <definedName name="FFVP2_2" hidden="1">{"'gráf jan00'!$A$1:$AK$41"}</definedName>
    <definedName name="FFVP3" localSheetId="20" hidden="1">{"'gráf jan00'!$A$1:$AK$41"}</definedName>
    <definedName name="FFVP3" hidden="1">{"'gráf jan00'!$A$1:$AK$41"}</definedName>
    <definedName name="FFVP3_1" localSheetId="20" hidden="1">{"'gráf jan00'!$A$1:$AK$41"}</definedName>
    <definedName name="FFVP3_1" hidden="1">{"'gráf jan00'!$A$1:$AK$41"}</definedName>
    <definedName name="FFVP3_1_1" localSheetId="20" hidden="1">{"'gráf jan00'!$A$1:$AK$41"}</definedName>
    <definedName name="FFVP3_1_1" hidden="1">{"'gráf jan00'!$A$1:$AK$41"}</definedName>
    <definedName name="FFVP3_1_1_1" localSheetId="20" hidden="1">{"'gráf jan00'!$A$1:$AK$41"}</definedName>
    <definedName name="FFVP3_1_1_1" hidden="1">{"'gráf jan00'!$A$1:$AK$41"}</definedName>
    <definedName name="FFVP3_1_2" localSheetId="20" hidden="1">{"'gráf jan00'!$A$1:$AK$41"}</definedName>
    <definedName name="FFVP3_1_2" hidden="1">{"'gráf jan00'!$A$1:$AK$41"}</definedName>
    <definedName name="FFVP3_2" localSheetId="20" hidden="1">{"'gráf jan00'!$A$1:$AK$41"}</definedName>
    <definedName name="FFVP3_2" hidden="1">{"'gráf jan00'!$A$1:$AK$41"}</definedName>
    <definedName name="FFVP4" localSheetId="20" hidden="1">{"'gráf jan00'!$A$1:$AK$41"}</definedName>
    <definedName name="FFVP4" hidden="1">{"'gráf jan00'!$A$1:$AK$41"}</definedName>
    <definedName name="FFVP4_1" localSheetId="20" hidden="1">{"'gráf jan00'!$A$1:$AK$41"}</definedName>
    <definedName name="FFVP4_1" hidden="1">{"'gráf jan00'!$A$1:$AK$41"}</definedName>
    <definedName name="FFVP4_1_1" localSheetId="20" hidden="1">{"'gráf jan00'!$A$1:$AK$41"}</definedName>
    <definedName name="FFVP4_1_1" hidden="1">{"'gráf jan00'!$A$1:$AK$41"}</definedName>
    <definedName name="FFVP4_1_1_1" localSheetId="20" hidden="1">{"'gráf jan00'!$A$1:$AK$41"}</definedName>
    <definedName name="FFVP4_1_1_1" hidden="1">{"'gráf jan00'!$A$1:$AK$41"}</definedName>
    <definedName name="FFVP4_1_2" localSheetId="20" hidden="1">{"'gráf jan00'!$A$1:$AK$41"}</definedName>
    <definedName name="FFVP4_1_2" hidden="1">{"'gráf jan00'!$A$1:$AK$41"}</definedName>
    <definedName name="FFVP4_2" localSheetId="20" hidden="1">{"'gráf jan00'!$A$1:$AK$41"}</definedName>
    <definedName name="FFVP4_2" hidden="1">{"'gráf jan00'!$A$1:$AK$41"}</definedName>
    <definedName name="ffvp43" localSheetId="20" hidden="1">{"'gráf jan00'!$A$1:$AK$41"}</definedName>
    <definedName name="ffvp43" hidden="1">{"'gráf jan00'!$A$1:$AK$41"}</definedName>
    <definedName name="ffvp43_1" localSheetId="20" hidden="1">{"'gráf jan00'!$A$1:$AK$41"}</definedName>
    <definedName name="ffvp43_1" hidden="1">{"'gráf jan00'!$A$1:$AK$41"}</definedName>
    <definedName name="ffvp43_1_1" localSheetId="20" hidden="1">{"'gráf jan00'!$A$1:$AK$41"}</definedName>
    <definedName name="ffvp43_1_1" hidden="1">{"'gráf jan00'!$A$1:$AK$41"}</definedName>
    <definedName name="ffvp43_1_1_1" localSheetId="20" hidden="1">{"'gráf jan00'!$A$1:$AK$41"}</definedName>
    <definedName name="ffvp43_1_1_1" hidden="1">{"'gráf jan00'!$A$1:$AK$41"}</definedName>
    <definedName name="ffvp43_1_2" localSheetId="20" hidden="1">{"'gráf jan00'!$A$1:$AK$41"}</definedName>
    <definedName name="ffvp43_1_2" hidden="1">{"'gráf jan00'!$A$1:$AK$41"}</definedName>
    <definedName name="ffvp43_2" localSheetId="20" hidden="1">{"'gráf jan00'!$A$1:$AK$41"}</definedName>
    <definedName name="ffvp43_2" hidden="1">{"'gráf jan00'!$A$1:$AK$41"}</definedName>
    <definedName name="FFVP5" localSheetId="20" hidden="1">{"'gráf jan00'!$A$1:$AK$41"}</definedName>
    <definedName name="FFVP5" hidden="1">{"'gráf jan00'!$A$1:$AK$41"}</definedName>
    <definedName name="FFVP5_1" localSheetId="20" hidden="1">{"'gráf jan00'!$A$1:$AK$41"}</definedName>
    <definedName name="FFVP5_1" hidden="1">{"'gráf jan00'!$A$1:$AK$41"}</definedName>
    <definedName name="FFVP5_1_1" localSheetId="20" hidden="1">{"'gráf jan00'!$A$1:$AK$41"}</definedName>
    <definedName name="FFVP5_1_1" hidden="1">{"'gráf jan00'!$A$1:$AK$41"}</definedName>
    <definedName name="FFVP5_1_1_1" localSheetId="20" hidden="1">{"'gráf jan00'!$A$1:$AK$41"}</definedName>
    <definedName name="FFVP5_1_1_1" hidden="1">{"'gráf jan00'!$A$1:$AK$41"}</definedName>
    <definedName name="FFVP5_1_2" localSheetId="20" hidden="1">{"'gráf jan00'!$A$1:$AK$41"}</definedName>
    <definedName name="FFVP5_1_2" hidden="1">{"'gráf jan00'!$A$1:$AK$41"}</definedName>
    <definedName name="FFVP5_2" localSheetId="20" hidden="1">{"'gráf jan00'!$A$1:$AK$41"}</definedName>
    <definedName name="FFVP5_2" hidden="1">{"'gráf jan00'!$A$1:$AK$41"}</definedName>
    <definedName name="FFVP6" localSheetId="20" hidden="1">{"'gráf jan00'!$A$1:$AK$41"}</definedName>
    <definedName name="FFVP6" hidden="1">{"'gráf jan00'!$A$1:$AK$41"}</definedName>
    <definedName name="FFVP6_1" localSheetId="20" hidden="1">{"'gráf jan00'!$A$1:$AK$41"}</definedName>
    <definedName name="FFVP6_1" hidden="1">{"'gráf jan00'!$A$1:$AK$41"}</definedName>
    <definedName name="FFVP6_1_1" localSheetId="20" hidden="1">{"'gráf jan00'!$A$1:$AK$41"}</definedName>
    <definedName name="FFVP6_1_1" hidden="1">{"'gráf jan00'!$A$1:$AK$41"}</definedName>
    <definedName name="FFVP6_1_1_1" localSheetId="20" hidden="1">{"'gráf jan00'!$A$1:$AK$41"}</definedName>
    <definedName name="FFVP6_1_1_1" hidden="1">{"'gráf jan00'!$A$1:$AK$41"}</definedName>
    <definedName name="FFVP6_1_2" localSheetId="20" hidden="1">{"'gráf jan00'!$A$1:$AK$41"}</definedName>
    <definedName name="FFVP6_1_2" hidden="1">{"'gráf jan00'!$A$1:$AK$41"}</definedName>
    <definedName name="FFVP6_2" localSheetId="20" hidden="1">{"'gráf jan00'!$A$1:$AK$41"}</definedName>
    <definedName name="FFVP6_2" hidden="1">{"'gráf jan00'!$A$1:$AK$41"}</definedName>
    <definedName name="FFVP7" localSheetId="20" hidden="1">{"'gráf jan00'!$A$1:$AK$41"}</definedName>
    <definedName name="FFVP7" hidden="1">{"'gráf jan00'!$A$1:$AK$41"}</definedName>
    <definedName name="FFVP7_1" localSheetId="20" hidden="1">{"'gráf jan00'!$A$1:$AK$41"}</definedName>
    <definedName name="FFVP7_1" hidden="1">{"'gráf jan00'!$A$1:$AK$41"}</definedName>
    <definedName name="FFVP7_1_1" localSheetId="20" hidden="1">{"'gráf jan00'!$A$1:$AK$41"}</definedName>
    <definedName name="FFVP7_1_1" hidden="1">{"'gráf jan00'!$A$1:$AK$41"}</definedName>
    <definedName name="FFVP7_1_1_1" localSheetId="20" hidden="1">{"'gráf jan00'!$A$1:$AK$41"}</definedName>
    <definedName name="FFVP7_1_1_1" hidden="1">{"'gráf jan00'!$A$1:$AK$41"}</definedName>
    <definedName name="FFVP7_1_2" localSheetId="20" hidden="1">{"'gráf jan00'!$A$1:$AK$41"}</definedName>
    <definedName name="FFVP7_1_2" hidden="1">{"'gráf jan00'!$A$1:$AK$41"}</definedName>
    <definedName name="FFVP7_2" localSheetId="20" hidden="1">{"'gráf jan00'!$A$1:$AK$41"}</definedName>
    <definedName name="FFVP7_2" hidden="1">{"'gráf jan00'!$A$1:$AK$41"}</definedName>
    <definedName name="FFVP8" localSheetId="20" hidden="1">{"'gráf jan00'!$A$1:$AK$41"}</definedName>
    <definedName name="FFVP8" hidden="1">{"'gráf jan00'!$A$1:$AK$41"}</definedName>
    <definedName name="FFVP8_1" localSheetId="20" hidden="1">{"'gráf jan00'!$A$1:$AK$41"}</definedName>
    <definedName name="FFVP8_1" hidden="1">{"'gráf jan00'!$A$1:$AK$41"}</definedName>
    <definedName name="FFVP8_1_1" localSheetId="20" hidden="1">{"'gráf jan00'!$A$1:$AK$41"}</definedName>
    <definedName name="FFVP8_1_1" hidden="1">{"'gráf jan00'!$A$1:$AK$41"}</definedName>
    <definedName name="FFVP8_1_1_1" localSheetId="20" hidden="1">{"'gráf jan00'!$A$1:$AK$41"}</definedName>
    <definedName name="FFVP8_1_1_1" hidden="1">{"'gráf jan00'!$A$1:$AK$41"}</definedName>
    <definedName name="FFVP8_1_2" localSheetId="20" hidden="1">{"'gráf jan00'!$A$1:$AK$41"}</definedName>
    <definedName name="FFVP8_1_2" hidden="1">{"'gráf jan00'!$A$1:$AK$41"}</definedName>
    <definedName name="FFVP8_2" localSheetId="20" hidden="1">{"'gráf jan00'!$A$1:$AK$41"}</definedName>
    <definedName name="FFVP8_2" hidden="1">{"'gráf jan00'!$A$1:$AK$41"}</definedName>
    <definedName name="FFVP9" localSheetId="20" hidden="1">{"'gráf jan00'!$A$1:$AK$41"}</definedName>
    <definedName name="FFVP9" hidden="1">{"'gráf jan00'!$A$1:$AK$41"}</definedName>
    <definedName name="FFVP9_1" localSheetId="20" hidden="1">{"'gráf jan00'!$A$1:$AK$41"}</definedName>
    <definedName name="FFVP9_1" hidden="1">{"'gráf jan00'!$A$1:$AK$41"}</definedName>
    <definedName name="FFVP9_1_1" localSheetId="20" hidden="1">{"'gráf jan00'!$A$1:$AK$41"}</definedName>
    <definedName name="FFVP9_1_1" hidden="1">{"'gráf jan00'!$A$1:$AK$41"}</definedName>
    <definedName name="FFVP9_1_1_1" localSheetId="20" hidden="1">{"'gráf jan00'!$A$1:$AK$41"}</definedName>
    <definedName name="FFVP9_1_1_1" hidden="1">{"'gráf jan00'!$A$1:$AK$41"}</definedName>
    <definedName name="FFVP9_1_2" localSheetId="20" hidden="1">{"'gráf jan00'!$A$1:$AK$41"}</definedName>
    <definedName name="FFVP9_1_2" hidden="1">{"'gráf jan00'!$A$1:$AK$41"}</definedName>
    <definedName name="FFVP9_2" localSheetId="20" hidden="1">{"'gráf jan00'!$A$1:$AK$41"}</definedName>
    <definedName name="FFVP9_2" hidden="1">{"'gráf jan00'!$A$1:$AK$41"}</definedName>
    <definedName name="ffw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" localSheetId="20" hidden="1">{"'CptDifn'!$AA$32:$AG$32"}</definedName>
    <definedName name="fg" hidden="1">{"'CptDifn'!$AA$32:$AG$32"}</definedName>
    <definedName name="fg_1" localSheetId="20" hidden="1">{"'CptDifn'!$AA$32:$AG$32"}</definedName>
    <definedName name="fg_1" hidden="1">{"'CptDifn'!$AA$32:$AG$32"}</definedName>
    <definedName name="fg_1_1" localSheetId="20" hidden="1">{"'CptDifn'!$AA$32:$AG$32"}</definedName>
    <definedName name="fg_1_1" hidden="1">{"'CptDifn'!$AA$32:$AG$32"}</definedName>
    <definedName name="fg_1_1_1" localSheetId="20" hidden="1">{"'CptDifn'!$AA$32:$AG$32"}</definedName>
    <definedName name="fg_1_1_1" hidden="1">{"'CptDifn'!$AA$32:$AG$32"}</definedName>
    <definedName name="fg_1_2" localSheetId="20" hidden="1">{"'CptDifn'!$AA$32:$AG$32"}</definedName>
    <definedName name="fg_1_2" hidden="1">{"'CptDifn'!$AA$32:$AG$32"}</definedName>
    <definedName name="fg_2" localSheetId="20" hidden="1">{"'CptDifn'!$AA$32:$AG$32"}</definedName>
    <definedName name="fg_2" hidden="1">{"'CptDifn'!$AA$32:$AG$32"}</definedName>
    <definedName name="fgdfgdfg">'[41]Fresagem de Pista Ago-98'!#REF!</definedName>
    <definedName name="fgdfhd" localSheetId="20" hidden="1">{"'CptDifn'!$AA$32:$AG$32"}</definedName>
    <definedName name="fgdfhd" hidden="1">{"'CptDifn'!$AA$32:$AG$32"}</definedName>
    <definedName name="fgdfhd_1" localSheetId="20" hidden="1">{"'CptDifn'!$AA$32:$AG$32"}</definedName>
    <definedName name="fgdfhd_1" hidden="1">{"'CptDifn'!$AA$32:$AG$32"}</definedName>
    <definedName name="fgdfhd_1_1" localSheetId="20" hidden="1">{"'CptDifn'!$AA$32:$AG$32"}</definedName>
    <definedName name="fgdfhd_1_1" hidden="1">{"'CptDifn'!$AA$32:$AG$32"}</definedName>
    <definedName name="fgdfhd_1_1_1" localSheetId="20" hidden="1">{"'CptDifn'!$AA$32:$AG$32"}</definedName>
    <definedName name="fgdfhd_1_1_1" hidden="1">{"'CptDifn'!$AA$32:$AG$32"}</definedName>
    <definedName name="fgdfhd_1_2" localSheetId="20" hidden="1">{"'CptDifn'!$AA$32:$AG$32"}</definedName>
    <definedName name="fgdfhd_1_2" hidden="1">{"'CptDifn'!$AA$32:$AG$32"}</definedName>
    <definedName name="fgdfhd_2" localSheetId="20" hidden="1">{"'CptDifn'!$AA$32:$AG$32"}</definedName>
    <definedName name="fgdfhd_2" hidden="1">{"'CptDifn'!$AA$32:$AG$32"}</definedName>
    <definedName name="fgdh" localSheetId="20" hidden="1">{"'CptDifn'!$AA$32:$AG$32"}</definedName>
    <definedName name="fgdh" hidden="1">{"'CptDifn'!$AA$32:$AG$32"}</definedName>
    <definedName name="fgdh_1" localSheetId="20" hidden="1">{"'CptDifn'!$AA$32:$AG$32"}</definedName>
    <definedName name="fgdh_1" hidden="1">{"'CptDifn'!$AA$32:$AG$32"}</definedName>
    <definedName name="fgdh_1_1" localSheetId="20" hidden="1">{"'CptDifn'!$AA$32:$AG$32"}</definedName>
    <definedName name="fgdh_1_1" hidden="1">{"'CptDifn'!$AA$32:$AG$32"}</definedName>
    <definedName name="fgdh_1_1_1" localSheetId="20" hidden="1">{"'CptDifn'!$AA$32:$AG$32"}</definedName>
    <definedName name="fgdh_1_1_1" hidden="1">{"'CptDifn'!$AA$32:$AG$32"}</definedName>
    <definedName name="fgdh_1_2" localSheetId="20" hidden="1">{"'CptDifn'!$AA$32:$AG$32"}</definedName>
    <definedName name="fgdh_1_2" hidden="1">{"'CptDifn'!$AA$32:$AG$32"}</definedName>
    <definedName name="fgdh_2" localSheetId="20" hidden="1">{"'CptDifn'!$AA$32:$AG$32"}</definedName>
    <definedName name="fgdh_2" hidden="1">{"'CptDifn'!$AA$32:$AG$32"}</definedName>
    <definedName name="fge">'[13]P A T O 99 B'!#REF!</definedName>
    <definedName name="fgff" localSheetId="20" hidden="1">{#N/A,#N/A,FALSE,"MO (2)"}</definedName>
    <definedName name="fgff" hidden="1">{#N/A,#N/A,FALSE,"MO (2)"}</definedName>
    <definedName name="fgff_1" localSheetId="20" hidden="1">{#N/A,#N/A,FALSE,"MO (2)"}</definedName>
    <definedName name="fgff_1" hidden="1">{#N/A,#N/A,FALSE,"MO (2)"}</definedName>
    <definedName name="fgfsgrgq" localSheetId="20" hidden="1">{"'REL CUSTODIF'!$B$1:$H$72"}</definedName>
    <definedName name="fgfsgrgq" hidden="1">{"'REL CUSTODIF'!$B$1:$H$72"}</definedName>
    <definedName name="fgghhj">#REF!</definedName>
    <definedName name="fgh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djhd" localSheetId="20" hidden="1">{"'CptDifn'!$AA$32:$AG$32"}</definedName>
    <definedName name="fghdjhd" hidden="1">{"'CptDifn'!$AA$32:$AG$32"}</definedName>
    <definedName name="fghdjhd_1" localSheetId="20" hidden="1">{"'CptDifn'!$AA$32:$AG$32"}</definedName>
    <definedName name="fghdjhd_1" hidden="1">{"'CptDifn'!$AA$32:$AG$32"}</definedName>
    <definedName name="fghdjhd_1_1" localSheetId="20" hidden="1">{"'CptDifn'!$AA$32:$AG$32"}</definedName>
    <definedName name="fghdjhd_1_1" hidden="1">{"'CptDifn'!$AA$32:$AG$32"}</definedName>
    <definedName name="fghdjhd_1_1_1" localSheetId="20" hidden="1">{"'CptDifn'!$AA$32:$AG$32"}</definedName>
    <definedName name="fghdjhd_1_1_1" hidden="1">{"'CptDifn'!$AA$32:$AG$32"}</definedName>
    <definedName name="fghdjhd_1_2" localSheetId="20" hidden="1">{"'CptDifn'!$AA$32:$AG$32"}</definedName>
    <definedName name="fghdjhd_1_2" hidden="1">{"'CptDifn'!$AA$32:$AG$32"}</definedName>
    <definedName name="fghdjhd_2" localSheetId="20" hidden="1">{"'CptDifn'!$AA$32:$AG$32"}</definedName>
    <definedName name="fghdjhd_2" hidden="1">{"'CptDifn'!$AA$32:$AG$32"}</definedName>
    <definedName name="fghgfhg">#REF!</definedName>
    <definedName name="fghj" localSheetId="20" hidden="1">{"'CptDifn'!$AA$32:$AG$32"}</definedName>
    <definedName name="fghj" hidden="1">{"'CptDifn'!$AA$32:$AG$32"}</definedName>
    <definedName name="fghj_1" localSheetId="20" hidden="1">{"'CptDifn'!$AA$32:$AG$32"}</definedName>
    <definedName name="fghj_1" hidden="1">{"'CptDifn'!$AA$32:$AG$32"}</definedName>
    <definedName name="fghj_1_1" localSheetId="20" hidden="1">{"'CptDifn'!$AA$32:$AG$32"}</definedName>
    <definedName name="fghj_1_1" hidden="1">{"'CptDifn'!$AA$32:$AG$32"}</definedName>
    <definedName name="fghj_1_1_1" localSheetId="20" hidden="1">{"'CptDifn'!$AA$32:$AG$32"}</definedName>
    <definedName name="fghj_1_1_1" hidden="1">{"'CptDifn'!$AA$32:$AG$32"}</definedName>
    <definedName name="fghj_1_2" localSheetId="20" hidden="1">{"'CptDifn'!$AA$32:$AG$32"}</definedName>
    <definedName name="fghj_1_2" hidden="1">{"'CptDifn'!$AA$32:$AG$32"}</definedName>
    <definedName name="fghj_2" localSheetId="20" hidden="1">{"'CptDifn'!$AA$32:$AG$32"}</definedName>
    <definedName name="fghj_2" hidden="1">{"'CptDifn'!$AA$32:$AG$32"}</definedName>
    <definedName name="fghjj" localSheetId="20" hidden="1">{"'CptDifn'!$AA$32:$AG$32"}</definedName>
    <definedName name="fghjj" hidden="1">{"'CptDifn'!$AA$32:$AG$32"}</definedName>
    <definedName name="fghjj_1" localSheetId="20" hidden="1">{"'CptDifn'!$AA$32:$AG$32"}</definedName>
    <definedName name="fghjj_1" hidden="1">{"'CptDifn'!$AA$32:$AG$32"}</definedName>
    <definedName name="fghjj_1_1" localSheetId="20" hidden="1">{"'CptDifn'!$AA$32:$AG$32"}</definedName>
    <definedName name="fghjj_1_1" hidden="1">{"'CptDifn'!$AA$32:$AG$32"}</definedName>
    <definedName name="fghjj_1_1_1" localSheetId="20" hidden="1">{"'CptDifn'!$AA$32:$AG$32"}</definedName>
    <definedName name="fghjj_1_1_1" hidden="1">{"'CptDifn'!$AA$32:$AG$32"}</definedName>
    <definedName name="fghjj_1_2" localSheetId="20" hidden="1">{"'CptDifn'!$AA$32:$AG$32"}</definedName>
    <definedName name="fghjj_1_2" hidden="1">{"'CptDifn'!$AA$32:$AG$32"}</definedName>
    <definedName name="fghjj_2" localSheetId="20" hidden="1">{"'CptDifn'!$AA$32:$AG$32"}</definedName>
    <definedName name="fghjj_2" hidden="1">{"'CptDifn'!$AA$32:$AG$32"}</definedName>
    <definedName name="FGHJK">#REF!</definedName>
    <definedName name="fgjfghj">'[144]Medição (2'!#REF!</definedName>
    <definedName name="fgjfk" localSheetId="20" hidden="1">{"'CptDifn'!$AA$32:$AG$32"}</definedName>
    <definedName name="fgjfk" hidden="1">{"'CptDifn'!$AA$32:$AG$32"}</definedName>
    <definedName name="fgjfk_1" localSheetId="20" hidden="1">{"'CptDifn'!$AA$32:$AG$32"}</definedName>
    <definedName name="fgjfk_1" hidden="1">{"'CptDifn'!$AA$32:$AG$32"}</definedName>
    <definedName name="fgjfk_1_1" localSheetId="20" hidden="1">{"'CptDifn'!$AA$32:$AG$32"}</definedName>
    <definedName name="fgjfk_1_1" hidden="1">{"'CptDifn'!$AA$32:$AG$32"}</definedName>
    <definedName name="fgjfk_1_1_1" localSheetId="20" hidden="1">{"'CptDifn'!$AA$32:$AG$32"}</definedName>
    <definedName name="fgjfk_1_1_1" hidden="1">{"'CptDifn'!$AA$32:$AG$32"}</definedName>
    <definedName name="fgjfk_1_2" localSheetId="20" hidden="1">{"'CptDifn'!$AA$32:$AG$32"}</definedName>
    <definedName name="fgjfk_1_2" hidden="1">{"'CptDifn'!$AA$32:$AG$32"}</definedName>
    <definedName name="fgjfk_2" localSheetId="20" hidden="1">{"'CptDifn'!$AA$32:$AG$32"}</definedName>
    <definedName name="fgjfk_2" hidden="1">{"'CptDifn'!$AA$32:$AG$32"}</definedName>
    <definedName name="fgs" localSheetId="20" hidden="1">{"'gráf jan00'!$A$1:$AK$41"}</definedName>
    <definedName name="fgs" hidden="1">{"'gráf jan00'!$A$1:$AK$41"}</definedName>
    <definedName name="fgs_1" localSheetId="20" hidden="1">{"'gráf jan00'!$A$1:$AK$41"}</definedName>
    <definedName name="fgs_1" hidden="1">{"'gráf jan00'!$A$1:$AK$41"}</definedName>
    <definedName name="fgs_1_1" localSheetId="20" hidden="1">{"'gráf jan00'!$A$1:$AK$41"}</definedName>
    <definedName name="fgs_1_1" hidden="1">{"'gráf jan00'!$A$1:$AK$41"}</definedName>
    <definedName name="fgs_1_1_1" localSheetId="20" hidden="1">{"'gráf jan00'!$A$1:$AK$41"}</definedName>
    <definedName name="fgs_1_1_1" hidden="1">{"'gráf jan00'!$A$1:$AK$41"}</definedName>
    <definedName name="fgs_1_2" localSheetId="20" hidden="1">{"'gráf jan00'!$A$1:$AK$41"}</definedName>
    <definedName name="fgs_1_2" hidden="1">{"'gráf jan00'!$A$1:$AK$41"}</definedName>
    <definedName name="fgs_2" localSheetId="20" hidden="1">{"'gráf jan00'!$A$1:$AK$41"}</definedName>
    <definedName name="fgs_2" hidden="1">{"'gráf jan00'!$A$1:$AK$41"}</definedName>
    <definedName name="fh" localSheetId="20" hidden="1">{"'CptDifn'!$AA$32:$AG$32"}</definedName>
    <definedName name="fh" hidden="1">{"'CptDifn'!$AA$32:$AG$32"}</definedName>
    <definedName name="fh_1" localSheetId="20" hidden="1">{"'CptDifn'!$AA$32:$AG$32"}</definedName>
    <definedName name="fh_1" hidden="1">{"'CptDifn'!$AA$32:$AG$32"}</definedName>
    <definedName name="fh_1_1" localSheetId="20" hidden="1">{"'CptDifn'!$AA$32:$AG$32"}</definedName>
    <definedName name="fh_1_1" hidden="1">{"'CptDifn'!$AA$32:$AG$32"}</definedName>
    <definedName name="fh_1_1_1" localSheetId="20" hidden="1">{"'CptDifn'!$AA$32:$AG$32"}</definedName>
    <definedName name="fh_1_1_1" hidden="1">{"'CptDifn'!$AA$32:$AG$32"}</definedName>
    <definedName name="fh_1_2" localSheetId="20" hidden="1">{"'CptDifn'!$AA$32:$AG$32"}</definedName>
    <definedName name="fh_1_2" hidden="1">{"'CptDifn'!$AA$32:$AG$32"}</definedName>
    <definedName name="fh_2" localSheetId="20" hidden="1">{"'CptDifn'!$AA$32:$AG$32"}</definedName>
    <definedName name="fh_2" hidden="1">{"'CptDifn'!$AA$32:$AG$32"}</definedName>
    <definedName name="fhdgjd" localSheetId="20" hidden="1">{"'CptDifn'!$AA$32:$AG$32"}</definedName>
    <definedName name="fhdgjd" hidden="1">{"'CptDifn'!$AA$32:$AG$32"}</definedName>
    <definedName name="fhdgjd_1" localSheetId="20" hidden="1">{"'CptDifn'!$AA$32:$AG$32"}</definedName>
    <definedName name="fhdgjd_1" hidden="1">{"'CptDifn'!$AA$32:$AG$32"}</definedName>
    <definedName name="fhdgjd_1_1" localSheetId="20" hidden="1">{"'CptDifn'!$AA$32:$AG$32"}</definedName>
    <definedName name="fhdgjd_1_1" hidden="1">{"'CptDifn'!$AA$32:$AG$32"}</definedName>
    <definedName name="fhdgjd_1_1_1" localSheetId="20" hidden="1">{"'CptDifn'!$AA$32:$AG$32"}</definedName>
    <definedName name="fhdgjd_1_1_1" hidden="1">{"'CptDifn'!$AA$32:$AG$32"}</definedName>
    <definedName name="fhdgjd_1_2" localSheetId="20" hidden="1">{"'CptDifn'!$AA$32:$AG$32"}</definedName>
    <definedName name="fhdgjd_1_2" hidden="1">{"'CptDifn'!$AA$32:$AG$32"}</definedName>
    <definedName name="fhdgjd_2" localSheetId="20" hidden="1">{"'CptDifn'!$AA$32:$AG$32"}</definedName>
    <definedName name="fhdgjd_2" hidden="1">{"'CptDifn'!$AA$32:$AG$32"}</definedName>
    <definedName name="fhdh" localSheetId="20" hidden="1">{"'CptDifn'!$AA$32:$AG$32"}</definedName>
    <definedName name="fhdh" hidden="1">{"'CptDifn'!$AA$32:$AG$32"}</definedName>
    <definedName name="fhdh_1" localSheetId="20" hidden="1">{"'CptDifn'!$AA$32:$AG$32"}</definedName>
    <definedName name="fhdh_1" hidden="1">{"'CptDifn'!$AA$32:$AG$32"}</definedName>
    <definedName name="fhdh_1_1" localSheetId="20" hidden="1">{"'CptDifn'!$AA$32:$AG$32"}</definedName>
    <definedName name="fhdh_1_1" hidden="1">{"'CptDifn'!$AA$32:$AG$32"}</definedName>
    <definedName name="fhdh_1_1_1" localSheetId="20" hidden="1">{"'CptDifn'!$AA$32:$AG$32"}</definedName>
    <definedName name="fhdh_1_1_1" hidden="1">{"'CptDifn'!$AA$32:$AG$32"}</definedName>
    <definedName name="fhdh_1_2" localSheetId="20" hidden="1">{"'CptDifn'!$AA$32:$AG$32"}</definedName>
    <definedName name="fhdh_1_2" hidden="1">{"'CptDifn'!$AA$32:$AG$32"}</definedName>
    <definedName name="fhdh_2" localSheetId="20" hidden="1">{"'CptDifn'!$AA$32:$AG$32"}</definedName>
    <definedName name="fhdh_2" hidden="1">{"'CptDifn'!$AA$32:$AG$32"}</definedName>
    <definedName name="FHDZ" localSheetId="20" hidden="1">{"'gráf jan00'!$A$1:$AK$41"}</definedName>
    <definedName name="FHDZ" hidden="1">{"'gráf jan00'!$A$1:$AK$41"}</definedName>
    <definedName name="FHDZ_1" localSheetId="20" hidden="1">{"'gráf jan00'!$A$1:$AK$41"}</definedName>
    <definedName name="FHDZ_1" hidden="1">{"'gráf jan00'!$A$1:$AK$41"}</definedName>
    <definedName name="FHDZ_1_1" localSheetId="20" hidden="1">{"'gráf jan00'!$A$1:$AK$41"}</definedName>
    <definedName name="FHDZ_1_1" hidden="1">{"'gráf jan00'!$A$1:$AK$41"}</definedName>
    <definedName name="FHDZ_1_1_1" localSheetId="20" hidden="1">{"'gráf jan00'!$A$1:$AK$41"}</definedName>
    <definedName name="FHDZ_1_1_1" hidden="1">{"'gráf jan00'!$A$1:$AK$41"}</definedName>
    <definedName name="FHDZ_1_2" localSheetId="20" hidden="1">{"'gráf jan00'!$A$1:$AK$41"}</definedName>
    <definedName name="FHDZ_1_2" hidden="1">{"'gráf jan00'!$A$1:$AK$41"}</definedName>
    <definedName name="FHDZ_2" localSheetId="20" hidden="1">{"'gráf jan00'!$A$1:$AK$41"}</definedName>
    <definedName name="FHDZ_2" hidden="1">{"'gráf jan00'!$A$1:$AK$41"}</definedName>
    <definedName name="fhf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g" localSheetId="20" hidden="1">{#N/A,#N/A,FALSE,"310.1";#N/A,#N/A,FALSE,"321.1";#N/A,#N/A,FALSE,"320.3";#N/A,#N/A,FALSE,"330.1"}</definedName>
    <definedName name="fhg" hidden="1">{#N/A,#N/A,FALSE,"310.1";#N/A,#N/A,FALSE,"321.1";#N/A,#N/A,FALSE,"320.3";#N/A,#N/A,FALSE,"330.1"}</definedName>
    <definedName name="fhgdfjfg" localSheetId="20" hidden="1">{"'CptDifn'!$AA$32:$AG$32"}</definedName>
    <definedName name="fhgdfjfg" hidden="1">{"'CptDifn'!$AA$32:$AG$32"}</definedName>
    <definedName name="fhgdfjfg_1" localSheetId="20" hidden="1">{"'CptDifn'!$AA$32:$AG$32"}</definedName>
    <definedName name="fhgdfjfg_1" hidden="1">{"'CptDifn'!$AA$32:$AG$32"}</definedName>
    <definedName name="fhgdfjfg_1_1" localSheetId="20" hidden="1">{"'CptDifn'!$AA$32:$AG$32"}</definedName>
    <definedName name="fhgdfjfg_1_1" hidden="1">{"'CptDifn'!$AA$32:$AG$32"}</definedName>
    <definedName name="fhgdfjfg_1_1_1" localSheetId="20" hidden="1">{"'CptDifn'!$AA$32:$AG$32"}</definedName>
    <definedName name="fhgdfjfg_1_1_1" hidden="1">{"'CptDifn'!$AA$32:$AG$32"}</definedName>
    <definedName name="fhgdfjfg_1_2" localSheetId="20" hidden="1">{"'CptDifn'!$AA$32:$AG$32"}</definedName>
    <definedName name="fhgdfjfg_1_2" hidden="1">{"'CptDifn'!$AA$32:$AG$32"}</definedName>
    <definedName name="fhgdfjfg_2" localSheetId="20" hidden="1">{"'CptDifn'!$AA$32:$AG$32"}</definedName>
    <definedName name="fhgdfjfg_2" hidden="1">{"'CptDifn'!$AA$32:$AG$32"}</definedName>
    <definedName name="fhhjk" localSheetId="20" hidden="1">{"'CptDifn'!$AA$32:$AG$32"}</definedName>
    <definedName name="fhhjk" hidden="1">{"'CptDifn'!$AA$32:$AG$32"}</definedName>
    <definedName name="fhhjk_1" localSheetId="20" hidden="1">{"'CptDifn'!$AA$32:$AG$32"}</definedName>
    <definedName name="fhhjk_1" hidden="1">{"'CptDifn'!$AA$32:$AG$32"}</definedName>
    <definedName name="fhhjk_1_1" localSheetId="20" hidden="1">{"'CptDifn'!$AA$32:$AG$32"}</definedName>
    <definedName name="fhhjk_1_1" hidden="1">{"'CptDifn'!$AA$32:$AG$32"}</definedName>
    <definedName name="fhhjk_1_1_1" localSheetId="20" hidden="1">{"'CptDifn'!$AA$32:$AG$32"}</definedName>
    <definedName name="fhhjk_1_1_1" hidden="1">{"'CptDifn'!$AA$32:$AG$32"}</definedName>
    <definedName name="fhhjk_1_2" localSheetId="20" hidden="1">{"'CptDifn'!$AA$32:$AG$32"}</definedName>
    <definedName name="fhhjk_1_2" hidden="1">{"'CptDifn'!$AA$32:$AG$32"}</definedName>
    <definedName name="fhhjk_2" localSheetId="20" hidden="1">{"'CptDifn'!$AA$32:$AG$32"}</definedName>
    <definedName name="fhhjk_2" hidden="1">{"'CptDifn'!$AA$32:$AG$32"}</definedName>
    <definedName name="fhjhfj" localSheetId="20" hidden="1">{"'Quadro'!$A$4:$BG$78"}</definedName>
    <definedName name="fhjhfj" hidden="1">{"'Quadro'!$A$4:$BG$78"}</definedName>
    <definedName name="fhjhfj_1" localSheetId="20" hidden="1">{"'Quadro'!$A$4:$BG$78"}</definedName>
    <definedName name="fhjhfj_1" hidden="1">{"'Quadro'!$A$4:$BG$78"}</definedName>
    <definedName name="fhjhfj_1_1" localSheetId="20" hidden="1">{"'Quadro'!$A$4:$BG$78"}</definedName>
    <definedName name="fhjhfj_1_1" hidden="1">{"'Quadro'!$A$4:$BG$78"}</definedName>
    <definedName name="fhjhfj_1_1_1" localSheetId="20" hidden="1">{"'Quadro'!$A$4:$BG$78"}</definedName>
    <definedName name="fhjhfj_1_1_1" hidden="1">{"'Quadro'!$A$4:$BG$78"}</definedName>
    <definedName name="fhjhfj_1_2" localSheetId="20" hidden="1">{"'Quadro'!$A$4:$BG$78"}</definedName>
    <definedName name="fhjhfj_1_2" hidden="1">{"'Quadro'!$A$4:$BG$78"}</definedName>
    <definedName name="fhjhfj_2" localSheetId="20" hidden="1">{"'Quadro'!$A$4:$BG$78"}</definedName>
    <definedName name="fhjhfj_2" hidden="1">{"'Quadro'!$A$4:$BG$78"}</definedName>
    <definedName name="Fi" localSheetId="21">NA()</definedName>
    <definedName name="Fi">NA()</definedName>
    <definedName name="ficha" localSheetId="20" hidden="1">{"'CptDifn'!$AA$32:$AG$32"}</definedName>
    <definedName name="ficha" hidden="1">{"'CptDifn'!$AA$32:$AG$32"}</definedName>
    <definedName name="ficha_1" localSheetId="20" hidden="1">{"'CptDifn'!$AA$32:$AG$32"}</definedName>
    <definedName name="ficha_1" hidden="1">{"'CptDifn'!$AA$32:$AG$32"}</definedName>
    <definedName name="ficha_1_1" localSheetId="20" hidden="1">{"'CptDifn'!$AA$32:$AG$32"}</definedName>
    <definedName name="ficha_1_1" hidden="1">{"'CptDifn'!$AA$32:$AG$32"}</definedName>
    <definedName name="ficha_1_1_1" localSheetId="20" hidden="1">{"'CptDifn'!$AA$32:$AG$32"}</definedName>
    <definedName name="ficha_1_1_1" hidden="1">{"'CptDifn'!$AA$32:$AG$32"}</definedName>
    <definedName name="ficha_1_2" localSheetId="20" hidden="1">{"'CptDifn'!$AA$32:$AG$32"}</definedName>
    <definedName name="ficha_1_2" hidden="1">{"'CptDifn'!$AA$32:$AG$32"}</definedName>
    <definedName name="ficha_2" localSheetId="20" hidden="1">{"'CptDifn'!$AA$32:$AG$32"}</definedName>
    <definedName name="ficha_2" hidden="1">{"'CptDifn'!$AA$32:$AG$32"}</definedName>
    <definedName name="figura1">"Figura 1"</definedName>
    <definedName name="fill1" hidden="1">#REF!</definedName>
    <definedName name="filtrage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[107]!Filtrar_1000</definedName>
    <definedName name="Filtrar_1000" localSheetId="30">[107]!Filtrar_1000</definedName>
    <definedName name="Filtrar_1000">[107]!Filtrar_1000</definedName>
    <definedName name="FIM">#REF!</definedName>
    <definedName name="Fim_Elementos" localSheetId="21">NA()</definedName>
    <definedName name="Fim_Elementos">NA()</definedName>
    <definedName name="Fim_TiposDisp" localSheetId="21">NA()</definedName>
    <definedName name="Fim_TiposDisp">NA()</definedName>
    <definedName name="fin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1_10">#REF!</definedName>
    <definedName name="firma1_12">#REF!</definedName>
    <definedName name="firma1_3">#REF!</definedName>
    <definedName name="firma1_4">#REF!</definedName>
    <definedName name="firma1_9">#REF!</definedName>
    <definedName name="firma2">#REF!</definedName>
    <definedName name="firma2_10">#REF!</definedName>
    <definedName name="firma2_12">#REF!</definedName>
    <definedName name="firma2_3">#REF!</definedName>
    <definedName name="firma2_4">#REF!</definedName>
    <definedName name="firma2_9">#REF!</definedName>
    <definedName name="FJASLJFIL" localSheetId="20" hidden="1">{"'gráf jan00'!$A$1:$AK$41"}</definedName>
    <definedName name="FJASLJFIL" hidden="1">{"'gráf jan00'!$A$1:$AK$41"}</definedName>
    <definedName name="FJASLJFIL_1" localSheetId="20" hidden="1">{"'gráf jan00'!$A$1:$AK$41"}</definedName>
    <definedName name="FJASLJFIL_1" hidden="1">{"'gráf jan00'!$A$1:$AK$41"}</definedName>
    <definedName name="FJASLJFIL_1_1" localSheetId="20" hidden="1">{"'gráf jan00'!$A$1:$AK$41"}</definedName>
    <definedName name="FJASLJFIL_1_1" hidden="1">{"'gráf jan00'!$A$1:$AK$41"}</definedName>
    <definedName name="FJASLJFIL_1_1_1" localSheetId="20" hidden="1">{"'gráf jan00'!$A$1:$AK$41"}</definedName>
    <definedName name="FJASLJFIL_1_1_1" hidden="1">{"'gráf jan00'!$A$1:$AK$41"}</definedName>
    <definedName name="FJASLJFIL_1_2" localSheetId="20" hidden="1">{"'gráf jan00'!$A$1:$AK$41"}</definedName>
    <definedName name="FJASLJFIL_1_2" hidden="1">{"'gráf jan00'!$A$1:$AK$41"}</definedName>
    <definedName name="FJASLJFIL_2" localSheetId="20" hidden="1">{"'gráf jan00'!$A$1:$AK$41"}</definedName>
    <definedName name="FJASLJFIL_2" hidden="1">{"'gráf jan00'!$A$1:$AK$41"}</definedName>
    <definedName name="fjfk" localSheetId="20" hidden="1">{"'CptDifn'!$AA$32:$AG$32"}</definedName>
    <definedName name="fjfk" hidden="1">{"'CptDifn'!$AA$32:$AG$32"}</definedName>
    <definedName name="fjfk_1" localSheetId="20" hidden="1">{"'CptDifn'!$AA$32:$AG$32"}</definedName>
    <definedName name="fjfk_1" hidden="1">{"'CptDifn'!$AA$32:$AG$32"}</definedName>
    <definedName name="fjfk_1_1" localSheetId="20" hidden="1">{"'CptDifn'!$AA$32:$AG$32"}</definedName>
    <definedName name="fjfk_1_1" hidden="1">{"'CptDifn'!$AA$32:$AG$32"}</definedName>
    <definedName name="fjfk_1_1_1" localSheetId="20" hidden="1">{"'CptDifn'!$AA$32:$AG$32"}</definedName>
    <definedName name="fjfk_1_1_1" hidden="1">{"'CptDifn'!$AA$32:$AG$32"}</definedName>
    <definedName name="fjfk_1_2" localSheetId="20" hidden="1">{"'CptDifn'!$AA$32:$AG$32"}</definedName>
    <definedName name="fjfk_1_2" hidden="1">{"'CptDifn'!$AA$32:$AG$32"}</definedName>
    <definedName name="fjfk_2" localSheetId="20" hidden="1">{"'CptDifn'!$AA$32:$AG$32"}</definedName>
    <definedName name="fjfk_2" hidden="1">{"'CptDifn'!$AA$32:$AG$32"}</definedName>
    <definedName name="fjhk" localSheetId="20" hidden="1">{"'CptDifn'!$AA$32:$AG$32"}</definedName>
    <definedName name="fjhk" hidden="1">{"'CptDifn'!$AA$32:$AG$32"}</definedName>
    <definedName name="fjhk_1" localSheetId="20" hidden="1">{"'CptDifn'!$AA$32:$AG$32"}</definedName>
    <definedName name="fjhk_1" hidden="1">{"'CptDifn'!$AA$32:$AG$32"}</definedName>
    <definedName name="fjhk_1_1" localSheetId="20" hidden="1">{"'CptDifn'!$AA$32:$AG$32"}</definedName>
    <definedName name="fjhk_1_1" hidden="1">{"'CptDifn'!$AA$32:$AG$32"}</definedName>
    <definedName name="fjhk_1_1_1" localSheetId="20" hidden="1">{"'CptDifn'!$AA$32:$AG$32"}</definedName>
    <definedName name="fjhk_1_1_1" hidden="1">{"'CptDifn'!$AA$32:$AG$32"}</definedName>
    <definedName name="fjhk_1_2" localSheetId="20" hidden="1">{"'CptDifn'!$AA$32:$AG$32"}</definedName>
    <definedName name="fjhk_1_2" hidden="1">{"'CptDifn'!$AA$32:$AG$32"}</definedName>
    <definedName name="fjhk_2" localSheetId="20" hidden="1">{"'CptDifn'!$AA$32:$AG$32"}</definedName>
    <definedName name="fjhk_2" hidden="1">{"'CptDifn'!$AA$32:$AG$32"}</definedName>
    <definedName name="fjrjrjrtj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kjfgk" localSheetId="20" hidden="1">{"'CptDifn'!$AA$32:$AG$32"}</definedName>
    <definedName name="fkjfgk" hidden="1">{"'CptDifn'!$AA$32:$AG$32"}</definedName>
    <definedName name="fkjfgk_1" localSheetId="20" hidden="1">{"'CptDifn'!$AA$32:$AG$32"}</definedName>
    <definedName name="fkjfgk_1" hidden="1">{"'CptDifn'!$AA$32:$AG$32"}</definedName>
    <definedName name="fkjfgk_1_1" localSheetId="20" hidden="1">{"'CptDifn'!$AA$32:$AG$32"}</definedName>
    <definedName name="fkjfgk_1_1" hidden="1">{"'CptDifn'!$AA$32:$AG$32"}</definedName>
    <definedName name="fkjfgk_1_1_1" localSheetId="20" hidden="1">{"'CptDifn'!$AA$32:$AG$32"}</definedName>
    <definedName name="fkjfgk_1_1_1" hidden="1">{"'CptDifn'!$AA$32:$AG$32"}</definedName>
    <definedName name="fkjfgk_1_2" localSheetId="20" hidden="1">{"'CptDifn'!$AA$32:$AG$32"}</definedName>
    <definedName name="fkjfgk_1_2" hidden="1">{"'CptDifn'!$AA$32:$AG$32"}</definedName>
    <definedName name="fkjfgk_2" localSheetId="20" hidden="1">{"'CptDifn'!$AA$32:$AG$32"}</definedName>
    <definedName name="fkjfgk_2" hidden="1">{"'CptDifn'!$AA$32:$AG$32"}</definedName>
    <definedName name="fl._01">#REF!</definedName>
    <definedName name="flavia" hidden="1">#REF!</definedName>
    <definedName name="FLO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_11">#REF!</definedName>
    <definedName name="FLU_15">#REF!</definedName>
    <definedName name="Fluencia">#REF!</definedName>
    <definedName name="Fluência">#REF!</definedName>
    <definedName name="FLUTUANTE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" localSheetId="1">'[147]450'!#REF!</definedName>
    <definedName name="fluxo">'[147]450'!#REF!</definedName>
    <definedName name="Fluxo_Orçado_2011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gra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o">'[148]450'!#REF!</definedName>
    <definedName name="FM">#REF!</definedName>
    <definedName name="FMDIAS" hidden="1">#REF!</definedName>
    <definedName name="FMDIAS1" hidden="1">#REF!</definedName>
    <definedName name="FMDIAS10" hidden="1">#REF!</definedName>
    <definedName name="FMDIAS11" hidden="1">#REF!</definedName>
    <definedName name="FMDIAS12" hidden="1">#REF!</definedName>
    <definedName name="FMDIAS13" hidden="1">#REF!</definedName>
    <definedName name="FMDIAS15" hidden="1">#REF!</definedName>
    <definedName name="FMDIAS2" hidden="1">#REF!</definedName>
    <definedName name="FMDIAS20" hidden="1">#REF!</definedName>
    <definedName name="FMDIAS28" hidden="1">#REF!</definedName>
    <definedName name="FMDIAS3" hidden="1">#REF!</definedName>
    <definedName name="FMDIAS32" hidden="1">#REF!</definedName>
    <definedName name="FMDIAS34" hidden="1">#REF!</definedName>
    <definedName name="FMDIAS35" hidden="1">#REF!</definedName>
    <definedName name="FMDIAS36" hidden="1">#REF!</definedName>
    <definedName name="FMDIAS37" hidden="1">#REF!</definedName>
    <definedName name="FMDIAS38" hidden="1">#REF!</definedName>
    <definedName name="FMDIAS40" hidden="1">#REF!</definedName>
    <definedName name="FMDIAS41" hidden="1">#REF!</definedName>
    <definedName name="FMDIAS42" hidden="1">#REF!</definedName>
    <definedName name="FMDIAS43" hidden="1">#REF!</definedName>
    <definedName name="FMDIAS9" hidden="1">#REF!</definedName>
    <definedName name="FMW">#REF!</definedName>
    <definedName name="FMWA">#REF!</definedName>
    <definedName name="FOFO">#REF!</definedName>
    <definedName name="FOGO">'[149]RESUMO POR CÓD'!#REF!</definedName>
    <definedName name="FOGO.">'[149]RESUMO POR CÓD'!#REF!</definedName>
    <definedName name="fol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01" localSheetId="20" hidden="1">{#N/A,#N/A,TRUE,"Serviços"}</definedName>
    <definedName name="FOLHA01" localSheetId="21">{#N/A,#N/A,TRUE,"Serviços"}</definedName>
    <definedName name="FOLHA01" localSheetId="2" hidden="1">{#N/A,#N/A,TRUE,"Serviços"}</definedName>
    <definedName name="FOLHA01" hidden="1">{#N/A,#N/A,TRUE,"Serviços"}</definedName>
    <definedName name="FOLHA01_1" localSheetId="20">{#N/A,#N/A,TRUE,"Serviços"}</definedName>
    <definedName name="FOLHA01_1" localSheetId="21">{#N/A,#N/A,TRUE,"Serviços"}</definedName>
    <definedName name="FOLHA01_1">{#N/A,#N/A,TRUE,"Serviços"}</definedName>
    <definedName name="FOLHA011" localSheetId="20" hidden="1">{#N/A,#N/A,TRUE,"Serviços"}</definedName>
    <definedName name="FOLHA011" localSheetId="2" hidden="1">{#N/A,#N/A,TRUE,"Serviços"}</definedName>
    <definedName name="FOLHA011" hidden="1">{#N/A,#N/A,TRUE,"Serviços"}</definedName>
    <definedName name="folha1" localSheetId="20" hidden="1">{#N/A,#N/A,TRUE,"Serviços"}</definedName>
    <definedName name="folha1" localSheetId="21">{#N/A,#N/A,TRUE,"Serviços"}</definedName>
    <definedName name="folha1" localSheetId="2" hidden="1">{#N/A,#N/A,TRUE,"Serviços"}</definedName>
    <definedName name="folha1" hidden="1">{#N/A,#N/A,TRUE,"Serviços"}</definedName>
    <definedName name="folha1_1" localSheetId="20">{#N/A,#N/A,TRUE,"Serviços"}</definedName>
    <definedName name="folha1_1" localSheetId="21">{#N/A,#N/A,TRUE,"Serviços"}</definedName>
    <definedName name="folha1_1">{#N/A,#N/A,TRUE,"Serviços"}</definedName>
    <definedName name="folha11" localSheetId="20" hidden="1">{#N/A,#N/A,TRUE,"Serviços"}</definedName>
    <definedName name="folha11" localSheetId="2" hidden="1">{#N/A,#N/A,TRUE,"Serviços"}</definedName>
    <definedName name="folha11" hidden="1">{#N/A,#N/A,TRUE,"Serviços"}</definedName>
    <definedName name="Folha2">#REF!</definedName>
    <definedName name="Folha4">#REF!</definedName>
    <definedName name="FolResumoFlorestas" localSheetId="20" hidden="1">{"'REL CUSTODIF'!$B$1:$H$72"}</definedName>
    <definedName name="FolResumoFlorestas" hidden="1">{"'REL CUSTODIF'!$B$1:$H$72"}</definedName>
    <definedName name="FolResumoFlorestas_1" localSheetId="20" hidden="1">{"'REL CUSTODIF'!$B$1:$H$72"}</definedName>
    <definedName name="FolResumoFlorestas_1" hidden="1">{"'REL CUSTODIF'!$B$1:$H$72"}</definedName>
    <definedName name="FolResumoFlorestas_1_1" localSheetId="20" hidden="1">{"'REL CUSTODIF'!$B$1:$H$72"}</definedName>
    <definedName name="FolResumoFlorestas_1_1" hidden="1">{"'REL CUSTODIF'!$B$1:$H$72"}</definedName>
    <definedName name="FolResumoFlorestas_1_1_1" localSheetId="20" hidden="1">{"'REL CUSTODIF'!$B$1:$H$72"}</definedName>
    <definedName name="FolResumoFlorestas_1_1_1" hidden="1">{"'REL CUSTODIF'!$B$1:$H$72"}</definedName>
    <definedName name="FolResumoFlorestas_1_2" localSheetId="20" hidden="1">{"'REL CUSTODIF'!$B$1:$H$72"}</definedName>
    <definedName name="FolResumoFlorestas_1_2" hidden="1">{"'REL CUSTODIF'!$B$1:$H$72"}</definedName>
    <definedName name="FolResumoFlorestas_2" localSheetId="20" hidden="1">{"'REL CUSTODIF'!$B$1:$H$72"}</definedName>
    <definedName name="FolResumoFlorestas_2" hidden="1">{"'REL CUSTODIF'!$B$1:$H$72"}</definedName>
    <definedName name="FOOR" localSheetId="20" hidden="1">{#N/A,#N/A,FALSE,"Plan1"}</definedName>
    <definedName name="FOOR" hidden="1">{#N/A,#N/A,FALSE,"Plan1"}</definedName>
    <definedName name="form" localSheetId="20" hidden="1">{#N/A,#N/A,FALSE,"지침";#N/A,#N/A,FALSE,"환경분석";#N/A,#N/A,FALSE,"Sheet16"}</definedName>
    <definedName name="form" hidden="1">{#N/A,#N/A,FALSE,"지침";#N/A,#N/A,FALSE,"환경분석";#N/A,#N/A,FALSE,"Sheet16"}</definedName>
    <definedName name="form_1" localSheetId="20" hidden="1">{#N/A,#N/A,FALSE,"지침";#N/A,#N/A,FALSE,"환경분석";#N/A,#N/A,FALSE,"Sheet16"}</definedName>
    <definedName name="form_1" hidden="1">{#N/A,#N/A,FALSE,"지침";#N/A,#N/A,FALSE,"환경분석";#N/A,#N/A,FALSE,"Sheet16"}</definedName>
    <definedName name="form_1_1" localSheetId="20" hidden="1">{#N/A,#N/A,FALSE,"지침";#N/A,#N/A,FALSE,"환경분석";#N/A,#N/A,FALSE,"Sheet16"}</definedName>
    <definedName name="form_1_1" hidden="1">{#N/A,#N/A,FALSE,"지침";#N/A,#N/A,FALSE,"환경분석";#N/A,#N/A,FALSE,"Sheet16"}</definedName>
    <definedName name="form_1_1_1" localSheetId="20" hidden="1">{#N/A,#N/A,FALSE,"지침";#N/A,#N/A,FALSE,"환경분석";#N/A,#N/A,FALSE,"Sheet16"}</definedName>
    <definedName name="form_1_1_1" hidden="1">{#N/A,#N/A,FALSE,"지침";#N/A,#N/A,FALSE,"환경분석";#N/A,#N/A,FALSE,"Sheet16"}</definedName>
    <definedName name="form_1_2" localSheetId="20" hidden="1">{#N/A,#N/A,FALSE,"지침";#N/A,#N/A,FALSE,"환경분석";#N/A,#N/A,FALSE,"Sheet16"}</definedName>
    <definedName name="form_1_2" hidden="1">{#N/A,#N/A,FALSE,"지침";#N/A,#N/A,FALSE,"환경분석";#N/A,#N/A,FALSE,"Sheet16"}</definedName>
    <definedName name="form_2" localSheetId="20" hidden="1">{#N/A,#N/A,FALSE,"지침";#N/A,#N/A,FALSE,"환경분석";#N/A,#N/A,FALSE,"Sheet16"}</definedName>
    <definedName name="form_2" hidden="1">{#N/A,#N/A,FALSE,"지침";#N/A,#N/A,FALSE,"환경분석";#N/A,#N/A,FALSE,"Sheet16"}</definedName>
    <definedName name="FORMA">[97]SERVIÇOS!$G$23</definedName>
    <definedName name="FORMA_AN">#REF!</definedName>
    <definedName name="FORMA_AT">#REF!</definedName>
    <definedName name="formula">"$#REF!.$F$11"</definedName>
    <definedName name="formulário">#REF!</definedName>
    <definedName name="formulas" localSheetId="21">#REF!,#REF!,#REF!,#REF!,#REF!,#REF!,#REF!,#REF!,#REF!,#REF!,#REF!,#REF!,#REF!,#REF!,#REF!,#REF!,#REF!,#REF!,#REF!,#REF!</definedName>
    <definedName name="formulas">'[146]Compactação  botafora'!$B$112,'[146]Compactação  botafora'!$B$50,'[146]Compactação  botafora'!$B$174:$B$177,'[146]Compactação  botafora'!$B$236:$B$239,'[146]Compactação  botafora'!$B$298:$B$301,'[146]Compactação  botafora'!$B$360:$B$362,'[146]Compactação  botafora'!$B$422:$B$424,'[146]Compactação  botafora'!$B$484:$B$486,'[146]Compactação  botafora'!$B$546:$B$547,'[146]Compactação  botafora'!$B$608:$B$609,'[146]Compactação  botafora'!$B$671:$B$672,'[146]Compactação  botafora'!$B$733:$B$734,'[146]Compactação  botafora'!$B$795:$B$796,'[146]Compactação  botafora'!$B$857:$B$858,'[146]Compactação  botafora'!$B$980,'[146]Compactação  botafora'!$B$1042,'[146]Compactação  botafora'!$B$1104,'[146]Compactação  botafora'!$B$1166:$B$1168,'[146]Compactação  botafora'!$B$1228:$B$1230,'[146]Compactação  botafora'!$B$1290:$B$1292</definedName>
    <definedName name="FORN_MEIO_FIO_AN">#REF!</definedName>
    <definedName name="FORN_MEIO_FIO_AT">#REF!</definedName>
    <definedName name="FORNEC_CAP20">#REF!</definedName>
    <definedName name="FORNEC_CAP20_10">#REF!</definedName>
    <definedName name="FORNEC_CAP20_12">#REF!</definedName>
    <definedName name="FORNEC_CAP20_9">#REF!</definedName>
    <definedName name="FORNEC_CM30">#REF!</definedName>
    <definedName name="FORNEC_CM30_10">#REF!</definedName>
    <definedName name="FORNEC_CM30_12">#REF!</definedName>
    <definedName name="FORNEC_CM30_9">#REF!</definedName>
    <definedName name="FORNECIMENTO_AN">#REF!</definedName>
    <definedName name="FORNECIMENTO_AT">#REF!</definedName>
    <definedName name="FornosBOZ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RO" localSheetId="20" hidden="1">{#N/A,#N/A,FALSE,"Plan1"}</definedName>
    <definedName name="FORRO" hidden="1">{#N/A,#N/A,FALSE,"Plan1"}</definedName>
    <definedName name="FOSSA">#REF!</definedName>
    <definedName name="Fot" localSheetId="20" hidden="1">{"'EI 060 02'!$A$1:$K$59"}</definedName>
    <definedName name="Fot" hidden="1">{"'EI 060 02'!$A$1:$K$59"}</definedName>
    <definedName name="Fot_1" localSheetId="20" hidden="1">{"'EI 060 02'!$A$1:$K$59"}</definedName>
    <definedName name="Fot_1" hidden="1">{"'EI 060 02'!$A$1:$K$59"}</definedName>
    <definedName name="Fot_1_1" localSheetId="20" hidden="1">{"'EI 060 02'!$A$1:$K$59"}</definedName>
    <definedName name="Fot_1_1" hidden="1">{"'EI 060 02'!$A$1:$K$59"}</definedName>
    <definedName name="Fot_1_1_1" localSheetId="20" hidden="1">{"'EI 060 02'!$A$1:$K$59"}</definedName>
    <definedName name="Fot_1_1_1" hidden="1">{"'EI 060 02'!$A$1:$K$59"}</definedName>
    <definedName name="Fot_1_2" localSheetId="20" hidden="1">{"'EI 060 02'!$A$1:$K$59"}</definedName>
    <definedName name="Fot_1_2" hidden="1">{"'EI 060 02'!$A$1:$K$59"}</definedName>
    <definedName name="Fot_2" localSheetId="20" hidden="1">{"'EI 060 02'!$A$1:$K$59"}</definedName>
    <definedName name="Fot_2" hidden="1">{"'EI 060 02'!$A$1:$K$59"}</definedName>
    <definedName name="fqewa">#REF!</definedName>
    <definedName name="FQEWRFEWF" localSheetId="20" hidden="1">{"'REL CUSTODIF'!$B$1:$H$72"}</definedName>
    <definedName name="FQEWRFEWF" hidden="1">{"'REL CUSTODIF'!$B$1:$H$72"}</definedName>
    <definedName name="fr">#N/A</definedName>
    <definedName name="Frank" localSheetId="20" hidden="1">{#N/A,#N/A,TRUE,"Cover sheet";#N/A,#N/A,TRUE,"DCF analysis";#N/A,#N/A,TRUE,"WACC calculation"}</definedName>
    <definedName name="Frank" hidden="1">{#N/A,#N/A,TRUE,"Cover sheet";#N/A,#N/A,TRUE,"DCF analysis";#N/A,#N/A,TRUE,"WACC calculation"}</definedName>
    <definedName name="Frank_1" localSheetId="20" hidden="1">{#N/A,#N/A,TRUE,"Cover sheet";#N/A,#N/A,TRUE,"DCF analysis";#N/A,#N/A,TRUE,"WACC calculation"}</definedName>
    <definedName name="Frank_1" hidden="1">{#N/A,#N/A,TRUE,"Cover sheet";#N/A,#N/A,TRUE,"DCF analysis";#N/A,#N/A,TRUE,"WACC calculation"}</definedName>
    <definedName name="Frank_1_1" localSheetId="20" hidden="1">{#N/A,#N/A,TRUE,"Cover sheet";#N/A,#N/A,TRUE,"DCF analysis";#N/A,#N/A,TRUE,"WACC calculation"}</definedName>
    <definedName name="Frank_1_1" hidden="1">{#N/A,#N/A,TRUE,"Cover sheet";#N/A,#N/A,TRUE,"DCF analysis";#N/A,#N/A,TRUE,"WACC calculation"}</definedName>
    <definedName name="Frank_1_1_1" localSheetId="20" hidden="1">{#N/A,#N/A,TRUE,"Cover sheet";#N/A,#N/A,TRUE,"DCF analysis";#N/A,#N/A,TRUE,"WACC calculation"}</definedName>
    <definedName name="Frank_1_1_1" hidden="1">{#N/A,#N/A,TRUE,"Cover sheet";#N/A,#N/A,TRUE,"DCF analysis";#N/A,#N/A,TRUE,"WACC calculation"}</definedName>
    <definedName name="Frank_1_2" localSheetId="20" hidden="1">{#N/A,#N/A,TRUE,"Cover sheet";#N/A,#N/A,TRUE,"DCF analysis";#N/A,#N/A,TRUE,"WACC calculation"}</definedName>
    <definedName name="Frank_1_2" hidden="1">{#N/A,#N/A,TRUE,"Cover sheet";#N/A,#N/A,TRUE,"DCF analysis";#N/A,#N/A,TRUE,"WACC calculation"}</definedName>
    <definedName name="Frank_2" localSheetId="20" hidden="1">{#N/A,#N/A,TRUE,"Cover sheet";#N/A,#N/A,TRUE,"DCF analysis";#N/A,#N/A,TRUE,"WACC calculation"}</definedName>
    <definedName name="Frank_2" hidden="1">{#N/A,#N/A,TRUE,"Cover sheet";#N/A,#N/A,TRUE,"DCF analysis";#N/A,#N/A,TRUE,"WACC calculation"}</definedName>
    <definedName name="FRE">#REF!</definedName>
    <definedName name="Fresagem">#N/A</definedName>
    <definedName name="Fresagem01" localSheetId="20" hidden="1">{#N/A,#N/A,TRUE,"Serviços"}</definedName>
    <definedName name="Fresagem01" localSheetId="2" hidden="1">{#N/A,#N/A,TRUE,"Serviços"}</definedName>
    <definedName name="Fresagem01" hidden="1">{#N/A,#N/A,TRUE,"Serviços"}</definedName>
    <definedName name="Fresagem011" localSheetId="20" hidden="1">{#N/A,#N/A,TRUE,"Serviços"}</definedName>
    <definedName name="Fresagem011" localSheetId="2" hidden="1">{#N/A,#N/A,TRUE,"Serviços"}</definedName>
    <definedName name="Fresagem011" hidden="1">{#N/A,#N/A,TRUE,"Serviços"}</definedName>
    <definedName name="fresfg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h5">[150]orçamento_global!#REF!</definedName>
    <definedName name="FRR" localSheetId="20" hidden="1">{#N/A,#N/A,FALSE,"Plan1"}</definedName>
    <definedName name="FRR" hidden="1">{#N/A,#N/A,FALSE,"Plan1"}</definedName>
    <definedName name="FRWAESR" localSheetId="20" hidden="1">{"'Quadro'!$A$4:$BG$78"}</definedName>
    <definedName name="FRWAESR" hidden="1">{"'Quadro'!$A$4:$BG$78"}</definedName>
    <definedName name="FRWAESR_1" localSheetId="20" hidden="1">{"'Quadro'!$A$4:$BG$78"}</definedName>
    <definedName name="FRWAESR_1" hidden="1">{"'Quadro'!$A$4:$BG$78"}</definedName>
    <definedName name="FRWAESR_1_1" localSheetId="20" hidden="1">{"'Quadro'!$A$4:$BG$78"}</definedName>
    <definedName name="FRWAESR_1_1" hidden="1">{"'Quadro'!$A$4:$BG$78"}</definedName>
    <definedName name="FRWAESR_1_1_1" localSheetId="20" hidden="1">{"'Quadro'!$A$4:$BG$78"}</definedName>
    <definedName name="FRWAESR_1_1_1" hidden="1">{"'Quadro'!$A$4:$BG$78"}</definedName>
    <definedName name="FRWAESR_1_2" localSheetId="20" hidden="1">{"'Quadro'!$A$4:$BG$78"}</definedName>
    <definedName name="FRWAESR_1_2" hidden="1">{"'Quadro'!$A$4:$BG$78"}</definedName>
    <definedName name="FRWAESR_2" localSheetId="20" hidden="1">{"'Quadro'!$A$4:$BG$78"}</definedName>
    <definedName name="FRWAESR_2" hidden="1">{"'Quadro'!$A$4:$BG$78"}</definedName>
    <definedName name="FRWER" localSheetId="20" hidden="1">{"'REL CUSTODIF'!$B$1:$H$72"}</definedName>
    <definedName name="FRWER" hidden="1">{"'REL CUSTODIF'!$B$1:$H$72"}</definedName>
    <definedName name="FS">#REF!</definedName>
    <definedName name="FS_1">#REF!</definedName>
    <definedName name="FSA" localSheetId="20" hidden="1">{"'Quadro'!$A$4:$BG$78"}</definedName>
    <definedName name="FSA" hidden="1">{"'Quadro'!$A$4:$BG$78"}</definedName>
    <definedName name="FSA_1" localSheetId="20" hidden="1">{"'Quadro'!$A$4:$BG$78"}</definedName>
    <definedName name="FSA_1" hidden="1">{"'Quadro'!$A$4:$BG$78"}</definedName>
    <definedName name="FSA_1_1" localSheetId="20" hidden="1">{"'Quadro'!$A$4:$BG$78"}</definedName>
    <definedName name="FSA_1_1" hidden="1">{"'Quadro'!$A$4:$BG$78"}</definedName>
    <definedName name="FSA_1_1_1" localSheetId="20" hidden="1">{"'Quadro'!$A$4:$BG$78"}</definedName>
    <definedName name="FSA_1_1_1" hidden="1">{"'Quadro'!$A$4:$BG$78"}</definedName>
    <definedName name="FSA_1_2" localSheetId="20" hidden="1">{"'Quadro'!$A$4:$BG$78"}</definedName>
    <definedName name="FSA_1_2" hidden="1">{"'Quadro'!$A$4:$BG$78"}</definedName>
    <definedName name="FSA_2" localSheetId="20" hidden="1">{"'Quadro'!$A$4:$BG$78"}</definedName>
    <definedName name="FSA_2" hidden="1">{"'Quadro'!$A$4:$BG$78"}</definedName>
    <definedName name="fsad" localSheetId="20" hidden="1">{"'Quadro'!$A$4:$BG$78"}</definedName>
    <definedName name="fsad" hidden="1">{"'Quadro'!$A$4:$BG$78"}</definedName>
    <definedName name="fsad_1" localSheetId="20" hidden="1">{"'Quadro'!$A$4:$BG$78"}</definedName>
    <definedName name="fsad_1" hidden="1">{"'Quadro'!$A$4:$BG$78"}</definedName>
    <definedName name="fsad_1_1" localSheetId="20" hidden="1">{"'Quadro'!$A$4:$BG$78"}</definedName>
    <definedName name="fsad_1_1" hidden="1">{"'Quadro'!$A$4:$BG$78"}</definedName>
    <definedName name="fsad_1_1_1" localSheetId="20" hidden="1">{"'Quadro'!$A$4:$BG$78"}</definedName>
    <definedName name="fsad_1_1_1" hidden="1">{"'Quadro'!$A$4:$BG$78"}</definedName>
    <definedName name="fsad_1_2" localSheetId="20" hidden="1">{"'Quadro'!$A$4:$BG$78"}</definedName>
    <definedName name="fsad_1_2" hidden="1">{"'Quadro'!$A$4:$BG$78"}</definedName>
    <definedName name="fsad_2" localSheetId="20" hidden="1">{"'Quadro'!$A$4:$BG$78"}</definedName>
    <definedName name="fsad_2" hidden="1">{"'Quadro'!$A$4:$BG$78"}</definedName>
    <definedName name="fsadfasd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D">#N/A</definedName>
    <definedName name="fsd" localSheetId="20" hidden="1">{"'gráf jan00'!$A$1:$AK$41"}</definedName>
    <definedName name="fsd" hidden="1">{"'gráf jan00'!$A$1:$AK$41"}</definedName>
    <definedName name="fsd_1" localSheetId="20" hidden="1">{"'gráf jan00'!$A$1:$AK$41"}</definedName>
    <definedName name="fsd_1" hidden="1">{"'gráf jan00'!$A$1:$AK$41"}</definedName>
    <definedName name="fsd_1_1" localSheetId="20" hidden="1">{"'gráf jan00'!$A$1:$AK$41"}</definedName>
    <definedName name="fsd_1_1" hidden="1">{"'gráf jan00'!$A$1:$AK$41"}</definedName>
    <definedName name="fsd_1_1_1" localSheetId="20" hidden="1">{"'gráf jan00'!$A$1:$AK$41"}</definedName>
    <definedName name="fsd_1_1_1" hidden="1">{"'gráf jan00'!$A$1:$AK$41"}</definedName>
    <definedName name="fsd_1_2" localSheetId="20" hidden="1">{"'gráf jan00'!$A$1:$AK$41"}</definedName>
    <definedName name="fsd_1_2" hidden="1">{"'gráf jan00'!$A$1:$AK$41"}</definedName>
    <definedName name="fsd_2" localSheetId="20" hidden="1">{"'gráf jan00'!$A$1:$AK$41"}</definedName>
    <definedName name="fsd_2" hidden="1">{"'gráf jan00'!$A$1:$AK$41"}</definedName>
    <definedName name="FSDF" localSheetId="20" hidden="1">{"'Quadro'!$A$4:$BG$78"}</definedName>
    <definedName name="FSDF" hidden="1">{"'Quadro'!$A$4:$BG$78"}</definedName>
    <definedName name="FSDF_1" localSheetId="20" hidden="1">{"'Quadro'!$A$4:$BG$78"}</definedName>
    <definedName name="FSDF_1" hidden="1">{"'Quadro'!$A$4:$BG$78"}</definedName>
    <definedName name="FSDF_1_1" localSheetId="20" hidden="1">{"'Quadro'!$A$4:$BG$78"}</definedName>
    <definedName name="FSDF_1_1" hidden="1">{"'Quadro'!$A$4:$BG$78"}</definedName>
    <definedName name="FSDF_1_1_1" localSheetId="20" hidden="1">{"'Quadro'!$A$4:$BG$78"}</definedName>
    <definedName name="FSDF_1_1_1" hidden="1">{"'Quadro'!$A$4:$BG$78"}</definedName>
    <definedName name="FSDF_1_2" localSheetId="20" hidden="1">{"'Quadro'!$A$4:$BG$78"}</definedName>
    <definedName name="FSDF_1_2" hidden="1">{"'Quadro'!$A$4:$BG$78"}</definedName>
    <definedName name="FSDF_2" localSheetId="20" hidden="1">{"'Quadro'!$A$4:$BG$78"}</definedName>
    <definedName name="FSDF_2" hidden="1">{"'Quadro'!$A$4:$BG$78"}</definedName>
    <definedName name="fsdfs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S" localSheetId="20" hidden="1">{"'gráf jan00'!$A$1:$AK$41"}</definedName>
    <definedName name="FSDS" hidden="1">{"'gráf jan00'!$A$1:$AK$41"}</definedName>
    <definedName name="FSDS_1" localSheetId="20" hidden="1">{"'gráf jan00'!$A$1:$AK$41"}</definedName>
    <definedName name="FSDS_1" hidden="1">{"'gráf jan00'!$A$1:$AK$41"}</definedName>
    <definedName name="FSDS_1_1" localSheetId="20" hidden="1">{"'gráf jan00'!$A$1:$AK$41"}</definedName>
    <definedName name="FSDS_1_1" hidden="1">{"'gráf jan00'!$A$1:$AK$41"}</definedName>
    <definedName name="FSDS_1_1_1" localSheetId="20" hidden="1">{"'gráf jan00'!$A$1:$AK$41"}</definedName>
    <definedName name="FSDS_1_1_1" hidden="1">{"'gráf jan00'!$A$1:$AK$41"}</definedName>
    <definedName name="FSDS_1_2" localSheetId="20" hidden="1">{"'gráf jan00'!$A$1:$AK$41"}</definedName>
    <definedName name="FSDS_1_2" hidden="1">{"'gráf jan00'!$A$1:$AK$41"}</definedName>
    <definedName name="FSDS_2" localSheetId="20" hidden="1">{"'gráf jan00'!$A$1:$AK$41"}</definedName>
    <definedName name="FSDS_2" hidden="1">{"'gráf jan00'!$A$1:$AK$41"}</definedName>
    <definedName name="fthju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U" localSheetId="20" hidden="1">{"'Quadro'!$A$4:$BG$78"}</definedName>
    <definedName name="FTU" hidden="1">{"'Quadro'!$A$4:$BG$78"}</definedName>
    <definedName name="FTU_1" localSheetId="20" hidden="1">{"'Quadro'!$A$4:$BG$78"}</definedName>
    <definedName name="FTU_1" hidden="1">{"'Quadro'!$A$4:$BG$78"}</definedName>
    <definedName name="FTU_1_1" localSheetId="20" hidden="1">{"'Quadro'!$A$4:$BG$78"}</definedName>
    <definedName name="FTU_1_1" hidden="1">{"'Quadro'!$A$4:$BG$78"}</definedName>
    <definedName name="FTU_1_1_1" localSheetId="20" hidden="1">{"'Quadro'!$A$4:$BG$78"}</definedName>
    <definedName name="FTU_1_1_1" hidden="1">{"'Quadro'!$A$4:$BG$78"}</definedName>
    <definedName name="FTU_1_2" localSheetId="20" hidden="1">{"'Quadro'!$A$4:$BG$78"}</definedName>
    <definedName name="FTU_1_2" hidden="1">{"'Quadro'!$A$4:$BG$78"}</definedName>
    <definedName name="FTU_2" localSheetId="20" hidden="1">{"'Quadro'!$A$4:$BG$78"}</definedName>
    <definedName name="FTU_2" hidden="1">{"'Quadro'!$A$4:$BG$78"}</definedName>
    <definedName name="fuel">#REF!</definedName>
    <definedName name="fuel_1">#REF!</definedName>
    <definedName name="func">'[125]BD_Tabela de Salários'!$D$5:$D$202</definedName>
    <definedName name="Função">#REF!</definedName>
    <definedName name="FWEFW">[151]QuQuant!#REF!</definedName>
    <definedName name="fx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.Adicional.Crescente">'[152]PN (Fx 3)'!#REF!</definedName>
    <definedName name="fxgjgcjyfcgg" hidden="1">#REF!</definedName>
    <definedName name="G" localSheetId="21">#REF!</definedName>
    <definedName name="G">#REF!</definedName>
    <definedName name="G_1" localSheetId="21">NA()</definedName>
    <definedName name="G_1">NA()</definedName>
    <definedName name="G_2" localSheetId="21">NA()</definedName>
    <definedName name="G_2">NA()</definedName>
    <definedName name="gafdga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fd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 localSheetId="21">NA()</definedName>
    <definedName name="Gama">NA()</definedName>
    <definedName name="GAMAN" localSheetId="20" hidden="1">{#N/A,#N/A,FALSE,"PCOL"}</definedName>
    <definedName name="GAMAN" hidden="1">{#N/A,#N/A,FALSE,"PCOL"}</definedName>
    <definedName name="GAMAN_1" localSheetId="20" hidden="1">{#N/A,#N/A,FALSE,"PCOL"}</definedName>
    <definedName name="GAMAN_1" hidden="1">{#N/A,#N/A,FALSE,"PCOL"}</definedName>
    <definedName name="GAMAN_1_1" localSheetId="20" hidden="1">{#N/A,#N/A,FALSE,"PCOL"}</definedName>
    <definedName name="GAMAN_1_1" hidden="1">{#N/A,#N/A,FALSE,"PCOL"}</definedName>
    <definedName name="GAMAN_1_1_1" localSheetId="20" hidden="1">{#N/A,#N/A,FALSE,"PCOL"}</definedName>
    <definedName name="GAMAN_1_1_1" hidden="1">{#N/A,#N/A,FALSE,"PCOL"}</definedName>
    <definedName name="GAMAN_1_2" localSheetId="20" hidden="1">{#N/A,#N/A,FALSE,"PCOL"}</definedName>
    <definedName name="GAMAN_1_2" hidden="1">{#N/A,#N/A,FALSE,"PCOL"}</definedName>
    <definedName name="GAMAN_2" localSheetId="20" hidden="1">{#N/A,#N/A,FALSE,"PCOL"}</definedName>
    <definedName name="GAMAN_2" hidden="1">{#N/A,#N/A,FALSE,"PCOL"}</definedName>
    <definedName name="GAMAR" localSheetId="20" hidden="1">{"'CptDifn'!$AA$32:$AG$32"}</definedName>
    <definedName name="GAMAR" hidden="1">{"'CptDifn'!$AA$32:$AG$32"}</definedName>
    <definedName name="GAMAR_1" localSheetId="20" hidden="1">{"'CptDifn'!$AA$32:$AG$32"}</definedName>
    <definedName name="GAMAR_1" hidden="1">{"'CptDifn'!$AA$32:$AG$32"}</definedName>
    <definedName name="GAMAR_1_1" localSheetId="20" hidden="1">{"'CptDifn'!$AA$32:$AG$32"}</definedName>
    <definedName name="GAMAR_1_1" hidden="1">{"'CptDifn'!$AA$32:$AG$32"}</definedName>
    <definedName name="GAMAR_1_1_1" localSheetId="20" hidden="1">{"'CptDifn'!$AA$32:$AG$32"}</definedName>
    <definedName name="GAMAR_1_1_1" hidden="1">{"'CptDifn'!$AA$32:$AG$32"}</definedName>
    <definedName name="GAMAR_1_2" localSheetId="20" hidden="1">{"'CptDifn'!$AA$32:$AG$32"}</definedName>
    <definedName name="GAMAR_1_2" hidden="1">{"'CptDifn'!$AA$32:$AG$32"}</definedName>
    <definedName name="GAMAR_2" localSheetId="20" hidden="1">{"'CptDifn'!$AA$32:$AG$32"}</definedName>
    <definedName name="GAMAR_2" hidden="1">{"'CptDifn'!$AA$32:$AG$32"}</definedName>
    <definedName name="GAMAR1" localSheetId="20" hidden="1">{"'CptDifn'!$AA$32:$AG$32"}</definedName>
    <definedName name="GAMAR1" hidden="1">{"'CptDifn'!$AA$32:$AG$32"}</definedName>
    <definedName name="GAMAR1_1" localSheetId="20" hidden="1">{"'CptDifn'!$AA$32:$AG$32"}</definedName>
    <definedName name="GAMAR1_1" hidden="1">{"'CptDifn'!$AA$32:$AG$32"}</definedName>
    <definedName name="GAMAR1_1_1" localSheetId="20" hidden="1">{"'CptDifn'!$AA$32:$AG$32"}</definedName>
    <definedName name="GAMAR1_1_1" hidden="1">{"'CptDifn'!$AA$32:$AG$32"}</definedName>
    <definedName name="GAMAR1_1_1_1" localSheetId="20" hidden="1">{"'CptDifn'!$AA$32:$AG$32"}</definedName>
    <definedName name="GAMAR1_1_1_1" hidden="1">{"'CptDifn'!$AA$32:$AG$32"}</definedName>
    <definedName name="GAMAR1_1_2" localSheetId="20" hidden="1">{"'CptDifn'!$AA$32:$AG$32"}</definedName>
    <definedName name="GAMAR1_1_2" hidden="1">{"'CptDifn'!$AA$32:$AG$32"}</definedName>
    <definedName name="GAMAR1_2" localSheetId="20" hidden="1">{"'CptDifn'!$AA$32:$AG$32"}</definedName>
    <definedName name="GAMAR1_2" hidden="1">{"'CptDifn'!$AA$32:$AG$32"}</definedName>
    <definedName name="gamen" localSheetId="20" hidden="1">{#N/A,#N/A,FALSE,"PCOL"}</definedName>
    <definedName name="gamen" hidden="1">{#N/A,#N/A,FALSE,"PCOL"}</definedName>
    <definedName name="gamen_1" localSheetId="20" hidden="1">{#N/A,#N/A,FALSE,"PCOL"}</definedName>
    <definedName name="gamen_1" hidden="1">{#N/A,#N/A,FALSE,"PCOL"}</definedName>
    <definedName name="gamen_1_1" localSheetId="20" hidden="1">{#N/A,#N/A,FALSE,"PCOL"}</definedName>
    <definedName name="gamen_1_1" hidden="1">{#N/A,#N/A,FALSE,"PCOL"}</definedName>
    <definedName name="gamen_1_1_1" localSheetId="20" hidden="1">{#N/A,#N/A,FALSE,"PCOL"}</definedName>
    <definedName name="gamen_1_1_1" hidden="1">{#N/A,#N/A,FALSE,"PCOL"}</definedName>
    <definedName name="gamen_1_2" localSheetId="20" hidden="1">{#N/A,#N/A,FALSE,"PCOL"}</definedName>
    <definedName name="gamen_1_2" hidden="1">{#N/A,#N/A,FALSE,"PCOL"}</definedName>
    <definedName name="gamen_2" localSheetId="20" hidden="1">{#N/A,#N/A,FALSE,"PCOL"}</definedName>
    <definedName name="gamen_2" hidden="1">{#N/A,#N/A,FALSE,"PCOL"}</definedName>
    <definedName name="GAMON" localSheetId="20" hidden="1">{#N/A,#N/A,FALSE,"PCOL"}</definedName>
    <definedName name="GAMON" hidden="1">{#N/A,#N/A,FALSE,"PCOL"}</definedName>
    <definedName name="GANGUE">[5]PLMUSEU!#REF!</definedName>
    <definedName name="GAPMG" localSheetId="20" hidden="1">{"'Quadro'!$A$4:$BG$78"}</definedName>
    <definedName name="GAPMG" hidden="1">{"'Quadro'!$A$4:$BG$78"}</definedName>
    <definedName name="GAPMG_1" localSheetId="20" hidden="1">{"'Quadro'!$A$4:$BG$78"}</definedName>
    <definedName name="GAPMG_1" hidden="1">{"'Quadro'!$A$4:$BG$78"}</definedName>
    <definedName name="GAPMG_1_1" localSheetId="20" hidden="1">{"'Quadro'!$A$4:$BG$78"}</definedName>
    <definedName name="GAPMG_1_1" hidden="1">{"'Quadro'!$A$4:$BG$78"}</definedName>
    <definedName name="GAPMG_1_1_1" localSheetId="20" hidden="1">{"'Quadro'!$A$4:$BG$78"}</definedName>
    <definedName name="GAPMG_1_1_1" hidden="1">{"'Quadro'!$A$4:$BG$78"}</definedName>
    <definedName name="GAPMG_1_2" localSheetId="20" hidden="1">{"'Quadro'!$A$4:$BG$78"}</definedName>
    <definedName name="GAPMG_1_2" hidden="1">{"'Quadro'!$A$4:$BG$78"}</definedName>
    <definedName name="GAPMG_2" localSheetId="20" hidden="1">{"'Quadro'!$A$4:$BG$78"}</definedName>
    <definedName name="GAPMG_2" hidden="1">{"'Quadro'!$A$4:$BG$78"}</definedName>
    <definedName name="garug01" localSheetId="20" hidden="1">{"'REL CUSTODIF'!$B$1:$H$72"}</definedName>
    <definedName name="garug01" hidden="1">{"'REL CUSTODIF'!$B$1:$H$72"}</definedName>
    <definedName name="garug01_1" localSheetId="20" hidden="1">{"'REL CUSTODIF'!$B$1:$H$72"}</definedName>
    <definedName name="garug01_1" hidden="1">{"'REL CUSTODIF'!$B$1:$H$72"}</definedName>
    <definedName name="garug01_1_1" localSheetId="20" hidden="1">{"'REL CUSTODIF'!$B$1:$H$72"}</definedName>
    <definedName name="garug01_1_1" hidden="1">{"'REL CUSTODIF'!$B$1:$H$72"}</definedName>
    <definedName name="garug01_1_1_1" localSheetId="20" hidden="1">{"'REL CUSTODIF'!$B$1:$H$72"}</definedName>
    <definedName name="garug01_1_1_1" hidden="1">{"'REL CUSTODIF'!$B$1:$H$72"}</definedName>
    <definedName name="garug01_1_2" localSheetId="20" hidden="1">{"'REL CUSTODIF'!$B$1:$H$72"}</definedName>
    <definedName name="garug01_1_2" hidden="1">{"'REL CUSTODIF'!$B$1:$H$72"}</definedName>
    <definedName name="garug01_2" localSheetId="20" hidden="1">{"'REL CUSTODIF'!$B$1:$H$72"}</definedName>
    <definedName name="garug01_2" hidden="1">{"'REL CUSTODIF'!$B$1:$H$72"}</definedName>
    <definedName name="garug1" localSheetId="20" hidden="1">{#N/A,#N/A,FALSE,"PCOL"}</definedName>
    <definedName name="garug1" hidden="1">{#N/A,#N/A,FALSE,"PCOL"}</definedName>
    <definedName name="garug1_1" localSheetId="20" hidden="1">{#N/A,#N/A,FALSE,"PCOL"}</definedName>
    <definedName name="garug1_1" hidden="1">{#N/A,#N/A,FALSE,"PCOL"}</definedName>
    <definedName name="garug1_1_1" localSheetId="20" hidden="1">{#N/A,#N/A,FALSE,"PCOL"}</definedName>
    <definedName name="garug1_1_1" hidden="1">{#N/A,#N/A,FALSE,"PCOL"}</definedName>
    <definedName name="garug1_1_1_1" localSheetId="20" hidden="1">{#N/A,#N/A,FALSE,"PCOL"}</definedName>
    <definedName name="garug1_1_1_1" hidden="1">{#N/A,#N/A,FALSE,"PCOL"}</definedName>
    <definedName name="garug1_1_2" localSheetId="20" hidden="1">{#N/A,#N/A,FALSE,"PCOL"}</definedName>
    <definedName name="garug1_1_2" hidden="1">{#N/A,#N/A,FALSE,"PCOL"}</definedName>
    <definedName name="garug1_2" localSheetId="20" hidden="1">{#N/A,#N/A,FALSE,"PCOL"}</definedName>
    <definedName name="garug1_2" hidden="1">{#N/A,#N/A,FALSE,"PCOL"}</definedName>
    <definedName name="gas">#REF!</definedName>
    <definedName name="gas_1">#REF!</definedName>
    <definedName name="GASE" localSheetId="20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ASEG" localSheetId="20" hidden="1">{"'Quadro'!$A$4:$BG$78"}</definedName>
    <definedName name="GASEG" hidden="1">{"'Quadro'!$A$4:$BG$78"}</definedName>
    <definedName name="GASEG_1" localSheetId="20" hidden="1">{"'Quadro'!$A$4:$BG$78"}</definedName>
    <definedName name="GASEG_1" hidden="1">{"'Quadro'!$A$4:$BG$78"}</definedName>
    <definedName name="GASEG_1_1" localSheetId="20" hidden="1">{"'Quadro'!$A$4:$BG$78"}</definedName>
    <definedName name="GASEG_1_1" hidden="1">{"'Quadro'!$A$4:$BG$78"}</definedName>
    <definedName name="GASEG_1_1_1" localSheetId="20" hidden="1">{"'Quadro'!$A$4:$BG$78"}</definedName>
    <definedName name="GASEG_1_1_1" hidden="1">{"'Quadro'!$A$4:$BG$78"}</definedName>
    <definedName name="GASEG_1_2" localSheetId="20" hidden="1">{"'Quadro'!$A$4:$BG$78"}</definedName>
    <definedName name="GASEG_1_2" hidden="1">{"'Quadro'!$A$4:$BG$78"}</definedName>
    <definedName name="GASEG_2" localSheetId="20" hidden="1">{"'Quadro'!$A$4:$BG$78"}</definedName>
    <definedName name="GASEG_2" hidden="1">{"'Quadro'!$A$4:$BG$78"}</definedName>
    <definedName name="GASGEMI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MI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po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po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OL">#NAME?</definedName>
    <definedName name="GASOL_1">#REF!</definedName>
    <definedName name="GASOLINA">[117]INSUMOS!$N$306</definedName>
    <definedName name="GAST">[15]DADOS!$C$21</definedName>
    <definedName name="Gastos_Marajó">#N/A</definedName>
    <definedName name="GAVTG" localSheetId="20" hidden="1">{"'gráf jan00'!$A$1:$AK$41"}</definedName>
    <definedName name="GAVTG" hidden="1">{"'gráf jan00'!$A$1:$AK$41"}</definedName>
    <definedName name="GAVTG_1" localSheetId="20" hidden="1">{"'gráf jan00'!$A$1:$AK$41"}</definedName>
    <definedName name="GAVTG_1" hidden="1">{"'gráf jan00'!$A$1:$AK$41"}</definedName>
    <definedName name="GAVTG_1_1" localSheetId="20" hidden="1">{"'gráf jan00'!$A$1:$AK$41"}</definedName>
    <definedName name="GAVTG_1_1" hidden="1">{"'gráf jan00'!$A$1:$AK$41"}</definedName>
    <definedName name="GAVTG_1_1_1" localSheetId="20" hidden="1">{"'gráf jan00'!$A$1:$AK$41"}</definedName>
    <definedName name="GAVTG_1_1_1" hidden="1">{"'gráf jan00'!$A$1:$AK$41"}</definedName>
    <definedName name="GAVTG_1_2" localSheetId="20" hidden="1">{"'gráf jan00'!$A$1:$AK$41"}</definedName>
    <definedName name="GAVTG_1_2" hidden="1">{"'gráf jan00'!$A$1:$AK$41"}</definedName>
    <definedName name="GAVTG_2" localSheetId="20" hidden="1">{"'gráf jan00'!$A$1:$AK$41"}</definedName>
    <definedName name="GAVTG_2" hidden="1">{"'gráf jan00'!$A$1:$AK$41"}</definedName>
    <definedName name="gbhj" localSheetId="20" hidden="1">{"'CptDifn'!$AA$32:$AG$32"}</definedName>
    <definedName name="gbhj" hidden="1">{"'CptDifn'!$AA$32:$AG$32"}</definedName>
    <definedName name="gbhj_1" localSheetId="20" hidden="1">{"'CptDifn'!$AA$32:$AG$32"}</definedName>
    <definedName name="gbhj_1" hidden="1">{"'CptDifn'!$AA$32:$AG$32"}</definedName>
    <definedName name="gbhj_1_1" localSheetId="20" hidden="1">{"'CptDifn'!$AA$32:$AG$32"}</definedName>
    <definedName name="gbhj_1_1" hidden="1">{"'CptDifn'!$AA$32:$AG$32"}</definedName>
    <definedName name="gbhj_1_1_1" localSheetId="20" hidden="1">{"'CptDifn'!$AA$32:$AG$32"}</definedName>
    <definedName name="gbhj_1_1_1" hidden="1">{"'CptDifn'!$AA$32:$AG$32"}</definedName>
    <definedName name="gbhj_1_2" localSheetId="20" hidden="1">{"'CptDifn'!$AA$32:$AG$32"}</definedName>
    <definedName name="gbhj_1_2" hidden="1">{"'CptDifn'!$AA$32:$AG$32"}</definedName>
    <definedName name="gbhj_2" localSheetId="20" hidden="1">{"'CptDifn'!$AA$32:$AG$32"}</definedName>
    <definedName name="gbhj_2" hidden="1">{"'CptDifn'!$AA$32:$AG$32"}</definedName>
    <definedName name="gca">#N/A</definedName>
    <definedName name="GD" localSheetId="20" hidden="1">{#N/A,#N/A,FALSE,"지침";#N/A,#N/A,FALSE,"환경분석";#N/A,#N/A,FALSE,"Sheet16"}</definedName>
    <definedName name="GD" hidden="1">{#N/A,#N/A,FALSE,"지침";#N/A,#N/A,FALSE,"환경분석";#N/A,#N/A,FALSE,"Sheet16"}</definedName>
    <definedName name="GD_1" localSheetId="20" hidden="1">{#N/A,#N/A,FALSE,"지침";#N/A,#N/A,FALSE,"환경분석";#N/A,#N/A,FALSE,"Sheet16"}</definedName>
    <definedName name="GD_1" hidden="1">{#N/A,#N/A,FALSE,"지침";#N/A,#N/A,FALSE,"환경분석";#N/A,#N/A,FALSE,"Sheet16"}</definedName>
    <definedName name="GD_1_1" localSheetId="20" hidden="1">{#N/A,#N/A,FALSE,"지침";#N/A,#N/A,FALSE,"환경분석";#N/A,#N/A,FALSE,"Sheet16"}</definedName>
    <definedName name="GD_1_1" hidden="1">{#N/A,#N/A,FALSE,"지침";#N/A,#N/A,FALSE,"환경분석";#N/A,#N/A,FALSE,"Sheet16"}</definedName>
    <definedName name="GD_1_1_1" localSheetId="20" hidden="1">{#N/A,#N/A,FALSE,"지침";#N/A,#N/A,FALSE,"환경분석";#N/A,#N/A,FALSE,"Sheet16"}</definedName>
    <definedName name="GD_1_1_1" hidden="1">{#N/A,#N/A,FALSE,"지침";#N/A,#N/A,FALSE,"환경분석";#N/A,#N/A,FALSE,"Sheet16"}</definedName>
    <definedName name="GD_1_2" localSheetId="20" hidden="1">{#N/A,#N/A,FALSE,"지침";#N/A,#N/A,FALSE,"환경분석";#N/A,#N/A,FALSE,"Sheet16"}</definedName>
    <definedName name="GD_1_2" hidden="1">{#N/A,#N/A,FALSE,"지침";#N/A,#N/A,FALSE,"환경분석";#N/A,#N/A,FALSE,"Sheet16"}</definedName>
    <definedName name="GD_2" localSheetId="20" hidden="1">{#N/A,#N/A,FALSE,"지침";#N/A,#N/A,FALSE,"환경분석";#N/A,#N/A,FALSE,"Sheet16"}</definedName>
    <definedName name="GD_2" hidden="1">{#N/A,#N/A,FALSE,"지침";#N/A,#N/A,FALSE,"환경분석";#N/A,#N/A,FALSE,"Sheet16"}</definedName>
    <definedName name="gdfg" localSheetId="20" hidden="1">{"'gráf jan00'!$A$1:$AK$41"}</definedName>
    <definedName name="gdfg" hidden="1">{"'gráf jan00'!$A$1:$AK$41"}</definedName>
    <definedName name="gdfg_1" localSheetId="20" hidden="1">{"'gráf jan00'!$A$1:$AK$41"}</definedName>
    <definedName name="gdfg_1" hidden="1">{"'gráf jan00'!$A$1:$AK$41"}</definedName>
    <definedName name="gdfg_1_1" localSheetId="20" hidden="1">{"'gráf jan00'!$A$1:$AK$41"}</definedName>
    <definedName name="gdfg_1_1" hidden="1">{"'gráf jan00'!$A$1:$AK$41"}</definedName>
    <definedName name="gdfg_1_1_1" localSheetId="20" hidden="1">{"'gráf jan00'!$A$1:$AK$41"}</definedName>
    <definedName name="gdfg_1_1_1" hidden="1">{"'gráf jan00'!$A$1:$AK$41"}</definedName>
    <definedName name="gdfg_1_2" localSheetId="20" hidden="1">{"'gráf jan00'!$A$1:$AK$41"}</definedName>
    <definedName name="gdfg_1_2" hidden="1">{"'gráf jan00'!$A$1:$AK$41"}</definedName>
    <definedName name="gdfg_2" localSheetId="20" hidden="1">{"'gráf jan00'!$A$1:$AK$41"}</definedName>
    <definedName name="gdfg_2" hidden="1">{"'gráf jan00'!$A$1:$AK$41"}</definedName>
    <definedName name="gdfsdfdsgsdgsd">#REF!</definedName>
    <definedName name="GDS" localSheetId="20" hidden="1">{"'Quadro'!$A$4:$BG$78"}</definedName>
    <definedName name="GDS" hidden="1">{"'Quadro'!$A$4:$BG$78"}</definedName>
    <definedName name="GDS_1" localSheetId="20" hidden="1">{"'Quadro'!$A$4:$BG$78"}</definedName>
    <definedName name="GDS_1" hidden="1">{"'Quadro'!$A$4:$BG$78"}</definedName>
    <definedName name="GDS_1_1" localSheetId="20" hidden="1">{"'Quadro'!$A$4:$BG$78"}</definedName>
    <definedName name="GDS_1_1" hidden="1">{"'Quadro'!$A$4:$BG$78"}</definedName>
    <definedName name="GDS_1_1_1" localSheetId="20" hidden="1">{"'Quadro'!$A$4:$BG$78"}</definedName>
    <definedName name="GDS_1_1_1" hidden="1">{"'Quadro'!$A$4:$BG$78"}</definedName>
    <definedName name="GDS_1_2" localSheetId="20" hidden="1">{"'Quadro'!$A$4:$BG$78"}</definedName>
    <definedName name="GDS_1_2" hidden="1">{"'Quadro'!$A$4:$BG$78"}</definedName>
    <definedName name="GDS_2" localSheetId="20" hidden="1">{"'Quadro'!$A$4:$BG$78"}</definedName>
    <definedName name="GDS_2" hidden="1">{"'Quadro'!$A$4:$BG$78"}</definedName>
    <definedName name="GE">#REF!</definedName>
    <definedName name="geaga" localSheetId="20" hidden="1">{"'Quadro'!$A$4:$BG$78"}</definedName>
    <definedName name="geaga" hidden="1">{"'Quadro'!$A$4:$BG$78"}</definedName>
    <definedName name="geaga_1" localSheetId="20" hidden="1">{"'Quadro'!$A$4:$BG$78"}</definedName>
    <definedName name="geaga_1" hidden="1">{"'Quadro'!$A$4:$BG$78"}</definedName>
    <definedName name="geaga_1_1" localSheetId="20" hidden="1">{"'Quadro'!$A$4:$BG$78"}</definedName>
    <definedName name="geaga_1_1" hidden="1">{"'Quadro'!$A$4:$BG$78"}</definedName>
    <definedName name="geaga_1_1_1" localSheetId="20" hidden="1">{"'Quadro'!$A$4:$BG$78"}</definedName>
    <definedName name="geaga_1_1_1" hidden="1">{"'Quadro'!$A$4:$BG$78"}</definedName>
    <definedName name="geaga_1_2" localSheetId="20" hidden="1">{"'Quadro'!$A$4:$BG$78"}</definedName>
    <definedName name="geaga_1_2" hidden="1">{"'Quadro'!$A$4:$BG$78"}</definedName>
    <definedName name="geaga_2" localSheetId="20" hidden="1">{"'Quadro'!$A$4:$BG$78"}</definedName>
    <definedName name="geaga_2" hidden="1">{"'Quadro'!$A$4:$BG$78"}</definedName>
    <definedName name="gemin" localSheetId="20" hidden="1">{#N/A,#N/A,FALSE,"PCOL"}</definedName>
    <definedName name="gemin" hidden="1">{#N/A,#N/A,FALSE,"PCOL"}</definedName>
    <definedName name="gemin_1" localSheetId="20" hidden="1">{#N/A,#N/A,FALSE,"PCOL"}</definedName>
    <definedName name="gemin_1" hidden="1">{#N/A,#N/A,FALSE,"PCOL"}</definedName>
    <definedName name="gemin_1_1" localSheetId="20" hidden="1">{#N/A,#N/A,FALSE,"PCOL"}</definedName>
    <definedName name="gemin_1_1" hidden="1">{#N/A,#N/A,FALSE,"PCOL"}</definedName>
    <definedName name="gemin_1_1_1" localSheetId="20" hidden="1">{#N/A,#N/A,FALSE,"PCOL"}</definedName>
    <definedName name="gemin_1_1_1" hidden="1">{#N/A,#N/A,FALSE,"PCOL"}</definedName>
    <definedName name="gemin_1_2" localSheetId="20" hidden="1">{#N/A,#N/A,FALSE,"PCOL"}</definedName>
    <definedName name="gemin_1_2" hidden="1">{#N/A,#N/A,FALSE,"PCOL"}</definedName>
    <definedName name="gemin_2" localSheetId="20" hidden="1">{#N/A,#N/A,FALSE,"PCOL"}</definedName>
    <definedName name="gemin_2" hidden="1">{#N/A,#N/A,FALSE,"PCOL"}</definedName>
    <definedName name="Gemop" localSheetId="20" hidden="1">{#N/A,#N/A,TRUE,"indice";#N/A,#N/A,TRUE,"indicadores";#N/A,#N/A,TRUE,"comentarios"}</definedName>
    <definedName name="Gemop" hidden="1">{#N/A,#N/A,TRUE,"indice";#N/A,#N/A,TRUE,"indicadores";#N/A,#N/A,TRUE,"comentarios"}</definedName>
    <definedName name="Gemop_1" localSheetId="20" hidden="1">{#N/A,#N/A,TRUE,"indice";#N/A,#N/A,TRUE,"indicadores";#N/A,#N/A,TRUE,"comentarios"}</definedName>
    <definedName name="Gemop_1" hidden="1">{#N/A,#N/A,TRUE,"indice";#N/A,#N/A,TRUE,"indicadores";#N/A,#N/A,TRUE,"comentarios"}</definedName>
    <definedName name="Gemop_1_1" localSheetId="20" hidden="1">{#N/A,#N/A,TRUE,"indice";#N/A,#N/A,TRUE,"indicadores";#N/A,#N/A,TRUE,"comentarios"}</definedName>
    <definedName name="Gemop_1_1" hidden="1">{#N/A,#N/A,TRUE,"indice";#N/A,#N/A,TRUE,"indicadores";#N/A,#N/A,TRUE,"comentarios"}</definedName>
    <definedName name="Gemop_1_1_1" localSheetId="20" hidden="1">{#N/A,#N/A,TRUE,"indice";#N/A,#N/A,TRUE,"indicadores";#N/A,#N/A,TRUE,"comentarios"}</definedName>
    <definedName name="Gemop_1_1_1" hidden="1">{#N/A,#N/A,TRUE,"indice";#N/A,#N/A,TRUE,"indicadores";#N/A,#N/A,TRUE,"comentarios"}</definedName>
    <definedName name="Gemop_1_2" localSheetId="20" hidden="1">{#N/A,#N/A,TRUE,"indice";#N/A,#N/A,TRUE,"indicadores";#N/A,#N/A,TRUE,"comentarios"}</definedName>
    <definedName name="Gemop_1_2" hidden="1">{#N/A,#N/A,TRUE,"indice";#N/A,#N/A,TRUE,"indicadores";#N/A,#N/A,TRUE,"comentarios"}</definedName>
    <definedName name="Gemop_2" localSheetId="20" hidden="1">{#N/A,#N/A,TRUE,"indice";#N/A,#N/A,TRUE,"indicadores";#N/A,#N/A,TRUE,"comentarios"}</definedName>
    <definedName name="Gemop_2" hidden="1">{#N/A,#N/A,TRUE,"indice";#N/A,#N/A,TRUE,"indicadores";#N/A,#N/A,TRUE,"comentarios"}</definedName>
    <definedName name="GEOVANI">#REF!</definedName>
    <definedName name="GEOVANI_11">#REF!</definedName>
    <definedName name="GEOVANI2" localSheetId="21">#REF!</definedName>
    <definedName name="GEOVANI2">[153]PROJETO!#REF!</definedName>
    <definedName name="GEOVANI2_11">[153]PROJETO!#REF!</definedName>
    <definedName name="geração" localSheetId="20" hidden="1">{#N/A,#N/A,FALSE,"ANEXO3 99 ERA";#N/A,#N/A,FALSE,"ANEXO3 99 UBÁ2";#N/A,#N/A,FALSE,"ANEXO3 99 DTU";#N/A,#N/A,FALSE,"ANEXO3 99 RDR";#N/A,#N/A,FALSE,"ANEXO3 99 UBÁ4";#N/A,#N/A,FALSE,"ANEXO3 99 UBÁ6"}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[70]RESUMO_AUT1!#REF!</definedName>
    <definedName name="Gerrot" localSheetId="20" hidden="1">{"'Quadro'!$A$4:$BG$78"}</definedName>
    <definedName name="Gerrot" hidden="1">{"'Quadro'!$A$4:$BG$78"}</definedName>
    <definedName name="getep" localSheetId="20" hidden="1">{#N/A,#N/A,TRUE,"indice";#N/A,#N/A,TRUE,"indicadores";#N/A,#N/A,TRUE,"comentarios"}</definedName>
    <definedName name="getep" hidden="1">{#N/A,#N/A,TRUE,"indice";#N/A,#N/A,TRUE,"indicadores";#N/A,#N/A,TRUE,"comentarios"}</definedName>
    <definedName name="getep_1" localSheetId="20" hidden="1">{#N/A,#N/A,TRUE,"indice";#N/A,#N/A,TRUE,"indicadores";#N/A,#N/A,TRUE,"comentarios"}</definedName>
    <definedName name="getep_1" hidden="1">{#N/A,#N/A,TRUE,"indice";#N/A,#N/A,TRUE,"indicadores";#N/A,#N/A,TRUE,"comentarios"}</definedName>
    <definedName name="getep_1_1" localSheetId="20" hidden="1">{#N/A,#N/A,TRUE,"indice";#N/A,#N/A,TRUE,"indicadores";#N/A,#N/A,TRUE,"comentarios"}</definedName>
    <definedName name="getep_1_1" hidden="1">{#N/A,#N/A,TRUE,"indice";#N/A,#N/A,TRUE,"indicadores";#N/A,#N/A,TRUE,"comentarios"}</definedName>
    <definedName name="getep_1_1_1" localSheetId="20" hidden="1">{#N/A,#N/A,TRUE,"indice";#N/A,#N/A,TRUE,"indicadores";#N/A,#N/A,TRUE,"comentarios"}</definedName>
    <definedName name="getep_1_1_1" hidden="1">{#N/A,#N/A,TRUE,"indice";#N/A,#N/A,TRUE,"indicadores";#N/A,#N/A,TRUE,"comentarios"}</definedName>
    <definedName name="getep_1_2" localSheetId="20" hidden="1">{#N/A,#N/A,TRUE,"indice";#N/A,#N/A,TRUE,"indicadores";#N/A,#N/A,TRUE,"comentarios"}</definedName>
    <definedName name="getep_1_2" hidden="1">{#N/A,#N/A,TRUE,"indice";#N/A,#N/A,TRUE,"indicadores";#N/A,#N/A,TRUE,"comentarios"}</definedName>
    <definedName name="getep_2" localSheetId="20" hidden="1">{#N/A,#N/A,TRUE,"indice";#N/A,#N/A,TRUE,"indicadores";#N/A,#N/A,TRUE,"comentarios"}</definedName>
    <definedName name="getep_2" hidden="1">{#N/A,#N/A,TRUE,"indice";#N/A,#N/A,TRUE,"indicadores";#N/A,#N/A,TRUE,"comentarios"}</definedName>
    <definedName name="gf" localSheetId="20" hidden="1">{#N/A,#N/A,FALSE,"ORC-ACKE";#N/A,#N/A,FALSE,"RESUMO"}</definedName>
    <definedName name="gf" hidden="1">{#N/A,#N/A,FALSE,"ORC-ACKE";#N/A,#N/A,FALSE,"RESUMO"}</definedName>
    <definedName name="gf_1" localSheetId="20" hidden="1">{"'CptDifn'!$AA$32:$AG$32"}</definedName>
    <definedName name="gf_1" hidden="1">{"'CptDifn'!$AA$32:$AG$32"}</definedName>
    <definedName name="gf_1_1" localSheetId="20" hidden="1">{"'CptDifn'!$AA$32:$AG$32"}</definedName>
    <definedName name="gf_1_1" hidden="1">{"'CptDifn'!$AA$32:$AG$32"}</definedName>
    <definedName name="gf_1_1_1" localSheetId="20" hidden="1">{"'CptDifn'!$AA$32:$AG$32"}</definedName>
    <definedName name="gf_1_1_1" hidden="1">{"'CptDifn'!$AA$32:$AG$32"}</definedName>
    <definedName name="gf_1_2" localSheetId="20" hidden="1">{"'CptDifn'!$AA$32:$AG$32"}</definedName>
    <definedName name="gf_1_2" hidden="1">{"'CptDifn'!$AA$32:$AG$32"}</definedName>
    <definedName name="gf_2" localSheetId="20" hidden="1">{"'CptDifn'!$AA$32:$AG$32"}</definedName>
    <definedName name="gf_2" hidden="1">{"'CptDifn'!$AA$32:$AG$32"}</definedName>
    <definedName name="GFD_1" localSheetId="20" hidden="1">{"'gráf jan00'!$A$1:$AK$41"}</definedName>
    <definedName name="GFD_1" hidden="1">{"'gráf jan00'!$A$1:$AK$41"}</definedName>
    <definedName name="GFD_1_1" localSheetId="20" hidden="1">{"'gráf jan00'!$A$1:$AK$41"}</definedName>
    <definedName name="GFD_1_1" hidden="1">{"'gráf jan00'!$A$1:$AK$41"}</definedName>
    <definedName name="GFD_1_1_1" localSheetId="20" hidden="1">{"'gráf jan00'!$A$1:$AK$41"}</definedName>
    <definedName name="GFD_1_1_1" hidden="1">{"'gráf jan00'!$A$1:$AK$41"}</definedName>
    <definedName name="GFD_1_2" localSheetId="20" hidden="1">{"'gráf jan00'!$A$1:$AK$41"}</definedName>
    <definedName name="GFD_1_2" hidden="1">{"'gráf jan00'!$A$1:$AK$41"}</definedName>
    <definedName name="GFD_2" localSheetId="20" hidden="1">{"'gráf jan00'!$A$1:$AK$41"}</definedName>
    <definedName name="GFD_2" hidden="1">{"'gráf jan00'!$A$1:$AK$41"}</definedName>
    <definedName name="gfdddf" localSheetId="20" hidden="1">{"'CptDifn'!$AA$32:$AG$32"}</definedName>
    <definedName name="gfdddf" hidden="1">{"'CptDifn'!$AA$32:$AG$32"}</definedName>
    <definedName name="gfdddf_1" localSheetId="20" hidden="1">{"'CptDifn'!$AA$32:$AG$32"}</definedName>
    <definedName name="gfdddf_1" hidden="1">{"'CptDifn'!$AA$32:$AG$32"}</definedName>
    <definedName name="gfdddf_1_1" localSheetId="20" hidden="1">{"'CptDifn'!$AA$32:$AG$32"}</definedName>
    <definedName name="gfdddf_1_1" hidden="1">{"'CptDifn'!$AA$32:$AG$32"}</definedName>
    <definedName name="gfdddf_1_1_1" localSheetId="20" hidden="1">{"'CptDifn'!$AA$32:$AG$32"}</definedName>
    <definedName name="gfdddf_1_1_1" hidden="1">{"'CptDifn'!$AA$32:$AG$32"}</definedName>
    <definedName name="gfdddf_1_2" localSheetId="20" hidden="1">{"'CptDifn'!$AA$32:$AG$32"}</definedName>
    <definedName name="gfdddf_1_2" hidden="1">{"'CptDifn'!$AA$32:$AG$32"}</definedName>
    <definedName name="gfdddf_2" localSheetId="20" hidden="1">{"'CptDifn'!$AA$32:$AG$32"}</definedName>
    <definedName name="gfdddf_2" hidden="1">{"'CptDifn'!$AA$32:$AG$32"}</definedName>
    <definedName name="gfdg">[70]RESUMO_AUT1!#REF!</definedName>
    <definedName name="gfdgdfhgdh">#REF!</definedName>
    <definedName name="gfds" localSheetId="20" hidden="1">{#N/A,#N/A,FALSE,"PCOL"}</definedName>
    <definedName name="gfds" hidden="1">{#N/A,#N/A,FALSE,"PCOL"}</definedName>
    <definedName name="gfds_1" localSheetId="20" hidden="1">{#N/A,#N/A,FALSE,"PCOL"}</definedName>
    <definedName name="gfds_1" hidden="1">{#N/A,#N/A,FALSE,"PCOL"}</definedName>
    <definedName name="gfds_1_1" localSheetId="20" hidden="1">{#N/A,#N/A,FALSE,"PCOL"}</definedName>
    <definedName name="gfds_1_1" hidden="1">{#N/A,#N/A,FALSE,"PCOL"}</definedName>
    <definedName name="gfds_1_1_1" localSheetId="20" hidden="1">{#N/A,#N/A,FALSE,"PCOL"}</definedName>
    <definedName name="gfds_1_1_1" hidden="1">{#N/A,#N/A,FALSE,"PCOL"}</definedName>
    <definedName name="gfds_1_2" localSheetId="20" hidden="1">{#N/A,#N/A,FALSE,"PCOL"}</definedName>
    <definedName name="gfds_1_2" hidden="1">{#N/A,#N/A,FALSE,"PCOL"}</definedName>
    <definedName name="gfds_2" localSheetId="20" hidden="1">{#N/A,#N/A,FALSE,"PCOL"}</definedName>
    <definedName name="gfds_2" hidden="1">{#N/A,#N/A,FALSE,"PCOL"}</definedName>
    <definedName name="gfdy" localSheetId="20" hidden="1">{#N/A,#N/A,FALSE,"지침";#N/A,#N/A,FALSE,"환경분석";#N/A,#N/A,FALSE,"Sheet16"}</definedName>
    <definedName name="gfdy" hidden="1">{#N/A,#N/A,FALSE,"지침";#N/A,#N/A,FALSE,"환경분석";#N/A,#N/A,FALSE,"Sheet16"}</definedName>
    <definedName name="gfdy_1" localSheetId="20" hidden="1">{#N/A,#N/A,FALSE,"지침";#N/A,#N/A,FALSE,"환경분석";#N/A,#N/A,FALSE,"Sheet16"}</definedName>
    <definedName name="gfdy_1" hidden="1">{#N/A,#N/A,FALSE,"지침";#N/A,#N/A,FALSE,"환경분석";#N/A,#N/A,FALSE,"Sheet16"}</definedName>
    <definedName name="gfdy_1_1" localSheetId="20" hidden="1">{#N/A,#N/A,FALSE,"지침";#N/A,#N/A,FALSE,"환경분석";#N/A,#N/A,FALSE,"Sheet16"}</definedName>
    <definedName name="gfdy_1_1" hidden="1">{#N/A,#N/A,FALSE,"지침";#N/A,#N/A,FALSE,"환경분석";#N/A,#N/A,FALSE,"Sheet16"}</definedName>
    <definedName name="gfdy_1_1_1" localSheetId="20" hidden="1">{#N/A,#N/A,FALSE,"지침";#N/A,#N/A,FALSE,"환경분석";#N/A,#N/A,FALSE,"Sheet16"}</definedName>
    <definedName name="gfdy_1_1_1" hidden="1">{#N/A,#N/A,FALSE,"지침";#N/A,#N/A,FALSE,"환경분석";#N/A,#N/A,FALSE,"Sheet16"}</definedName>
    <definedName name="gfdy_1_2" localSheetId="20" hidden="1">{#N/A,#N/A,FALSE,"지침";#N/A,#N/A,FALSE,"환경분석";#N/A,#N/A,FALSE,"Sheet16"}</definedName>
    <definedName name="gfdy_1_2" hidden="1">{#N/A,#N/A,FALSE,"지침";#N/A,#N/A,FALSE,"환경분석";#N/A,#N/A,FALSE,"Sheet16"}</definedName>
    <definedName name="gfdy_2" localSheetId="20" hidden="1">{#N/A,#N/A,FALSE,"지침";#N/A,#N/A,FALSE,"환경분석";#N/A,#N/A,FALSE,"Sheet16"}</definedName>
    <definedName name="gfdy_2" hidden="1">{#N/A,#N/A,FALSE,"지침";#N/A,#N/A,FALSE,"환경분석";#N/A,#N/A,FALSE,"Sheet16"}</definedName>
    <definedName name="gfgfgfg" localSheetId="20" hidden="1">{#N/A,#N/A,FALSE,"MO (2)"}</definedName>
    <definedName name="gfgfgfg" hidden="1">{#N/A,#N/A,FALSE,"MO (2)"}</definedName>
    <definedName name="gfjfgjfgj" localSheetId="20" hidden="1">{"'teste'!$B$2:$R$49"}</definedName>
    <definedName name="gfjfgjfgj" hidden="1">{"'teste'!$B$2:$R$49"}</definedName>
    <definedName name="gfjfgjfgj_1" localSheetId="20" hidden="1">{"'teste'!$B$2:$R$49"}</definedName>
    <definedName name="gfjfgjfgj_1" hidden="1">{"'teste'!$B$2:$R$49"}</definedName>
    <definedName name="gfjfgjfgj_1_1" localSheetId="20" hidden="1">{"'teste'!$B$2:$R$49"}</definedName>
    <definedName name="gfjfgjfgj_1_1" hidden="1">{"'teste'!$B$2:$R$49"}</definedName>
    <definedName name="gfjfgjfgj_1_1_1" localSheetId="20" hidden="1">{"'teste'!$B$2:$R$49"}</definedName>
    <definedName name="gfjfgjfgj_1_1_1" hidden="1">{"'teste'!$B$2:$R$49"}</definedName>
    <definedName name="gfjfgjfgj_1_2" localSheetId="20" hidden="1">{"'teste'!$B$2:$R$49"}</definedName>
    <definedName name="gfjfgjfgj_1_2" hidden="1">{"'teste'!$B$2:$R$49"}</definedName>
    <definedName name="gfjfgjfgj_2" localSheetId="20" hidden="1">{"'teste'!$B$2:$R$49"}</definedName>
    <definedName name="gfjfgjfgj_2" hidden="1">{"'teste'!$B$2:$R$49"}</definedName>
    <definedName name="gfjhfghj" hidden="1">#REF!</definedName>
    <definedName name="gfjyf" localSheetId="20" hidden="1">{"'gráf jan00'!$A$1:$AK$41"}</definedName>
    <definedName name="gfjyf" hidden="1">{"'gráf jan00'!$A$1:$AK$41"}</definedName>
    <definedName name="gfjyf_1" localSheetId="20" hidden="1">{"'gráf jan00'!$A$1:$AK$41"}</definedName>
    <definedName name="gfjyf_1" hidden="1">{"'gráf jan00'!$A$1:$AK$41"}</definedName>
    <definedName name="gfjyf_1_1" localSheetId="20" hidden="1">{"'gráf jan00'!$A$1:$AK$41"}</definedName>
    <definedName name="gfjyf_1_1" hidden="1">{"'gráf jan00'!$A$1:$AK$41"}</definedName>
    <definedName name="gfjyf_1_1_1" localSheetId="20" hidden="1">{"'gráf jan00'!$A$1:$AK$41"}</definedName>
    <definedName name="gfjyf_1_1_1" hidden="1">{"'gráf jan00'!$A$1:$AK$41"}</definedName>
    <definedName name="gfjyf_1_2" localSheetId="20" hidden="1">{"'gráf jan00'!$A$1:$AK$41"}</definedName>
    <definedName name="gfjyf_1_2" hidden="1">{"'gráf jan00'!$A$1:$AK$41"}</definedName>
    <definedName name="gfjyf_2" localSheetId="20" hidden="1">{"'gráf jan00'!$A$1:$AK$41"}</definedName>
    <definedName name="gfjyf_2" hidden="1">{"'gráf jan00'!$A$1:$AK$41"}</definedName>
    <definedName name="GFSFSAF" localSheetId="20" hidden="1">{#N/A,#N/A,FALSE,"BETER -1";#N/A,#N/A,FALSE,"BETER -2";#N/A,#N/A,FALSE,"BETER -3";#N/A,#N/A,FALSE,"BETER -urb";#N/A,#N/A,FALSE,"BETER -RESUMO"}</definedName>
    <definedName name="GFSFSAF" hidden="1">{#N/A,#N/A,FALSE,"BETER -1";#N/A,#N/A,FALSE,"BETER -2";#N/A,#N/A,FALSE,"BETER -3";#N/A,#N/A,FALSE,"BETER -urb";#N/A,#N/A,FALSE,"BETER -RESUMO"}</definedName>
    <definedName name="gg" hidden="1">#N/A</definedName>
    <definedName name="gga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F" localSheetId="20" hidden="1">{#N/A,#N/A,FALSE,"COBERTURAS 30";#N/A,#N/A,FALSE,"COBERTURAS Mês e Acum 31";#N/A,#N/A,FALSE,"COBERTURAS Acum 32"}</definedName>
    <definedName name="GGF" hidden="1">{#N/A,#N/A,FALSE,"COBERTURAS 30";#N/A,#N/A,FALSE,"COBERTURAS Mês e Acum 31";#N/A,#N/A,FALSE,"COBERTURAS Acum 32"}</definedName>
    <definedName name="GGF." localSheetId="20" hidden="1">{#N/A,#N/A,FALSE,"MIZUNO 21";#N/A,#N/A,FALSE,"Mizuno Mês e Acum 22";#N/A,#N/A,FALSE,"Mizuno Acum 23"}</definedName>
    <definedName name="GGF." hidden="1">{#N/A,#N/A,FALSE,"MIZUNO 21";#N/A,#N/A,FALSE,"Mizuno Mês e Acum 22";#N/A,#N/A,FALSE,"Mizuno Acum 23"}</definedName>
    <definedName name="GGF._1" localSheetId="20" hidden="1">{#N/A,#N/A,FALSE,"MIZUNO 21";#N/A,#N/A,FALSE,"Mizuno Mês e Acum 22";#N/A,#N/A,FALSE,"Mizuno Acum 23"}</definedName>
    <definedName name="GGF._1" hidden="1">{#N/A,#N/A,FALSE,"MIZUNO 21";#N/A,#N/A,FALSE,"Mizuno Mês e Acum 22";#N/A,#N/A,FALSE,"Mizuno Acum 23"}</definedName>
    <definedName name="GGF._1_1" localSheetId="20" hidden="1">{#N/A,#N/A,FALSE,"MIZUNO 21";#N/A,#N/A,FALSE,"Mizuno Mês e Acum 22";#N/A,#N/A,FALSE,"Mizuno Acum 23"}</definedName>
    <definedName name="GGF._1_1" hidden="1">{#N/A,#N/A,FALSE,"MIZUNO 21";#N/A,#N/A,FALSE,"Mizuno Mês e Acum 22";#N/A,#N/A,FALSE,"Mizuno Acum 23"}</definedName>
    <definedName name="GGF._1_1_1" localSheetId="20" hidden="1">{#N/A,#N/A,FALSE,"MIZUNO 21";#N/A,#N/A,FALSE,"Mizuno Mês e Acum 22";#N/A,#N/A,FALSE,"Mizuno Acum 23"}</definedName>
    <definedName name="GGF._1_1_1" hidden="1">{#N/A,#N/A,FALSE,"MIZUNO 21";#N/A,#N/A,FALSE,"Mizuno Mês e Acum 22";#N/A,#N/A,FALSE,"Mizuno Acum 23"}</definedName>
    <definedName name="GGF._1_2" localSheetId="20" hidden="1">{#N/A,#N/A,FALSE,"MIZUNO 21";#N/A,#N/A,FALSE,"Mizuno Mês e Acum 22";#N/A,#N/A,FALSE,"Mizuno Acum 23"}</definedName>
    <definedName name="GGF._1_2" hidden="1">{#N/A,#N/A,FALSE,"MIZUNO 21";#N/A,#N/A,FALSE,"Mizuno Mês e Acum 22";#N/A,#N/A,FALSE,"Mizuno Acum 23"}</definedName>
    <definedName name="GGF._2" localSheetId="20" hidden="1">{#N/A,#N/A,FALSE,"MIZUNO 21";#N/A,#N/A,FALSE,"Mizuno Mês e Acum 22";#N/A,#N/A,FALSE,"Mizuno Acum 23"}</definedName>
    <definedName name="GGF._2" hidden="1">{#N/A,#N/A,FALSE,"MIZUNO 21";#N/A,#N/A,FALSE,"Mizuno Mês e Acum 22";#N/A,#N/A,FALSE,"Mizuno Acum 23"}</definedName>
    <definedName name="GGF_1" localSheetId="20" hidden="1">{#N/A,#N/A,FALSE,"COBERTURAS 30";#N/A,#N/A,FALSE,"COBERTURAS Mês e Acum 31";#N/A,#N/A,FALSE,"COBERTURAS Acum 32"}</definedName>
    <definedName name="GGF_1" hidden="1">{#N/A,#N/A,FALSE,"COBERTURAS 30";#N/A,#N/A,FALSE,"COBERTURAS Mês e Acum 31";#N/A,#N/A,FALSE,"COBERTURAS Acum 32"}</definedName>
    <definedName name="GGF_1_1" localSheetId="20" hidden="1">{#N/A,#N/A,FALSE,"COBERTURAS 30";#N/A,#N/A,FALSE,"COBERTURAS Mês e Acum 31";#N/A,#N/A,FALSE,"COBERTURAS Acum 32"}</definedName>
    <definedName name="GGF_1_1" hidden="1">{#N/A,#N/A,FALSE,"COBERTURAS 30";#N/A,#N/A,FALSE,"COBERTURAS Mês e Acum 31";#N/A,#N/A,FALSE,"COBERTURAS Acum 32"}</definedName>
    <definedName name="GGF_1_1_1" localSheetId="20" hidden="1">{#N/A,#N/A,FALSE,"COBERTURAS 30";#N/A,#N/A,FALSE,"COBERTURAS Mês e Acum 31";#N/A,#N/A,FALSE,"COBERTURAS Acum 32"}</definedName>
    <definedName name="GGF_1_1_1" hidden="1">{#N/A,#N/A,FALSE,"COBERTURAS 30";#N/A,#N/A,FALSE,"COBERTURAS Mês e Acum 31";#N/A,#N/A,FALSE,"COBERTURAS Acum 32"}</definedName>
    <definedName name="GGF_1_2" localSheetId="20" hidden="1">{#N/A,#N/A,FALSE,"COBERTURAS 30";#N/A,#N/A,FALSE,"COBERTURAS Mês e Acum 31";#N/A,#N/A,FALSE,"COBERTURAS Acum 32"}</definedName>
    <definedName name="GGF_1_2" hidden="1">{#N/A,#N/A,FALSE,"COBERTURAS 30";#N/A,#N/A,FALSE,"COBERTURAS Mês e Acum 31";#N/A,#N/A,FALSE,"COBERTURAS Acum 32"}</definedName>
    <definedName name="GGF_2" localSheetId="20" hidden="1">{#N/A,#N/A,FALSE,"COBERTURAS 30";#N/A,#N/A,FALSE,"COBERTURAS Mês e Acum 31";#N/A,#N/A,FALSE,"COBERTURAS Acum 32"}</definedName>
    <definedName name="GGF_2" hidden="1">{#N/A,#N/A,FALSE,"COBERTURAS 30";#N/A,#N/A,FALSE,"COBERTURAS Mês e Acum 31";#N/A,#N/A,FALSE,"COBERTURAS Acum 32"}</definedName>
    <definedName name="GGG">#REF!</definedName>
    <definedName name="GGGG" hidden="1">#REF!</definedName>
    <definedName name="ggggg">#REF!</definedName>
    <definedName name="ggggggggggggg" localSheetId="20" hidden="1">{"'Quadro'!$A$4:$BG$78"}</definedName>
    <definedName name="ggggggggggggg" hidden="1">{"'Quadro'!$A$4:$BG$78"}</definedName>
    <definedName name="gghjkk" localSheetId="20" hidden="1">{"'CptDifn'!$AA$32:$AG$32"}</definedName>
    <definedName name="gghjkk" hidden="1">{"'CptDifn'!$AA$32:$AG$32"}</definedName>
    <definedName name="gghjkk_1" localSheetId="20" hidden="1">{"'CptDifn'!$AA$32:$AG$32"}</definedName>
    <definedName name="gghjkk_1" hidden="1">{"'CptDifn'!$AA$32:$AG$32"}</definedName>
    <definedName name="gghjkk_1_1" localSheetId="20" hidden="1">{"'CptDifn'!$AA$32:$AG$32"}</definedName>
    <definedName name="gghjkk_1_1" hidden="1">{"'CptDifn'!$AA$32:$AG$32"}</definedName>
    <definedName name="gghjkk_1_1_1" localSheetId="20" hidden="1">{"'CptDifn'!$AA$32:$AG$32"}</definedName>
    <definedName name="gghjkk_1_1_1" hidden="1">{"'CptDifn'!$AA$32:$AG$32"}</definedName>
    <definedName name="gghjkk_1_2" localSheetId="20" hidden="1">{"'CptDifn'!$AA$32:$AG$32"}</definedName>
    <definedName name="gghjkk_1_2" hidden="1">{"'CptDifn'!$AA$32:$AG$32"}</definedName>
    <definedName name="gghjkk_2" localSheetId="20" hidden="1">{"'CptDifn'!$AA$32:$AG$32"}</definedName>
    <definedName name="gghjkk_2" hidden="1">{"'CptDifn'!$AA$32:$AG$32"}</definedName>
    <definedName name="ggjdfh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tggg" localSheetId="20" hidden="1">{#N/A,#N/A,FALSE,"DEF1";#N/A,#N/A,FALSE,"DEF2";#N/A,#N/A,FALSE,"DEF3"}</definedName>
    <definedName name="ggtggg" hidden="1">{#N/A,#N/A,FALSE,"DEF1";#N/A,#N/A,FALSE,"DEF2";#N/A,#N/A,FALSE,"DEF3"}</definedName>
    <definedName name="ggtggg_1" localSheetId="20" hidden="1">{#N/A,#N/A,FALSE,"DEF1";#N/A,#N/A,FALSE,"DEF2";#N/A,#N/A,FALSE,"DEF3"}</definedName>
    <definedName name="ggtggg_1" hidden="1">{#N/A,#N/A,FALSE,"DEF1";#N/A,#N/A,FALSE,"DEF2";#N/A,#N/A,FALSE,"DEF3"}</definedName>
    <definedName name="ggtggg_1_1" localSheetId="20" hidden="1">{#N/A,#N/A,FALSE,"DEF1";#N/A,#N/A,FALSE,"DEF2";#N/A,#N/A,FALSE,"DEF3"}</definedName>
    <definedName name="ggtggg_1_1" hidden="1">{#N/A,#N/A,FALSE,"DEF1";#N/A,#N/A,FALSE,"DEF2";#N/A,#N/A,FALSE,"DEF3"}</definedName>
    <definedName name="ggtggg_1_1_1" localSheetId="20" hidden="1">{#N/A,#N/A,FALSE,"DEF1";#N/A,#N/A,FALSE,"DEF2";#N/A,#N/A,FALSE,"DEF3"}</definedName>
    <definedName name="ggtggg_1_1_1" hidden="1">{#N/A,#N/A,FALSE,"DEF1";#N/A,#N/A,FALSE,"DEF2";#N/A,#N/A,FALSE,"DEF3"}</definedName>
    <definedName name="ggtggg_1_2" localSheetId="20" hidden="1">{#N/A,#N/A,FALSE,"DEF1";#N/A,#N/A,FALSE,"DEF2";#N/A,#N/A,FALSE,"DEF3"}</definedName>
    <definedName name="ggtggg_1_2" hidden="1">{#N/A,#N/A,FALSE,"DEF1";#N/A,#N/A,FALSE,"DEF2";#N/A,#N/A,FALSE,"DEF3"}</definedName>
    <definedName name="ggtggg_2" localSheetId="20" hidden="1">{#N/A,#N/A,FALSE,"DEF1";#N/A,#N/A,FALSE,"DEF2";#N/A,#N/A,FALSE,"DEF3"}</definedName>
    <definedName name="ggtggg_2" hidden="1">{#N/A,#N/A,FALSE,"DEF1";#N/A,#N/A,FALSE,"DEF2";#N/A,#N/A,FALSE,"DEF3"}</definedName>
    <definedName name="GH">#REF!</definedName>
    <definedName name="ghfd" localSheetId="20" hidden="1">{"'CptDifn'!$AA$32:$AG$32"}</definedName>
    <definedName name="ghfd" hidden="1">{"'CptDifn'!$AA$32:$AG$32"}</definedName>
    <definedName name="ghfd_1" localSheetId="20" hidden="1">{"'CptDifn'!$AA$32:$AG$32"}</definedName>
    <definedName name="ghfd_1" hidden="1">{"'CptDifn'!$AA$32:$AG$32"}</definedName>
    <definedName name="ghfd_1_1" localSheetId="20" hidden="1">{"'CptDifn'!$AA$32:$AG$32"}</definedName>
    <definedName name="ghfd_1_1" hidden="1">{"'CptDifn'!$AA$32:$AG$32"}</definedName>
    <definedName name="ghfd_1_1_1" localSheetId="20" hidden="1">{"'CptDifn'!$AA$32:$AG$32"}</definedName>
    <definedName name="ghfd_1_1_1" hidden="1">{"'CptDifn'!$AA$32:$AG$32"}</definedName>
    <definedName name="ghfd_1_2" localSheetId="20" hidden="1">{"'CptDifn'!$AA$32:$AG$32"}</definedName>
    <definedName name="ghfd_1_2" hidden="1">{"'CptDifn'!$AA$32:$AG$32"}</definedName>
    <definedName name="ghfd_2" localSheetId="20" hidden="1">{"'CptDifn'!$AA$32:$AG$32"}</definedName>
    <definedName name="ghfd_2" hidden="1">{"'CptDifn'!$AA$32:$AG$32"}</definedName>
    <definedName name="GHFG" localSheetId="20" hidden="1">{"'RR'!$A$2:$E$81"}</definedName>
    <definedName name="GHFG" hidden="1">{"'RR'!$A$2:$E$81"}</definedName>
    <definedName name="GHFG_1" localSheetId="20" hidden="1">{"'RR'!$A$2:$E$81"}</definedName>
    <definedName name="GHFG_1" hidden="1">{"'RR'!$A$2:$E$81"}</definedName>
    <definedName name="GHFG_1_1" localSheetId="20" hidden="1">{"'RR'!$A$2:$E$81"}</definedName>
    <definedName name="GHFG_1_1" hidden="1">{"'RR'!$A$2:$E$81"}</definedName>
    <definedName name="GHFG_1_1_1" localSheetId="20" hidden="1">{"'RR'!$A$2:$E$81"}</definedName>
    <definedName name="GHFG_1_1_1" hidden="1">{"'RR'!$A$2:$E$81"}</definedName>
    <definedName name="GHFG_1_2" localSheetId="20" hidden="1">{"'RR'!$A$2:$E$81"}</definedName>
    <definedName name="GHFG_1_2" hidden="1">{"'RR'!$A$2:$E$81"}</definedName>
    <definedName name="GHFG_2" localSheetId="20" hidden="1">{"'RR'!$A$2:$E$81"}</definedName>
    <definedName name="GHFG_2" hidden="1">{"'RR'!$A$2:$E$81"}</definedName>
    <definedName name="ghfghjfj" localSheetId="20" hidden="1">{"'CptDifn'!$AA$32:$AG$32"}</definedName>
    <definedName name="ghfghjfj" hidden="1">{"'CptDifn'!$AA$32:$AG$32"}</definedName>
    <definedName name="ghfghjfj_1" localSheetId="20" hidden="1">{"'CptDifn'!$AA$32:$AG$32"}</definedName>
    <definedName name="ghfghjfj_1" hidden="1">{"'CptDifn'!$AA$32:$AG$32"}</definedName>
    <definedName name="ghfghjfj_1_1" localSheetId="20" hidden="1">{"'CptDifn'!$AA$32:$AG$32"}</definedName>
    <definedName name="ghfghjfj_1_1" hidden="1">{"'CptDifn'!$AA$32:$AG$32"}</definedName>
    <definedName name="ghfghjfj_1_1_1" localSheetId="20" hidden="1">{"'CptDifn'!$AA$32:$AG$32"}</definedName>
    <definedName name="ghfghjfj_1_1_1" hidden="1">{"'CptDifn'!$AA$32:$AG$32"}</definedName>
    <definedName name="ghfghjfj_1_2" localSheetId="20" hidden="1">{"'CptDifn'!$AA$32:$AG$32"}</definedName>
    <definedName name="ghfghjfj_1_2" hidden="1">{"'CptDifn'!$AA$32:$AG$32"}</definedName>
    <definedName name="ghfghjfj_2" localSheetId="20" hidden="1">{"'CptDifn'!$AA$32:$AG$32"}</definedName>
    <definedName name="ghfghjfj_2" hidden="1">{"'CptDifn'!$AA$32:$AG$32"}</definedName>
    <definedName name="ghfgj" localSheetId="20" hidden="1">{"'CptDifn'!$AA$32:$AG$32"}</definedName>
    <definedName name="ghfgj" hidden="1">{"'CptDifn'!$AA$32:$AG$32"}</definedName>
    <definedName name="ghfgj_1" localSheetId="20" hidden="1">{"'CptDifn'!$AA$32:$AG$32"}</definedName>
    <definedName name="ghfgj_1" hidden="1">{"'CptDifn'!$AA$32:$AG$32"}</definedName>
    <definedName name="ghfgj_1_1" localSheetId="20" hidden="1">{"'CptDifn'!$AA$32:$AG$32"}</definedName>
    <definedName name="ghfgj_1_1" hidden="1">{"'CptDifn'!$AA$32:$AG$32"}</definedName>
    <definedName name="ghfgj_1_1_1" localSheetId="20" hidden="1">{"'CptDifn'!$AA$32:$AG$32"}</definedName>
    <definedName name="ghfgj_1_1_1" hidden="1">{"'CptDifn'!$AA$32:$AG$32"}</definedName>
    <definedName name="ghfgj_1_2" localSheetId="20" hidden="1">{"'CptDifn'!$AA$32:$AG$32"}</definedName>
    <definedName name="ghfgj_1_2" hidden="1">{"'CptDifn'!$AA$32:$AG$32"}</definedName>
    <definedName name="ghfgj_2" localSheetId="20" hidden="1">{"'CptDifn'!$AA$32:$AG$32"}</definedName>
    <definedName name="ghfgj_2" hidden="1">{"'CptDifn'!$AA$32:$AG$32"}</definedName>
    <definedName name="ghghgh" localSheetId="20" hidden="1">{#N/A,#N/A,FALSE,"MO (2)"}</definedName>
    <definedName name="ghghgh" hidden="1">{#N/A,#N/A,FALSE,"MO (2)"}</definedName>
    <definedName name="ghh">#REF!</definedName>
    <definedName name="ghjhj" localSheetId="20" hidden="1">{"'CptDifn'!$AA$32:$AG$32"}</definedName>
    <definedName name="ghjhj" hidden="1">{"'CptDifn'!$AA$32:$AG$32"}</definedName>
    <definedName name="ghjhj_1" localSheetId="20" hidden="1">{"'CptDifn'!$AA$32:$AG$32"}</definedName>
    <definedName name="ghjhj_1" hidden="1">{"'CptDifn'!$AA$32:$AG$32"}</definedName>
    <definedName name="ghjhj_1_1" localSheetId="20" hidden="1">{"'CptDifn'!$AA$32:$AG$32"}</definedName>
    <definedName name="ghjhj_1_1" hidden="1">{"'CptDifn'!$AA$32:$AG$32"}</definedName>
    <definedName name="ghjhj_1_1_1" localSheetId="20" hidden="1">{"'CptDifn'!$AA$32:$AG$32"}</definedName>
    <definedName name="ghjhj_1_1_1" hidden="1">{"'CptDifn'!$AA$32:$AG$32"}</definedName>
    <definedName name="ghjhj_1_2" localSheetId="20" hidden="1">{"'CptDifn'!$AA$32:$AG$32"}</definedName>
    <definedName name="ghjhj_1_2" hidden="1">{"'CptDifn'!$AA$32:$AG$32"}</definedName>
    <definedName name="ghjhj_2" localSheetId="20" hidden="1">{"'CptDifn'!$AA$32:$AG$32"}</definedName>
    <definedName name="ghjhj_2" hidden="1">{"'CptDifn'!$AA$32:$AG$32"}</definedName>
    <definedName name="GHJJKGK" localSheetId="20" hidden="1">{"'gráf jan00'!$A$1:$AK$41"}</definedName>
    <definedName name="GHJJKGK" hidden="1">{"'gráf jan00'!$A$1:$AK$41"}</definedName>
    <definedName name="GHJJKGK_1" localSheetId="20" hidden="1">{"'gráf jan00'!$A$1:$AK$41"}</definedName>
    <definedName name="GHJJKGK_1" hidden="1">{"'gráf jan00'!$A$1:$AK$41"}</definedName>
    <definedName name="GHJJKGK_1_1" localSheetId="20" hidden="1">{"'gráf jan00'!$A$1:$AK$41"}</definedName>
    <definedName name="GHJJKGK_1_1" hidden="1">{"'gráf jan00'!$A$1:$AK$41"}</definedName>
    <definedName name="GHJJKGK_1_1_1" localSheetId="20" hidden="1">{"'gráf jan00'!$A$1:$AK$41"}</definedName>
    <definedName name="GHJJKGK_1_1_1" hidden="1">{"'gráf jan00'!$A$1:$AK$41"}</definedName>
    <definedName name="GHJJKGK_1_2" localSheetId="20" hidden="1">{"'gráf jan00'!$A$1:$AK$41"}</definedName>
    <definedName name="GHJJKGK_1_2" hidden="1">{"'gráf jan00'!$A$1:$AK$41"}</definedName>
    <definedName name="GHJJKGK_2" localSheetId="20" hidden="1">{"'gráf jan00'!$A$1:$AK$41"}</definedName>
    <definedName name="GHJJKGK_2" hidden="1">{"'gráf jan00'!$A$1:$AK$41"}</definedName>
    <definedName name="ghjkl" localSheetId="20" hidden="1">{"'CptDifn'!$AA$32:$AG$32"}</definedName>
    <definedName name="ghjkl" hidden="1">{"'CptDifn'!$AA$32:$AG$32"}</definedName>
    <definedName name="ghjkl_1" localSheetId="20" hidden="1">{"'CptDifn'!$AA$32:$AG$32"}</definedName>
    <definedName name="ghjkl_1" hidden="1">{"'CptDifn'!$AA$32:$AG$32"}</definedName>
    <definedName name="ghjkl_1_1" localSheetId="20" hidden="1">{"'CptDifn'!$AA$32:$AG$32"}</definedName>
    <definedName name="ghjkl_1_1" hidden="1">{"'CptDifn'!$AA$32:$AG$32"}</definedName>
    <definedName name="ghjkl_1_1_1" localSheetId="20" hidden="1">{"'CptDifn'!$AA$32:$AG$32"}</definedName>
    <definedName name="ghjkl_1_1_1" hidden="1">{"'CptDifn'!$AA$32:$AG$32"}</definedName>
    <definedName name="ghjkl_1_2" localSheetId="20" hidden="1">{"'CptDifn'!$AA$32:$AG$32"}</definedName>
    <definedName name="ghjkl_1_2" hidden="1">{"'CptDifn'!$AA$32:$AG$32"}</definedName>
    <definedName name="ghjkl_2" localSheetId="20" hidden="1">{"'CptDifn'!$AA$32:$AG$32"}</definedName>
    <definedName name="ghjkl_2" hidden="1">{"'CptDifn'!$AA$32:$AG$32"}</definedName>
    <definedName name="ghjr" localSheetId="20" hidden="1">{"'CptDifn'!$AA$32:$AG$32"}</definedName>
    <definedName name="ghjr" hidden="1">{"'CptDifn'!$AA$32:$AG$32"}</definedName>
    <definedName name="ghjr_1" localSheetId="20" hidden="1">{"'CptDifn'!$AA$32:$AG$32"}</definedName>
    <definedName name="ghjr_1" hidden="1">{"'CptDifn'!$AA$32:$AG$32"}</definedName>
    <definedName name="ghjr_1_1" localSheetId="20" hidden="1">{"'CptDifn'!$AA$32:$AG$32"}</definedName>
    <definedName name="ghjr_1_1" hidden="1">{"'CptDifn'!$AA$32:$AG$32"}</definedName>
    <definedName name="ghjr_1_1_1" localSheetId="20" hidden="1">{"'CptDifn'!$AA$32:$AG$32"}</definedName>
    <definedName name="ghjr_1_1_1" hidden="1">{"'CptDifn'!$AA$32:$AG$32"}</definedName>
    <definedName name="ghjr_1_2" localSheetId="20" hidden="1">{"'CptDifn'!$AA$32:$AG$32"}</definedName>
    <definedName name="ghjr_1_2" hidden="1">{"'CptDifn'!$AA$32:$AG$32"}</definedName>
    <definedName name="ghjr_2" localSheetId="20" hidden="1">{"'CptDifn'!$AA$32:$AG$32"}</definedName>
    <definedName name="ghjr_2" hidden="1">{"'CptDifn'!$AA$32:$AG$32"}</definedName>
    <definedName name="ghju" localSheetId="20" hidden="1">{"'CptDifn'!$AA$32:$AG$32"}</definedName>
    <definedName name="ghju" hidden="1">{"'CptDifn'!$AA$32:$AG$32"}</definedName>
    <definedName name="ghju_1" localSheetId="20" hidden="1">{"'CptDifn'!$AA$32:$AG$32"}</definedName>
    <definedName name="ghju_1" hidden="1">{"'CptDifn'!$AA$32:$AG$32"}</definedName>
    <definedName name="ghju_1_1" localSheetId="20" hidden="1">{"'CptDifn'!$AA$32:$AG$32"}</definedName>
    <definedName name="ghju_1_1" hidden="1">{"'CptDifn'!$AA$32:$AG$32"}</definedName>
    <definedName name="ghju_1_1_1" localSheetId="20" hidden="1">{"'CptDifn'!$AA$32:$AG$32"}</definedName>
    <definedName name="ghju_1_1_1" hidden="1">{"'CptDifn'!$AA$32:$AG$32"}</definedName>
    <definedName name="ghju_1_2" localSheetId="20" hidden="1">{"'CptDifn'!$AA$32:$AG$32"}</definedName>
    <definedName name="ghju_1_2" hidden="1">{"'CptDifn'!$AA$32:$AG$32"}</definedName>
    <definedName name="ghju_2" localSheetId="20" hidden="1">{"'CptDifn'!$AA$32:$AG$32"}</definedName>
    <definedName name="ghju_2" hidden="1">{"'CptDifn'!$AA$32:$AG$32"}</definedName>
    <definedName name="giu6lkjhlij">#N/A</definedName>
    <definedName name="GJ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fj" localSheetId="20" hidden="1">{"'CptDifn'!$AA$32:$AG$32"}</definedName>
    <definedName name="gjfj" hidden="1">{"'CptDifn'!$AA$32:$AG$32"}</definedName>
    <definedName name="gjfj_1" localSheetId="20" hidden="1">{"'CptDifn'!$AA$32:$AG$32"}</definedName>
    <definedName name="gjfj_1" hidden="1">{"'CptDifn'!$AA$32:$AG$32"}</definedName>
    <definedName name="gjfj_1_1" localSheetId="20" hidden="1">{"'CptDifn'!$AA$32:$AG$32"}</definedName>
    <definedName name="gjfj_1_1" hidden="1">{"'CptDifn'!$AA$32:$AG$32"}</definedName>
    <definedName name="gjfj_1_1_1" localSheetId="20" hidden="1">{"'CptDifn'!$AA$32:$AG$32"}</definedName>
    <definedName name="gjfj_1_1_1" hidden="1">{"'CptDifn'!$AA$32:$AG$32"}</definedName>
    <definedName name="gjfj_1_2" localSheetId="20" hidden="1">{"'CptDifn'!$AA$32:$AG$32"}</definedName>
    <definedName name="gjfj_1_2" hidden="1">{"'CptDifn'!$AA$32:$AG$32"}</definedName>
    <definedName name="gjfj_2" localSheetId="20" hidden="1">{"'CptDifn'!$AA$32:$AG$32"}</definedName>
    <definedName name="gjfj_2" hidden="1">{"'CptDifn'!$AA$32:$AG$32"}</definedName>
    <definedName name="gjfjf" localSheetId="20" hidden="1">{"'CptDifn'!$AA$32:$AG$32"}</definedName>
    <definedName name="gjfjf" hidden="1">{"'CptDifn'!$AA$32:$AG$32"}</definedName>
    <definedName name="gjfjf_1" localSheetId="20" hidden="1">{"'CptDifn'!$AA$32:$AG$32"}</definedName>
    <definedName name="gjfjf_1" hidden="1">{"'CptDifn'!$AA$32:$AG$32"}</definedName>
    <definedName name="gjfjf_1_1" localSheetId="20" hidden="1">{"'CptDifn'!$AA$32:$AG$32"}</definedName>
    <definedName name="gjfjf_1_1" hidden="1">{"'CptDifn'!$AA$32:$AG$32"}</definedName>
    <definedName name="gjfjf_1_1_1" localSheetId="20" hidden="1">{"'CptDifn'!$AA$32:$AG$32"}</definedName>
    <definedName name="gjfjf_1_1_1" hidden="1">{"'CptDifn'!$AA$32:$AG$32"}</definedName>
    <definedName name="gjfjf_1_2" localSheetId="20" hidden="1">{"'CptDifn'!$AA$32:$AG$32"}</definedName>
    <definedName name="gjfjf_1_2" hidden="1">{"'CptDifn'!$AA$32:$AG$32"}</definedName>
    <definedName name="gjfjf_2" localSheetId="20" hidden="1">{"'CptDifn'!$AA$32:$AG$32"}</definedName>
    <definedName name="gjfjf_2" hidden="1">{"'CptDifn'!$AA$32:$AG$32"}</definedName>
    <definedName name="gjfjfj" localSheetId="20" hidden="1">{"'CptDifn'!$AA$32:$AG$32"}</definedName>
    <definedName name="gjfjfj" hidden="1">{"'CptDifn'!$AA$32:$AG$32"}</definedName>
    <definedName name="gjfjfj_1" localSheetId="20" hidden="1">{"'CptDifn'!$AA$32:$AG$32"}</definedName>
    <definedName name="gjfjfj_1" hidden="1">{"'CptDifn'!$AA$32:$AG$32"}</definedName>
    <definedName name="gjfjfj_1_1" localSheetId="20" hidden="1">{"'CptDifn'!$AA$32:$AG$32"}</definedName>
    <definedName name="gjfjfj_1_1" hidden="1">{"'CptDifn'!$AA$32:$AG$32"}</definedName>
    <definedName name="gjfjfj_1_1_1" localSheetId="20" hidden="1">{"'CptDifn'!$AA$32:$AG$32"}</definedName>
    <definedName name="gjfjfj_1_1_1" hidden="1">{"'CptDifn'!$AA$32:$AG$32"}</definedName>
    <definedName name="gjfjfj_1_2" localSheetId="20" hidden="1">{"'CptDifn'!$AA$32:$AG$32"}</definedName>
    <definedName name="gjfjfj_1_2" hidden="1">{"'CptDifn'!$AA$32:$AG$32"}</definedName>
    <definedName name="gjfjfj_2" localSheetId="20" hidden="1">{"'CptDifn'!$AA$32:$AG$32"}</definedName>
    <definedName name="gjfjfj_2" hidden="1">{"'CptDifn'!$AA$32:$AG$32"}</definedName>
    <definedName name="gjgh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utrrew">#REF!</definedName>
    <definedName name="gogo" localSheetId="20" hidden="1">{#N/A,#N/A,TRUE,"Cover sheet";#N/A,#N/A,TRUE,"INPUTS";#N/A,#N/A,TRUE,"OUTPUTS";#N/A,#N/A,TRUE,"VALUATION"}</definedName>
    <definedName name="gogo" hidden="1">{#N/A,#N/A,TRUE,"Cover sheet";#N/A,#N/A,TRUE,"INPUTS";#N/A,#N/A,TRUE,"OUTPUTS";#N/A,#N/A,TRUE,"VALUATION"}</definedName>
    <definedName name="gogo_1" localSheetId="20" hidden="1">{#N/A,#N/A,TRUE,"Cover sheet";#N/A,#N/A,TRUE,"INPUTS";#N/A,#N/A,TRUE,"OUTPUTS";#N/A,#N/A,TRUE,"VALUATION"}</definedName>
    <definedName name="gogo_1" hidden="1">{#N/A,#N/A,TRUE,"Cover sheet";#N/A,#N/A,TRUE,"INPUTS";#N/A,#N/A,TRUE,"OUTPUTS";#N/A,#N/A,TRUE,"VALUATION"}</definedName>
    <definedName name="gogo_1_1" localSheetId="20" hidden="1">{#N/A,#N/A,TRUE,"Cover sheet";#N/A,#N/A,TRUE,"INPUTS";#N/A,#N/A,TRUE,"OUTPUTS";#N/A,#N/A,TRUE,"VALUATION"}</definedName>
    <definedName name="gogo_1_1" hidden="1">{#N/A,#N/A,TRUE,"Cover sheet";#N/A,#N/A,TRUE,"INPUTS";#N/A,#N/A,TRUE,"OUTPUTS";#N/A,#N/A,TRUE,"VALUATION"}</definedName>
    <definedName name="gogo_1_1_1" localSheetId="20" hidden="1">{#N/A,#N/A,TRUE,"Cover sheet";#N/A,#N/A,TRUE,"INPUTS";#N/A,#N/A,TRUE,"OUTPUTS";#N/A,#N/A,TRUE,"VALUATION"}</definedName>
    <definedName name="gogo_1_1_1" hidden="1">{#N/A,#N/A,TRUE,"Cover sheet";#N/A,#N/A,TRUE,"INPUTS";#N/A,#N/A,TRUE,"OUTPUTS";#N/A,#N/A,TRUE,"VALUATION"}</definedName>
    <definedName name="gogo_1_2" localSheetId="20" hidden="1">{#N/A,#N/A,TRUE,"Cover sheet";#N/A,#N/A,TRUE,"INPUTS";#N/A,#N/A,TRUE,"OUTPUTS";#N/A,#N/A,TRUE,"VALUATION"}</definedName>
    <definedName name="gogo_1_2" hidden="1">{#N/A,#N/A,TRUE,"Cover sheet";#N/A,#N/A,TRUE,"INPUTS";#N/A,#N/A,TRUE,"OUTPUTS";#N/A,#N/A,TRUE,"VALUATION"}</definedName>
    <definedName name="gogo_2" localSheetId="20" hidden="1">{#N/A,#N/A,TRUE,"Cover sheet";#N/A,#N/A,TRUE,"INPUTS";#N/A,#N/A,TRUE,"OUTPUTS";#N/A,#N/A,TRUE,"VALUATION"}</definedName>
    <definedName name="gogo_2" hidden="1">{#N/A,#N/A,TRUE,"Cover sheet";#N/A,#N/A,TRUE,"INPUTS";#N/A,#N/A,TRUE,"OUTPUTS";#N/A,#N/A,TRUE,"VALUATION"}</definedName>
    <definedName name="GOL" localSheetId="20" hidden="1">{"'gráf jan00'!$A$1:$AK$41"}</definedName>
    <definedName name="GOL" hidden="1">{"'gráf jan00'!$A$1:$AK$41"}</definedName>
    <definedName name="GOL_1" localSheetId="20" hidden="1">{"'gráf jan00'!$A$1:$AK$41"}</definedName>
    <definedName name="GOL_1" hidden="1">{"'gráf jan00'!$A$1:$AK$41"}</definedName>
    <definedName name="GOL_1_1" localSheetId="20" hidden="1">{"'gráf jan00'!$A$1:$AK$41"}</definedName>
    <definedName name="GOL_1_1" hidden="1">{"'gráf jan00'!$A$1:$AK$41"}</definedName>
    <definedName name="GOL_1_1_1" localSheetId="20" hidden="1">{"'gráf jan00'!$A$1:$AK$41"}</definedName>
    <definedName name="GOL_1_1_1" hidden="1">{"'gráf jan00'!$A$1:$AK$41"}</definedName>
    <definedName name="GOL_1_2" localSheetId="20" hidden="1">{"'gráf jan00'!$A$1:$AK$41"}</definedName>
    <definedName name="GOL_1_2" hidden="1">{"'gráf jan00'!$A$1:$AK$41"}</definedName>
    <definedName name="GOL_2" localSheetId="20" hidden="1">{"'gráf jan00'!$A$1:$AK$41"}</definedName>
    <definedName name="GOL_2" hidden="1">{"'gráf jan00'!$A$1:$AK$41"}</definedName>
    <definedName name="golpes">#REF!</definedName>
    <definedName name="GP">#REF!</definedName>
    <definedName name="GRADUADA">#REF!</definedName>
    <definedName name="graf" localSheetId="1">'[154]FLUXO - EXECUÇÃO PRÓPRIA'!#REF!</definedName>
    <definedName name="graf">'[154]FLUXO - EXECUÇÃO PRÓPRIA'!#REF!</definedName>
    <definedName name="GRAF_10A" localSheetId="20" hidden="1">{#N/A,#N/A,FALSE,"SITUAÇÃO DIÁRIA ";#N/A,#N/A,FALSE,"7 à 7"}</definedName>
    <definedName name="GRAF_10A" hidden="1">{#N/A,#N/A,FALSE,"SITUAÇÃO DIÁRIA ";#N/A,#N/A,FALSE,"7 à 7"}</definedName>
    <definedName name="GRAF_10A_1" localSheetId="20" hidden="1">{#N/A,#N/A,FALSE,"SITUAÇÃO DIÁRIA ";#N/A,#N/A,FALSE,"7 à 7"}</definedName>
    <definedName name="GRAF_10A_1" hidden="1">{#N/A,#N/A,FALSE,"SITUAÇÃO DIÁRIA ";#N/A,#N/A,FALSE,"7 à 7"}</definedName>
    <definedName name="GRAF_10A_1_1" localSheetId="20" hidden="1">{#N/A,#N/A,FALSE,"SITUAÇÃO DIÁRIA ";#N/A,#N/A,FALSE,"7 à 7"}</definedName>
    <definedName name="GRAF_10A_1_1" hidden="1">{#N/A,#N/A,FALSE,"SITUAÇÃO DIÁRIA ";#N/A,#N/A,FALSE,"7 à 7"}</definedName>
    <definedName name="GRAF_10A_1_1_1" localSheetId="20" hidden="1">{#N/A,#N/A,FALSE,"SITUAÇÃO DIÁRIA ";#N/A,#N/A,FALSE,"7 à 7"}</definedName>
    <definedName name="GRAF_10A_1_1_1" hidden="1">{#N/A,#N/A,FALSE,"SITUAÇÃO DIÁRIA ";#N/A,#N/A,FALSE,"7 à 7"}</definedName>
    <definedName name="GRAF_10A_1_2" localSheetId="20" hidden="1">{#N/A,#N/A,FALSE,"SITUAÇÃO DIÁRIA ";#N/A,#N/A,FALSE,"7 à 7"}</definedName>
    <definedName name="GRAF_10A_1_2" hidden="1">{#N/A,#N/A,FALSE,"SITUAÇÃO DIÁRIA ";#N/A,#N/A,FALSE,"7 à 7"}</definedName>
    <definedName name="GRAF_10A_2" localSheetId="20" hidden="1">{#N/A,#N/A,FALSE,"SITUAÇÃO DIÁRIA ";#N/A,#N/A,FALSE,"7 à 7"}</definedName>
    <definedName name="GRAF_10A_2" hidden="1">{#N/A,#N/A,FALSE,"SITUAÇÃO DIÁRIA ";#N/A,#N/A,FALSE,"7 à 7"}</definedName>
    <definedName name="GRAF_11A" localSheetId="20" hidden="1">{#N/A,#N/A,FALSE,"SITUAÇÃO DIÁRIA ";#N/A,#N/A,FALSE,"7 à 7"}</definedName>
    <definedName name="GRAF_11A" hidden="1">{#N/A,#N/A,FALSE,"SITUAÇÃO DIÁRIA ";#N/A,#N/A,FALSE,"7 à 7"}</definedName>
    <definedName name="GRAF_11A_1" localSheetId="20" hidden="1">{#N/A,#N/A,FALSE,"SITUAÇÃO DIÁRIA ";#N/A,#N/A,FALSE,"7 à 7"}</definedName>
    <definedName name="GRAF_11A_1" hidden="1">{#N/A,#N/A,FALSE,"SITUAÇÃO DIÁRIA ";#N/A,#N/A,FALSE,"7 à 7"}</definedName>
    <definedName name="GRAF_11A_1_1" localSheetId="20" hidden="1">{#N/A,#N/A,FALSE,"SITUAÇÃO DIÁRIA ";#N/A,#N/A,FALSE,"7 à 7"}</definedName>
    <definedName name="GRAF_11A_1_1" hidden="1">{#N/A,#N/A,FALSE,"SITUAÇÃO DIÁRIA ";#N/A,#N/A,FALSE,"7 à 7"}</definedName>
    <definedName name="GRAF_11A_1_1_1" localSheetId="20" hidden="1">{#N/A,#N/A,FALSE,"SITUAÇÃO DIÁRIA ";#N/A,#N/A,FALSE,"7 à 7"}</definedName>
    <definedName name="GRAF_11A_1_1_1" hidden="1">{#N/A,#N/A,FALSE,"SITUAÇÃO DIÁRIA ";#N/A,#N/A,FALSE,"7 à 7"}</definedName>
    <definedName name="GRAF_11A_1_2" localSheetId="20" hidden="1">{#N/A,#N/A,FALSE,"SITUAÇÃO DIÁRIA ";#N/A,#N/A,FALSE,"7 à 7"}</definedName>
    <definedName name="GRAF_11A_1_2" hidden="1">{#N/A,#N/A,FALSE,"SITUAÇÃO DIÁRIA ";#N/A,#N/A,FALSE,"7 à 7"}</definedName>
    <definedName name="GRAF_11A_2" localSheetId="20" hidden="1">{#N/A,#N/A,FALSE,"SITUAÇÃO DIÁRIA ";#N/A,#N/A,FALSE,"7 à 7"}</definedName>
    <definedName name="GRAF_11A_2" hidden="1">{#N/A,#N/A,FALSE,"SITUAÇÃO DIÁRIA ";#N/A,#N/A,FALSE,"7 à 7"}</definedName>
    <definedName name="GRAF_12A" localSheetId="20" hidden="1">{#N/A,#N/A,FALSE,"SITUAÇÃO DIÁRIA ";#N/A,#N/A,FALSE,"7 à 7"}</definedName>
    <definedName name="GRAF_12A" hidden="1">{#N/A,#N/A,FALSE,"SITUAÇÃO DIÁRIA ";#N/A,#N/A,FALSE,"7 à 7"}</definedName>
    <definedName name="GRAF_12A_1" localSheetId="20" hidden="1">{#N/A,#N/A,FALSE,"SITUAÇÃO DIÁRIA ";#N/A,#N/A,FALSE,"7 à 7"}</definedName>
    <definedName name="GRAF_12A_1" hidden="1">{#N/A,#N/A,FALSE,"SITUAÇÃO DIÁRIA ";#N/A,#N/A,FALSE,"7 à 7"}</definedName>
    <definedName name="GRAF_12A_1_1" localSheetId="20" hidden="1">{#N/A,#N/A,FALSE,"SITUAÇÃO DIÁRIA ";#N/A,#N/A,FALSE,"7 à 7"}</definedName>
    <definedName name="GRAF_12A_1_1" hidden="1">{#N/A,#N/A,FALSE,"SITUAÇÃO DIÁRIA ";#N/A,#N/A,FALSE,"7 à 7"}</definedName>
    <definedName name="GRAF_12A_1_1_1" localSheetId="20" hidden="1">{#N/A,#N/A,FALSE,"SITUAÇÃO DIÁRIA ";#N/A,#N/A,FALSE,"7 à 7"}</definedName>
    <definedName name="GRAF_12A_1_1_1" hidden="1">{#N/A,#N/A,FALSE,"SITUAÇÃO DIÁRIA ";#N/A,#N/A,FALSE,"7 à 7"}</definedName>
    <definedName name="GRAF_12A_1_2" localSheetId="20" hidden="1">{#N/A,#N/A,FALSE,"SITUAÇÃO DIÁRIA ";#N/A,#N/A,FALSE,"7 à 7"}</definedName>
    <definedName name="GRAF_12A_1_2" hidden="1">{#N/A,#N/A,FALSE,"SITUAÇÃO DIÁRIA ";#N/A,#N/A,FALSE,"7 à 7"}</definedName>
    <definedName name="GRAF_12A_2" localSheetId="20" hidden="1">{#N/A,#N/A,FALSE,"SITUAÇÃO DIÁRIA ";#N/A,#N/A,FALSE,"7 à 7"}</definedName>
    <definedName name="GRAF_12A_2" hidden="1">{#N/A,#N/A,FALSE,"SITUAÇÃO DIÁRIA ";#N/A,#N/A,FALSE,"7 à 7"}</definedName>
    <definedName name="GRAF_1E2">#REF!</definedName>
    <definedName name="GRAF_21" localSheetId="20" hidden="1">{#N/A,#N/A,FALSE,"SITUAÇÃO DIÁRIA ";#N/A,#N/A,FALSE,"7 à 7"}</definedName>
    <definedName name="GRAF_21" hidden="1">{#N/A,#N/A,FALSE,"SITUAÇÃO DIÁRIA ";#N/A,#N/A,FALSE,"7 à 7"}</definedName>
    <definedName name="GRAF_21_1" localSheetId="20" hidden="1">{#N/A,#N/A,FALSE,"SITUAÇÃO DIÁRIA ";#N/A,#N/A,FALSE,"7 à 7"}</definedName>
    <definedName name="GRAF_21_1" hidden="1">{#N/A,#N/A,FALSE,"SITUAÇÃO DIÁRIA ";#N/A,#N/A,FALSE,"7 à 7"}</definedName>
    <definedName name="GRAF_21_1_1" localSheetId="20" hidden="1">{#N/A,#N/A,FALSE,"SITUAÇÃO DIÁRIA ";#N/A,#N/A,FALSE,"7 à 7"}</definedName>
    <definedName name="GRAF_21_1_1" hidden="1">{#N/A,#N/A,FALSE,"SITUAÇÃO DIÁRIA ";#N/A,#N/A,FALSE,"7 à 7"}</definedName>
    <definedName name="GRAF_21_1_1_1" localSheetId="20" hidden="1">{#N/A,#N/A,FALSE,"SITUAÇÃO DIÁRIA ";#N/A,#N/A,FALSE,"7 à 7"}</definedName>
    <definedName name="GRAF_21_1_1_1" hidden="1">{#N/A,#N/A,FALSE,"SITUAÇÃO DIÁRIA ";#N/A,#N/A,FALSE,"7 à 7"}</definedName>
    <definedName name="GRAF_21_1_2" localSheetId="20" hidden="1">{#N/A,#N/A,FALSE,"SITUAÇÃO DIÁRIA ";#N/A,#N/A,FALSE,"7 à 7"}</definedName>
    <definedName name="GRAF_21_1_2" hidden="1">{#N/A,#N/A,FALSE,"SITUAÇÃO DIÁRIA ";#N/A,#N/A,FALSE,"7 à 7"}</definedName>
    <definedName name="GRAF_21_2" localSheetId="20" hidden="1">{#N/A,#N/A,FALSE,"SITUAÇÃO DIÁRIA ";#N/A,#N/A,FALSE,"7 à 7"}</definedName>
    <definedName name="GRAF_21_2" hidden="1">{#N/A,#N/A,FALSE,"SITUAÇÃO DIÁRIA ";#N/A,#N/A,FALSE,"7 à 7"}</definedName>
    <definedName name="graf_3" localSheetId="20" hidden="1">{#N/A,#N/A,FALSE,"SITUAÇÃO DIÁRIA ";#N/A,#N/A,FALSE,"7 à 7"}</definedName>
    <definedName name="graf_3" hidden="1">{#N/A,#N/A,FALSE,"SITUAÇÃO DIÁRIA ";#N/A,#N/A,FALSE,"7 à 7"}</definedName>
    <definedName name="graf_3_1" localSheetId="20" hidden="1">{#N/A,#N/A,FALSE,"SITUAÇÃO DIÁRIA ";#N/A,#N/A,FALSE,"7 à 7"}</definedName>
    <definedName name="graf_3_1" hidden="1">{#N/A,#N/A,FALSE,"SITUAÇÃO DIÁRIA ";#N/A,#N/A,FALSE,"7 à 7"}</definedName>
    <definedName name="graf_3_1_1" localSheetId="20" hidden="1">{#N/A,#N/A,FALSE,"SITUAÇÃO DIÁRIA ";#N/A,#N/A,FALSE,"7 à 7"}</definedName>
    <definedName name="graf_3_1_1" hidden="1">{#N/A,#N/A,FALSE,"SITUAÇÃO DIÁRIA ";#N/A,#N/A,FALSE,"7 à 7"}</definedName>
    <definedName name="graf_3_1_1_1" localSheetId="20" hidden="1">{#N/A,#N/A,FALSE,"SITUAÇÃO DIÁRIA ";#N/A,#N/A,FALSE,"7 à 7"}</definedName>
    <definedName name="graf_3_1_1_1" hidden="1">{#N/A,#N/A,FALSE,"SITUAÇÃO DIÁRIA ";#N/A,#N/A,FALSE,"7 à 7"}</definedName>
    <definedName name="graf_3_1_2" localSheetId="20" hidden="1">{#N/A,#N/A,FALSE,"SITUAÇÃO DIÁRIA ";#N/A,#N/A,FALSE,"7 à 7"}</definedName>
    <definedName name="graf_3_1_2" hidden="1">{#N/A,#N/A,FALSE,"SITUAÇÃO DIÁRIA ";#N/A,#N/A,FALSE,"7 à 7"}</definedName>
    <definedName name="graf_3_2" localSheetId="20" hidden="1">{#N/A,#N/A,FALSE,"SITUAÇÃO DIÁRIA ";#N/A,#N/A,FALSE,"7 à 7"}</definedName>
    <definedName name="graf_3_2" hidden="1">{#N/A,#N/A,FALSE,"SITUAÇÃO DIÁRIA ";#N/A,#N/A,FALSE,"7 à 7"}</definedName>
    <definedName name="GRAF_3E4">#REF!</definedName>
    <definedName name="GRAF_5E6">#REF!</definedName>
    <definedName name="graff">'[155]FLUXO - EXECUÇÃO PRÓPRIA'!#REF!</definedName>
    <definedName name="GráficoICD" hidden="1">#N/A</definedName>
    <definedName name="GraficoMO" localSheetId="20" hidden="1">{#N/A,#N/A,FALSE,"RESUMO-BB1";#N/A,#N/A,FALSE,"MOD-A01-R - BB1";#N/A,#N/A,FALSE,"URB-BB1"}</definedName>
    <definedName name="GraficoMO" hidden="1">{#N/A,#N/A,FALSE,"RESUMO-BB1";#N/A,#N/A,FALSE,"MOD-A01-R - BB1";#N/A,#N/A,FALSE,"URB-BB1"}</definedName>
    <definedName name="GRAMA">[97]SERVIÇOS!$G$31</definedName>
    <definedName name="gran">#REF!</definedName>
    <definedName name="GRAN_SILO1">#REF!</definedName>
    <definedName name="GRAN_SILO2">#REF!</definedName>
    <definedName name="GRAN_SILO3">#REF!</definedName>
    <definedName name="GRAN_SILO4">#REF!</definedName>
    <definedName name="Granito_01" localSheetId="20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aph" hidden="1">#REF!</definedName>
    <definedName name="grav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>#REF!</definedName>
    <definedName name="grf" localSheetId="20" hidden="1">{#N/A,#N/A,FALSE,"ORC-ACKE";#N/A,#N/A,FALSE,"RESUMO"}</definedName>
    <definedName name="grf" hidden="1">{#N/A,#N/A,FALSE,"ORC-ACKE";#N/A,#N/A,FALSE,"RESUMO"}</definedName>
    <definedName name="GRONAGRAMA100C">[5]PLMUSEU!#REF!</definedName>
    <definedName name="grtgert" localSheetId="20" hidden="1">{#N/A,#N/A,TRUE,"indice";#N/A,#N/A,TRUE,"indicadores";#N/A,#N/A,TRUE,"comentarios"}</definedName>
    <definedName name="grtgert" hidden="1">{#N/A,#N/A,TRUE,"indice";#N/A,#N/A,TRUE,"indicadores";#N/A,#N/A,TRUE,"comentarios"}</definedName>
    <definedName name="grtgert_1" localSheetId="20" hidden="1">{#N/A,#N/A,TRUE,"indice";#N/A,#N/A,TRUE,"indicadores";#N/A,#N/A,TRUE,"comentarios"}</definedName>
    <definedName name="grtgert_1" hidden="1">{#N/A,#N/A,TRUE,"indice";#N/A,#N/A,TRUE,"indicadores";#N/A,#N/A,TRUE,"comentarios"}</definedName>
    <definedName name="grtgert_1_1" localSheetId="20" hidden="1">{#N/A,#N/A,TRUE,"indice";#N/A,#N/A,TRUE,"indicadores";#N/A,#N/A,TRUE,"comentarios"}</definedName>
    <definedName name="grtgert_1_1" hidden="1">{#N/A,#N/A,TRUE,"indice";#N/A,#N/A,TRUE,"indicadores";#N/A,#N/A,TRUE,"comentarios"}</definedName>
    <definedName name="grtgert_1_1_1" localSheetId="20" hidden="1">{#N/A,#N/A,TRUE,"indice";#N/A,#N/A,TRUE,"indicadores";#N/A,#N/A,TRUE,"comentarios"}</definedName>
    <definedName name="grtgert_1_1_1" hidden="1">{#N/A,#N/A,TRUE,"indice";#N/A,#N/A,TRUE,"indicadores";#N/A,#N/A,TRUE,"comentarios"}</definedName>
    <definedName name="grtgert_1_2" localSheetId="20" hidden="1">{#N/A,#N/A,TRUE,"indice";#N/A,#N/A,TRUE,"indicadores";#N/A,#N/A,TRUE,"comentarios"}</definedName>
    <definedName name="grtgert_1_2" hidden="1">{#N/A,#N/A,TRUE,"indice";#N/A,#N/A,TRUE,"indicadores";#N/A,#N/A,TRUE,"comentarios"}</definedName>
    <definedName name="grtgert_2" localSheetId="20" hidden="1">{#N/A,#N/A,TRUE,"indice";#N/A,#N/A,TRUE,"indicadores";#N/A,#N/A,TRUE,"comentarios"}</definedName>
    <definedName name="grtgert_2" hidden="1">{#N/A,#N/A,TRUE,"indice";#N/A,#N/A,TRUE,"indicadores";#N/A,#N/A,TRUE,"comentarios"}</definedName>
    <definedName name="gsdag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ffgs">[70]RESUMO_AUT1!#REF!</definedName>
    <definedName name="gsg" localSheetId="20" hidden="1">{"'CptDifn'!$AA$32:$AG$32"}</definedName>
    <definedName name="gsg" hidden="1">{"'CptDifn'!$AA$32:$AG$32"}</definedName>
    <definedName name="gsg_1" localSheetId="20" hidden="1">{"'CptDifn'!$AA$32:$AG$32"}</definedName>
    <definedName name="gsg_1" hidden="1">{"'CptDifn'!$AA$32:$AG$32"}</definedName>
    <definedName name="gsg_1_1" localSheetId="20" hidden="1">{"'CptDifn'!$AA$32:$AG$32"}</definedName>
    <definedName name="gsg_1_1" hidden="1">{"'CptDifn'!$AA$32:$AG$32"}</definedName>
    <definedName name="gsg_1_1_1" localSheetId="20" hidden="1">{"'CptDifn'!$AA$32:$AG$32"}</definedName>
    <definedName name="gsg_1_1_1" hidden="1">{"'CptDifn'!$AA$32:$AG$32"}</definedName>
    <definedName name="gsg_1_2" localSheetId="20" hidden="1">{"'CptDifn'!$AA$32:$AG$32"}</definedName>
    <definedName name="gsg_1_2" hidden="1">{"'CptDifn'!$AA$32:$AG$32"}</definedName>
    <definedName name="gsg_2" localSheetId="20" hidden="1">{"'CptDifn'!$AA$32:$AG$32"}</definedName>
    <definedName name="gsg_2" hidden="1">{"'CptDifn'!$AA$32:$AG$32"}</definedName>
    <definedName name="gsgsg" localSheetId="20" hidden="1">{"'CptDifn'!$AA$32:$AG$32"}</definedName>
    <definedName name="gsgsg" hidden="1">{"'CptDifn'!$AA$32:$AG$32"}</definedName>
    <definedName name="gsgsg_1" localSheetId="20" hidden="1">{"'CptDifn'!$AA$32:$AG$32"}</definedName>
    <definedName name="gsgsg_1" hidden="1">{"'CptDifn'!$AA$32:$AG$32"}</definedName>
    <definedName name="gsgsg_1_1" localSheetId="20" hidden="1">{"'CptDifn'!$AA$32:$AG$32"}</definedName>
    <definedName name="gsgsg_1_1" hidden="1">{"'CptDifn'!$AA$32:$AG$32"}</definedName>
    <definedName name="gsgsg_1_1_1" localSheetId="20" hidden="1">{"'CptDifn'!$AA$32:$AG$32"}</definedName>
    <definedName name="gsgsg_1_1_1" hidden="1">{"'CptDifn'!$AA$32:$AG$32"}</definedName>
    <definedName name="gsgsg_1_2" localSheetId="20" hidden="1">{"'CptDifn'!$AA$32:$AG$32"}</definedName>
    <definedName name="gsgsg_1_2" hidden="1">{"'CptDifn'!$AA$32:$AG$32"}</definedName>
    <definedName name="gsgsg_2" localSheetId="20" hidden="1">{"'CptDifn'!$AA$32:$AG$32"}</definedName>
    <definedName name="gsgsg_2" hidden="1">{"'CptDifn'!$AA$32:$AG$32"}</definedName>
    <definedName name="G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t">#REF!</definedName>
    <definedName name="gthyt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localSheetId="20" hidden="1">{#N/A,#N/A,TRUE,"Serviços"}</definedName>
    <definedName name="gtryfj" localSheetId="21">{#N/A,#N/A,TRUE,"Serviços"}</definedName>
    <definedName name="gtryfj" localSheetId="2" hidden="1">{#N/A,#N/A,TRUE,"Serviços"}</definedName>
    <definedName name="gtryfj" hidden="1">{#N/A,#N/A,TRUE,"Serviços"}</definedName>
    <definedName name="gtryfj_1" localSheetId="20">{#N/A,#N/A,TRUE,"Serviços"}</definedName>
    <definedName name="gtryfj_1" localSheetId="21">{#N/A,#N/A,TRUE,"Serviços"}</definedName>
    <definedName name="gtryfj_1">{#N/A,#N/A,TRUE,"Serviços"}</definedName>
    <definedName name="gtryfjj" localSheetId="20" hidden="1">{#N/A,#N/A,TRUE,"Serviços"}</definedName>
    <definedName name="gtryfjj" localSheetId="2" hidden="1">{#N/A,#N/A,TRUE,"Serviços"}</definedName>
    <definedName name="gtryfjj" hidden="1">{#N/A,#N/A,TRUE,"Serviços"}</definedName>
    <definedName name="Guerra" localSheetId="20" hidden="1">{"'Quadro'!$A$4:$BG$78"}</definedName>
    <definedName name="Guerra" hidden="1">{"'Quadro'!$A$4:$BG$78"}</definedName>
    <definedName name="Guerra_1" localSheetId="20" hidden="1">{"'Quadro'!$A$4:$BG$78"}</definedName>
    <definedName name="Guerra_1" hidden="1">{"'Quadro'!$A$4:$BG$78"}</definedName>
    <definedName name="Guerra_1_1" localSheetId="20" hidden="1">{"'Quadro'!$A$4:$BG$78"}</definedName>
    <definedName name="Guerra_1_1" hidden="1">{"'Quadro'!$A$4:$BG$78"}</definedName>
    <definedName name="Guerra_1_1_1" localSheetId="20" hidden="1">{"'Quadro'!$A$4:$BG$78"}</definedName>
    <definedName name="Guerra_1_1_1" hidden="1">{"'Quadro'!$A$4:$BG$78"}</definedName>
    <definedName name="Guerra_1_2" localSheetId="20" hidden="1">{"'Quadro'!$A$4:$BG$78"}</definedName>
    <definedName name="Guerra_1_2" hidden="1">{"'Quadro'!$A$4:$BG$78"}</definedName>
    <definedName name="Guerra_2" localSheetId="20" hidden="1">{"'Quadro'!$A$4:$BG$78"}</definedName>
    <definedName name="Guerra_2" hidden="1">{"'Quadro'!$A$4:$BG$78"}</definedName>
    <definedName name="guh">'[9]P A T O 99 B'!#REF!</definedName>
    <definedName name="GU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pob01Real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" hidden="1">{#N/A,#N/A,FALSE,"Suprimentos";#N/A,#N/A,FALSE,"Medicina e Segurança";#N/A,#N/A,FALSE,"Administração";#N/A,#N/A,FALSE,"Meio Ambiente";#N/A,#N/A,FALSE,"Operação (Mina)";#N/A,#N/A,FALSE,"Operação (Porto)"}</definedName>
    <definedName name="Gupob01Real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_1" hidden="1">{#N/A,#N/A,FALSE,"Suprimentos";#N/A,#N/A,FALSE,"Medicina e Segurança";#N/A,#N/A,FALSE,"Administração";#N/A,#N/A,FALSE,"Meio Ambiente";#N/A,#N/A,FALSE,"Operação (Mina)";#N/A,#N/A,FALSE,"Operação (Porto)"}</definedName>
    <definedName name="Gupob01Real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_1_1" hidden="1">{#N/A,#N/A,FALSE,"Suprimentos";#N/A,#N/A,FALSE,"Medicina e Segurança";#N/A,#N/A,FALSE,"Administração";#N/A,#N/A,FALSE,"Meio Ambiente";#N/A,#N/A,FALSE,"Operação (Mina)";#N/A,#N/A,FALSE,"Operação (Porto)"}</definedName>
    <definedName name="Gupob01Real_1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_1_1_1" hidden="1">{#N/A,#N/A,FALSE,"Suprimentos";#N/A,#N/A,FALSE,"Medicina e Segurança";#N/A,#N/A,FALSE,"Administração";#N/A,#N/A,FALSE,"Meio Ambiente";#N/A,#N/A,FALSE,"Operação (Mina)";#N/A,#N/A,FALSE,"Operação (Porto)"}</definedName>
    <definedName name="Gupob01Real_1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_1_2" hidden="1">{#N/A,#N/A,FALSE,"Suprimentos";#N/A,#N/A,FALSE,"Medicina e Segurança";#N/A,#N/A,FALSE,"Administração";#N/A,#N/A,FALSE,"Meio Ambiente";#N/A,#N/A,FALSE,"Operação (Mina)";#N/A,#N/A,FALSE,"Operação (Porto)"}</definedName>
    <definedName name="Gupob01Real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Gupob01Real_2" hidden="1">{#N/A,#N/A,FALSE,"Suprimentos";#N/A,#N/A,FALSE,"Medicina e Segurança";#N/A,#N/A,FALSE,"Administração";#N/A,#N/A,FALSE,"Meio Ambiente";#N/A,#N/A,FALSE,"Operação (Mina)";#N/A,#N/A,FALSE,"Operação (Porto)"}</definedName>
    <definedName name="Gurjão" localSheetId="20" hidden="1">{"'gráf jan00'!$A$1:$AK$41"}</definedName>
    <definedName name="Gurjão" hidden="1">{"'gráf jan00'!$A$1:$AK$41"}</definedName>
    <definedName name="Gurjão_1" localSheetId="20" hidden="1">{"'gráf jan00'!$A$1:$AK$41"}</definedName>
    <definedName name="Gurjão_1" hidden="1">{"'gráf jan00'!$A$1:$AK$41"}</definedName>
    <definedName name="Gurjão_1_1" localSheetId="20" hidden="1">{"'gráf jan00'!$A$1:$AK$41"}</definedName>
    <definedName name="Gurjão_1_1" hidden="1">{"'gráf jan00'!$A$1:$AK$41"}</definedName>
    <definedName name="Gurjão_1_1_1" localSheetId="20" hidden="1">{"'gráf jan00'!$A$1:$AK$41"}</definedName>
    <definedName name="Gurjão_1_1_1" hidden="1">{"'gráf jan00'!$A$1:$AK$41"}</definedName>
    <definedName name="Gurjão_1_2" localSheetId="20" hidden="1">{"'gráf jan00'!$A$1:$AK$41"}</definedName>
    <definedName name="Gurjão_1_2" hidden="1">{"'gráf jan00'!$A$1:$AK$41"}</definedName>
    <definedName name="Gurjão_2" localSheetId="20" hidden="1">{"'gráf jan00'!$A$1:$AK$41"}</definedName>
    <definedName name="Gurjão_2" hidden="1">{"'gráf jan00'!$A$1:$AK$41"}</definedName>
    <definedName name="gv" localSheetId="20" hidden="1">{"Pèrdues i Guanys analític.Català",#N/A,FALSE,"Català";"Pèrdues i G. analític.castellà",#N/A,FALSE,"Castellà"}</definedName>
    <definedName name="gv" hidden="1">{"Pèrdues i Guanys analític.Català",#N/A,FALSE,"Català";"Pèrdues i G. analític.castellà",#N/A,FALSE,"Castellà"}</definedName>
    <definedName name="gvgg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SL1" hidden="1">#REF!-1 &amp; "." &amp; MAX(1,COUNTA(INDEX(#REF!,MATCH(#REF!-1,#REF!,FALSE)):#REF!))</definedName>
    <definedName name="GYU" localSheetId="20" hidden="1">{"'ReceitaLiquidaME'!$AA$25:$AN$32"}</definedName>
    <definedName name="GYU" hidden="1">{"'ReceitaLiquidaME'!$AA$25:$AN$32"}</definedName>
    <definedName name="GYU_1" localSheetId="20" hidden="1">{"'ReceitaLiquidaME'!$AA$25:$AN$32"}</definedName>
    <definedName name="GYU_1" hidden="1">{"'ReceitaLiquidaME'!$AA$25:$AN$32"}</definedName>
    <definedName name="GYU_1_1" localSheetId="20" hidden="1">{"'ReceitaLiquidaME'!$AA$25:$AN$32"}</definedName>
    <definedName name="GYU_1_1" hidden="1">{"'ReceitaLiquidaME'!$AA$25:$AN$32"}</definedName>
    <definedName name="GYU_1_1_1" localSheetId="20" hidden="1">{"'ReceitaLiquidaME'!$AA$25:$AN$32"}</definedName>
    <definedName name="GYU_1_1_1" hidden="1">{"'ReceitaLiquidaME'!$AA$25:$AN$32"}</definedName>
    <definedName name="GYU_1_2" localSheetId="20" hidden="1">{"'ReceitaLiquidaME'!$AA$25:$AN$32"}</definedName>
    <definedName name="GYU_1_2" hidden="1">{"'ReceitaLiquidaME'!$AA$25:$AN$32"}</definedName>
    <definedName name="GYU_2" localSheetId="20" hidden="1">{"'ReceitaLiquidaME'!$AA$25:$AN$32"}</definedName>
    <definedName name="GYU_2" hidden="1">{"'ReceitaLiquidaME'!$AA$25:$AN$32"}</definedName>
    <definedName name="h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" localSheetId="21">#REF!</definedName>
    <definedName name="h">#REF!</definedName>
    <definedName name="h4c">[150]orçamento_global!#REF!</definedName>
    <definedName name="h5c">[150]orçamento_global!#REF!</definedName>
    <definedName name="h6c">[150]orçamento_global!#REF!</definedName>
    <definedName name="h7c">[150]orçamento_global!#REF!</definedName>
    <definedName name="h8c">[150]orçamento_global!#REF!</definedName>
    <definedName name="h9c">[150]orçamento_global!#REF!</definedName>
    <definedName name="há">#REF!</definedName>
    <definedName name="Haterr" localSheetId="21">NA()</definedName>
    <definedName name="Haterr">NA()</definedName>
    <definedName name="hbfghfgh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car" localSheetId="21">NA()</definedName>
    <definedName name="Hcar">NA()</definedName>
    <definedName name="HCB5.1">#REF!</definedName>
    <definedName name="hdhdf" localSheetId="20" hidden="1">{"'CptDifn'!$AA$32:$AG$32"}</definedName>
    <definedName name="hdhdf" hidden="1">{"'CptDifn'!$AA$32:$AG$32"}</definedName>
    <definedName name="hdhdf_1" localSheetId="20" hidden="1">{"'CptDifn'!$AA$32:$AG$32"}</definedName>
    <definedName name="hdhdf_1" hidden="1">{"'CptDifn'!$AA$32:$AG$32"}</definedName>
    <definedName name="hdhdf_1_1" localSheetId="20" hidden="1">{"'CptDifn'!$AA$32:$AG$32"}</definedName>
    <definedName name="hdhdf_1_1" hidden="1">{"'CptDifn'!$AA$32:$AG$32"}</definedName>
    <definedName name="hdhdf_1_1_1" localSheetId="20" hidden="1">{"'CptDifn'!$AA$32:$AG$32"}</definedName>
    <definedName name="hdhdf_1_1_1" hidden="1">{"'CptDifn'!$AA$32:$AG$32"}</definedName>
    <definedName name="hdhdf_1_2" localSheetId="20" hidden="1">{"'CptDifn'!$AA$32:$AG$32"}</definedName>
    <definedName name="hdhdf_1_2" hidden="1">{"'CptDifn'!$AA$32:$AG$32"}</definedName>
    <definedName name="hdhdf_2" localSheetId="20" hidden="1">{"'CptDifn'!$AA$32:$AG$32"}</definedName>
    <definedName name="hdhdf_2" hidden="1">{"'CptDifn'!$AA$32:$AG$32"}</definedName>
    <definedName name="hdjfgj" localSheetId="20" hidden="1">{"'CptDifn'!$AA$32:$AG$32"}</definedName>
    <definedName name="hdjfgj" hidden="1">{"'CptDifn'!$AA$32:$AG$32"}</definedName>
    <definedName name="hdjfgj_1" localSheetId="20" hidden="1">{"'CptDifn'!$AA$32:$AG$32"}</definedName>
    <definedName name="hdjfgj_1" hidden="1">{"'CptDifn'!$AA$32:$AG$32"}</definedName>
    <definedName name="hdjfgj_1_1" localSheetId="20" hidden="1">{"'CptDifn'!$AA$32:$AG$32"}</definedName>
    <definedName name="hdjfgj_1_1" hidden="1">{"'CptDifn'!$AA$32:$AG$32"}</definedName>
    <definedName name="hdjfgj_1_1_1" localSheetId="20" hidden="1">{"'CptDifn'!$AA$32:$AG$32"}</definedName>
    <definedName name="hdjfgj_1_1_1" hidden="1">{"'CptDifn'!$AA$32:$AG$32"}</definedName>
    <definedName name="hdjfgj_1_2" localSheetId="20" hidden="1">{"'CptDifn'!$AA$32:$AG$32"}</definedName>
    <definedName name="hdjfgj_1_2" hidden="1">{"'CptDifn'!$AA$32:$AG$32"}</definedName>
    <definedName name="hdjfgj_2" localSheetId="20" hidden="1">{"'CptDifn'!$AA$32:$AG$32"}</definedName>
    <definedName name="hdjfgj_2" hidden="1">{"'CptDifn'!$AA$32:$AG$32"}</definedName>
    <definedName name="hdsfavxc">[156]Equipamentos!#REF!</definedName>
    <definedName name="Header1" hidden="1">IF(COUNTA(#REF!)=0,0,INDEX(#REF!,MATCH(ROW(#REF!),#REF!,TRUE)))+1</definedName>
    <definedName name="Header2" hidden="1">#REF!-1 &amp; "." &amp; MAX(1,COUNTA(INDEX(#REF!,MATCH(#REF!-1,#REF!,FALSE)):#REF!))</definedName>
    <definedName name="HENC">#REF!</definedName>
    <definedName name="hfghfgh">#REF!</definedName>
    <definedName name="hfh" localSheetId="20" hidden="1">{"'REL CUSTODIF'!$B$1:$H$72"}</definedName>
    <definedName name="hfh" hidden="1">{"'REL CUSTODIF'!$B$1:$H$72"}</definedName>
    <definedName name="hfh_1" localSheetId="20" hidden="1">{"'REL CUSTODIF'!$B$1:$H$72"}</definedName>
    <definedName name="hfh_1" hidden="1">{"'REL CUSTODIF'!$B$1:$H$72"}</definedName>
    <definedName name="hfh_1_1" localSheetId="20" hidden="1">{"'REL CUSTODIF'!$B$1:$H$72"}</definedName>
    <definedName name="hfh_1_1" hidden="1">{"'REL CUSTODIF'!$B$1:$H$72"}</definedName>
    <definedName name="hfh_1_1_1" localSheetId="20" hidden="1">{"'REL CUSTODIF'!$B$1:$H$72"}</definedName>
    <definedName name="hfh_1_1_1" hidden="1">{"'REL CUSTODIF'!$B$1:$H$72"}</definedName>
    <definedName name="hfh_1_2" localSheetId="20" hidden="1">{"'REL CUSTODIF'!$B$1:$H$72"}</definedName>
    <definedName name="hfh_1_2" hidden="1">{"'REL CUSTODIF'!$B$1:$H$72"}</definedName>
    <definedName name="hfh_2" localSheetId="20" hidden="1">{"'REL CUSTODIF'!$B$1:$H$72"}</definedName>
    <definedName name="hfh_2" hidden="1">{"'REL CUSTODIF'!$B$1:$H$72"}</definedName>
    <definedName name="HFJZVXGIKG" hidden="1">#REF!</definedName>
    <definedName name="hfs" localSheetId="20" hidden="1">{"'gráf jan00'!$A$1:$AK$41"}</definedName>
    <definedName name="hfs" hidden="1">{"'gráf jan00'!$A$1:$AK$41"}</definedName>
    <definedName name="hfs_1" localSheetId="20" hidden="1">{"'gráf jan00'!$A$1:$AK$41"}</definedName>
    <definedName name="hfs_1" hidden="1">{"'gráf jan00'!$A$1:$AK$41"}</definedName>
    <definedName name="hfs_1_1" localSheetId="20" hidden="1">{"'gráf jan00'!$A$1:$AK$41"}</definedName>
    <definedName name="hfs_1_1" hidden="1">{"'gráf jan00'!$A$1:$AK$41"}</definedName>
    <definedName name="hfs_1_1_1" localSheetId="20" hidden="1">{"'gráf jan00'!$A$1:$AK$41"}</definedName>
    <definedName name="hfs_1_1_1" hidden="1">{"'gráf jan00'!$A$1:$AK$41"}</definedName>
    <definedName name="hfs_1_2" localSheetId="20" hidden="1">{"'gráf jan00'!$A$1:$AK$41"}</definedName>
    <definedName name="hfs_1_2" hidden="1">{"'gráf jan00'!$A$1:$AK$41"}</definedName>
    <definedName name="hfs_2" localSheetId="20" hidden="1">{"'gráf jan00'!$A$1:$AK$41"}</definedName>
    <definedName name="hfs_2" hidden="1">{"'gráf jan00'!$A$1:$AK$41"}</definedName>
    <definedName name="hgfdfd" localSheetId="20" hidden="1">{"'CptDifn'!$AA$32:$AG$32"}</definedName>
    <definedName name="hgfdfd" hidden="1">{"'CptDifn'!$AA$32:$AG$32"}</definedName>
    <definedName name="hgfdfd_1" localSheetId="20" hidden="1">{"'CptDifn'!$AA$32:$AG$32"}</definedName>
    <definedName name="hgfdfd_1" hidden="1">{"'CptDifn'!$AA$32:$AG$32"}</definedName>
    <definedName name="hgfdfd_1_1" localSheetId="20" hidden="1">{"'CptDifn'!$AA$32:$AG$32"}</definedName>
    <definedName name="hgfdfd_1_1" hidden="1">{"'CptDifn'!$AA$32:$AG$32"}</definedName>
    <definedName name="hgfdfd_1_1_1" localSheetId="20" hidden="1">{"'CptDifn'!$AA$32:$AG$32"}</definedName>
    <definedName name="hgfdfd_1_1_1" hidden="1">{"'CptDifn'!$AA$32:$AG$32"}</definedName>
    <definedName name="hgfdfd_1_2" localSheetId="20" hidden="1">{"'CptDifn'!$AA$32:$AG$32"}</definedName>
    <definedName name="hgfdfd_1_2" hidden="1">{"'CptDifn'!$AA$32:$AG$32"}</definedName>
    <definedName name="hgfdfd_2" localSheetId="20" hidden="1">{"'CptDifn'!$AA$32:$AG$32"}</definedName>
    <definedName name="hgfdfd_2" hidden="1">{"'CptDifn'!$AA$32:$AG$32"}</definedName>
    <definedName name="hgfds" localSheetId="20" hidden="1">{"'CptDifn'!$AA$32:$AG$32"}</definedName>
    <definedName name="hgfds" hidden="1">{"'CptDifn'!$AA$32:$AG$32"}</definedName>
    <definedName name="hgfds_1" localSheetId="20" hidden="1">{"'CptDifn'!$AA$32:$AG$32"}</definedName>
    <definedName name="hgfds_1" hidden="1">{"'CptDifn'!$AA$32:$AG$32"}</definedName>
    <definedName name="hgfds_1_1" localSheetId="20" hidden="1">{"'CptDifn'!$AA$32:$AG$32"}</definedName>
    <definedName name="hgfds_1_1" hidden="1">{"'CptDifn'!$AA$32:$AG$32"}</definedName>
    <definedName name="hgfds_1_1_1" localSheetId="20" hidden="1">{"'CptDifn'!$AA$32:$AG$32"}</definedName>
    <definedName name="hgfds_1_1_1" hidden="1">{"'CptDifn'!$AA$32:$AG$32"}</definedName>
    <definedName name="hgfds_1_2" localSheetId="20" hidden="1">{"'CptDifn'!$AA$32:$AG$32"}</definedName>
    <definedName name="hgfds_1_2" hidden="1">{"'CptDifn'!$AA$32:$AG$32"}</definedName>
    <definedName name="hgfds_2" localSheetId="20" hidden="1">{"'CptDifn'!$AA$32:$AG$32"}</definedName>
    <definedName name="hgfds_2" hidden="1">{"'CptDifn'!$AA$32:$AG$32"}</definedName>
    <definedName name="HGFDSA">#REF!</definedName>
    <definedName name="HGH" localSheetId="20" hidden="1">{"'gráf jan00'!$A$1:$AK$41"}</definedName>
    <definedName name="HGH" hidden="1">{"'gráf jan00'!$A$1:$AK$41"}</definedName>
    <definedName name="HGH_1" localSheetId="20" hidden="1">{"'gráf jan00'!$A$1:$AK$41"}</definedName>
    <definedName name="HGH_1" hidden="1">{"'gráf jan00'!$A$1:$AK$41"}</definedName>
    <definedName name="HGH_1_1" localSheetId="20" hidden="1">{"'gráf jan00'!$A$1:$AK$41"}</definedName>
    <definedName name="HGH_1_1" hidden="1">{"'gráf jan00'!$A$1:$AK$41"}</definedName>
    <definedName name="HGH_1_1_1" localSheetId="20" hidden="1">{"'gráf jan00'!$A$1:$AK$41"}</definedName>
    <definedName name="HGH_1_1_1" hidden="1">{"'gráf jan00'!$A$1:$AK$41"}</definedName>
    <definedName name="HGH_1_2" localSheetId="20" hidden="1">{"'gráf jan00'!$A$1:$AK$41"}</definedName>
    <definedName name="HGH_1_2" hidden="1">{"'gráf jan00'!$A$1:$AK$41"}</definedName>
    <definedName name="HGH_2" localSheetId="20" hidden="1">{"'gráf jan00'!$A$1:$AK$41"}</definedName>
    <definedName name="HGH_2" hidden="1">{"'gráf jan00'!$A$1:$AK$41"}</definedName>
    <definedName name="hghff" localSheetId="20" hidden="1">{"'CptDifn'!$AA$32:$AG$32"}</definedName>
    <definedName name="hghff" hidden="1">{"'CptDifn'!$AA$32:$AG$32"}</definedName>
    <definedName name="hghff_1" localSheetId="20" hidden="1">{"'CptDifn'!$AA$32:$AG$32"}</definedName>
    <definedName name="hghff_1" hidden="1">{"'CptDifn'!$AA$32:$AG$32"}</definedName>
    <definedName name="hghff_1_1" localSheetId="20" hidden="1">{"'CptDifn'!$AA$32:$AG$32"}</definedName>
    <definedName name="hghff_1_1" hidden="1">{"'CptDifn'!$AA$32:$AG$32"}</definedName>
    <definedName name="hghff_1_1_1" localSheetId="20" hidden="1">{"'CptDifn'!$AA$32:$AG$32"}</definedName>
    <definedName name="hghff_1_1_1" hidden="1">{"'CptDifn'!$AA$32:$AG$32"}</definedName>
    <definedName name="hghff_1_2" localSheetId="20" hidden="1">{"'CptDifn'!$AA$32:$AG$32"}</definedName>
    <definedName name="hghff_1_2" hidden="1">{"'CptDifn'!$AA$32:$AG$32"}</definedName>
    <definedName name="hghff_2" localSheetId="20" hidden="1">{"'CptDifn'!$AA$32:$AG$32"}</definedName>
    <definedName name="hghff_2" hidden="1">{"'CptDifn'!$AA$32:$AG$32"}</definedName>
    <definedName name="hghg">[69]PROJETO!#REF!</definedName>
    <definedName name="hghgh">'[41]Fresagem de Pista Ago-98'!#REF!</definedName>
    <definedName name="HGHJ" localSheetId="20" hidden="1">{"'Quadro'!$A$4:$BG$78"}</definedName>
    <definedName name="HGHJ" hidden="1">{"'Quadro'!$A$4:$BG$78"}</definedName>
    <definedName name="HGHJ_1" localSheetId="20" hidden="1">{"'Quadro'!$A$4:$BG$78"}</definedName>
    <definedName name="HGHJ_1" hidden="1">{"'Quadro'!$A$4:$BG$78"}</definedName>
    <definedName name="HGHJ_1_1" localSheetId="20" hidden="1">{"'Quadro'!$A$4:$BG$78"}</definedName>
    <definedName name="HGHJ_1_1" hidden="1">{"'Quadro'!$A$4:$BG$78"}</definedName>
    <definedName name="HGHJ_1_1_1" localSheetId="20" hidden="1">{"'Quadro'!$A$4:$BG$78"}</definedName>
    <definedName name="HGHJ_1_1_1" hidden="1">{"'Quadro'!$A$4:$BG$78"}</definedName>
    <definedName name="HGHJ_1_2" localSheetId="20" hidden="1">{"'Quadro'!$A$4:$BG$78"}</definedName>
    <definedName name="HGHJ_1_2" hidden="1">{"'Quadro'!$A$4:$BG$78"}</definedName>
    <definedName name="HGHJ_2" localSheetId="20" hidden="1">{"'Quadro'!$A$4:$BG$78"}</definedName>
    <definedName name="HGHJ_2" hidden="1">{"'Quadro'!$A$4:$BG$78"}</definedName>
    <definedName name="HGRET" localSheetId="20" hidden="1">{"'RR'!$A$2:$E$81"}</definedName>
    <definedName name="HGRET" hidden="1">{"'RR'!$A$2:$E$81"}</definedName>
    <definedName name="hhgfgfg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HH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HH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hhh_1" localSheetId="20" hidden="1">{"'gráf jan00'!$A$1:$AK$41"}</definedName>
    <definedName name="hhhh_1" hidden="1">{"'gráf jan00'!$A$1:$AK$41"}</definedName>
    <definedName name="hhhh_1_1" localSheetId="20" hidden="1">{"'gráf jan00'!$A$1:$AK$41"}</definedName>
    <definedName name="hhhh_1_1" hidden="1">{"'gráf jan00'!$A$1:$AK$41"}</definedName>
    <definedName name="hhhh_1_1_1" localSheetId="20" hidden="1">{"'gráf jan00'!$A$1:$AK$41"}</definedName>
    <definedName name="hhhh_1_1_1" hidden="1">{"'gráf jan00'!$A$1:$AK$41"}</definedName>
    <definedName name="hhhh_1_2" localSheetId="20" hidden="1">{"'gráf jan00'!$A$1:$AK$41"}</definedName>
    <definedName name="hhhh_1_2" hidden="1">{"'gráf jan00'!$A$1:$AK$41"}</definedName>
    <definedName name="hhhh_2" localSheetId="20" hidden="1">{"'gráf jan00'!$A$1:$AK$41"}</definedName>
    <definedName name="hhhh_2" hidden="1">{"'gráf jan00'!$A$1:$AK$41"}</definedName>
    <definedName name="HHHHH">[43]Teor!$B$3:$B$7</definedName>
    <definedName name="hhhhhh" localSheetId="20" hidden="1">{"'ReceitaLiquidaME'!$AA$25:$AN$32"}</definedName>
    <definedName name="hhhhhh" hidden="1">{"'ReceitaLiquidaME'!$AA$25:$AN$32"}</definedName>
    <definedName name="hhhhhh_1" localSheetId="20" hidden="1">{"'ReceitaLiquidaME'!$AA$25:$AN$32"}</definedName>
    <definedName name="hhhhhh_1" hidden="1">{"'ReceitaLiquidaME'!$AA$25:$AN$32"}</definedName>
    <definedName name="hhhhhh_1_1" localSheetId="20" hidden="1">{"'ReceitaLiquidaME'!$AA$25:$AN$32"}</definedName>
    <definedName name="hhhhhh_1_1" hidden="1">{"'ReceitaLiquidaME'!$AA$25:$AN$32"}</definedName>
    <definedName name="hhhhhh_1_1_1" localSheetId="20" hidden="1">{"'ReceitaLiquidaME'!$AA$25:$AN$32"}</definedName>
    <definedName name="hhhhhh_1_1_1" hidden="1">{"'ReceitaLiquidaME'!$AA$25:$AN$32"}</definedName>
    <definedName name="hhhhhh_1_2" localSheetId="20" hidden="1">{"'ReceitaLiquidaME'!$AA$25:$AN$32"}</definedName>
    <definedName name="hhhhhh_1_2" hidden="1">{"'ReceitaLiquidaME'!$AA$25:$AN$32"}</definedName>
    <definedName name="hhhhhh_2" localSheetId="20" hidden="1">{"'ReceitaLiquidaME'!$AA$25:$AN$32"}</definedName>
    <definedName name="hhhhhh_2" hidden="1">{"'ReceitaLiquidaME'!$AA$25:$AN$32"}</definedName>
    <definedName name="hhhhhhh">'[41]Fresagem de Pista Ago-98'!#REF!</definedName>
    <definedName name="HHJ" localSheetId="20" hidden="1">{#N/A,#N/A,FALSE,"RELATÓRIO";#N/A,#N/A,FALSE,"RELATÓRIO"}</definedName>
    <definedName name="HHJ" hidden="1">{#N/A,#N/A,FALSE,"RELATÓRIO";#N/A,#N/A,FALSE,"RELATÓRIO"}</definedName>
    <definedName name="HHJ_1" localSheetId="20" hidden="1">{#N/A,#N/A,FALSE,"RELATÓRIO";#N/A,#N/A,FALSE,"RELATÓRIO"}</definedName>
    <definedName name="HHJ_1" hidden="1">{#N/A,#N/A,FALSE,"RELATÓRIO";#N/A,#N/A,FALSE,"RELATÓRIO"}</definedName>
    <definedName name="HHJ_1_1" localSheetId="20" hidden="1">{#N/A,#N/A,FALSE,"RELATÓRIO";#N/A,#N/A,FALSE,"RELATÓRIO"}</definedName>
    <definedName name="HHJ_1_1" hidden="1">{#N/A,#N/A,FALSE,"RELATÓRIO";#N/A,#N/A,FALSE,"RELATÓRIO"}</definedName>
    <definedName name="HHJ_1_1_1" localSheetId="20" hidden="1">{#N/A,#N/A,FALSE,"RELATÓRIO";#N/A,#N/A,FALSE,"RELATÓRIO"}</definedName>
    <definedName name="HHJ_1_1_1" hidden="1">{#N/A,#N/A,FALSE,"RELATÓRIO";#N/A,#N/A,FALSE,"RELATÓRIO"}</definedName>
    <definedName name="HHJ_1_2" localSheetId="20" hidden="1">{#N/A,#N/A,FALSE,"RELATÓRIO";#N/A,#N/A,FALSE,"RELATÓRIO"}</definedName>
    <definedName name="HHJ_1_2" hidden="1">{#N/A,#N/A,FALSE,"RELATÓRIO";#N/A,#N/A,FALSE,"RELATÓRIO"}</definedName>
    <definedName name="HHJ_2" localSheetId="20" hidden="1">{#N/A,#N/A,FALSE,"RELATÓRIO";#N/A,#N/A,FALSE,"RELATÓRIO"}</definedName>
    <definedName name="HHJ_2" hidden="1">{#N/A,#N/A,FALSE,"RELATÓRIO";#N/A,#N/A,FALSE,"RELATÓRIO"}</definedName>
    <definedName name="hhjk" localSheetId="20" hidden="1">{#N/A,#N/A,FALSE,"ROTINA";#N/A,#N/A,FALSE,"ITENS";#N/A,#N/A,FALSE,"ACOMP"}</definedName>
    <definedName name="hhjk" hidden="1">{#N/A,#N/A,FALSE,"ROTINA";#N/A,#N/A,FALSE,"ITENS";#N/A,#N/A,FALSE,"ACOMP"}</definedName>
    <definedName name="hhjk_1" localSheetId="20" hidden="1">{#N/A,#N/A,FALSE,"ROTINA";#N/A,#N/A,FALSE,"ITENS";#N/A,#N/A,FALSE,"ACOMP"}</definedName>
    <definedName name="hhjk_1" hidden="1">{#N/A,#N/A,FALSE,"ROTINA";#N/A,#N/A,FALSE,"ITENS";#N/A,#N/A,FALSE,"ACOMP"}</definedName>
    <definedName name="hhjk_1_1" localSheetId="20" hidden="1">{#N/A,#N/A,FALSE,"ROTINA";#N/A,#N/A,FALSE,"ITENS";#N/A,#N/A,FALSE,"ACOMP"}</definedName>
    <definedName name="hhjk_1_1" hidden="1">{#N/A,#N/A,FALSE,"ROTINA";#N/A,#N/A,FALSE,"ITENS";#N/A,#N/A,FALSE,"ACOMP"}</definedName>
    <definedName name="hhjk_1_1_1" localSheetId="20" hidden="1">{#N/A,#N/A,FALSE,"ROTINA";#N/A,#N/A,FALSE,"ITENS";#N/A,#N/A,FALSE,"ACOMP"}</definedName>
    <definedName name="hhjk_1_1_1" hidden="1">{#N/A,#N/A,FALSE,"ROTINA";#N/A,#N/A,FALSE,"ITENS";#N/A,#N/A,FALSE,"ACOMP"}</definedName>
    <definedName name="hhjk_1_2" localSheetId="20" hidden="1">{#N/A,#N/A,FALSE,"ROTINA";#N/A,#N/A,FALSE,"ITENS";#N/A,#N/A,FALSE,"ACOMP"}</definedName>
    <definedName name="hhjk_1_2" hidden="1">{#N/A,#N/A,FALSE,"ROTINA";#N/A,#N/A,FALSE,"ITENS";#N/A,#N/A,FALSE,"ACOMP"}</definedName>
    <definedName name="hhjk_2" localSheetId="20" hidden="1">{#N/A,#N/A,FALSE,"ROTINA";#N/A,#N/A,FALSE,"ITENS";#N/A,#N/A,FALSE,"ACOMP"}</definedName>
    <definedName name="hhjk_2" hidden="1">{#N/A,#N/A,FALSE,"ROTINA";#N/A,#N/A,FALSE,"ITENS";#N/A,#N/A,FALSE,"ACOMP"}</definedName>
    <definedName name="hi">#REF!</definedName>
    <definedName name="hi_11">#REF!</definedName>
    <definedName name="hi_12">#REF!</definedName>
    <definedName name="hi_13">#REF!</definedName>
    <definedName name="hi_15">#REF!</definedName>
    <definedName name="hi_2">#REF!</definedName>
    <definedName name="hi_24">#REF!</definedName>
    <definedName name="hi_26">#REF!</definedName>
    <definedName name="hi_27">#REF!</definedName>
    <definedName name="hi_27_11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_9_11">#REF!</definedName>
    <definedName name="hid" localSheetId="20" hidden="1">{#N/A,#N/A,FALSE,"BETER -1";#N/A,#N/A,FALSE,"BETER -2";#N/A,#N/A,FALSE,"BETER -3";#N/A,#N/A,FALSE,"BETER -urb";#N/A,#N/A,FALSE,"BETER -RESUMO"}</definedName>
    <definedName name="hid" hidden="1">{#N/A,#N/A,FALSE,"BETER -1";#N/A,#N/A,FALSE,"BETER -2";#N/A,#N/A,FALSE,"BETER -3";#N/A,#N/A,FALSE,"BETER -urb";#N/A,#N/A,FALSE,"BETER -RESUMO"}</definedName>
    <definedName name="HIDRÁULICA" localSheetId="20" hidden="1">{#N/A,#N/A,FALSE,"RESUMO-BB1";#N/A,#N/A,FALSE,"MOD-A01-R - BB1";#N/A,#N/A,FALSE,"URB-BB1"}</definedName>
    <definedName name="HIDRÁULICA" hidden="1">{#N/A,#N/A,FALSE,"RESUMO-BB1";#N/A,#N/A,FALSE,"MOD-A01-R - BB1";#N/A,#N/A,FALSE,"URB-BB1"}</definedName>
    <definedName name="hii">#REF!</definedName>
    <definedName name="HISPANOBRA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J" localSheetId="0">[157]!PassaExtenso</definedName>
    <definedName name="HJ" localSheetId="30">[157]!PassaExtenso</definedName>
    <definedName name="HJ">[157]!PassaExtenso</definedName>
    <definedName name="HJ_10">#N/A</definedName>
    <definedName name="HJ_12">#NAME?</definedName>
    <definedName name="HJ_3">NA()</definedName>
    <definedName name="HJ_9">NA()</definedName>
    <definedName name="HJBJBJ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F" localSheetId="20" hidden="1">{"'RR'!$A$2:$E$81"}</definedName>
    <definedName name="HJF" hidden="1">{"'RR'!$A$2:$E$81"}</definedName>
    <definedName name="HJF_1" localSheetId="20" hidden="1">{"'RR'!$A$2:$E$81"}</definedName>
    <definedName name="HJF_1" hidden="1">{"'RR'!$A$2:$E$81"}</definedName>
    <definedName name="HJF_1_1" localSheetId="20" hidden="1">{"'RR'!$A$2:$E$81"}</definedName>
    <definedName name="HJF_1_1" hidden="1">{"'RR'!$A$2:$E$81"}</definedName>
    <definedName name="HJF_1_1_1" localSheetId="20" hidden="1">{"'RR'!$A$2:$E$81"}</definedName>
    <definedName name="HJF_1_1_1" hidden="1">{"'RR'!$A$2:$E$81"}</definedName>
    <definedName name="HJF_1_2" localSheetId="20" hidden="1">{"'RR'!$A$2:$E$81"}</definedName>
    <definedName name="HJF_1_2" hidden="1">{"'RR'!$A$2:$E$81"}</definedName>
    <definedName name="HJF_2" localSheetId="20" hidden="1">{"'RR'!$A$2:$E$81"}</definedName>
    <definedName name="HJF_2" hidden="1">{"'RR'!$A$2:$E$81"}</definedName>
    <definedName name="hjgff" localSheetId="20" hidden="1">{"'CptDifn'!$AA$32:$AG$32"}</definedName>
    <definedName name="hjgff" hidden="1">{"'CptDifn'!$AA$32:$AG$32"}</definedName>
    <definedName name="hjgff_1" localSheetId="20" hidden="1">{"'CptDifn'!$AA$32:$AG$32"}</definedName>
    <definedName name="hjgff_1" hidden="1">{"'CptDifn'!$AA$32:$AG$32"}</definedName>
    <definedName name="hjgff_1_1" localSheetId="20" hidden="1">{"'CptDifn'!$AA$32:$AG$32"}</definedName>
    <definedName name="hjgff_1_1" hidden="1">{"'CptDifn'!$AA$32:$AG$32"}</definedName>
    <definedName name="hjgff_1_1_1" localSheetId="20" hidden="1">{"'CptDifn'!$AA$32:$AG$32"}</definedName>
    <definedName name="hjgff_1_1_1" hidden="1">{"'CptDifn'!$AA$32:$AG$32"}</definedName>
    <definedName name="hjgff_1_2" localSheetId="20" hidden="1">{"'CptDifn'!$AA$32:$AG$32"}</definedName>
    <definedName name="hjgff_1_2" hidden="1">{"'CptDifn'!$AA$32:$AG$32"}</definedName>
    <definedName name="hjgff_2" localSheetId="20" hidden="1">{"'CptDifn'!$AA$32:$AG$32"}</definedName>
    <definedName name="hjgff_2" hidden="1">{"'CptDifn'!$AA$32:$AG$32"}</definedName>
    <definedName name="hjghjf" localSheetId="20" hidden="1">{"'CptDifn'!$AA$32:$AG$32"}</definedName>
    <definedName name="hjghjf" hidden="1">{"'CptDifn'!$AA$32:$AG$32"}</definedName>
    <definedName name="hjghjf_1" localSheetId="20" hidden="1">{"'CptDifn'!$AA$32:$AG$32"}</definedName>
    <definedName name="hjghjf_1" hidden="1">{"'CptDifn'!$AA$32:$AG$32"}</definedName>
    <definedName name="hjghjf_1_1" localSheetId="20" hidden="1">{"'CptDifn'!$AA$32:$AG$32"}</definedName>
    <definedName name="hjghjf_1_1" hidden="1">{"'CptDifn'!$AA$32:$AG$32"}</definedName>
    <definedName name="hjghjf_1_1_1" localSheetId="20" hidden="1">{"'CptDifn'!$AA$32:$AG$32"}</definedName>
    <definedName name="hjghjf_1_1_1" hidden="1">{"'CptDifn'!$AA$32:$AG$32"}</definedName>
    <definedName name="hjghjf_1_2" localSheetId="20" hidden="1">{"'CptDifn'!$AA$32:$AG$32"}</definedName>
    <definedName name="hjghjf_1_2" hidden="1">{"'CptDifn'!$AA$32:$AG$32"}</definedName>
    <definedName name="hjghjf_2" localSheetId="20" hidden="1">{"'CptDifn'!$AA$32:$AG$32"}</definedName>
    <definedName name="hjghjf_2" hidden="1">{"'CptDifn'!$AA$32:$AG$32"}</definedName>
    <definedName name="hjghkm" localSheetId="20" hidden="1">{"'CptDifn'!$AA$32:$AG$32"}</definedName>
    <definedName name="hjghkm" hidden="1">{"'CptDifn'!$AA$32:$AG$32"}</definedName>
    <definedName name="hjghkm_1" localSheetId="20" hidden="1">{"'CptDifn'!$AA$32:$AG$32"}</definedName>
    <definedName name="hjghkm_1" hidden="1">{"'CptDifn'!$AA$32:$AG$32"}</definedName>
    <definedName name="hjghkm_1_1" localSheetId="20" hidden="1">{"'CptDifn'!$AA$32:$AG$32"}</definedName>
    <definedName name="hjghkm_1_1" hidden="1">{"'CptDifn'!$AA$32:$AG$32"}</definedName>
    <definedName name="hjghkm_1_1_1" localSheetId="20" hidden="1">{"'CptDifn'!$AA$32:$AG$32"}</definedName>
    <definedName name="hjghkm_1_1_1" hidden="1">{"'CptDifn'!$AA$32:$AG$32"}</definedName>
    <definedName name="hjghkm_1_2" localSheetId="20" hidden="1">{"'CptDifn'!$AA$32:$AG$32"}</definedName>
    <definedName name="hjghkm_1_2" hidden="1">{"'CptDifn'!$AA$32:$AG$32"}</definedName>
    <definedName name="hjghkm_2" localSheetId="20" hidden="1">{"'CptDifn'!$AA$32:$AG$32"}</definedName>
    <definedName name="hjghkm_2" hidden="1">{"'CptDifn'!$AA$32:$AG$32"}</definedName>
    <definedName name="hjhjhjhju" localSheetId="20" hidden="1">{#N/A,#N/A,FALSE,"MO (2)"}</definedName>
    <definedName name="hjhjhjhju" hidden="1">{#N/A,#N/A,FALSE,"MO (2)"}</definedName>
    <definedName name="hkgkhj" localSheetId="20" hidden="1">{"'CptDifn'!$AA$32:$AG$32"}</definedName>
    <definedName name="hkgkhj" hidden="1">{"'CptDifn'!$AA$32:$AG$32"}</definedName>
    <definedName name="hkgkhj_1" localSheetId="20" hidden="1">{"'CptDifn'!$AA$32:$AG$32"}</definedName>
    <definedName name="hkgkhj_1" hidden="1">{"'CptDifn'!$AA$32:$AG$32"}</definedName>
    <definedName name="hkgkhj_1_1" localSheetId="20" hidden="1">{"'CptDifn'!$AA$32:$AG$32"}</definedName>
    <definedName name="hkgkhj_1_1" hidden="1">{"'CptDifn'!$AA$32:$AG$32"}</definedName>
    <definedName name="hkgkhj_1_1_1" localSheetId="20" hidden="1">{"'CptDifn'!$AA$32:$AG$32"}</definedName>
    <definedName name="hkgkhj_1_1_1" hidden="1">{"'CptDifn'!$AA$32:$AG$32"}</definedName>
    <definedName name="hkgkhj_1_2" localSheetId="20" hidden="1">{"'CptDifn'!$AA$32:$AG$32"}</definedName>
    <definedName name="hkgkhj_1_2" hidden="1">{"'CptDifn'!$AA$32:$AG$32"}</definedName>
    <definedName name="hkgkhj_2" localSheetId="20" hidden="1">{"'CptDifn'!$AA$32:$AG$32"}</definedName>
    <definedName name="hkgkhj_2" hidden="1">{"'CptDifn'!$AA$32:$AG$32"}</definedName>
    <definedName name="hkjhjkhkj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2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2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lç" localSheetId="20" hidden="1">{"'Quadro'!$A$4:$BG$78"}</definedName>
    <definedName name="hlç" hidden="1">{"'Quadro'!$A$4:$BG$78"}</definedName>
    <definedName name="hlç_1" localSheetId="20" hidden="1">{"'Quadro'!$A$4:$BG$78"}</definedName>
    <definedName name="hlç_1" hidden="1">{"'Quadro'!$A$4:$BG$78"}</definedName>
    <definedName name="hlç_1_1" localSheetId="20" hidden="1">{"'Quadro'!$A$4:$BG$78"}</definedName>
    <definedName name="hlç_1_1" hidden="1">{"'Quadro'!$A$4:$BG$78"}</definedName>
    <definedName name="hlç_1_1_1" localSheetId="20" hidden="1">{"'Quadro'!$A$4:$BG$78"}</definedName>
    <definedName name="hlç_1_1_1" hidden="1">{"'Quadro'!$A$4:$BG$78"}</definedName>
    <definedName name="hlç_1_2" localSheetId="20" hidden="1">{"'Quadro'!$A$4:$BG$78"}</definedName>
    <definedName name="hlç_1_2" hidden="1">{"'Quadro'!$A$4:$BG$78"}</definedName>
    <definedName name="hlç_2" localSheetId="20" hidden="1">{"'Quadro'!$A$4:$BG$78"}</definedName>
    <definedName name="hlç_2" hidden="1">{"'Quadro'!$A$4:$BG$78"}</definedName>
    <definedName name="Hmís" localSheetId="21">NA()</definedName>
    <definedName name="Hmís">NA()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je" hidden="1">#REF!</definedName>
    <definedName name="hora">#REF!</definedName>
    <definedName name="hora_1">#REF!</definedName>
    <definedName name="horaam">#REF!</definedName>
    <definedName name="horaenc">#REF!</definedName>
    <definedName name="HORAMÁQUINA">#REF!</definedName>
    <definedName name="horaseven">#REF!</definedName>
    <definedName name="HP">#REF!</definedName>
    <definedName name="HP.1">#REF!</definedName>
    <definedName name="Hpap" localSheetId="21">NA()</definedName>
    <definedName name="Hpap">NA()</definedName>
    <definedName name="HRA" localSheetId="20" hidden="1">{#N/A,#N/A,FALSE,"ORC-ACKE";#N/A,#N/A,FALSE,"RESUMO"}</definedName>
    <definedName name="HRA" hidden="1">{#N/A,#N/A,FALSE,"ORC-ACKE";#N/A,#N/A,FALSE,"RESUMO"}</definedName>
    <definedName name="hrb">#REF!</definedName>
    <definedName name="hrf">#N/A</definedName>
    <definedName name="hrfghre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S" localSheetId="20" hidden="1">{#N/A,#N/A,FALSE,"EXPORTAC";#N/A,#N/A,FALSE,"SUPEL94"}</definedName>
    <definedName name="HS" hidden="1">{#N/A,#N/A,FALSE,"EXPORTAC";#N/A,#N/A,FALSE,"SUPEL94"}</definedName>
    <definedName name="HS_1" localSheetId="20" hidden="1">{#N/A,#N/A,FALSE,"EXPORTAC";#N/A,#N/A,FALSE,"SUPEL94"}</definedName>
    <definedName name="HS_1" hidden="1">{#N/A,#N/A,FALSE,"EXPORTAC";#N/A,#N/A,FALSE,"SUPEL94"}</definedName>
    <definedName name="HS_1_1" localSheetId="20" hidden="1">{#N/A,#N/A,FALSE,"EXPORTAC";#N/A,#N/A,FALSE,"SUPEL94"}</definedName>
    <definedName name="HS_1_1" hidden="1">{#N/A,#N/A,FALSE,"EXPORTAC";#N/A,#N/A,FALSE,"SUPEL94"}</definedName>
    <definedName name="HS_1_1_1" localSheetId="20" hidden="1">{#N/A,#N/A,FALSE,"EXPORTAC";#N/A,#N/A,FALSE,"SUPEL94"}</definedName>
    <definedName name="HS_1_1_1" hidden="1">{#N/A,#N/A,FALSE,"EXPORTAC";#N/A,#N/A,FALSE,"SUPEL94"}</definedName>
    <definedName name="HS_1_2" localSheetId="20" hidden="1">{#N/A,#N/A,FALSE,"EXPORTAC";#N/A,#N/A,FALSE,"SUPEL94"}</definedName>
    <definedName name="HS_1_2" hidden="1">{#N/A,#N/A,FALSE,"EXPORTAC";#N/A,#N/A,FALSE,"SUPEL94"}</definedName>
    <definedName name="HS_2" localSheetId="20" hidden="1">{#N/A,#N/A,FALSE,"EXPORTAC";#N/A,#N/A,FALSE,"SUPEL94"}</definedName>
    <definedName name="HS_2" hidden="1">{#N/A,#N/A,FALSE,"EXPORTAC";#N/A,#N/A,FALSE,"SUPEL94"}</definedName>
    <definedName name="hsdjsg">#REF!</definedName>
    <definedName name="HSERV">#REF!</definedName>
    <definedName name="htdfjty" localSheetId="20" hidden="1">{"det (May)",#N/A,FALSE,"June";"sum (MAY YTD)",#N/A,FALSE,"June YTD"}</definedName>
    <definedName name="htdfjty" hidden="1">{"det (May)",#N/A,FALSE,"June";"sum (MAY YTD)",#N/A,FALSE,"June YTD"}</definedName>
    <definedName name="htdfjty_1" localSheetId="20" hidden="1">{"det (May)",#N/A,FALSE,"June";"sum (MAY YTD)",#N/A,FALSE,"June YTD"}</definedName>
    <definedName name="htdfjty_1" hidden="1">{"det (May)",#N/A,FALSE,"June";"sum (MAY YTD)",#N/A,FALSE,"June YTD"}</definedName>
    <definedName name="htdfjty_1_1" localSheetId="20" hidden="1">{"det (May)",#N/A,FALSE,"June";"sum (MAY YTD)",#N/A,FALSE,"June YTD"}</definedName>
    <definedName name="htdfjty_1_1" hidden="1">{"det (May)",#N/A,FALSE,"June";"sum (MAY YTD)",#N/A,FALSE,"June YTD"}</definedName>
    <definedName name="htdfjty_1_1_1" localSheetId="20" hidden="1">{"det (May)",#N/A,FALSE,"June";"sum (MAY YTD)",#N/A,FALSE,"June YTD"}</definedName>
    <definedName name="htdfjty_1_1_1" hidden="1">{"det (May)",#N/A,FALSE,"June";"sum (MAY YTD)",#N/A,FALSE,"June YTD"}</definedName>
    <definedName name="htdfjty_1_2" localSheetId="20" hidden="1">{"det (May)",#N/A,FALSE,"June";"sum (MAY YTD)",#N/A,FALSE,"June YTD"}</definedName>
    <definedName name="htdfjty_1_2" hidden="1">{"det (May)",#N/A,FALSE,"June";"sum (MAY YTD)",#N/A,FALSE,"June YTD"}</definedName>
    <definedName name="htdfjty_2" localSheetId="20" hidden="1">{"det (May)",#N/A,FALSE,"June";"sum (MAY YTD)",#N/A,FALSE,"June YTD"}</definedName>
    <definedName name="htdfjty_2" hidden="1">{"det (May)",#N/A,FALSE,"June";"sum (MAY YTD)",#N/A,FALSE,"June YTD"}</definedName>
    <definedName name="hthj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localSheetId="20" hidden="1">{"'Plan1 (2)'!$A$5:$F$63"}</definedName>
    <definedName name="htm" hidden="1">{"'Plan1 (2)'!$A$5:$F$63"}</definedName>
    <definedName name="htmal_control3" localSheetId="20" hidden="1">{"'RR'!$A$2:$E$81"}</definedName>
    <definedName name="htmal_control3" hidden="1">{"'RR'!$A$2:$E$81"}</definedName>
    <definedName name="htmal_control3_1" localSheetId="20" hidden="1">{"'RR'!$A$2:$E$81"}</definedName>
    <definedName name="htmal_control3_1" hidden="1">{"'RR'!$A$2:$E$81"}</definedName>
    <definedName name="htmal_control3_1_1" localSheetId="20" hidden="1">{"'RR'!$A$2:$E$81"}</definedName>
    <definedName name="htmal_control3_1_1" hidden="1">{"'RR'!$A$2:$E$81"}</definedName>
    <definedName name="htmal_control3_1_1_1" localSheetId="20" hidden="1">{"'RR'!$A$2:$E$81"}</definedName>
    <definedName name="htmal_control3_1_1_1" hidden="1">{"'RR'!$A$2:$E$81"}</definedName>
    <definedName name="htmal_control3_1_2" localSheetId="20" hidden="1">{"'RR'!$A$2:$E$81"}</definedName>
    <definedName name="htmal_control3_1_2" hidden="1">{"'RR'!$A$2:$E$81"}</definedName>
    <definedName name="htmal_control3_2" localSheetId="20" hidden="1">{"'RR'!$A$2:$E$81"}</definedName>
    <definedName name="htmal_control3_2" hidden="1">{"'RR'!$A$2:$E$81"}</definedName>
    <definedName name="htmal_control4" localSheetId="20" hidden="1">{"'RR'!$A$2:$E$81"}</definedName>
    <definedName name="htmal_control4" hidden="1">{"'RR'!$A$2:$E$81"}</definedName>
    <definedName name="htmal_control4_1" localSheetId="20" hidden="1">{"'RR'!$A$2:$E$81"}</definedName>
    <definedName name="htmal_control4_1" hidden="1">{"'RR'!$A$2:$E$81"}</definedName>
    <definedName name="htmal_control4_1_1" localSheetId="20" hidden="1">{"'RR'!$A$2:$E$81"}</definedName>
    <definedName name="htmal_control4_1_1" hidden="1">{"'RR'!$A$2:$E$81"}</definedName>
    <definedName name="htmal_control4_1_1_1" localSheetId="20" hidden="1">{"'RR'!$A$2:$E$81"}</definedName>
    <definedName name="htmal_control4_1_1_1" hidden="1">{"'RR'!$A$2:$E$81"}</definedName>
    <definedName name="htmal_control4_1_2" localSheetId="20" hidden="1">{"'RR'!$A$2:$E$81"}</definedName>
    <definedName name="htmal_control4_1_2" hidden="1">{"'RR'!$A$2:$E$81"}</definedName>
    <definedName name="htmal_control4_2" localSheetId="20" hidden="1">{"'RR'!$A$2:$E$81"}</definedName>
    <definedName name="htmal_control4_2" hidden="1">{"'RR'!$A$2:$E$81"}</definedName>
    <definedName name="htmal_control5" localSheetId="20" hidden="1">{"'RR'!$A$2:$E$81"}</definedName>
    <definedName name="htmal_control5" hidden="1">{"'RR'!$A$2:$E$81"}</definedName>
    <definedName name="htmal_control5_1" localSheetId="20" hidden="1">{"'RR'!$A$2:$E$81"}</definedName>
    <definedName name="htmal_control5_1" hidden="1">{"'RR'!$A$2:$E$81"}</definedName>
    <definedName name="htmal_control5_1_1" localSheetId="20" hidden="1">{"'RR'!$A$2:$E$81"}</definedName>
    <definedName name="htmal_control5_1_1" hidden="1">{"'RR'!$A$2:$E$81"}</definedName>
    <definedName name="htmal_control5_1_1_1" localSheetId="20" hidden="1">{"'RR'!$A$2:$E$81"}</definedName>
    <definedName name="htmal_control5_1_1_1" hidden="1">{"'RR'!$A$2:$E$81"}</definedName>
    <definedName name="htmal_control5_1_2" localSheetId="20" hidden="1">{"'RR'!$A$2:$E$81"}</definedName>
    <definedName name="htmal_control5_1_2" hidden="1">{"'RR'!$A$2:$E$81"}</definedName>
    <definedName name="htmal_control5_2" localSheetId="20" hidden="1">{"'RR'!$A$2:$E$81"}</definedName>
    <definedName name="htmal_control5_2" hidden="1">{"'RR'!$A$2:$E$81"}</definedName>
    <definedName name="htmal_control6" localSheetId="20" hidden="1">{"'RR'!$A$2:$E$81"}</definedName>
    <definedName name="htmal_control6" hidden="1">{"'RR'!$A$2:$E$81"}</definedName>
    <definedName name="htmal_control6_1" localSheetId="20" hidden="1">{"'RR'!$A$2:$E$81"}</definedName>
    <definedName name="htmal_control6_1" hidden="1">{"'RR'!$A$2:$E$81"}</definedName>
    <definedName name="htmal_control6_1_1" localSheetId="20" hidden="1">{"'RR'!$A$2:$E$81"}</definedName>
    <definedName name="htmal_control6_1_1" hidden="1">{"'RR'!$A$2:$E$81"}</definedName>
    <definedName name="htmal_control6_1_1_1" localSheetId="20" hidden="1">{"'RR'!$A$2:$E$81"}</definedName>
    <definedName name="htmal_control6_1_1_1" hidden="1">{"'RR'!$A$2:$E$81"}</definedName>
    <definedName name="htmal_control6_1_2" localSheetId="20" hidden="1">{"'RR'!$A$2:$E$81"}</definedName>
    <definedName name="htmal_control6_1_2" hidden="1">{"'RR'!$A$2:$E$81"}</definedName>
    <definedName name="htmal_control6_2" localSheetId="20" hidden="1">{"'RR'!$A$2:$E$81"}</definedName>
    <definedName name="htmal_control6_2" hidden="1">{"'RR'!$A$2:$E$81"}</definedName>
    <definedName name="htmal_control7" localSheetId="20" hidden="1">{"'RR'!$A$2:$E$81"}</definedName>
    <definedName name="htmal_control7" hidden="1">{"'RR'!$A$2:$E$81"}</definedName>
    <definedName name="htmal_control7_1" localSheetId="20" hidden="1">{"'RR'!$A$2:$E$81"}</definedName>
    <definedName name="htmal_control7_1" hidden="1">{"'RR'!$A$2:$E$81"}</definedName>
    <definedName name="htmal_control7_1_1" localSheetId="20" hidden="1">{"'RR'!$A$2:$E$81"}</definedName>
    <definedName name="htmal_control7_1_1" hidden="1">{"'RR'!$A$2:$E$81"}</definedName>
    <definedName name="htmal_control7_1_1_1" localSheetId="20" hidden="1">{"'RR'!$A$2:$E$81"}</definedName>
    <definedName name="htmal_control7_1_1_1" hidden="1">{"'RR'!$A$2:$E$81"}</definedName>
    <definedName name="htmal_control7_1_2" localSheetId="20" hidden="1">{"'RR'!$A$2:$E$81"}</definedName>
    <definedName name="htmal_control7_1_2" hidden="1">{"'RR'!$A$2:$E$81"}</definedName>
    <definedName name="htmal_control7_2" localSheetId="20" hidden="1">{"'RR'!$A$2:$E$81"}</definedName>
    <definedName name="htmal_control7_2" hidden="1">{"'RR'!$A$2:$E$81"}</definedName>
    <definedName name="htmal_control8" localSheetId="20" hidden="1">{"'RR'!$A$2:$E$81"}</definedName>
    <definedName name="htmal_control8" hidden="1">{"'RR'!$A$2:$E$81"}</definedName>
    <definedName name="htmal_control8_1" localSheetId="20" hidden="1">{"'RR'!$A$2:$E$81"}</definedName>
    <definedName name="htmal_control8_1" hidden="1">{"'RR'!$A$2:$E$81"}</definedName>
    <definedName name="htmal_control8_1_1" localSheetId="20" hidden="1">{"'RR'!$A$2:$E$81"}</definedName>
    <definedName name="htmal_control8_1_1" hidden="1">{"'RR'!$A$2:$E$81"}</definedName>
    <definedName name="htmal_control8_1_1_1" localSheetId="20" hidden="1">{"'RR'!$A$2:$E$81"}</definedName>
    <definedName name="htmal_control8_1_1_1" hidden="1">{"'RR'!$A$2:$E$81"}</definedName>
    <definedName name="htmal_control8_1_2" localSheetId="20" hidden="1">{"'RR'!$A$2:$E$81"}</definedName>
    <definedName name="htmal_control8_1_2" hidden="1">{"'RR'!$A$2:$E$81"}</definedName>
    <definedName name="htmal_control8_2" localSheetId="20" hidden="1">{"'RR'!$A$2:$E$81"}</definedName>
    <definedName name="htmal_control8_2" hidden="1">{"'RR'!$A$2:$E$81"}</definedName>
    <definedName name="HTML" hidden="1">FALSE</definedName>
    <definedName name="HTML_C" localSheetId="20" hidden="1">{"'RR'!$A$2:$E$81"}</definedName>
    <definedName name="HTML_C" hidden="1">{"'RR'!$A$2:$E$81"}</definedName>
    <definedName name="HTML_C_1" localSheetId="20" hidden="1">{"'RR'!$A$2:$E$81"}</definedName>
    <definedName name="HTML_C_1" hidden="1">{"'RR'!$A$2:$E$81"}</definedName>
    <definedName name="HTML_C_1_1" localSheetId="20" hidden="1">{"'RR'!$A$2:$E$81"}</definedName>
    <definedName name="HTML_C_1_1" hidden="1">{"'RR'!$A$2:$E$81"}</definedName>
    <definedName name="HTML_C_1_1_1" localSheetId="20" hidden="1">{"'RR'!$A$2:$E$81"}</definedName>
    <definedName name="HTML_C_1_1_1" hidden="1">{"'RR'!$A$2:$E$81"}</definedName>
    <definedName name="HTML_C_1_2" localSheetId="20" hidden="1">{"'RR'!$A$2:$E$81"}</definedName>
    <definedName name="HTML_C_1_2" hidden="1">{"'RR'!$A$2:$E$81"}</definedName>
    <definedName name="HTML_C_2" localSheetId="20" hidden="1">{"'RR'!$A$2:$E$81"}</definedName>
    <definedName name="HTML_C_2" hidden="1">{"'RR'!$A$2:$E$81"}</definedName>
    <definedName name="HTML_CodePage" hidden="1">1252</definedName>
    <definedName name="HTML_Control" localSheetId="20" hidden="1">{"'Plan1 (2)'!$A$5:$F$63"}</definedName>
    <definedName name="HTML_Control" hidden="1">{"'Plan1 (2)'!$A$5:$F$63"}</definedName>
    <definedName name="HTML_Control_1" localSheetId="20" hidden="1">{"'REL CUSTODIF'!$B$1:$H$72"}</definedName>
    <definedName name="HTML_Control_1" hidden="1">{"'REL CUSTODIF'!$B$1:$H$72"}</definedName>
    <definedName name="HTML_Control_1_1" localSheetId="20" hidden="1">{"'REL CUSTODIF'!$B$1:$H$72"}</definedName>
    <definedName name="HTML_Control_1_1" hidden="1">{"'REL CUSTODIF'!$B$1:$H$72"}</definedName>
    <definedName name="HTML_Control_1_1_1" localSheetId="20" hidden="1">{"'REL CUSTODIF'!$B$1:$H$72"}</definedName>
    <definedName name="HTML_Control_1_1_1" hidden="1">{"'REL CUSTODIF'!$B$1:$H$72"}</definedName>
    <definedName name="HTML_Control_1_2" localSheetId="20" hidden="1">{"'REL CUSTODIF'!$B$1:$H$72"}</definedName>
    <definedName name="HTML_Control_1_2" hidden="1">{"'REL CUSTODIF'!$B$1:$H$72"}</definedName>
    <definedName name="HTML_Control_2" localSheetId="20" hidden="1">{"'ReceitaLiquidaME'!$AA$25:$AN$32"}</definedName>
    <definedName name="HTML_Control_2" hidden="1">{"'ReceitaLiquidaME'!$AA$25:$AN$32"}</definedName>
    <definedName name="HTML_Control_2_1" localSheetId="20" hidden="1">{"'ReceitaLiquidaME'!$AA$25:$AN$32"}</definedName>
    <definedName name="HTML_Control_2_1" hidden="1">{"'ReceitaLiquidaME'!$AA$25:$AN$32"}</definedName>
    <definedName name="HTML_Control_2_1_1" localSheetId="20" hidden="1">{"'ReceitaLiquidaME'!$AA$25:$AN$32"}</definedName>
    <definedName name="HTML_Control_2_1_1" hidden="1">{"'ReceitaLiquidaME'!$AA$25:$AN$32"}</definedName>
    <definedName name="HTML_Control_2_1_1_1" localSheetId="20" hidden="1">{"'ReceitaLiquidaME'!$AA$25:$AN$32"}</definedName>
    <definedName name="HTML_Control_2_1_1_1" hidden="1">{"'ReceitaLiquidaME'!$AA$25:$AN$32"}</definedName>
    <definedName name="HTML_Control_2_1_2" localSheetId="20" hidden="1">{"'ReceitaLiquidaME'!$AA$25:$AN$32"}</definedName>
    <definedName name="HTML_Control_2_1_2" hidden="1">{"'ReceitaLiquidaME'!$AA$25:$AN$32"}</definedName>
    <definedName name="HTML_Control_2_2" localSheetId="20" hidden="1">{"'ReceitaLiquidaME'!$AA$25:$AN$32"}</definedName>
    <definedName name="HTML_Control_2_2" hidden="1">{"'ReceitaLiquidaME'!$AA$25:$AN$32"}</definedName>
    <definedName name="HTML_Control_3" localSheetId="20" hidden="1">{"'REL CUSTODIF'!$B$1:$H$72"}</definedName>
    <definedName name="HTML_Control_3" hidden="1">{"'REL CUSTODIF'!$B$1:$H$72"}</definedName>
    <definedName name="HTML_Control1" localSheetId="20" hidden="1">{"'Placar Intranet'!$A$2:$K$24"}</definedName>
    <definedName name="HTML_Control1" hidden="1">{"'Placar Intranet'!$A$2:$K$24"}</definedName>
    <definedName name="HTML_Control1_1" localSheetId="20" hidden="1">{"'Placar Intranet'!$A$2:$K$24"}</definedName>
    <definedName name="HTML_Control1_1" hidden="1">{"'Placar Intranet'!$A$2:$K$24"}</definedName>
    <definedName name="HTML_Control1_1_1" localSheetId="20" hidden="1">{"'Placar Intranet'!$A$2:$K$24"}</definedName>
    <definedName name="HTML_Control1_1_1" hidden="1">{"'Placar Intranet'!$A$2:$K$24"}</definedName>
    <definedName name="HTML_Control1_1_1_1" localSheetId="20" hidden="1">{"'Placar Intranet'!$A$2:$K$24"}</definedName>
    <definedName name="HTML_Control1_1_1_1" hidden="1">{"'Placar Intranet'!$A$2:$K$24"}</definedName>
    <definedName name="HTML_Control1_1_2" localSheetId="20" hidden="1">{"'Placar Intranet'!$A$2:$K$24"}</definedName>
    <definedName name="HTML_Control1_1_2" hidden="1">{"'Placar Intranet'!$A$2:$K$24"}</definedName>
    <definedName name="HTML_Control1_2" localSheetId="20" hidden="1">{"'Placar Intranet'!$A$2:$K$24"}</definedName>
    <definedName name="HTML_Control1_2" hidden="1">{"'Placar Intranet'!$A$2:$K$24"}</definedName>
    <definedName name="html_control10" localSheetId="20" hidden="1">{"'RR'!$A$2:$E$81"}</definedName>
    <definedName name="html_control10" hidden="1">{"'RR'!$A$2:$E$81"}</definedName>
    <definedName name="html_control10_1" localSheetId="20" hidden="1">{"'RR'!$A$2:$E$81"}</definedName>
    <definedName name="html_control10_1" hidden="1">{"'RR'!$A$2:$E$81"}</definedName>
    <definedName name="html_control10_1_1" localSheetId="20" hidden="1">{"'RR'!$A$2:$E$81"}</definedName>
    <definedName name="html_control10_1_1" hidden="1">{"'RR'!$A$2:$E$81"}</definedName>
    <definedName name="html_control10_1_1_1" localSheetId="20" hidden="1">{"'RR'!$A$2:$E$81"}</definedName>
    <definedName name="html_control10_1_1_1" hidden="1">{"'RR'!$A$2:$E$81"}</definedName>
    <definedName name="html_control10_1_2" localSheetId="20" hidden="1">{"'RR'!$A$2:$E$81"}</definedName>
    <definedName name="html_control10_1_2" hidden="1">{"'RR'!$A$2:$E$81"}</definedName>
    <definedName name="html_control10_2" localSheetId="20" hidden="1">{"'RR'!$A$2:$E$81"}</definedName>
    <definedName name="html_control10_2" hidden="1">{"'RR'!$A$2:$E$81"}</definedName>
    <definedName name="html_control11" localSheetId="20" hidden="1">{"'RR'!$A$2:$E$81"}</definedName>
    <definedName name="html_control11" hidden="1">{"'RR'!$A$2:$E$81"}</definedName>
    <definedName name="html_control11_1" localSheetId="20" hidden="1">{"'RR'!$A$2:$E$81"}</definedName>
    <definedName name="html_control11_1" hidden="1">{"'RR'!$A$2:$E$81"}</definedName>
    <definedName name="html_control11_1_1" localSheetId="20" hidden="1">{"'RR'!$A$2:$E$81"}</definedName>
    <definedName name="html_control11_1_1" hidden="1">{"'RR'!$A$2:$E$81"}</definedName>
    <definedName name="html_control11_1_1_1" localSheetId="20" hidden="1">{"'RR'!$A$2:$E$81"}</definedName>
    <definedName name="html_control11_1_1_1" hidden="1">{"'RR'!$A$2:$E$81"}</definedName>
    <definedName name="html_control11_1_2" localSheetId="20" hidden="1">{"'RR'!$A$2:$E$81"}</definedName>
    <definedName name="html_control11_1_2" hidden="1">{"'RR'!$A$2:$E$81"}</definedName>
    <definedName name="html_control11_2" localSheetId="20" hidden="1">{"'RR'!$A$2:$E$81"}</definedName>
    <definedName name="html_control11_2" hidden="1">{"'RR'!$A$2:$E$81"}</definedName>
    <definedName name="html_control12" localSheetId="20" hidden="1">{"'RR'!$A$2:$E$81"}</definedName>
    <definedName name="html_control12" hidden="1">{"'RR'!$A$2:$E$81"}</definedName>
    <definedName name="html_control12_1" localSheetId="20" hidden="1">{"'RR'!$A$2:$E$81"}</definedName>
    <definedName name="html_control12_1" hidden="1">{"'RR'!$A$2:$E$81"}</definedName>
    <definedName name="html_control12_1_1" localSheetId="20" hidden="1">{"'RR'!$A$2:$E$81"}</definedName>
    <definedName name="html_control12_1_1" hidden="1">{"'RR'!$A$2:$E$81"}</definedName>
    <definedName name="html_control12_1_1_1" localSheetId="20" hidden="1">{"'RR'!$A$2:$E$81"}</definedName>
    <definedName name="html_control12_1_1_1" hidden="1">{"'RR'!$A$2:$E$81"}</definedName>
    <definedName name="html_control12_1_2" localSheetId="20" hidden="1">{"'RR'!$A$2:$E$81"}</definedName>
    <definedName name="html_control12_1_2" hidden="1">{"'RR'!$A$2:$E$81"}</definedName>
    <definedName name="html_control12_2" localSheetId="20" hidden="1">{"'RR'!$A$2:$E$81"}</definedName>
    <definedName name="html_control12_2" hidden="1">{"'RR'!$A$2:$E$81"}</definedName>
    <definedName name="html_control13" localSheetId="20" hidden="1">{"'RR'!$A$2:$E$81"}</definedName>
    <definedName name="html_control13" hidden="1">{"'RR'!$A$2:$E$81"}</definedName>
    <definedName name="html_control13_1" localSheetId="20" hidden="1">{"'RR'!$A$2:$E$81"}</definedName>
    <definedName name="html_control13_1" hidden="1">{"'RR'!$A$2:$E$81"}</definedName>
    <definedName name="html_control13_1_1" localSheetId="20" hidden="1">{"'RR'!$A$2:$E$81"}</definedName>
    <definedName name="html_control13_1_1" hidden="1">{"'RR'!$A$2:$E$81"}</definedName>
    <definedName name="html_control13_1_1_1" localSheetId="20" hidden="1">{"'RR'!$A$2:$E$81"}</definedName>
    <definedName name="html_control13_1_1_1" hidden="1">{"'RR'!$A$2:$E$81"}</definedName>
    <definedName name="html_control13_1_2" localSheetId="20" hidden="1">{"'RR'!$A$2:$E$81"}</definedName>
    <definedName name="html_control13_1_2" hidden="1">{"'RR'!$A$2:$E$81"}</definedName>
    <definedName name="html_control13_2" localSheetId="20" hidden="1">{"'RR'!$A$2:$E$81"}</definedName>
    <definedName name="html_control13_2" hidden="1">{"'RR'!$A$2:$E$81"}</definedName>
    <definedName name="html_control14" localSheetId="20" hidden="1">{"'RR'!$A$2:$E$81"}</definedName>
    <definedName name="html_control14" hidden="1">{"'RR'!$A$2:$E$81"}</definedName>
    <definedName name="html_control14_1" localSheetId="20" hidden="1">{"'RR'!$A$2:$E$81"}</definedName>
    <definedName name="html_control14_1" hidden="1">{"'RR'!$A$2:$E$81"}</definedName>
    <definedName name="html_control14_1_1" localSheetId="20" hidden="1">{"'RR'!$A$2:$E$81"}</definedName>
    <definedName name="html_control14_1_1" hidden="1">{"'RR'!$A$2:$E$81"}</definedName>
    <definedName name="html_control14_1_1_1" localSheetId="20" hidden="1">{"'RR'!$A$2:$E$81"}</definedName>
    <definedName name="html_control14_1_1_1" hidden="1">{"'RR'!$A$2:$E$81"}</definedName>
    <definedName name="html_control14_1_2" localSheetId="20" hidden="1">{"'RR'!$A$2:$E$81"}</definedName>
    <definedName name="html_control14_1_2" hidden="1">{"'RR'!$A$2:$E$81"}</definedName>
    <definedName name="html_control14_2" localSheetId="20" hidden="1">{"'RR'!$A$2:$E$81"}</definedName>
    <definedName name="html_control14_2" hidden="1">{"'RR'!$A$2:$E$81"}</definedName>
    <definedName name="html_control2" localSheetId="20" hidden="1">{"'RR'!$A$2:$E$81"}</definedName>
    <definedName name="html_control2" hidden="1">{"'RR'!$A$2:$E$81"}</definedName>
    <definedName name="html_control2_1" localSheetId="20" hidden="1">{"'RR'!$A$2:$E$81"}</definedName>
    <definedName name="html_control2_1" hidden="1">{"'RR'!$A$2:$E$81"}</definedName>
    <definedName name="html_control2_1_1" localSheetId="20" hidden="1">{"'RR'!$A$2:$E$81"}</definedName>
    <definedName name="html_control2_1_1" hidden="1">{"'RR'!$A$2:$E$81"}</definedName>
    <definedName name="html_control2_1_1_1" localSheetId="20" hidden="1">{"'RR'!$A$2:$E$81"}</definedName>
    <definedName name="html_control2_1_1_1" hidden="1">{"'RR'!$A$2:$E$81"}</definedName>
    <definedName name="html_control2_1_2" localSheetId="20" hidden="1">{"'RR'!$A$2:$E$81"}</definedName>
    <definedName name="html_control2_1_2" hidden="1">{"'RR'!$A$2:$E$81"}</definedName>
    <definedName name="html_control2_2" localSheetId="20" hidden="1">{"'RR'!$A$2:$E$81"}</definedName>
    <definedName name="html_control2_2" hidden="1">{"'RR'!$A$2:$E$81"}</definedName>
    <definedName name="HTML_CONTROL20" localSheetId="20" hidden="1">{"'RR'!$A$2:$E$81"}</definedName>
    <definedName name="HTML_CONTROL20" hidden="1">{"'RR'!$A$2:$E$81"}</definedName>
    <definedName name="HTML_CONTROL20_1" localSheetId="20" hidden="1">{"'RR'!$A$2:$E$81"}</definedName>
    <definedName name="HTML_CONTROL20_1" hidden="1">{"'RR'!$A$2:$E$81"}</definedName>
    <definedName name="HTML_CONTROL20_1_1" localSheetId="20" hidden="1">{"'RR'!$A$2:$E$81"}</definedName>
    <definedName name="HTML_CONTROL20_1_1" hidden="1">{"'RR'!$A$2:$E$81"}</definedName>
    <definedName name="HTML_CONTROL20_1_1_1" localSheetId="20" hidden="1">{"'RR'!$A$2:$E$81"}</definedName>
    <definedName name="HTML_CONTROL20_1_1_1" hidden="1">{"'RR'!$A$2:$E$81"}</definedName>
    <definedName name="HTML_CONTROL20_1_2" localSheetId="20" hidden="1">{"'RR'!$A$2:$E$81"}</definedName>
    <definedName name="HTML_CONTROL20_1_2" hidden="1">{"'RR'!$A$2:$E$81"}</definedName>
    <definedName name="HTML_CONTROL20_2" localSheetId="20" hidden="1">{"'RR'!$A$2:$E$81"}</definedName>
    <definedName name="HTML_CONTROL20_2" hidden="1">{"'RR'!$A$2:$E$81"}</definedName>
    <definedName name="HTML_CONTROL21" localSheetId="20" hidden="1">{"'RR'!$A$2:$E$81"}</definedName>
    <definedName name="HTML_CONTROL21" hidden="1">{"'RR'!$A$2:$E$81"}</definedName>
    <definedName name="HTML_CONTROL21_1" localSheetId="20" hidden="1">{"'RR'!$A$2:$E$81"}</definedName>
    <definedName name="HTML_CONTROL21_1" hidden="1">{"'RR'!$A$2:$E$81"}</definedName>
    <definedName name="HTML_CONTROL21_1_1" localSheetId="20" hidden="1">{"'RR'!$A$2:$E$81"}</definedName>
    <definedName name="HTML_CONTROL21_1_1" hidden="1">{"'RR'!$A$2:$E$81"}</definedName>
    <definedName name="HTML_CONTROL21_1_1_1" localSheetId="20" hidden="1">{"'RR'!$A$2:$E$81"}</definedName>
    <definedName name="HTML_CONTROL21_1_1_1" hidden="1">{"'RR'!$A$2:$E$81"}</definedName>
    <definedName name="HTML_CONTROL21_1_2" localSheetId="20" hidden="1">{"'RR'!$A$2:$E$81"}</definedName>
    <definedName name="HTML_CONTROL21_1_2" hidden="1">{"'RR'!$A$2:$E$81"}</definedName>
    <definedName name="HTML_CONTROL21_2" localSheetId="20" hidden="1">{"'RR'!$A$2:$E$81"}</definedName>
    <definedName name="HTML_CONTROL21_2" hidden="1">{"'RR'!$A$2:$E$81"}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PathFileMac" hidden="1">"Macintosh HD:HomePageStuff:New_Home_Page:datafile:histret.html"</definedName>
    <definedName name="HTML_PathTemplate" hidden="1">"F:\Farol Comparativo.htm"</definedName>
    <definedName name="HTML_Title" hidden="1">"Gerência de Administração e Controle de Gestão"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" localSheetId="20" hidden="1">{"'gráf jan00'!$A$1:$AK$41"}</definedName>
    <definedName name="HU" hidden="1">{"'gráf jan00'!$A$1:$AK$41"}</definedName>
    <definedName name="HU_1" localSheetId="20" hidden="1">{"'gráf jan00'!$A$1:$AK$41"}</definedName>
    <definedName name="HU_1" hidden="1">{"'gráf jan00'!$A$1:$AK$41"}</definedName>
    <definedName name="HU_1_1" localSheetId="20" hidden="1">{"'gráf jan00'!$A$1:$AK$41"}</definedName>
    <definedName name="HU_1_1" hidden="1">{"'gráf jan00'!$A$1:$AK$41"}</definedName>
    <definedName name="HU_1_1_1" localSheetId="20" hidden="1">{"'gráf jan00'!$A$1:$AK$41"}</definedName>
    <definedName name="HU_1_1_1" hidden="1">{"'gráf jan00'!$A$1:$AK$41"}</definedName>
    <definedName name="HU_1_2" localSheetId="20" hidden="1">{"'gráf jan00'!$A$1:$AK$41"}</definedName>
    <definedName name="HU_1_2" hidden="1">{"'gráf jan00'!$A$1:$AK$41"}</definedName>
    <definedName name="HU_2" localSheetId="20" hidden="1">{"'gráf jan00'!$A$1:$AK$41"}</definedName>
    <definedName name="HU_2" hidden="1">{"'gráf jan00'!$A$1:$AK$41"}</definedName>
    <definedName name="hva" localSheetId="20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i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" localSheetId="21">#REF!</definedName>
    <definedName name="I">#REF!</definedName>
    <definedName name="I_DRE">#REF!</definedName>
    <definedName name="I_DRE_02">#REF!</definedName>
    <definedName name="I_GAP">#REF!</definedName>
    <definedName name="I_MB">#REF!</definedName>
    <definedName name="I_MB_02">#REF!</definedName>
    <definedName name="I_PAV">#REF!</definedName>
    <definedName name="I_PAV_02">#REF!</definedName>
    <definedName name="I_PAVIMENTAÇÃO">#REF!</definedName>
    <definedName name="I_TER">#REF!</definedName>
    <definedName name="I_TER_02">#REF!</definedName>
    <definedName name="I_TERRAPLENAGEM">#REF!</definedName>
    <definedName name="ic" localSheetId="20" hidden="1">{#N/A,#N/A,FALSE,"지침";#N/A,#N/A,FALSE,"환경분석";#N/A,#N/A,FALSE,"Sheet16"}</definedName>
    <definedName name="ic" hidden="1">{#N/A,#N/A,FALSE,"지침";#N/A,#N/A,FALSE,"환경분석";#N/A,#N/A,FALSE,"Sheet16"}</definedName>
    <definedName name="ic_1" localSheetId="20" hidden="1">{#N/A,#N/A,FALSE,"지침";#N/A,#N/A,FALSE,"환경분석";#N/A,#N/A,FALSE,"Sheet16"}</definedName>
    <definedName name="ic_1" hidden="1">{#N/A,#N/A,FALSE,"지침";#N/A,#N/A,FALSE,"환경분석";#N/A,#N/A,FALSE,"Sheet16"}</definedName>
    <definedName name="ic_1_1" localSheetId="20" hidden="1">{#N/A,#N/A,FALSE,"지침";#N/A,#N/A,FALSE,"환경분석";#N/A,#N/A,FALSE,"Sheet16"}</definedName>
    <definedName name="ic_1_1" hidden="1">{#N/A,#N/A,FALSE,"지침";#N/A,#N/A,FALSE,"환경분석";#N/A,#N/A,FALSE,"Sheet16"}</definedName>
    <definedName name="ic_1_1_1" localSheetId="20" hidden="1">{#N/A,#N/A,FALSE,"지침";#N/A,#N/A,FALSE,"환경분석";#N/A,#N/A,FALSE,"Sheet16"}</definedName>
    <definedName name="ic_1_1_1" hidden="1">{#N/A,#N/A,FALSE,"지침";#N/A,#N/A,FALSE,"환경분석";#N/A,#N/A,FALSE,"Sheet16"}</definedName>
    <definedName name="ic_1_2" localSheetId="20" hidden="1">{#N/A,#N/A,FALSE,"지침";#N/A,#N/A,FALSE,"환경분석";#N/A,#N/A,FALSE,"Sheet16"}</definedName>
    <definedName name="ic_1_2" hidden="1">{#N/A,#N/A,FALSE,"지침";#N/A,#N/A,FALSE,"환경분석";#N/A,#N/A,FALSE,"Sheet16"}</definedName>
    <definedName name="ic_2" localSheetId="20" hidden="1">{#N/A,#N/A,FALSE,"지침";#N/A,#N/A,FALSE,"환경분석";#N/A,#N/A,FALSE,"Sheet16"}</definedName>
    <definedName name="ic_2" hidden="1">{#N/A,#N/A,FALSE,"지침";#N/A,#N/A,FALSE,"환경분석";#N/A,#N/A,FALSE,"Sheet16"}</definedName>
    <definedName name="icd" localSheetId="20" hidden="1">{"'CptDifn'!$AA$32:$AG$32"}</definedName>
    <definedName name="icd" hidden="1">{"'CptDifn'!$AA$32:$AG$32"}</definedName>
    <definedName name="icd_1" localSheetId="20" hidden="1">{"'CptDifn'!$AA$32:$AG$32"}</definedName>
    <definedName name="icd_1" hidden="1">{"'CptDifn'!$AA$32:$AG$32"}</definedName>
    <definedName name="icd_1_1" localSheetId="20" hidden="1">{"'CptDifn'!$AA$32:$AG$32"}</definedName>
    <definedName name="icd_1_1" hidden="1">{"'CptDifn'!$AA$32:$AG$32"}</definedName>
    <definedName name="icd_1_1_1" localSheetId="20" hidden="1">{"'CptDifn'!$AA$32:$AG$32"}</definedName>
    <definedName name="icd_1_1_1" hidden="1">{"'CptDifn'!$AA$32:$AG$32"}</definedName>
    <definedName name="icd_1_2" localSheetId="20" hidden="1">{"'CptDifn'!$AA$32:$AG$32"}</definedName>
    <definedName name="icd_1_2" hidden="1">{"'CptDifn'!$AA$32:$AG$32"}</definedName>
    <definedName name="icd_2" localSheetId="20" hidden="1">{"'CptDifn'!$AA$32:$AG$32"}</definedName>
    <definedName name="icd_2" hidden="1">{"'CptDifn'!$AA$32:$AG$32"}</definedName>
    <definedName name="icm">#NAME?</definedName>
    <definedName name="ICO">#REF!</definedName>
    <definedName name="içuioç" localSheetId="20" hidden="1">{"'gráf jan00'!$A$1:$AK$41"}</definedName>
    <definedName name="içuioç" hidden="1">{"'gráf jan00'!$A$1:$AK$41"}</definedName>
    <definedName name="içuioç_1" localSheetId="20" hidden="1">{"'gráf jan00'!$A$1:$AK$41"}</definedName>
    <definedName name="içuioç_1" hidden="1">{"'gráf jan00'!$A$1:$AK$41"}</definedName>
    <definedName name="içuioç_1_1" localSheetId="20" hidden="1">{"'gráf jan00'!$A$1:$AK$41"}</definedName>
    <definedName name="içuioç_1_1" hidden="1">{"'gráf jan00'!$A$1:$AK$41"}</definedName>
    <definedName name="içuioç_1_1_1" localSheetId="20" hidden="1">{"'gráf jan00'!$A$1:$AK$41"}</definedName>
    <definedName name="içuioç_1_1_1" hidden="1">{"'gráf jan00'!$A$1:$AK$41"}</definedName>
    <definedName name="içuioç_1_2" localSheetId="20" hidden="1">{"'gráf jan00'!$A$1:$AK$41"}</definedName>
    <definedName name="içuioç_1_2" hidden="1">{"'gráf jan00'!$A$1:$AK$41"}</definedName>
    <definedName name="içuioç_2" localSheetId="20" hidden="1">{"'gráf jan00'!$A$1:$AK$41"}</definedName>
    <definedName name="içuioç_2" hidden="1">{"'gráf jan00'!$A$1:$AK$41"}</definedName>
    <definedName name="Ident" localSheetId="20" hidden="1">{"'RR'!$A$2:$E$81"}</definedName>
    <definedName name="Ident" hidden="1">{"'RR'!$A$2:$E$81"}</definedName>
    <definedName name="Ident_1" localSheetId="20" hidden="1">{"'RR'!$A$2:$E$81"}</definedName>
    <definedName name="Ident_1" hidden="1">{"'RR'!$A$2:$E$81"}</definedName>
    <definedName name="Ident_1_1" localSheetId="20" hidden="1">{"'RR'!$A$2:$E$81"}</definedName>
    <definedName name="Ident_1_1" hidden="1">{"'RR'!$A$2:$E$81"}</definedName>
    <definedName name="Ident_1_1_1" localSheetId="20" hidden="1">{"'RR'!$A$2:$E$81"}</definedName>
    <definedName name="Ident_1_1_1" hidden="1">{"'RR'!$A$2:$E$81"}</definedName>
    <definedName name="Ident_1_2" localSheetId="20" hidden="1">{"'RR'!$A$2:$E$81"}</definedName>
    <definedName name="Ident_1_2" hidden="1">{"'RR'!$A$2:$E$81"}</definedName>
    <definedName name="Ident_2" localSheetId="20" hidden="1">{"'RR'!$A$2:$E$81"}</definedName>
    <definedName name="Ident_2" hidden="1">{"'RR'!$A$2:$E$81"}</definedName>
    <definedName name="IdentCausas_pareto" localSheetId="20" hidden="1">{"'RR'!$A$2:$E$81"}</definedName>
    <definedName name="IdentCausas_pareto" hidden="1">{"'RR'!$A$2:$E$81"}</definedName>
    <definedName name="IdentCausas_pareto_1" localSheetId="20" hidden="1">{"'RR'!$A$2:$E$81"}</definedName>
    <definedName name="IdentCausas_pareto_1" hidden="1">{"'RR'!$A$2:$E$81"}</definedName>
    <definedName name="IdentCausas_pareto_1_1" localSheetId="20" hidden="1">{"'RR'!$A$2:$E$81"}</definedName>
    <definedName name="IdentCausas_pareto_1_1" hidden="1">{"'RR'!$A$2:$E$81"}</definedName>
    <definedName name="IdentCausas_pareto_1_1_1" localSheetId="20" hidden="1">{"'RR'!$A$2:$E$81"}</definedName>
    <definedName name="IdentCausas_pareto_1_1_1" hidden="1">{"'RR'!$A$2:$E$81"}</definedName>
    <definedName name="IdentCausas_pareto_1_2" localSheetId="20" hidden="1">{"'RR'!$A$2:$E$81"}</definedName>
    <definedName name="IdentCausas_pareto_1_2" hidden="1">{"'RR'!$A$2:$E$81"}</definedName>
    <definedName name="IdentCausas_pareto_2" localSheetId="20" hidden="1">{"'RR'!$A$2:$E$81"}</definedName>
    <definedName name="IdentCausas_pareto_2" hidden="1">{"'RR'!$A$2:$E$81"}</definedName>
    <definedName name="IDENTICAÇÃO2" localSheetId="20" hidden="1">{"'RR'!$A$2:$E$81"}</definedName>
    <definedName name="IDENTICAÇÃO2" hidden="1">{"'RR'!$A$2:$E$81"}</definedName>
    <definedName name="IDENTICAÇÃO2_1" localSheetId="20" hidden="1">{"'RR'!$A$2:$E$81"}</definedName>
    <definedName name="IDENTICAÇÃO2_1" hidden="1">{"'RR'!$A$2:$E$81"}</definedName>
    <definedName name="IDENTICAÇÃO2_1_1" localSheetId="20" hidden="1">{"'RR'!$A$2:$E$81"}</definedName>
    <definedName name="IDENTICAÇÃO2_1_1" hidden="1">{"'RR'!$A$2:$E$81"}</definedName>
    <definedName name="IDENTICAÇÃO2_1_1_1" localSheetId="20" hidden="1">{"'RR'!$A$2:$E$81"}</definedName>
    <definedName name="IDENTICAÇÃO2_1_1_1" hidden="1">{"'RR'!$A$2:$E$81"}</definedName>
    <definedName name="IDENTICAÇÃO2_1_2" localSheetId="20" hidden="1">{"'RR'!$A$2:$E$81"}</definedName>
    <definedName name="IDENTICAÇÃO2_1_2" hidden="1">{"'RR'!$A$2:$E$81"}</definedName>
    <definedName name="IDENTICAÇÃO2_2" localSheetId="20" hidden="1">{"'RR'!$A$2:$E$81"}</definedName>
    <definedName name="IDENTICAÇÃO2_2" hidden="1">{"'RR'!$A$2:$E$81"}</definedName>
    <definedName name="IDENTIFICAÇÃO">#REF!</definedName>
    <definedName name="Identificação_EFVM" localSheetId="20" hidden="1">{"'RR'!$A$2:$E$81"}</definedName>
    <definedName name="Identificação_EFVM" hidden="1">{"'RR'!$A$2:$E$81"}</definedName>
    <definedName name="Identificação_EFVM_1" localSheetId="20" hidden="1">{"'RR'!$A$2:$E$81"}</definedName>
    <definedName name="Identificação_EFVM_1" hidden="1">{"'RR'!$A$2:$E$81"}</definedName>
    <definedName name="Identificação_EFVM_1_1" localSheetId="20" hidden="1">{"'RR'!$A$2:$E$81"}</definedName>
    <definedName name="Identificação_EFVM_1_1" hidden="1">{"'RR'!$A$2:$E$81"}</definedName>
    <definedName name="Identificação_EFVM_1_1_1" localSheetId="20" hidden="1">{"'RR'!$A$2:$E$81"}</definedName>
    <definedName name="Identificação_EFVM_1_1_1" hidden="1">{"'RR'!$A$2:$E$81"}</definedName>
    <definedName name="Identificação_EFVM_1_2" localSheetId="20" hidden="1">{"'RR'!$A$2:$E$81"}</definedName>
    <definedName name="Identificação_EFVM_1_2" hidden="1">{"'RR'!$A$2:$E$81"}</definedName>
    <definedName name="Identificação_EFVM_2" localSheetId="20" hidden="1">{"'RR'!$A$2:$E$81"}</definedName>
    <definedName name="Identificação_EFVM_2" hidden="1">{"'RR'!$A$2:$E$81"}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gor" localSheetId="20" hidden="1">{"'CptDifn'!$AA$32:$AG$32"}</definedName>
    <definedName name="Igor" hidden="1">{"'CptDifn'!$AA$32:$AG$32"}</definedName>
    <definedName name="Igor_1" localSheetId="20" hidden="1">{"'CptDifn'!$AA$32:$AG$32"}</definedName>
    <definedName name="Igor_1" hidden="1">{"'CptDifn'!$AA$32:$AG$32"}</definedName>
    <definedName name="Igor_1_1" localSheetId="20" hidden="1">{"'CptDifn'!$AA$32:$AG$32"}</definedName>
    <definedName name="Igor_1_1" hidden="1">{"'CptDifn'!$AA$32:$AG$32"}</definedName>
    <definedName name="Igor_1_1_1" localSheetId="20" hidden="1">{"'CptDifn'!$AA$32:$AG$32"}</definedName>
    <definedName name="Igor_1_1_1" hidden="1">{"'CptDifn'!$AA$32:$AG$32"}</definedName>
    <definedName name="Igor_1_2" localSheetId="20" hidden="1">{"'CptDifn'!$AA$32:$AG$32"}</definedName>
    <definedName name="Igor_1_2" hidden="1">{"'CptDifn'!$AA$32:$AG$32"}</definedName>
    <definedName name="Igor_2" localSheetId="20" hidden="1">{"'CptDifn'!$AA$32:$AG$32"}</definedName>
    <definedName name="Igor_2" hidden="1">{"'CptDifn'!$AA$32:$AG$32"}</definedName>
    <definedName name="II">#REF!</definedName>
    <definedName name="II_Sid_Pet_Agr_Con" localSheetId="20" hidden="1">{"'CptDifn'!$AA$32:$AG$32"}</definedName>
    <definedName name="II_Sid_Pet_Agr_Con" hidden="1">{"'CptDifn'!$AA$32:$AG$32"}</definedName>
    <definedName name="II_Sid_Pet_Agr_Con_1" localSheetId="20" hidden="1">{"'CptDifn'!$AA$32:$AG$32"}</definedName>
    <definedName name="II_Sid_Pet_Agr_Con_1" hidden="1">{"'CptDifn'!$AA$32:$AG$32"}</definedName>
    <definedName name="II_Sid_Pet_Agr_Con_1_1" localSheetId="20" hidden="1">{"'CptDifn'!$AA$32:$AG$32"}</definedName>
    <definedName name="II_Sid_Pet_Agr_Con_1_1" hidden="1">{"'CptDifn'!$AA$32:$AG$32"}</definedName>
    <definedName name="II_Sid_Pet_Agr_Con_1_1_1" localSheetId="20" hidden="1">{"'CptDifn'!$AA$32:$AG$32"}</definedName>
    <definedName name="II_Sid_Pet_Agr_Con_1_1_1" hidden="1">{"'CptDifn'!$AA$32:$AG$32"}</definedName>
    <definedName name="II_Sid_Pet_Agr_Con_1_2" localSheetId="20" hidden="1">{"'CptDifn'!$AA$32:$AG$32"}</definedName>
    <definedName name="II_Sid_Pet_Agr_Con_1_2" hidden="1">{"'CptDifn'!$AA$32:$AG$32"}</definedName>
    <definedName name="II_Sid_Pet_Agr_Con_2" localSheetId="20" hidden="1">{"'CptDifn'!$AA$32:$AG$32"}</definedName>
    <definedName name="II_Sid_Pet_Agr_Con_2" hidden="1">{"'CptDifn'!$AA$32:$AG$32"}</definedName>
    <definedName name="II1cabo" localSheetId="20" hidden="1">{"'CptDifn'!$AA$32:$AG$32"}</definedName>
    <definedName name="II1cabo" hidden="1">{"'CptDifn'!$AA$32:$AG$32"}</definedName>
    <definedName name="II1cabo_1" localSheetId="20" hidden="1">{"'CptDifn'!$AA$32:$AG$32"}</definedName>
    <definedName name="II1cabo_1" hidden="1">{"'CptDifn'!$AA$32:$AG$32"}</definedName>
    <definedName name="II1cabo_1_1" localSheetId="20" hidden="1">{"'CptDifn'!$AA$32:$AG$32"}</definedName>
    <definedName name="II1cabo_1_1" hidden="1">{"'CptDifn'!$AA$32:$AG$32"}</definedName>
    <definedName name="II1cabo_1_1_1" localSheetId="20" hidden="1">{"'CptDifn'!$AA$32:$AG$32"}</definedName>
    <definedName name="II1cabo_1_1_1" hidden="1">{"'CptDifn'!$AA$32:$AG$32"}</definedName>
    <definedName name="II1cabo_1_2" localSheetId="20" hidden="1">{"'CptDifn'!$AA$32:$AG$32"}</definedName>
    <definedName name="II1cabo_1_2" hidden="1">{"'CptDifn'!$AA$32:$AG$32"}</definedName>
    <definedName name="II1cabo_2" localSheetId="20" hidden="1">{"'CptDifn'!$AA$32:$AG$32"}</definedName>
    <definedName name="II1cabo_2" hidden="1">{"'CptDifn'!$AA$32:$AG$32"}</definedName>
    <definedName name="II1TVV" localSheetId="20" hidden="1">{"'CptDifn'!$AA$32:$AG$32"}</definedName>
    <definedName name="II1TVV" hidden="1">{"'CptDifn'!$AA$32:$AG$32"}</definedName>
    <definedName name="II1TVV_1" localSheetId="20" hidden="1">{"'CptDifn'!$AA$32:$AG$32"}</definedName>
    <definedName name="II1TVV_1" hidden="1">{"'CptDifn'!$AA$32:$AG$32"}</definedName>
    <definedName name="II1TVV_1_1" localSheetId="20" hidden="1">{"'CptDifn'!$AA$32:$AG$32"}</definedName>
    <definedName name="II1TVV_1_1" hidden="1">{"'CptDifn'!$AA$32:$AG$32"}</definedName>
    <definedName name="II1TVV_1_1_1" localSheetId="20" hidden="1">{"'CptDifn'!$AA$32:$AG$32"}</definedName>
    <definedName name="II1TVV_1_1_1" hidden="1">{"'CptDifn'!$AA$32:$AG$32"}</definedName>
    <definedName name="II1TVV_1_2" localSheetId="20" hidden="1">{"'CptDifn'!$AA$32:$AG$32"}</definedName>
    <definedName name="II1TVV_1_2" hidden="1">{"'CptDifn'!$AA$32:$AG$32"}</definedName>
    <definedName name="II1TVV_2" localSheetId="20" hidden="1">{"'CptDifn'!$AA$32:$AG$32"}</definedName>
    <definedName name="II1TVV_2" hidden="1">{"'CptDifn'!$AA$32:$AG$32"}</definedName>
    <definedName name="II2_TVV" localSheetId="20" hidden="1">{"'CptDifn'!$AA$32:$AG$32"}</definedName>
    <definedName name="II2_TVV" hidden="1">{"'CptDifn'!$AA$32:$AG$32"}</definedName>
    <definedName name="II2_TVV_1" localSheetId="20" hidden="1">{"'CptDifn'!$AA$32:$AG$32"}</definedName>
    <definedName name="II2_TVV_1" hidden="1">{"'CptDifn'!$AA$32:$AG$32"}</definedName>
    <definedName name="II2_TVV_1_1" localSheetId="20" hidden="1">{"'CptDifn'!$AA$32:$AG$32"}</definedName>
    <definedName name="II2_TVV_1_1" hidden="1">{"'CptDifn'!$AA$32:$AG$32"}</definedName>
    <definedName name="II2_TVV_1_1_1" localSheetId="20" hidden="1">{"'CptDifn'!$AA$32:$AG$32"}</definedName>
    <definedName name="II2_TVV_1_1_1" hidden="1">{"'CptDifn'!$AA$32:$AG$32"}</definedName>
    <definedName name="II2_TVV_1_2" localSheetId="20" hidden="1">{"'CptDifn'!$AA$32:$AG$32"}</definedName>
    <definedName name="II2_TVV_1_2" hidden="1">{"'CptDifn'!$AA$32:$AG$32"}</definedName>
    <definedName name="II2_TVV_2" localSheetId="20" hidden="1">{"'CptDifn'!$AA$32:$AG$32"}</definedName>
    <definedName name="II2_TVV_2" hidden="1">{"'CptDifn'!$AA$32:$AG$32"}</definedName>
    <definedName name="II3_TVV" localSheetId="20" hidden="1">{"'CptDifn'!$AA$32:$AG$32"}</definedName>
    <definedName name="II3_TVV" hidden="1">{"'CptDifn'!$AA$32:$AG$32"}</definedName>
    <definedName name="II3_TVV_1" localSheetId="20" hidden="1">{"'CptDifn'!$AA$32:$AG$32"}</definedName>
    <definedName name="II3_TVV_1" hidden="1">{"'CptDifn'!$AA$32:$AG$32"}</definedName>
    <definedName name="II3_TVV_1_1" localSheetId="20" hidden="1">{"'CptDifn'!$AA$32:$AG$32"}</definedName>
    <definedName name="II3_TVV_1_1" hidden="1">{"'CptDifn'!$AA$32:$AG$32"}</definedName>
    <definedName name="II3_TVV_1_1_1" localSheetId="20" hidden="1">{"'CptDifn'!$AA$32:$AG$32"}</definedName>
    <definedName name="II3_TVV_1_1_1" hidden="1">{"'CptDifn'!$AA$32:$AG$32"}</definedName>
    <definedName name="II3_TVV_1_2" localSheetId="20" hidden="1">{"'CptDifn'!$AA$32:$AG$32"}</definedName>
    <definedName name="II3_TVV_1_2" hidden="1">{"'CptDifn'!$AA$32:$AG$32"}</definedName>
    <definedName name="II3_TVV_2" localSheetId="20" hidden="1">{"'CptDifn'!$AA$32:$AG$32"}</definedName>
    <definedName name="II3_TVV_2" hidden="1">{"'CptDifn'!$AA$32:$AG$32"}</definedName>
    <definedName name="III" localSheetId="21">#REF!</definedName>
    <definedName name="III">[43]Equipamentos!#REF!</definedName>
    <definedName name="iiii" localSheetId="20" hidden="1">{"'CptDifn'!$AA$32:$AG$32"}</definedName>
    <definedName name="iiii" hidden="1">{"'CptDifn'!$AA$32:$AG$32"}</definedName>
    <definedName name="iiii_1" localSheetId="20" hidden="1">{"'CptDifn'!$AA$32:$AG$32"}</definedName>
    <definedName name="iiii_1" hidden="1">{"'CptDifn'!$AA$32:$AG$32"}</definedName>
    <definedName name="iiii_1_1" localSheetId="20" hidden="1">{"'CptDifn'!$AA$32:$AG$32"}</definedName>
    <definedName name="iiii_1_1" hidden="1">{"'CptDifn'!$AA$32:$AG$32"}</definedName>
    <definedName name="iiii_1_1_1" localSheetId="20" hidden="1">{"'CptDifn'!$AA$32:$AG$32"}</definedName>
    <definedName name="iiii_1_1_1" hidden="1">{"'CptDifn'!$AA$32:$AG$32"}</definedName>
    <definedName name="iiii_1_2" localSheetId="20" hidden="1">{"'CptDifn'!$AA$32:$AG$32"}</definedName>
    <definedName name="iiii_1_2" hidden="1">{"'CptDifn'!$AA$32:$AG$32"}</definedName>
    <definedName name="iiii_2" localSheetId="20" hidden="1">{"'CptDifn'!$AA$32:$AG$32"}</definedName>
    <definedName name="iiii_2" hidden="1">{"'CptDifn'!$AA$32:$AG$32"}</definedName>
    <definedName name="IIIII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LUMINAÇÃO" localSheetId="20" hidden="1">{#N/A,#N/A,FALSE,"ANEXO3 99 ERA";#N/A,#N/A,FALSE,"ANEXO3 99 UBÁ2";#N/A,#N/A,FALSE,"ANEXO3 99 DTU";#N/A,#N/A,FALSE,"ANEXO3 99 RDR";#N/A,#N/A,FALSE,"ANEXO3 99 UBÁ4";#N/A,#N/A,FALSE,"ANEXO3 99 UBÁ6"}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11">#REF!</definedName>
    <definedName name="IM_12">#REF!</definedName>
    <definedName name="IM_13">#REF!</definedName>
    <definedName name="IM_15">#REF!</definedName>
    <definedName name="IM_2">#REF!</definedName>
    <definedName name="IM_4">#REF!</definedName>
    <definedName name="IM_5">#REF!</definedName>
    <definedName name="IM_6">#REF!</definedName>
    <definedName name="IM_7">#REF!</definedName>
    <definedName name="IM_8">#REF!</definedName>
    <definedName name="IM_9">#REF!</definedName>
    <definedName name="IMM">#REF!</definedName>
    <definedName name="immmm" localSheetId="20" hidden="1">{#N/A,#N/A,FALSE,"DEF1";#N/A,#N/A,FALSE,"DEF2";#N/A,#N/A,FALSE,"DEF3"}</definedName>
    <definedName name="immmm" hidden="1">{#N/A,#N/A,FALSE,"DEF1";#N/A,#N/A,FALSE,"DEF2";#N/A,#N/A,FALSE,"DEF3"}</definedName>
    <definedName name="IMP">#REF!</definedName>
    <definedName name="IMPERMEABILIZACAO">#REF!</definedName>
    <definedName name="IMPRESSAO">#REF!</definedName>
    <definedName name="Impresso">#N/A</definedName>
    <definedName name="IMPRIMACAO">#REF!</definedName>
    <definedName name="IMPRIMAÇÃO">#REF!</definedName>
    <definedName name="IMPRIMAÇÃO_10">#REF!</definedName>
    <definedName name="IMPRIMAÇÃO_12">#REF!</definedName>
    <definedName name="IMPRIMAÇÃO_9">#REF!</definedName>
    <definedName name="in" localSheetId="20" hidden="1">{#N/A,#N/A,FALSE,"DEF1";#N/A,#N/A,FALSE,"DEF2";#N/A,#N/A,FALSE,"DEF3"}</definedName>
    <definedName name="in" hidden="1">{#N/A,#N/A,FALSE,"DEF1";#N/A,#N/A,FALSE,"DEF2";#N/A,#N/A,FALSE,"DEF3"}</definedName>
    <definedName name="Indep_Nac">#N/A</definedName>
    <definedName name="INDICE">#REF!</definedName>
    <definedName name="ÍNDICE">#REF!</definedName>
    <definedName name="ÍNDICE_36">#REF!</definedName>
    <definedName name="ÍNDICE_37">#REF!</definedName>
    <definedName name="ÍNDICE_38">#REF!</definedName>
    <definedName name="indiceanterior">'[158]P A T O'!#REF!</definedName>
    <definedName name="Indiceantigo">'[158]P A T O'!#REF!</definedName>
    <definedName name="indiceatual">'[158]P A T O'!#REF!</definedName>
    <definedName name="ÍNDICES">'[159]Índices de Reajustamento'!$B$2:$O$14</definedName>
    <definedName name="ÍNDICES_10">'[159]Índices de Reajustamento'!$B$2:$O$14</definedName>
    <definedName name="ÍNDICES_17">'[159]Índices de Reajustamento'!$B$2:$O$14</definedName>
    <definedName name="ÍNDICES_6">'[159]Índices de Reajustamento'!$B$2:$O$14</definedName>
    <definedName name="ÍNDICES_7">'[159]Índices de Reajustamento'!$B$2:$O$14</definedName>
    <definedName name="ÍNDICES_8">'[159]Índices de Reajustamento'!$B$2:$O$14</definedName>
    <definedName name="ÍNDICES_9">'[159]Índices de Reajustamento'!$B$2:$O$14</definedName>
    <definedName name="Inflación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localSheetId="20" hidden="1">{"'Quadro'!$A$4:$BG$78"}</definedName>
    <definedName name="Infra" hidden="1">{"'Quadro'!$A$4:$BG$78"}</definedName>
    <definedName name="Início_Elem" localSheetId="21">NA()</definedName>
    <definedName name="Início_Elem">NA()</definedName>
    <definedName name="INSUMO">[160]insumos!$1:$1048576</definedName>
    <definedName name="Insumos" localSheetId="21" hidden="1">#REF!</definedName>
    <definedName name="Insumos" hidden="1">#REF!</definedName>
    <definedName name="INSUMOS___0">"$#REF!.$A$4:$F$1620"</definedName>
    <definedName name="int" localSheetId="2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t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tran" localSheetId="20" hidden="1">{"'teste'!$B$2:$R$49"}</definedName>
    <definedName name="Intran" hidden="1">{"'teste'!$B$2:$R$49"}</definedName>
    <definedName name="Intran_1" localSheetId="20" hidden="1">{"'teste'!$B$2:$R$49"}</definedName>
    <definedName name="Intran_1" hidden="1">{"'teste'!$B$2:$R$49"}</definedName>
    <definedName name="Intran_1_1" localSheetId="20" hidden="1">{"'teste'!$B$2:$R$49"}</definedName>
    <definedName name="Intran_1_1" hidden="1">{"'teste'!$B$2:$R$49"}</definedName>
    <definedName name="Intran_1_1_1" localSheetId="20" hidden="1">{"'teste'!$B$2:$R$49"}</definedName>
    <definedName name="Intran_1_1_1" hidden="1">{"'teste'!$B$2:$R$49"}</definedName>
    <definedName name="Intran_1_2" localSheetId="20" hidden="1">{"'teste'!$B$2:$R$49"}</definedName>
    <definedName name="Intran_1_2" hidden="1">{"'teste'!$B$2:$R$49"}</definedName>
    <definedName name="Intran_2" localSheetId="20" hidden="1">{"'teste'!$B$2:$R$49"}</definedName>
    <definedName name="Intran_2" hidden="1">{"'teste'!$B$2:$R$49"}</definedName>
    <definedName name="IntroPrintArea" hidden="1">#REF!</definedName>
    <definedName name="inv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ECON_MENSAL" localSheetId="20" hidden="1">{#N/A,#N/A,FALSE,"DEF1";#N/A,#N/A,FALSE,"DEF2";#N/A,#N/A,FALSE,"DEF3"}</definedName>
    <definedName name="INV_ECON_MENSAL" hidden="1">{#N/A,#N/A,FALSE,"DEF1";#N/A,#N/A,FALSE,"DEF2";#N/A,#N/A,FALSE,"DEF3"}</definedName>
    <definedName name="INV_ECON_MENSAL_1" localSheetId="20" hidden="1">{#N/A,#N/A,FALSE,"DEF1";#N/A,#N/A,FALSE,"DEF2";#N/A,#N/A,FALSE,"DEF3"}</definedName>
    <definedName name="INV_ECON_MENSAL_1" hidden="1">{#N/A,#N/A,FALSE,"DEF1";#N/A,#N/A,FALSE,"DEF2";#N/A,#N/A,FALSE,"DEF3"}</definedName>
    <definedName name="INV_ECON_MENSAL_1_1" localSheetId="20" hidden="1">{#N/A,#N/A,FALSE,"DEF1";#N/A,#N/A,FALSE,"DEF2";#N/A,#N/A,FALSE,"DEF3"}</definedName>
    <definedName name="INV_ECON_MENSAL_1_1" hidden="1">{#N/A,#N/A,FALSE,"DEF1";#N/A,#N/A,FALSE,"DEF2";#N/A,#N/A,FALSE,"DEF3"}</definedName>
    <definedName name="INV_ECON_MENSAL_1_1_1" localSheetId="20" hidden="1">{#N/A,#N/A,FALSE,"DEF1";#N/A,#N/A,FALSE,"DEF2";#N/A,#N/A,FALSE,"DEF3"}</definedName>
    <definedName name="INV_ECON_MENSAL_1_1_1" hidden="1">{#N/A,#N/A,FALSE,"DEF1";#N/A,#N/A,FALSE,"DEF2";#N/A,#N/A,FALSE,"DEF3"}</definedName>
    <definedName name="INV_ECON_MENSAL_1_2" localSheetId="20" hidden="1">{#N/A,#N/A,FALSE,"DEF1";#N/A,#N/A,FALSE,"DEF2";#N/A,#N/A,FALSE,"DEF3"}</definedName>
    <definedName name="INV_ECON_MENSAL_1_2" hidden="1">{#N/A,#N/A,FALSE,"DEF1";#N/A,#N/A,FALSE,"DEF2";#N/A,#N/A,FALSE,"DEF3"}</definedName>
    <definedName name="INV_ECON_MENSAL_2" localSheetId="20" hidden="1">{#N/A,#N/A,FALSE,"DEF1";#N/A,#N/A,FALSE,"DEF2";#N/A,#N/A,FALSE,"DEF3"}</definedName>
    <definedName name="INV_ECON_MENSAL_2" hidden="1">{#N/A,#N/A,FALSE,"DEF1";#N/A,#N/A,FALSE,"DEF2";#N/A,#N/A,FALSE,"DEF3"}</definedName>
    <definedName name="inv_financ_Mensal_desemb" localSheetId="20" hidden="1">{#N/A,#N/A,FALSE,"DEF1";#N/A,#N/A,FALSE,"DEF2";#N/A,#N/A,FALSE,"DEF3"}</definedName>
    <definedName name="inv_financ_Mensal_desemb" hidden="1">{#N/A,#N/A,FALSE,"DEF1";#N/A,#N/A,FALSE,"DEF2";#N/A,#N/A,FALSE,"DEF3"}</definedName>
    <definedName name="inv_financ_Mensal_desemb_1" localSheetId="20" hidden="1">{#N/A,#N/A,FALSE,"DEF1";#N/A,#N/A,FALSE,"DEF2";#N/A,#N/A,FALSE,"DEF3"}</definedName>
    <definedName name="inv_financ_Mensal_desemb_1" hidden="1">{#N/A,#N/A,FALSE,"DEF1";#N/A,#N/A,FALSE,"DEF2";#N/A,#N/A,FALSE,"DEF3"}</definedName>
    <definedName name="inv_financ_Mensal_desemb_1_1" localSheetId="20" hidden="1">{#N/A,#N/A,FALSE,"DEF1";#N/A,#N/A,FALSE,"DEF2";#N/A,#N/A,FALSE,"DEF3"}</definedName>
    <definedName name="inv_financ_Mensal_desemb_1_1" hidden="1">{#N/A,#N/A,FALSE,"DEF1";#N/A,#N/A,FALSE,"DEF2";#N/A,#N/A,FALSE,"DEF3"}</definedName>
    <definedName name="inv_financ_Mensal_desemb_1_1_1" localSheetId="20" hidden="1">{#N/A,#N/A,FALSE,"DEF1";#N/A,#N/A,FALSE,"DEF2";#N/A,#N/A,FALSE,"DEF3"}</definedName>
    <definedName name="inv_financ_Mensal_desemb_1_1_1" hidden="1">{#N/A,#N/A,FALSE,"DEF1";#N/A,#N/A,FALSE,"DEF2";#N/A,#N/A,FALSE,"DEF3"}</definedName>
    <definedName name="inv_financ_Mensal_desemb_1_2" localSheetId="20" hidden="1">{#N/A,#N/A,FALSE,"DEF1";#N/A,#N/A,FALSE,"DEF2";#N/A,#N/A,FALSE,"DEF3"}</definedName>
    <definedName name="inv_financ_Mensal_desemb_1_2" hidden="1">{#N/A,#N/A,FALSE,"DEF1";#N/A,#N/A,FALSE,"DEF2";#N/A,#N/A,FALSE,"DEF3"}</definedName>
    <definedName name="inv_financ_Mensal_desemb_2" localSheetId="20" hidden="1">{#N/A,#N/A,FALSE,"DEF1";#N/A,#N/A,FALSE,"DEF2";#N/A,#N/A,FALSE,"DEF3"}</definedName>
    <definedName name="inv_financ_Mensal_desemb_2" hidden="1">{#N/A,#N/A,FALSE,"DEF1";#N/A,#N/A,FALSE,"DEF2";#N/A,#N/A,FALSE,"DEF3"}</definedName>
    <definedName name="INVALID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er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Justificativas6" localSheetId="20" hidden="1">{"'REL CUSTODIF'!$B$1:$H$72"}</definedName>
    <definedName name="InvJustificativas6" hidden="1">{"'REL CUSTODIF'!$B$1:$H$72"}</definedName>
    <definedName name="InvJustificativas9" localSheetId="20" hidden="1">{"'REL CUSTODIF'!$B$1:$H$72"}</definedName>
    <definedName name="InvJustificativas9" hidden="1">{"'REL CUSTODIF'!$B$1:$H$72"}</definedName>
    <definedName name="iogfrio" localSheetId="20" hidden="1">{"det (May)",#N/A,FALSE,"June";"sum (MAY YTD)",#N/A,FALSE,"June YTD"}</definedName>
    <definedName name="iogfrio" hidden="1">{"det (May)",#N/A,FALSE,"June";"sum (MAY YTD)",#N/A,FALSE,"June YTD"}</definedName>
    <definedName name="iogfrio_1" localSheetId="20" hidden="1">{"det (May)",#N/A,FALSE,"June";"sum (MAY YTD)",#N/A,FALSE,"June YTD"}</definedName>
    <definedName name="iogfrio_1" hidden="1">{"det (May)",#N/A,FALSE,"June";"sum (MAY YTD)",#N/A,FALSE,"June YTD"}</definedName>
    <definedName name="iogfrio_1_1" localSheetId="20" hidden="1">{"det (May)",#N/A,FALSE,"June";"sum (MAY YTD)",#N/A,FALSE,"June YTD"}</definedName>
    <definedName name="iogfrio_1_1" hidden="1">{"det (May)",#N/A,FALSE,"June";"sum (MAY YTD)",#N/A,FALSE,"June YTD"}</definedName>
    <definedName name="iogfrio_1_1_1" localSheetId="20" hidden="1">{"det (May)",#N/A,FALSE,"June";"sum (MAY YTD)",#N/A,FALSE,"June YTD"}</definedName>
    <definedName name="iogfrio_1_1_1" hidden="1">{"det (May)",#N/A,FALSE,"June";"sum (MAY YTD)",#N/A,FALSE,"June YTD"}</definedName>
    <definedName name="iogfrio_1_2" localSheetId="20" hidden="1">{"det (May)",#N/A,FALSE,"June";"sum (MAY YTD)",#N/A,FALSE,"June YTD"}</definedName>
    <definedName name="iogfrio_1_2" hidden="1">{"det (May)",#N/A,FALSE,"June";"sum (MAY YTD)",#N/A,FALSE,"June YTD"}</definedName>
    <definedName name="iogfrio_2" localSheetId="20" hidden="1">{"det (May)",#N/A,FALSE,"June";"sum (MAY YTD)",#N/A,FALSE,"June YTD"}</definedName>
    <definedName name="iogfrio_2" hidden="1">{"det (May)",#N/A,FALSE,"June";"sum (MAY YTD)",#N/A,FALSE,"June YTD"}</definedName>
    <definedName name="ioipo" localSheetId="20" hidden="1">{"'gráf jan00'!$A$1:$AK$41"}</definedName>
    <definedName name="ioipo" hidden="1">{"'gráf jan00'!$A$1:$AK$41"}</definedName>
    <definedName name="ioipo_1" localSheetId="20" hidden="1">{"'gráf jan00'!$A$1:$AK$41"}</definedName>
    <definedName name="ioipo_1" hidden="1">{"'gráf jan00'!$A$1:$AK$41"}</definedName>
    <definedName name="ioipo_1_1" localSheetId="20" hidden="1">{"'gráf jan00'!$A$1:$AK$41"}</definedName>
    <definedName name="ioipo_1_1" hidden="1">{"'gráf jan00'!$A$1:$AK$41"}</definedName>
    <definedName name="ioipo_1_1_1" localSheetId="20" hidden="1">{"'gráf jan00'!$A$1:$AK$41"}</definedName>
    <definedName name="ioipo_1_1_1" hidden="1">{"'gráf jan00'!$A$1:$AK$41"}</definedName>
    <definedName name="ioipo_1_2" localSheetId="20" hidden="1">{"'gráf jan00'!$A$1:$AK$41"}</definedName>
    <definedName name="ioipo_1_2" hidden="1">{"'gráf jan00'!$A$1:$AK$41"}</definedName>
    <definedName name="ioipo_2" localSheetId="20" hidden="1">{"'gráf jan00'!$A$1:$AK$41"}</definedName>
    <definedName name="ioipo_2" hidden="1">{"'gráf jan00'!$A$1:$AK$41"}</definedName>
    <definedName name="IOUIOHIO">#N/A</definedName>
    <definedName name="ioyuoy" localSheetId="20" hidden="1">{"'CptDifn'!$AA$32:$AG$32"}</definedName>
    <definedName name="ioyuoy" hidden="1">{"'CptDifn'!$AA$32:$AG$32"}</definedName>
    <definedName name="ioyuoy_1" localSheetId="20" hidden="1">{"'CptDifn'!$AA$32:$AG$32"}</definedName>
    <definedName name="ioyuoy_1" hidden="1">{"'CptDifn'!$AA$32:$AG$32"}</definedName>
    <definedName name="ioyuoy_1_1" localSheetId="20" hidden="1">{"'CptDifn'!$AA$32:$AG$32"}</definedName>
    <definedName name="ioyuoy_1_1" hidden="1">{"'CptDifn'!$AA$32:$AG$32"}</definedName>
    <definedName name="ioyuoy_1_1_1" localSheetId="20" hidden="1">{"'CptDifn'!$AA$32:$AG$32"}</definedName>
    <definedName name="ioyuoy_1_1_1" hidden="1">{"'CptDifn'!$AA$32:$AG$32"}</definedName>
    <definedName name="ioyuoy_1_2" localSheetId="20" hidden="1">{"'CptDifn'!$AA$32:$AG$32"}</definedName>
    <definedName name="ioyuoy_1_2" hidden="1">{"'CptDifn'!$AA$32:$AG$32"}</definedName>
    <definedName name="ioyuoy_2" localSheetId="20" hidden="1">{"'CptDifn'!$AA$32:$AG$32"}</definedName>
    <definedName name="ioyuoy_2" hidden="1">{"'CptDifn'!$AA$32:$AG$32"}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41189.833900463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_5" localSheetId="21">#REF!</definedName>
    <definedName name="ir_5">#REF!</definedName>
    <definedName name="ir_7" localSheetId="21">#REF!</definedName>
    <definedName name="ir_7">#REF!</definedName>
    <definedName name="ir_8" localSheetId="21">#REF!</definedName>
    <definedName name="ir_8">#REF!</definedName>
    <definedName name="ir_9" localSheetId="21">#REF!</definedName>
    <definedName name="ir_9">#REF!</definedName>
    <definedName name="IS" localSheetId="20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T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t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em">#REF!</definedName>
    <definedName name="item1">'[161]Plan 2.7'!$A$4:$R$2819</definedName>
    <definedName name="Itemm">#REF!</definedName>
    <definedName name="itens" localSheetId="21">#REF!,#REF!,#REF!,#REF!,#REF!,#REF!,#REF!,#REF!,#REF!,#REF!,#REF!,#REF!,#REF!,#REF!</definedName>
    <definedName name="Itens" hidden="1">#REF!</definedName>
    <definedName name="IUO" localSheetId="20" hidden="1">{"'Quadro'!$A$4:$BG$78"}</definedName>
    <definedName name="IUO" hidden="1">{"'Quadro'!$A$4:$BG$78"}</definedName>
    <definedName name="IUO_1" localSheetId="20" hidden="1">{"'Quadro'!$A$4:$BG$78"}</definedName>
    <definedName name="IUO_1" hidden="1">{"'Quadro'!$A$4:$BG$78"}</definedName>
    <definedName name="IUO_1_1" localSheetId="20" hidden="1">{"'Quadro'!$A$4:$BG$78"}</definedName>
    <definedName name="IUO_1_1" hidden="1">{"'Quadro'!$A$4:$BG$78"}</definedName>
    <definedName name="IUO_1_1_1" localSheetId="20" hidden="1">{"'Quadro'!$A$4:$BG$78"}</definedName>
    <definedName name="IUO_1_1_1" hidden="1">{"'Quadro'!$A$4:$BG$78"}</definedName>
    <definedName name="IUO_1_2" localSheetId="20" hidden="1">{"'Quadro'!$A$4:$BG$78"}</definedName>
    <definedName name="IUO_1_2" hidden="1">{"'Quadro'!$A$4:$BG$78"}</definedName>
    <definedName name="IUO_2" localSheetId="20" hidden="1">{"'Quadro'!$A$4:$BG$78"}</definedName>
    <definedName name="IUO_2" hidden="1">{"'Quadro'!$A$4:$BG$78"}</definedName>
    <definedName name="J">#REF!</definedName>
    <definedName name="Jan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[35]Consultoria!#REF!</definedName>
    <definedName name="JANA">#REF!</definedName>
    <definedName name="Janeiro">#N/A</definedName>
    <definedName name="JANEIRO2003" localSheetId="20" hidden="1">{#N/A,#N/A,TRUE,"Serviços"}</definedName>
    <definedName name="JANEIRO2003" localSheetId="21">{#N/A,#N/A,TRUE,"Serviços"}</definedName>
    <definedName name="JANEIRO2003" localSheetId="2" hidden="1">{#N/A,#N/A,TRUE,"Serviços"}</definedName>
    <definedName name="JANEIRO2003" hidden="1">{#N/A,#N/A,TRUE,"Serviços"}</definedName>
    <definedName name="JANEIRO2003_1" localSheetId="20">{#N/A,#N/A,TRUE,"Serviços"}</definedName>
    <definedName name="JANEIRO2003_1" localSheetId="21">{#N/A,#N/A,TRUE,"Serviços"}</definedName>
    <definedName name="JANEIRO2003_1">{#N/A,#N/A,TRUE,"Serviços"}</definedName>
    <definedName name="JANEIRO20033" localSheetId="20" hidden="1">{#N/A,#N/A,TRUE,"Serviços"}</definedName>
    <definedName name="JANEIRO20033" localSheetId="2" hidden="1">{#N/A,#N/A,TRUE,"Serviços"}</definedName>
    <definedName name="JANEIRO20033" hidden="1">{#N/A,#N/A,TRUE,"Serviços"}</definedName>
    <definedName name="Jazidas" localSheetId="1">#REF!</definedName>
    <definedName name="Jazidas">#REF!</definedName>
    <definedName name="jcdc" hidden="1">#REF!</definedName>
    <definedName name="jçkj" localSheetId="20" hidden="1">{"'CptDifn'!$AA$32:$AG$32"}</definedName>
    <definedName name="jçkj" hidden="1">{"'CptDifn'!$AA$32:$AG$32"}</definedName>
    <definedName name="jçkj_1" localSheetId="20" hidden="1">{"'CptDifn'!$AA$32:$AG$32"}</definedName>
    <definedName name="jçkj_1" hidden="1">{"'CptDifn'!$AA$32:$AG$32"}</definedName>
    <definedName name="jçkj_1_1" localSheetId="20" hidden="1">{"'CptDifn'!$AA$32:$AG$32"}</definedName>
    <definedName name="jçkj_1_1" hidden="1">{"'CptDifn'!$AA$32:$AG$32"}</definedName>
    <definedName name="jçkj_1_1_1" localSheetId="20" hidden="1">{"'CptDifn'!$AA$32:$AG$32"}</definedName>
    <definedName name="jçkj_1_1_1" hidden="1">{"'CptDifn'!$AA$32:$AG$32"}</definedName>
    <definedName name="jçkj_1_2" localSheetId="20" hidden="1">{"'CptDifn'!$AA$32:$AG$32"}</definedName>
    <definedName name="jçkj_1_2" hidden="1">{"'CptDifn'!$AA$32:$AG$32"}</definedName>
    <definedName name="jçkj_2" localSheetId="20" hidden="1">{"'CptDifn'!$AA$32:$AG$32"}</definedName>
    <definedName name="jçkj_2" hidden="1">{"'CptDifn'!$AA$32:$AG$32"}</definedName>
    <definedName name="jd">'[58]8ª MP_BR-459'!#REF!</definedName>
    <definedName name="jdfjewf" localSheetId="20" hidden="1">{#N/A,#N/A,FALSE,"지침";#N/A,#N/A,FALSE,"환경분석";#N/A,#N/A,FALSE,"Sheet16"}</definedName>
    <definedName name="jdfjewf" hidden="1">{#N/A,#N/A,FALSE,"지침";#N/A,#N/A,FALSE,"환경분석";#N/A,#N/A,FALSE,"Sheet16"}</definedName>
    <definedName name="jdfjewf_1" localSheetId="20" hidden="1">{#N/A,#N/A,FALSE,"지침";#N/A,#N/A,FALSE,"환경분석";#N/A,#N/A,FALSE,"Sheet16"}</definedName>
    <definedName name="jdfjewf_1" hidden="1">{#N/A,#N/A,FALSE,"지침";#N/A,#N/A,FALSE,"환경분석";#N/A,#N/A,FALSE,"Sheet16"}</definedName>
    <definedName name="jdfjewf_1_1" localSheetId="20" hidden="1">{#N/A,#N/A,FALSE,"지침";#N/A,#N/A,FALSE,"환경분석";#N/A,#N/A,FALSE,"Sheet16"}</definedName>
    <definedName name="jdfjewf_1_1" hidden="1">{#N/A,#N/A,FALSE,"지침";#N/A,#N/A,FALSE,"환경분석";#N/A,#N/A,FALSE,"Sheet16"}</definedName>
    <definedName name="jdfjewf_1_1_1" localSheetId="20" hidden="1">{#N/A,#N/A,FALSE,"지침";#N/A,#N/A,FALSE,"환경분석";#N/A,#N/A,FALSE,"Sheet16"}</definedName>
    <definedName name="jdfjewf_1_1_1" hidden="1">{#N/A,#N/A,FALSE,"지침";#N/A,#N/A,FALSE,"환경분석";#N/A,#N/A,FALSE,"Sheet16"}</definedName>
    <definedName name="jdfjewf_1_2" localSheetId="20" hidden="1">{#N/A,#N/A,FALSE,"지침";#N/A,#N/A,FALSE,"환경분석";#N/A,#N/A,FALSE,"Sheet16"}</definedName>
    <definedName name="jdfjewf_1_2" hidden="1">{#N/A,#N/A,FALSE,"지침";#N/A,#N/A,FALSE,"환경분석";#N/A,#N/A,FALSE,"Sheet16"}</definedName>
    <definedName name="jdfjewf_2" localSheetId="20" hidden="1">{#N/A,#N/A,FALSE,"지침";#N/A,#N/A,FALSE,"환경분석";#N/A,#N/A,FALSE,"Sheet16"}</definedName>
    <definedName name="jdfjewf_2" hidden="1">{#N/A,#N/A,FALSE,"지침";#N/A,#N/A,FALSE,"환경분석";#N/A,#N/A,FALSE,"Sheet16"}</definedName>
    <definedName name="JESUS">#REF!</definedName>
    <definedName name="jfghjghk" localSheetId="20" hidden="1">{"'CptDifn'!$AA$32:$AG$32"}</definedName>
    <definedName name="jfghjghk" hidden="1">{"'CptDifn'!$AA$32:$AG$32"}</definedName>
    <definedName name="jfghjghk_1" localSheetId="20" hidden="1">{"'CptDifn'!$AA$32:$AG$32"}</definedName>
    <definedName name="jfghjghk_1" hidden="1">{"'CptDifn'!$AA$32:$AG$32"}</definedName>
    <definedName name="jfghjghk_1_1" localSheetId="20" hidden="1">{"'CptDifn'!$AA$32:$AG$32"}</definedName>
    <definedName name="jfghjghk_1_1" hidden="1">{"'CptDifn'!$AA$32:$AG$32"}</definedName>
    <definedName name="jfghjghk_1_1_1" localSheetId="20" hidden="1">{"'CptDifn'!$AA$32:$AG$32"}</definedName>
    <definedName name="jfghjghk_1_1_1" hidden="1">{"'CptDifn'!$AA$32:$AG$32"}</definedName>
    <definedName name="jfghjghk_1_2" localSheetId="20" hidden="1">{"'CptDifn'!$AA$32:$AG$32"}</definedName>
    <definedName name="jfghjghk_1_2" hidden="1">{"'CptDifn'!$AA$32:$AG$32"}</definedName>
    <definedName name="jfghjghk_2" localSheetId="20" hidden="1">{"'CptDifn'!$AA$32:$AG$32"}</definedName>
    <definedName name="jfghjghk_2" hidden="1">{"'CptDifn'!$AA$32:$AG$32"}</definedName>
    <definedName name="jfgjfgj" localSheetId="20" hidden="1">{"'CptDifn'!$AA$32:$AG$32"}</definedName>
    <definedName name="jfgjfgj" hidden="1">{"'CptDifn'!$AA$32:$AG$32"}</definedName>
    <definedName name="jfgjfgj_1" localSheetId="20" hidden="1">{"'CptDifn'!$AA$32:$AG$32"}</definedName>
    <definedName name="jfgjfgj_1" hidden="1">{"'CptDifn'!$AA$32:$AG$32"}</definedName>
    <definedName name="jfgjfgj_1_1" localSheetId="20" hidden="1">{"'CptDifn'!$AA$32:$AG$32"}</definedName>
    <definedName name="jfgjfgj_1_1" hidden="1">{"'CptDifn'!$AA$32:$AG$32"}</definedName>
    <definedName name="jfgjfgj_1_1_1" localSheetId="20" hidden="1">{"'CptDifn'!$AA$32:$AG$32"}</definedName>
    <definedName name="jfgjfgj_1_1_1" hidden="1">{"'CptDifn'!$AA$32:$AG$32"}</definedName>
    <definedName name="jfgjfgj_1_2" localSheetId="20" hidden="1">{"'CptDifn'!$AA$32:$AG$32"}</definedName>
    <definedName name="jfgjfgj_1_2" hidden="1">{"'CptDifn'!$AA$32:$AG$32"}</definedName>
    <definedName name="jfgjfgj_2" localSheetId="20" hidden="1">{"'CptDifn'!$AA$32:$AG$32"}</definedName>
    <definedName name="jfgjfgj_2" hidden="1">{"'CptDifn'!$AA$32:$AG$32"}</definedName>
    <definedName name="jfjhfgh" localSheetId="20" hidden="1">{"'CptDifn'!$AA$32:$AG$32"}</definedName>
    <definedName name="jfjhfgh" hidden="1">{"'CptDifn'!$AA$32:$AG$32"}</definedName>
    <definedName name="jfjhfgh_1" localSheetId="20" hidden="1">{"'CptDifn'!$AA$32:$AG$32"}</definedName>
    <definedName name="jfjhfgh_1" hidden="1">{"'CptDifn'!$AA$32:$AG$32"}</definedName>
    <definedName name="jfjhfgh_1_1" localSheetId="20" hidden="1">{"'CptDifn'!$AA$32:$AG$32"}</definedName>
    <definedName name="jfjhfgh_1_1" hidden="1">{"'CptDifn'!$AA$32:$AG$32"}</definedName>
    <definedName name="jfjhfgh_1_1_1" localSheetId="20" hidden="1">{"'CptDifn'!$AA$32:$AG$32"}</definedName>
    <definedName name="jfjhfgh_1_1_1" hidden="1">{"'CptDifn'!$AA$32:$AG$32"}</definedName>
    <definedName name="jfjhfgh_1_2" localSheetId="20" hidden="1">{"'CptDifn'!$AA$32:$AG$32"}</definedName>
    <definedName name="jfjhfgh_1_2" hidden="1">{"'CptDifn'!$AA$32:$AG$32"}</definedName>
    <definedName name="jfjhfgh_2" localSheetId="20" hidden="1">{"'CptDifn'!$AA$32:$AG$32"}</definedName>
    <definedName name="jfjhfgh_2" hidden="1">{"'CptDifn'!$AA$32:$AG$32"}</definedName>
    <definedName name="JFSJFSJFLJSDÇFL" localSheetId="20" hidden="1">{"'REL CUSTODIF'!$B$1:$H$72"}</definedName>
    <definedName name="JFSJFSJFLJSDÇFL" hidden="1">{"'REL CUSTODIF'!$B$1:$H$72"}</definedName>
    <definedName name="JFSJFSJFLJSDÇFL_1" localSheetId="20" hidden="1">{"'REL CUSTODIF'!$B$1:$H$72"}</definedName>
    <definedName name="JFSJFSJFLJSDÇFL_1" hidden="1">{"'REL CUSTODIF'!$B$1:$H$72"}</definedName>
    <definedName name="JFSJFSJFLJSDÇFL_1_1" localSheetId="20" hidden="1">{"'REL CUSTODIF'!$B$1:$H$72"}</definedName>
    <definedName name="JFSJFSJFLJSDÇFL_1_1" hidden="1">{"'REL CUSTODIF'!$B$1:$H$72"}</definedName>
    <definedName name="JFSJFSJFLJSDÇFL_1_1_1" localSheetId="20" hidden="1">{"'REL CUSTODIF'!$B$1:$H$72"}</definedName>
    <definedName name="JFSJFSJFLJSDÇFL_1_1_1" hidden="1">{"'REL CUSTODIF'!$B$1:$H$72"}</definedName>
    <definedName name="JFSJFSJFLJSDÇFL_1_2" localSheetId="20" hidden="1">{"'REL CUSTODIF'!$B$1:$H$72"}</definedName>
    <definedName name="JFSJFSJFLJSDÇFL_1_2" hidden="1">{"'REL CUSTODIF'!$B$1:$H$72"}</definedName>
    <definedName name="JFSJFSJFLJSDÇFL_2" localSheetId="20" hidden="1">{"'REL CUSTODIF'!$B$1:$H$72"}</definedName>
    <definedName name="JFSJFSJFLJSDÇFL_2" hidden="1">{"'REL CUSTODIF'!$B$1:$H$72"}</definedName>
    <definedName name="jg" localSheetId="20" hidden="1">{#N/A,#N/A,FALSE,"RESUMO-BB1";#N/A,#N/A,FALSE,"MOD-A01-R - BB1";#N/A,#N/A,FALSE,"URB-BB1"}</definedName>
    <definedName name="jg" hidden="1">{#N/A,#N/A,FALSE,"RESUMO-BB1";#N/A,#N/A,FALSE,"MOD-A01-R - BB1";#N/A,#N/A,FALSE,"URB-BB1"}</definedName>
    <definedName name="jgg" localSheetId="2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" localSheetId="20" hidden="1">{"'CptDifn'!$AA$32:$AG$32"}</definedName>
    <definedName name="jh" hidden="1">{"'CptDifn'!$AA$32:$AG$32"}</definedName>
    <definedName name="jh_1" localSheetId="20" hidden="1">{"'CptDifn'!$AA$32:$AG$32"}</definedName>
    <definedName name="jh_1" hidden="1">{"'CptDifn'!$AA$32:$AG$32"}</definedName>
    <definedName name="jh_1_1" localSheetId="20" hidden="1">{"'CptDifn'!$AA$32:$AG$32"}</definedName>
    <definedName name="jh_1_1" hidden="1">{"'CptDifn'!$AA$32:$AG$32"}</definedName>
    <definedName name="jh_1_1_1" localSheetId="20" hidden="1">{"'CptDifn'!$AA$32:$AG$32"}</definedName>
    <definedName name="jh_1_1_1" hidden="1">{"'CptDifn'!$AA$32:$AG$32"}</definedName>
    <definedName name="jh_1_2" localSheetId="20" hidden="1">{"'CptDifn'!$AA$32:$AG$32"}</definedName>
    <definedName name="jh_1_2" hidden="1">{"'CptDifn'!$AA$32:$AG$32"}</definedName>
    <definedName name="jh_2" localSheetId="20" hidden="1">{"'CptDifn'!$AA$32:$AG$32"}</definedName>
    <definedName name="jh_2" hidden="1">{"'CptDifn'!$AA$32:$AG$32"}</definedName>
    <definedName name="jhe" hidden="1">#REF!</definedName>
    <definedName name="jhg" hidden="1">#REF!</definedName>
    <definedName name="jhgf" localSheetId="20" hidden="1">{"'CptDifn'!$AA$32:$AG$32"}</definedName>
    <definedName name="jhgf" hidden="1">{"'CptDifn'!$AA$32:$AG$32"}</definedName>
    <definedName name="jhgf_1" localSheetId="20" hidden="1">{"'CptDifn'!$AA$32:$AG$32"}</definedName>
    <definedName name="jhgf_1" hidden="1">{"'CptDifn'!$AA$32:$AG$32"}</definedName>
    <definedName name="jhgf_1_1" localSheetId="20" hidden="1">{"'CptDifn'!$AA$32:$AG$32"}</definedName>
    <definedName name="jhgf_1_1" hidden="1">{"'CptDifn'!$AA$32:$AG$32"}</definedName>
    <definedName name="jhgf_1_1_1" localSheetId="20" hidden="1">{"'CptDifn'!$AA$32:$AG$32"}</definedName>
    <definedName name="jhgf_1_1_1" hidden="1">{"'CptDifn'!$AA$32:$AG$32"}</definedName>
    <definedName name="jhgf_1_2" localSheetId="20" hidden="1">{"'CptDifn'!$AA$32:$AG$32"}</definedName>
    <definedName name="jhgf_1_2" hidden="1">{"'CptDifn'!$AA$32:$AG$32"}</definedName>
    <definedName name="jhgf_2" localSheetId="20" hidden="1">{"'CptDifn'!$AA$32:$AG$32"}</definedName>
    <definedName name="jhgf_2" hidden="1">{"'CptDifn'!$AA$32:$AG$32"}</definedName>
    <definedName name="jhh">#REF!</definedName>
    <definedName name="jhjdf">'[13]P A T O 99 B'!#REF!</definedName>
    <definedName name="jhjhjhjju" localSheetId="20" hidden="1">{#N/A,#N/A,FALSE,"MO (2)"}</definedName>
    <definedName name="jhjhjhjju" hidden="1">{#N/A,#N/A,FALSE,"MO (2)"}</definedName>
    <definedName name="JJJJ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JJJJ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jjjj_1" localSheetId="20" hidden="1">{"'CptDifn'!$AA$32:$AG$32"}</definedName>
    <definedName name="jjjj_1" hidden="1">{"'CptDifn'!$AA$32:$AG$32"}</definedName>
    <definedName name="jjjj_1_1" localSheetId="20" hidden="1">{"'CptDifn'!$AA$32:$AG$32"}</definedName>
    <definedName name="jjjj_1_1" hidden="1">{"'CptDifn'!$AA$32:$AG$32"}</definedName>
    <definedName name="jjjj_1_1_1" localSheetId="20" hidden="1">{"'CptDifn'!$AA$32:$AG$32"}</definedName>
    <definedName name="jjjj_1_1_1" hidden="1">{"'CptDifn'!$AA$32:$AG$32"}</definedName>
    <definedName name="jjjj_1_2" localSheetId="20" hidden="1">{"'CptDifn'!$AA$32:$AG$32"}</definedName>
    <definedName name="jjjj_1_2" hidden="1">{"'CptDifn'!$AA$32:$AG$32"}</definedName>
    <definedName name="jjjj_2" localSheetId="20" hidden="1">{"'CptDifn'!$AA$32:$AG$32"}</definedName>
    <definedName name="jjjj_2" hidden="1">{"'CptDifn'!$AA$32:$AG$32"}</definedName>
    <definedName name="jjjjj">'[41]Fresagem de Pista Ago-98'!#REF!</definedName>
    <definedName name="jjjjjjjjj">#REF!</definedName>
    <definedName name="JKBGKIJNH" localSheetId="20" hidden="1">{"'gráf jan00'!$A$1:$AK$41"}</definedName>
    <definedName name="JKBGKIJNH" hidden="1">{"'gráf jan00'!$A$1:$AK$41"}</definedName>
    <definedName name="JKBGKIJNH_1" localSheetId="20" hidden="1">{"'gráf jan00'!$A$1:$AK$41"}</definedName>
    <definedName name="JKBGKIJNH_1" hidden="1">{"'gráf jan00'!$A$1:$AK$41"}</definedName>
    <definedName name="JKBGKIJNH_1_1" localSheetId="20" hidden="1">{"'gráf jan00'!$A$1:$AK$41"}</definedName>
    <definedName name="JKBGKIJNH_1_1" hidden="1">{"'gráf jan00'!$A$1:$AK$41"}</definedName>
    <definedName name="JKBGKIJNH_1_1_1" localSheetId="20" hidden="1">{"'gráf jan00'!$A$1:$AK$41"}</definedName>
    <definedName name="JKBGKIJNH_1_1_1" hidden="1">{"'gráf jan00'!$A$1:$AK$41"}</definedName>
    <definedName name="JKBGKIJNH_1_2" localSheetId="20" hidden="1">{"'gráf jan00'!$A$1:$AK$41"}</definedName>
    <definedName name="JKBGKIJNH_1_2" hidden="1">{"'gráf jan00'!$A$1:$AK$41"}</definedName>
    <definedName name="JKBGKIJNH_2" localSheetId="20" hidden="1">{"'gráf jan00'!$A$1:$AK$41"}</definedName>
    <definedName name="JKBGKIJNH_2" hidden="1">{"'gráf jan00'!$A$1:$AK$41"}</definedName>
    <definedName name="jkjkk" localSheetId="20" hidden="1">{"'CptDifn'!$AA$32:$AG$32"}</definedName>
    <definedName name="jkjkk" hidden="1">{"'CptDifn'!$AA$32:$AG$32"}</definedName>
    <definedName name="jkjkk_1" localSheetId="20" hidden="1">{"'CptDifn'!$AA$32:$AG$32"}</definedName>
    <definedName name="jkjkk_1" hidden="1">{"'CptDifn'!$AA$32:$AG$32"}</definedName>
    <definedName name="jkjkk_1_1" localSheetId="20" hidden="1">{"'CptDifn'!$AA$32:$AG$32"}</definedName>
    <definedName name="jkjkk_1_1" hidden="1">{"'CptDifn'!$AA$32:$AG$32"}</definedName>
    <definedName name="jkjkk_1_1_1" localSheetId="20" hidden="1">{"'CptDifn'!$AA$32:$AG$32"}</definedName>
    <definedName name="jkjkk_1_1_1" hidden="1">{"'CptDifn'!$AA$32:$AG$32"}</definedName>
    <definedName name="jkjkk_1_2" localSheetId="20" hidden="1">{"'CptDifn'!$AA$32:$AG$32"}</definedName>
    <definedName name="jkjkk_1_2" hidden="1">{"'CptDifn'!$AA$32:$AG$32"}</definedName>
    <definedName name="jkjkk_2" localSheetId="20" hidden="1">{"'CptDifn'!$AA$32:$AG$32"}</definedName>
    <definedName name="jkjkk_2" hidden="1">{"'CptDifn'!$AA$32:$AG$32"}</definedName>
    <definedName name="jljl" localSheetId="20" hidden="1">{"det (May)",#N/A,FALSE,"June";"sum (MAY YTD)",#N/A,FALSE,"June YTD"}</definedName>
    <definedName name="jljl" hidden="1">{"det (May)",#N/A,FALSE,"June";"sum (MAY YTD)",#N/A,FALSE,"June YTD"}</definedName>
    <definedName name="jljl_1" localSheetId="20" hidden="1">{"det (May)",#N/A,FALSE,"June";"sum (MAY YTD)",#N/A,FALSE,"June YTD"}</definedName>
    <definedName name="jljl_1" hidden="1">{"det (May)",#N/A,FALSE,"June";"sum (MAY YTD)",#N/A,FALSE,"June YTD"}</definedName>
    <definedName name="jljl_1_1" localSheetId="20" hidden="1">{"det (May)",#N/A,FALSE,"June";"sum (MAY YTD)",#N/A,FALSE,"June YTD"}</definedName>
    <definedName name="jljl_1_1" hidden="1">{"det (May)",#N/A,FALSE,"June";"sum (MAY YTD)",#N/A,FALSE,"June YTD"}</definedName>
    <definedName name="jljl_1_1_1" localSheetId="20" hidden="1">{"det (May)",#N/A,FALSE,"June";"sum (MAY YTD)",#N/A,FALSE,"June YTD"}</definedName>
    <definedName name="jljl_1_1_1" hidden="1">{"det (May)",#N/A,FALSE,"June";"sum (MAY YTD)",#N/A,FALSE,"June YTD"}</definedName>
    <definedName name="jljl_1_2" localSheetId="20" hidden="1">{"det (May)",#N/A,FALSE,"June";"sum (MAY YTD)",#N/A,FALSE,"June YTD"}</definedName>
    <definedName name="jljl_1_2" hidden="1">{"det (May)",#N/A,FALSE,"June";"sum (MAY YTD)",#N/A,FALSE,"June YTD"}</definedName>
    <definedName name="jljl_2" localSheetId="20" hidden="1">{"det (May)",#N/A,FALSE,"June";"sum (MAY YTD)",#N/A,FALSE,"June YTD"}</definedName>
    <definedName name="jljl_2" hidden="1">{"det (May)",#N/A,FALSE,"June";"sum (MAY YTD)",#N/A,FALSE,"June YTD"}</definedName>
    <definedName name="jljlx" localSheetId="20" hidden="1">{"det (May)",#N/A,FALSE,"June";"sum (MAY YTD)",#N/A,FALSE,"June YTD"}</definedName>
    <definedName name="jljlx" hidden="1">{"det (May)",#N/A,FALSE,"June";"sum (MAY YTD)",#N/A,FALSE,"June YTD"}</definedName>
    <definedName name="jljlx_1" localSheetId="20" hidden="1">{"det (May)",#N/A,FALSE,"June";"sum (MAY YTD)",#N/A,FALSE,"June YTD"}</definedName>
    <definedName name="jljlx_1" hidden="1">{"det (May)",#N/A,FALSE,"June";"sum (MAY YTD)",#N/A,FALSE,"June YTD"}</definedName>
    <definedName name="jljlx_1_1" localSheetId="20" hidden="1">{"det (May)",#N/A,FALSE,"June";"sum (MAY YTD)",#N/A,FALSE,"June YTD"}</definedName>
    <definedName name="jljlx_1_1" hidden="1">{"det (May)",#N/A,FALSE,"June";"sum (MAY YTD)",#N/A,FALSE,"June YTD"}</definedName>
    <definedName name="jljlx_1_1_1" localSheetId="20" hidden="1">{"det (May)",#N/A,FALSE,"June";"sum (MAY YTD)",#N/A,FALSE,"June YTD"}</definedName>
    <definedName name="jljlx_1_1_1" hidden="1">{"det (May)",#N/A,FALSE,"June";"sum (MAY YTD)",#N/A,FALSE,"June YTD"}</definedName>
    <definedName name="jljlx_1_2" localSheetId="20" hidden="1">{"det (May)",#N/A,FALSE,"June";"sum (MAY YTD)",#N/A,FALSE,"June YTD"}</definedName>
    <definedName name="jljlx_1_2" hidden="1">{"det (May)",#N/A,FALSE,"June";"sum (MAY YTD)",#N/A,FALSE,"June YTD"}</definedName>
    <definedName name="jljlx_2" localSheetId="20" hidden="1">{"det (May)",#N/A,FALSE,"June";"sum (MAY YTD)",#N/A,FALSE,"June YTD"}</definedName>
    <definedName name="jljlx_2" hidden="1">{"det (May)",#N/A,FALSE,"June";"sum (MAY YTD)",#N/A,FALSE,"June YTD"}</definedName>
    <definedName name="jN">[51]Plan1!#REF!</definedName>
    <definedName name="jo" localSheetId="20" hidden="1">{#N/A,#N/A,FALSE,"MO (2)"}</definedName>
    <definedName name="jo" hidden="1">{#N/A,#N/A,FALSE,"MO (2)"}</definedName>
    <definedName name="JOAO" localSheetId="20" hidden="1">{#N/A,#N/A,FALSE,"SS 1";#N/A,#N/A,FALSE,"SS 2";#N/A,#N/A,FALSE,"TER 1 (1)";#N/A,#N/A,FALSE,"TER 1 (2)";#N/A,#N/A,FALSE,"TER 2 ";#N/A,#N/A,FALSE,"TP  (1)";#N/A,#N/A,FALSE,"TP  (2)";#N/A,#N/A,FALSE,"CM BAR"}</definedName>
    <definedName name="JOAO" localSheetId="21">#REF!</definedName>
    <definedName name="JOAO">#REF!</definedName>
    <definedName name="João">#REF!</definedName>
    <definedName name="JOAO1" localSheetId="20" hidden="1">{#N/A,#N/A,FALSE,"LEVFER V2 P";#N/A,#N/A,FALSE,"LEVFER V2 P10%"}</definedName>
    <definedName name="JOAO1" hidden="1">{#N/A,#N/A,FALSE,"LEVFER V2 P";#N/A,#N/A,FALSE,"LEVFER V2 P10%"}</definedName>
    <definedName name="JOÇÃO">#N/A</definedName>
    <definedName name="jonas01">#REF!</definedName>
    <definedName name="Jorg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SE" localSheetId="20" hidden="1">{#N/A,#N/A,FALSE,"LEVFER V2 P";#N/A,#N/A,FALSE,"LEVFER V2 P10%"}</definedName>
    <definedName name="JOSE" hidden="1">{#N/A,#N/A,FALSE,"LEVFER V2 P";#N/A,#N/A,FALSE,"LEVFER V2 P10%"}</definedName>
    <definedName name="JOVUEUIZPJ" hidden="1">#REF!</definedName>
    <definedName name="JR_PAGE_ANCHOR_0_10">#REF!</definedName>
    <definedName name="JR_PAGE_ANCHOR_0_100">#REF!</definedName>
    <definedName name="JR_PAGE_ANCHOR_0_101">#REF!</definedName>
    <definedName name="JR_PAGE_ANCHOR_0_102">#REF!</definedName>
    <definedName name="JR_PAGE_ANCHOR_0_103">#REF!</definedName>
    <definedName name="JR_PAGE_ANCHOR_0_104">#REF!</definedName>
    <definedName name="JR_PAGE_ANCHOR_0_105">#REF!</definedName>
    <definedName name="JR_PAGE_ANCHOR_0_106">#REF!</definedName>
    <definedName name="JR_PAGE_ANCHOR_0_107">#REF!</definedName>
    <definedName name="JR_PAGE_ANCHOR_0_108">#REF!</definedName>
    <definedName name="JR_PAGE_ANCHOR_0_109">#REF!</definedName>
    <definedName name="JR_PAGE_ANCHOR_0_11">#REF!</definedName>
    <definedName name="JR_PAGE_ANCHOR_0_110">#REF!</definedName>
    <definedName name="JR_PAGE_ANCHOR_0_111">#REF!</definedName>
    <definedName name="JR_PAGE_ANCHOR_0_112">#REF!</definedName>
    <definedName name="JR_PAGE_ANCHOR_0_113">#REF!</definedName>
    <definedName name="JR_PAGE_ANCHOR_0_114">#REF!</definedName>
    <definedName name="JR_PAGE_ANCHOR_0_115">#REF!</definedName>
    <definedName name="JR_PAGE_ANCHOR_0_116">#REF!</definedName>
    <definedName name="JR_PAGE_ANCHOR_0_117">#REF!</definedName>
    <definedName name="JR_PAGE_ANCHOR_0_118">#REF!</definedName>
    <definedName name="JR_PAGE_ANCHOR_0_119">#REF!</definedName>
    <definedName name="JR_PAGE_ANCHOR_0_12">#REF!</definedName>
    <definedName name="JR_PAGE_ANCHOR_0_120">#REF!</definedName>
    <definedName name="JR_PAGE_ANCHOR_0_121">#REF!</definedName>
    <definedName name="JR_PAGE_ANCHOR_0_122">#REF!</definedName>
    <definedName name="JR_PAGE_ANCHOR_0_123">#REF!</definedName>
    <definedName name="JR_PAGE_ANCHOR_0_124">#REF!</definedName>
    <definedName name="JR_PAGE_ANCHOR_0_125">#REF!</definedName>
    <definedName name="JR_PAGE_ANCHOR_0_126">#REF!</definedName>
    <definedName name="JR_PAGE_ANCHOR_0_127">#REF!</definedName>
    <definedName name="JR_PAGE_ANCHOR_0_128">#REF!</definedName>
    <definedName name="JR_PAGE_ANCHOR_0_129">#REF!</definedName>
    <definedName name="JR_PAGE_ANCHOR_0_13">#REF!</definedName>
    <definedName name="JR_PAGE_ANCHOR_0_130">#REF!</definedName>
    <definedName name="JR_PAGE_ANCHOR_0_14">#REF!</definedName>
    <definedName name="JR_PAGE_ANCHOR_0_15">#REF!</definedName>
    <definedName name="JR_PAGE_ANCHOR_0_16">#REF!</definedName>
    <definedName name="JR_PAGE_ANCHOR_0_17">#REF!</definedName>
    <definedName name="JR_PAGE_ANCHOR_0_18">#REF!</definedName>
    <definedName name="JR_PAGE_ANCHOR_0_19">#REF!</definedName>
    <definedName name="JR_PAGE_ANCHOR_0_2">#REF!</definedName>
    <definedName name="JR_PAGE_ANCHOR_0_20">#REF!</definedName>
    <definedName name="JR_PAGE_ANCHOR_0_21">#REF!</definedName>
    <definedName name="JR_PAGE_ANCHOR_0_22">#REF!</definedName>
    <definedName name="JR_PAGE_ANCHOR_0_23">#REF!</definedName>
    <definedName name="JR_PAGE_ANCHOR_0_24">#REF!</definedName>
    <definedName name="JR_PAGE_ANCHOR_0_25">#REF!</definedName>
    <definedName name="JR_PAGE_ANCHOR_0_26">#REF!</definedName>
    <definedName name="JR_PAGE_ANCHOR_0_27">#REF!</definedName>
    <definedName name="JR_PAGE_ANCHOR_0_28">#REF!</definedName>
    <definedName name="JR_PAGE_ANCHOR_0_29">#REF!</definedName>
    <definedName name="JR_PAGE_ANCHOR_0_3">#REF!</definedName>
    <definedName name="JR_PAGE_ANCHOR_0_30">#REF!</definedName>
    <definedName name="JR_PAGE_ANCHOR_0_31">#REF!</definedName>
    <definedName name="JR_PAGE_ANCHOR_0_32">#REF!</definedName>
    <definedName name="JR_PAGE_ANCHOR_0_33">#REF!</definedName>
    <definedName name="JR_PAGE_ANCHOR_0_34">#REF!</definedName>
    <definedName name="JR_PAGE_ANCHOR_0_35">#REF!</definedName>
    <definedName name="JR_PAGE_ANCHOR_0_36">#REF!</definedName>
    <definedName name="JR_PAGE_ANCHOR_0_37">#REF!</definedName>
    <definedName name="JR_PAGE_ANCHOR_0_38">#REF!</definedName>
    <definedName name="JR_PAGE_ANCHOR_0_39">#REF!</definedName>
    <definedName name="JR_PAGE_ANCHOR_0_4">#REF!</definedName>
    <definedName name="JR_PAGE_ANCHOR_0_40">#REF!</definedName>
    <definedName name="JR_PAGE_ANCHOR_0_41">#REF!</definedName>
    <definedName name="JR_PAGE_ANCHOR_0_42">#REF!</definedName>
    <definedName name="JR_PAGE_ANCHOR_0_43">#REF!</definedName>
    <definedName name="JR_PAGE_ANCHOR_0_44">#REF!</definedName>
    <definedName name="JR_PAGE_ANCHOR_0_45">#REF!</definedName>
    <definedName name="JR_PAGE_ANCHOR_0_46">#REF!</definedName>
    <definedName name="JR_PAGE_ANCHOR_0_47">#REF!</definedName>
    <definedName name="JR_PAGE_ANCHOR_0_48">#REF!</definedName>
    <definedName name="JR_PAGE_ANCHOR_0_49">#REF!</definedName>
    <definedName name="JR_PAGE_ANCHOR_0_5">#REF!</definedName>
    <definedName name="JR_PAGE_ANCHOR_0_50">#REF!</definedName>
    <definedName name="JR_PAGE_ANCHOR_0_51">#REF!</definedName>
    <definedName name="JR_PAGE_ANCHOR_0_52">#REF!</definedName>
    <definedName name="JR_PAGE_ANCHOR_0_53">#REF!</definedName>
    <definedName name="JR_PAGE_ANCHOR_0_54">#REF!</definedName>
    <definedName name="JR_PAGE_ANCHOR_0_55">#REF!</definedName>
    <definedName name="JR_PAGE_ANCHOR_0_56">#REF!</definedName>
    <definedName name="JR_PAGE_ANCHOR_0_57">#REF!</definedName>
    <definedName name="JR_PAGE_ANCHOR_0_58">#REF!</definedName>
    <definedName name="JR_PAGE_ANCHOR_0_59">#REF!</definedName>
    <definedName name="JR_PAGE_ANCHOR_0_6">#REF!</definedName>
    <definedName name="JR_PAGE_ANCHOR_0_60">#REF!</definedName>
    <definedName name="JR_PAGE_ANCHOR_0_61">#REF!</definedName>
    <definedName name="JR_PAGE_ANCHOR_0_62">#REF!</definedName>
    <definedName name="JR_PAGE_ANCHOR_0_63">#REF!</definedName>
    <definedName name="JR_PAGE_ANCHOR_0_64">#REF!</definedName>
    <definedName name="JR_PAGE_ANCHOR_0_65">#REF!</definedName>
    <definedName name="JR_PAGE_ANCHOR_0_66">#REF!</definedName>
    <definedName name="JR_PAGE_ANCHOR_0_67">#REF!</definedName>
    <definedName name="JR_PAGE_ANCHOR_0_68">#REF!</definedName>
    <definedName name="JR_PAGE_ANCHOR_0_69">#REF!</definedName>
    <definedName name="JR_PAGE_ANCHOR_0_7">#REF!</definedName>
    <definedName name="JR_PAGE_ANCHOR_0_70">#REF!</definedName>
    <definedName name="JR_PAGE_ANCHOR_0_71">#REF!</definedName>
    <definedName name="JR_PAGE_ANCHOR_0_72">#REF!</definedName>
    <definedName name="JR_PAGE_ANCHOR_0_73">#REF!</definedName>
    <definedName name="JR_PAGE_ANCHOR_0_74">#REF!</definedName>
    <definedName name="JR_PAGE_ANCHOR_0_75">#REF!</definedName>
    <definedName name="JR_PAGE_ANCHOR_0_76">#REF!</definedName>
    <definedName name="JR_PAGE_ANCHOR_0_77">#REF!</definedName>
    <definedName name="JR_PAGE_ANCHOR_0_78">#REF!</definedName>
    <definedName name="JR_PAGE_ANCHOR_0_79">#REF!</definedName>
    <definedName name="JR_PAGE_ANCHOR_0_8">#REF!</definedName>
    <definedName name="JR_PAGE_ANCHOR_0_80">#REF!</definedName>
    <definedName name="JR_PAGE_ANCHOR_0_81">#REF!</definedName>
    <definedName name="JR_PAGE_ANCHOR_0_82">#REF!</definedName>
    <definedName name="JR_PAGE_ANCHOR_0_83">#REF!</definedName>
    <definedName name="JR_PAGE_ANCHOR_0_84">#REF!</definedName>
    <definedName name="JR_PAGE_ANCHOR_0_85">#REF!</definedName>
    <definedName name="JR_PAGE_ANCHOR_0_86">#REF!</definedName>
    <definedName name="JR_PAGE_ANCHOR_0_87">#REF!</definedName>
    <definedName name="JR_PAGE_ANCHOR_0_88">#REF!</definedName>
    <definedName name="JR_PAGE_ANCHOR_0_89">#REF!</definedName>
    <definedName name="JR_PAGE_ANCHOR_0_9">#REF!</definedName>
    <definedName name="JR_PAGE_ANCHOR_0_90">#REF!</definedName>
    <definedName name="JR_PAGE_ANCHOR_0_91">#REF!</definedName>
    <definedName name="JR_PAGE_ANCHOR_0_92">#REF!</definedName>
    <definedName name="JR_PAGE_ANCHOR_0_93">#REF!</definedName>
    <definedName name="JR_PAGE_ANCHOR_0_94">#REF!</definedName>
    <definedName name="JR_PAGE_ANCHOR_0_95">#REF!</definedName>
    <definedName name="JR_PAGE_ANCHOR_0_96">#REF!</definedName>
    <definedName name="JR_PAGE_ANCHOR_0_97">#REF!</definedName>
    <definedName name="JR_PAGE_ANCHOR_0_98">#REF!</definedName>
    <definedName name="JR_PAGE_ANCHOR_0_99">#REF!</definedName>
    <definedName name="jryhjtry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u" localSheetId="20" hidden="1">{"'gráf jan00'!$A$1:$AK$41"}</definedName>
    <definedName name="jryu" hidden="1">{"'gráf jan00'!$A$1:$AK$41"}</definedName>
    <definedName name="jryu_1" localSheetId="20" hidden="1">{"'gráf jan00'!$A$1:$AK$41"}</definedName>
    <definedName name="jryu_1" hidden="1">{"'gráf jan00'!$A$1:$AK$41"}</definedName>
    <definedName name="jryu_1_1" localSheetId="20" hidden="1">{"'gráf jan00'!$A$1:$AK$41"}</definedName>
    <definedName name="jryu_1_1" hidden="1">{"'gráf jan00'!$A$1:$AK$41"}</definedName>
    <definedName name="jryu_1_1_1" localSheetId="20" hidden="1">{"'gráf jan00'!$A$1:$AK$41"}</definedName>
    <definedName name="jryu_1_1_1" hidden="1">{"'gráf jan00'!$A$1:$AK$41"}</definedName>
    <definedName name="jryu_1_2" localSheetId="20" hidden="1">{"'gráf jan00'!$A$1:$AK$41"}</definedName>
    <definedName name="jryu_1_2" hidden="1">{"'gráf jan00'!$A$1:$AK$41"}</definedName>
    <definedName name="jryu_2" localSheetId="20" hidden="1">{"'gráf jan00'!$A$1:$AK$41"}</definedName>
    <definedName name="jryu_2" hidden="1">{"'gráf jan00'!$A$1:$AK$41"}</definedName>
    <definedName name="ju" localSheetId="20" hidden="1">{#N/A,#N/A,FALSE,"SITUAÇÃO DIÁRIA ";#N/A,#N/A,FALSE,"7 à 7"}</definedName>
    <definedName name="ju" hidden="1">{#N/A,#N/A,FALSE,"SITUAÇÃO DIÁRIA ";#N/A,#N/A,FALSE,"7 à 7"}</definedName>
    <definedName name="ju_1" localSheetId="20" hidden="1">{#N/A,#N/A,FALSE,"SITUAÇÃO DIÁRIA ";#N/A,#N/A,FALSE,"7 à 7"}</definedName>
    <definedName name="ju_1" hidden="1">{#N/A,#N/A,FALSE,"SITUAÇÃO DIÁRIA ";#N/A,#N/A,FALSE,"7 à 7"}</definedName>
    <definedName name="ju_1_1" localSheetId="20" hidden="1">{#N/A,#N/A,FALSE,"SITUAÇÃO DIÁRIA ";#N/A,#N/A,FALSE,"7 à 7"}</definedName>
    <definedName name="ju_1_1" hidden="1">{#N/A,#N/A,FALSE,"SITUAÇÃO DIÁRIA ";#N/A,#N/A,FALSE,"7 à 7"}</definedName>
    <definedName name="ju_1_1_1" localSheetId="20" hidden="1">{#N/A,#N/A,FALSE,"SITUAÇÃO DIÁRIA ";#N/A,#N/A,FALSE,"7 à 7"}</definedName>
    <definedName name="ju_1_1_1" hidden="1">{#N/A,#N/A,FALSE,"SITUAÇÃO DIÁRIA ";#N/A,#N/A,FALSE,"7 à 7"}</definedName>
    <definedName name="ju_1_2" localSheetId="20" hidden="1">{#N/A,#N/A,FALSE,"SITUAÇÃO DIÁRIA ";#N/A,#N/A,FALSE,"7 à 7"}</definedName>
    <definedName name="ju_1_2" hidden="1">{#N/A,#N/A,FALSE,"SITUAÇÃO DIÁRIA ";#N/A,#N/A,FALSE,"7 à 7"}</definedName>
    <definedName name="ju_2" localSheetId="20" hidden="1">{#N/A,#N/A,FALSE,"SITUAÇÃO DIÁRIA ";#N/A,#N/A,FALSE,"7 à 7"}</definedName>
    <definedName name="ju_2" hidden="1">{#N/A,#N/A,FALSE,"SITUAÇÃO DIÁRIA ";#N/A,#N/A,FALSE,"7 à 7"}</definedName>
    <definedName name="juca" localSheetId="20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21">#NAME?</definedName>
    <definedName name="juca">#NAME?</definedName>
    <definedName name="juhi" localSheetId="20" hidden="1">{#N/A,#N/A,FALSE,"PCOL"}</definedName>
    <definedName name="juhi" hidden="1">{#N/A,#N/A,FALSE,"PCOL"}</definedName>
    <definedName name="juhi_1" localSheetId="20" hidden="1">{#N/A,#N/A,FALSE,"PCOL"}</definedName>
    <definedName name="juhi_1" hidden="1">{#N/A,#N/A,FALSE,"PCOL"}</definedName>
    <definedName name="juhi_1_1" localSheetId="20" hidden="1">{#N/A,#N/A,FALSE,"PCOL"}</definedName>
    <definedName name="juhi_1_1" hidden="1">{#N/A,#N/A,FALSE,"PCOL"}</definedName>
    <definedName name="juhi_1_1_1" localSheetId="20" hidden="1">{#N/A,#N/A,FALSE,"PCOL"}</definedName>
    <definedName name="juhi_1_1_1" hidden="1">{#N/A,#N/A,FALSE,"PCOL"}</definedName>
    <definedName name="juhi_1_2" localSheetId="20" hidden="1">{#N/A,#N/A,FALSE,"PCOL"}</definedName>
    <definedName name="juhi_1_2" hidden="1">{#N/A,#N/A,FALSE,"PCOL"}</definedName>
    <definedName name="juhi_2" localSheetId="20" hidden="1">{#N/A,#N/A,FALSE,"PCOL"}</definedName>
    <definedName name="juhi_2" hidden="1">{#N/A,#N/A,FALSE,"PCOL"}</definedName>
    <definedName name="jujk" localSheetId="20" hidden="1">{#N/A,#N/A,FALSE,"PCOL"}</definedName>
    <definedName name="jujk" hidden="1">{#N/A,#N/A,FALSE,"PCOL"}</definedName>
    <definedName name="jujk_1" localSheetId="20" hidden="1">{#N/A,#N/A,FALSE,"PCOL"}</definedName>
    <definedName name="jujk_1" hidden="1">{#N/A,#N/A,FALSE,"PCOL"}</definedName>
    <definedName name="jujk_1_1" localSheetId="20" hidden="1">{#N/A,#N/A,FALSE,"PCOL"}</definedName>
    <definedName name="jujk_1_1" hidden="1">{#N/A,#N/A,FALSE,"PCOL"}</definedName>
    <definedName name="jujk_1_1_1" localSheetId="20" hidden="1">{#N/A,#N/A,FALSE,"PCOL"}</definedName>
    <definedName name="jujk_1_1_1" hidden="1">{#N/A,#N/A,FALSE,"PCOL"}</definedName>
    <definedName name="jujk_1_2" localSheetId="20" hidden="1">{#N/A,#N/A,FALSE,"PCOL"}</definedName>
    <definedName name="jujk_1_2" hidden="1">{#N/A,#N/A,FALSE,"PCOL"}</definedName>
    <definedName name="jujk_2" localSheetId="20" hidden="1">{#N/A,#N/A,FALSE,"PCOL"}</definedName>
    <definedName name="jujk_2" hidden="1">{#N/A,#N/A,FALSE,"PCOL"}</definedName>
    <definedName name="JUJU" localSheetId="20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LA">#REF!</definedName>
    <definedName name="Julio" localSheetId="20" hidden="1">{"'CptDifn'!$AA$32:$AG$32"}</definedName>
    <definedName name="Julio" hidden="1">{"'CptDifn'!$AA$32:$AG$32"}</definedName>
    <definedName name="Julio_1" localSheetId="20" hidden="1">{"'CptDifn'!$AA$32:$AG$32"}</definedName>
    <definedName name="Julio_1" hidden="1">{"'CptDifn'!$AA$32:$AG$32"}</definedName>
    <definedName name="Julio_1_1" localSheetId="20" hidden="1">{"'CptDifn'!$AA$32:$AG$32"}</definedName>
    <definedName name="Julio_1_1" hidden="1">{"'CptDifn'!$AA$32:$AG$32"}</definedName>
    <definedName name="Julio_1_1_1" localSheetId="20" hidden="1">{"'CptDifn'!$AA$32:$AG$32"}</definedName>
    <definedName name="Julio_1_1_1" hidden="1">{"'CptDifn'!$AA$32:$AG$32"}</definedName>
    <definedName name="Julio_1_2" localSheetId="20" hidden="1">{"'CptDifn'!$AA$32:$AG$32"}</definedName>
    <definedName name="Julio_1_2" hidden="1">{"'CptDifn'!$AA$32:$AG$32"}</definedName>
    <definedName name="Julio_2" localSheetId="20" hidden="1">{"'CptDifn'!$AA$32:$AG$32"}</definedName>
    <definedName name="Julio_2" hidden="1">{"'CptDifn'!$AA$32:$AG$32"}</definedName>
    <definedName name="jun00">[35]Consultoria!#REF!</definedName>
    <definedName name="JUNA">#REF!</definedName>
    <definedName name="junho" localSheetId="20" hidden="1">{"'gráf jan00'!$A$1:$AK$41"}</definedName>
    <definedName name="junho" hidden="1">{"'gráf jan00'!$A$1:$AK$41"}</definedName>
    <definedName name="junho_1" localSheetId="20" hidden="1">{"'gráf jan00'!$A$1:$AK$41"}</definedName>
    <definedName name="junho_1" hidden="1">{"'gráf jan00'!$A$1:$AK$41"}</definedName>
    <definedName name="junho_1_1" localSheetId="20" hidden="1">{"'gráf jan00'!$A$1:$AK$41"}</definedName>
    <definedName name="junho_1_1" hidden="1">{"'gráf jan00'!$A$1:$AK$41"}</definedName>
    <definedName name="junho_1_1_1" localSheetId="20" hidden="1">{"'gráf jan00'!$A$1:$AK$41"}</definedName>
    <definedName name="junho_1_1_1" hidden="1">{"'gráf jan00'!$A$1:$AK$41"}</definedName>
    <definedName name="junho_1_2" localSheetId="20" hidden="1">{"'gráf jan00'!$A$1:$AK$41"}</definedName>
    <definedName name="junho_1_2" hidden="1">{"'gráf jan00'!$A$1:$AK$41"}</definedName>
    <definedName name="junho_2" localSheetId="20" hidden="1">{"'gráf jan00'!$A$1:$AK$41"}</definedName>
    <definedName name="junho_2" hidden="1">{"'gráf jan00'!$A$1:$AK$41"}</definedName>
    <definedName name="jythjty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">#REF!</definedName>
    <definedName name="k_1">#REF!</definedName>
    <definedName name="K_Dupla" localSheetId="21">NA()</definedName>
    <definedName name="K_Dupla">NA()</definedName>
    <definedName name="K_PR">#REF!</definedName>
    <definedName name="K_Simples" localSheetId="21">NA()</definedName>
    <definedName name="K_Simples">NA()</definedName>
    <definedName name="k0">'[42]Convert Lat, Long to UTM'!$C$9</definedName>
    <definedName name="kç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DFJA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jfkdi" localSheetId="20" hidden="1">{"'gráf jan00'!$A$1:$AK$41"}</definedName>
    <definedName name="kdjfkdi" hidden="1">{"'gráf jan00'!$A$1:$AK$41"}</definedName>
    <definedName name="kdjfkdi_1" localSheetId="20" hidden="1">{"'gráf jan00'!$A$1:$AK$41"}</definedName>
    <definedName name="kdjfkdi_1" hidden="1">{"'gráf jan00'!$A$1:$AK$41"}</definedName>
    <definedName name="kdjfkdi_1_1" localSheetId="20" hidden="1">{"'gráf jan00'!$A$1:$AK$41"}</definedName>
    <definedName name="kdjfkdi_1_1" hidden="1">{"'gráf jan00'!$A$1:$AK$41"}</definedName>
    <definedName name="kdjfkdi_1_1_1" localSheetId="20" hidden="1">{"'gráf jan00'!$A$1:$AK$41"}</definedName>
    <definedName name="kdjfkdi_1_1_1" hidden="1">{"'gráf jan00'!$A$1:$AK$41"}</definedName>
    <definedName name="kdjfkdi_1_2" localSheetId="20" hidden="1">{"'gráf jan00'!$A$1:$AK$41"}</definedName>
    <definedName name="kdjfkdi_1_2" hidden="1">{"'gráf jan00'!$A$1:$AK$41"}</definedName>
    <definedName name="kdjfkdi_2" localSheetId="20" hidden="1">{"'gráf jan00'!$A$1:$AK$41"}</definedName>
    <definedName name="kdjfkdi_2" hidden="1">{"'gráf jan00'!$A$1:$AK$41"}</definedName>
    <definedName name="kegs" localSheetId="20" hidden="1">{"det (May)",#N/A,FALSE,"June";"sum (MAY YTD)",#N/A,FALSE,"June YTD"}</definedName>
    <definedName name="kegs" hidden="1">{"det (May)",#N/A,FALSE,"June";"sum (MAY YTD)",#N/A,FALSE,"June YTD"}</definedName>
    <definedName name="kegs_1" localSheetId="20" hidden="1">{"det (May)",#N/A,FALSE,"June";"sum (MAY YTD)",#N/A,FALSE,"June YTD"}</definedName>
    <definedName name="kegs_1" hidden="1">{"det (May)",#N/A,FALSE,"June";"sum (MAY YTD)",#N/A,FALSE,"June YTD"}</definedName>
    <definedName name="kegs_1_1" localSheetId="20" hidden="1">{"det (May)",#N/A,FALSE,"June";"sum (MAY YTD)",#N/A,FALSE,"June YTD"}</definedName>
    <definedName name="kegs_1_1" hidden="1">{"det (May)",#N/A,FALSE,"June";"sum (MAY YTD)",#N/A,FALSE,"June YTD"}</definedName>
    <definedName name="kegs_1_1_1" localSheetId="20" hidden="1">{"det (May)",#N/A,FALSE,"June";"sum (MAY YTD)",#N/A,FALSE,"June YTD"}</definedName>
    <definedName name="kegs_1_1_1" hidden="1">{"det (May)",#N/A,FALSE,"June";"sum (MAY YTD)",#N/A,FALSE,"June YTD"}</definedName>
    <definedName name="kegs_1_2" localSheetId="20" hidden="1">{"det (May)",#N/A,FALSE,"June";"sum (MAY YTD)",#N/A,FALSE,"June YTD"}</definedName>
    <definedName name="kegs_1_2" hidden="1">{"det (May)",#N/A,FALSE,"June";"sum (MAY YTD)",#N/A,FALSE,"June YTD"}</definedName>
    <definedName name="kegs_2" localSheetId="20" hidden="1">{"det (May)",#N/A,FALSE,"June";"sum (MAY YTD)",#N/A,FALSE,"June YTD"}</definedName>
    <definedName name="kegs_2" hidden="1">{"det (May)",#N/A,FALSE,"June";"sum (MAY YTD)",#N/A,FALSE,"June YTD"}</definedName>
    <definedName name="kegsx" localSheetId="20" hidden="1">{"det (May)",#N/A,FALSE,"June";"sum (MAY YTD)",#N/A,FALSE,"June YTD"}</definedName>
    <definedName name="kegsx" hidden="1">{"det (May)",#N/A,FALSE,"June";"sum (MAY YTD)",#N/A,FALSE,"June YTD"}</definedName>
    <definedName name="kegsx_1" localSheetId="20" hidden="1">{"det (May)",#N/A,FALSE,"June";"sum (MAY YTD)",#N/A,FALSE,"June YTD"}</definedName>
    <definedName name="kegsx_1" hidden="1">{"det (May)",#N/A,FALSE,"June";"sum (MAY YTD)",#N/A,FALSE,"June YTD"}</definedName>
    <definedName name="kegsx_1_1" localSheetId="20" hidden="1">{"det (May)",#N/A,FALSE,"June";"sum (MAY YTD)",#N/A,FALSE,"June YTD"}</definedName>
    <definedName name="kegsx_1_1" hidden="1">{"det (May)",#N/A,FALSE,"June";"sum (MAY YTD)",#N/A,FALSE,"June YTD"}</definedName>
    <definedName name="kegsx_1_1_1" localSheetId="20" hidden="1">{"det (May)",#N/A,FALSE,"June";"sum (MAY YTD)",#N/A,FALSE,"June YTD"}</definedName>
    <definedName name="kegsx_1_1_1" hidden="1">{"det (May)",#N/A,FALSE,"June";"sum (MAY YTD)",#N/A,FALSE,"June YTD"}</definedName>
    <definedName name="kegsx_1_2" localSheetId="20" hidden="1">{"det (May)",#N/A,FALSE,"June";"sum (MAY YTD)",#N/A,FALSE,"June YTD"}</definedName>
    <definedName name="kegsx_1_2" hidden="1">{"det (May)",#N/A,FALSE,"June";"sum (MAY YTD)",#N/A,FALSE,"June YTD"}</definedName>
    <definedName name="kegsx_2" localSheetId="20" hidden="1">{"det (May)",#N/A,FALSE,"June";"sum (MAY YTD)",#N/A,FALSE,"June YTD"}</definedName>
    <definedName name="kegsx_2" hidden="1">{"det (May)",#N/A,FALSE,"June";"sum (MAY YTD)",#N/A,FALSE,"June YTD"}</definedName>
    <definedName name="kf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lwdf" localSheetId="20" hidden="1">{"Hourly cost",#N/A,FALSE,"Hours_cost";"Equipment_utilization",#N/A,FALSE,"Hours_cost"}</definedName>
    <definedName name="kflwdf" hidden="1">{"Hourly cost",#N/A,FALSE,"Hours_cost";"Equipment_utilization",#N/A,FALSE,"Hours_cost"}</definedName>
    <definedName name="KG">#REF!</definedName>
    <definedName name="khtykfh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ugf" localSheetId="20" hidden="1">{"'CptDifn'!$AA$32:$AG$32"}</definedName>
    <definedName name="khugf" hidden="1">{"'CptDifn'!$AA$32:$AG$32"}</definedName>
    <definedName name="khugf_1" localSheetId="20" hidden="1">{"'CptDifn'!$AA$32:$AG$32"}</definedName>
    <definedName name="khugf_1" hidden="1">{"'CptDifn'!$AA$32:$AG$32"}</definedName>
    <definedName name="khugf_1_1" localSheetId="20" hidden="1">{"'CptDifn'!$AA$32:$AG$32"}</definedName>
    <definedName name="khugf_1_1" hidden="1">{"'CptDifn'!$AA$32:$AG$32"}</definedName>
    <definedName name="khugf_1_1_1" localSheetId="20" hidden="1">{"'CptDifn'!$AA$32:$AG$32"}</definedName>
    <definedName name="khugf_1_1_1" hidden="1">{"'CptDifn'!$AA$32:$AG$32"}</definedName>
    <definedName name="khugf_1_2" localSheetId="20" hidden="1">{"'CptDifn'!$AA$32:$AG$32"}</definedName>
    <definedName name="khugf_1_2" hidden="1">{"'CptDifn'!$AA$32:$AG$32"}</definedName>
    <definedName name="khugf_2" localSheetId="20" hidden="1">{"'CptDifn'!$AA$32:$AG$32"}</definedName>
    <definedName name="khugf_2" hidden="1">{"'CptDifn'!$AA$32:$AG$32"}</definedName>
    <definedName name="ki" hidden="1">#REF!</definedName>
    <definedName name="KI5.1">#REF!</definedName>
    <definedName name="ki5.2">#REF!</definedName>
    <definedName name="kiuy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J" localSheetId="20" hidden="1">{#N/A,#N/A,FALSE,"지침";#N/A,#N/A,FALSE,"환경분석";#N/A,#N/A,FALSE,"Sheet16"}</definedName>
    <definedName name="kj">'[41]Fresagem de Pista Ago-98'!#REF!</definedName>
    <definedName name="KJ_1" localSheetId="20" hidden="1">{#N/A,#N/A,FALSE,"지침";#N/A,#N/A,FALSE,"환경분석";#N/A,#N/A,FALSE,"Sheet16"}</definedName>
    <definedName name="KJ_1" hidden="1">{#N/A,#N/A,FALSE,"지침";#N/A,#N/A,FALSE,"환경분석";#N/A,#N/A,FALSE,"Sheet16"}</definedName>
    <definedName name="KJ_1_1" localSheetId="20" hidden="1">{#N/A,#N/A,FALSE,"지침";#N/A,#N/A,FALSE,"환경분석";#N/A,#N/A,FALSE,"Sheet16"}</definedName>
    <definedName name="KJ_1_1" hidden="1">{#N/A,#N/A,FALSE,"지침";#N/A,#N/A,FALSE,"환경분석";#N/A,#N/A,FALSE,"Sheet16"}</definedName>
    <definedName name="KJ_1_1_1" localSheetId="20" hidden="1">{#N/A,#N/A,FALSE,"지침";#N/A,#N/A,FALSE,"환경분석";#N/A,#N/A,FALSE,"Sheet16"}</definedName>
    <definedName name="KJ_1_1_1" hidden="1">{#N/A,#N/A,FALSE,"지침";#N/A,#N/A,FALSE,"환경분석";#N/A,#N/A,FALSE,"Sheet16"}</definedName>
    <definedName name="KJ_1_2" localSheetId="20" hidden="1">{#N/A,#N/A,FALSE,"지침";#N/A,#N/A,FALSE,"환경분석";#N/A,#N/A,FALSE,"Sheet16"}</definedName>
    <definedName name="KJ_1_2" hidden="1">{#N/A,#N/A,FALSE,"지침";#N/A,#N/A,FALSE,"환경분석";#N/A,#N/A,FALSE,"Sheet16"}</definedName>
    <definedName name="KJ_2" localSheetId="20" hidden="1">{#N/A,#N/A,FALSE,"지침";#N/A,#N/A,FALSE,"환경분석";#N/A,#N/A,FALSE,"Sheet16"}</definedName>
    <definedName name="KJ_2" hidden="1">{#N/A,#N/A,FALSE,"지침";#N/A,#N/A,FALSE,"환경분석";#N/A,#N/A,FALSE,"Sheet16"}</definedName>
    <definedName name="kjhbghf" localSheetId="20" hidden="1">{"'CptDifn'!$AA$32:$AG$32"}</definedName>
    <definedName name="kjhbghf" hidden="1">{"'CptDifn'!$AA$32:$AG$32"}</definedName>
    <definedName name="kjhbghf_1" localSheetId="20" hidden="1">{"'CptDifn'!$AA$32:$AG$32"}</definedName>
    <definedName name="kjhbghf_1" hidden="1">{"'CptDifn'!$AA$32:$AG$32"}</definedName>
    <definedName name="kjhbghf_1_1" localSheetId="20" hidden="1">{"'CptDifn'!$AA$32:$AG$32"}</definedName>
    <definedName name="kjhbghf_1_1" hidden="1">{"'CptDifn'!$AA$32:$AG$32"}</definedName>
    <definedName name="kjhbghf_1_1_1" localSheetId="20" hidden="1">{"'CptDifn'!$AA$32:$AG$32"}</definedName>
    <definedName name="kjhbghf_1_1_1" hidden="1">{"'CptDifn'!$AA$32:$AG$32"}</definedName>
    <definedName name="kjhbghf_1_2" localSheetId="20" hidden="1">{"'CptDifn'!$AA$32:$AG$32"}</definedName>
    <definedName name="kjhbghf_1_2" hidden="1">{"'CptDifn'!$AA$32:$AG$32"}</definedName>
    <definedName name="kjhbghf_2" localSheetId="20" hidden="1">{"'CptDifn'!$AA$32:$AG$32"}</definedName>
    <definedName name="kjhbghf_2" hidden="1">{"'CptDifn'!$AA$32:$AG$32"}</definedName>
    <definedName name="kjhgjk" localSheetId="20" hidden="1">{"'gráf jan00'!$A$1:$AK$41"}</definedName>
    <definedName name="kjhgjk" hidden="1">{"'gráf jan00'!$A$1:$AK$41"}</definedName>
    <definedName name="kjhgjk_1" localSheetId="20" hidden="1">{"'gráf jan00'!$A$1:$AK$41"}</definedName>
    <definedName name="kjhgjk_1" hidden="1">{"'gráf jan00'!$A$1:$AK$41"}</definedName>
    <definedName name="kjhgjk_1_1" localSheetId="20" hidden="1">{"'gráf jan00'!$A$1:$AK$41"}</definedName>
    <definedName name="kjhgjk_1_1" hidden="1">{"'gráf jan00'!$A$1:$AK$41"}</definedName>
    <definedName name="kjhgjk_1_1_1" localSheetId="20" hidden="1">{"'gráf jan00'!$A$1:$AK$41"}</definedName>
    <definedName name="kjhgjk_1_1_1" hidden="1">{"'gráf jan00'!$A$1:$AK$41"}</definedName>
    <definedName name="kjhgjk_1_2" localSheetId="20" hidden="1">{"'gráf jan00'!$A$1:$AK$41"}</definedName>
    <definedName name="kjhgjk_1_2" hidden="1">{"'gráf jan00'!$A$1:$AK$41"}</definedName>
    <definedName name="kjhgjk_2" localSheetId="20" hidden="1">{"'gráf jan00'!$A$1:$AK$41"}</definedName>
    <definedName name="kjhgjk_2" hidden="1">{"'gráf jan00'!$A$1:$AK$41"}</definedName>
    <definedName name="kjhlkjgljhg" hidden="1">#REF!</definedName>
    <definedName name="kjkhjkh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lkgj" localSheetId="20" hidden="1">{"'CptDifn'!$AA$32:$AG$32"}</definedName>
    <definedName name="kjlkgj" hidden="1">{"'CptDifn'!$AA$32:$AG$32"}</definedName>
    <definedName name="kjlkgj_1" localSheetId="20" hidden="1">{"'CptDifn'!$AA$32:$AG$32"}</definedName>
    <definedName name="kjlkgj_1" hidden="1">{"'CptDifn'!$AA$32:$AG$32"}</definedName>
    <definedName name="kjlkgj_1_1" localSheetId="20" hidden="1">{"'CptDifn'!$AA$32:$AG$32"}</definedName>
    <definedName name="kjlkgj_1_1" hidden="1">{"'CptDifn'!$AA$32:$AG$32"}</definedName>
    <definedName name="kjlkgj_1_1_1" localSheetId="20" hidden="1">{"'CptDifn'!$AA$32:$AG$32"}</definedName>
    <definedName name="kjlkgj_1_1_1" hidden="1">{"'CptDifn'!$AA$32:$AG$32"}</definedName>
    <definedName name="kjlkgj_1_2" localSheetId="20" hidden="1">{"'CptDifn'!$AA$32:$AG$32"}</definedName>
    <definedName name="kjlkgj_1_2" hidden="1">{"'CptDifn'!$AA$32:$AG$32"}</definedName>
    <definedName name="kjlkgj_2" localSheetId="20" hidden="1">{"'CptDifn'!$AA$32:$AG$32"}</definedName>
    <definedName name="kjlkgj_2" hidden="1">{"'CptDifn'!$AA$32:$AG$32"}</definedName>
    <definedName name="kk">NA()</definedName>
    <definedName name="kk_1" localSheetId="20" hidden="1">{"'CptDifn'!$AA$32:$AG$32"}</definedName>
    <definedName name="kk_1" hidden="1">{"'CptDifn'!$AA$32:$AG$32"}</definedName>
    <definedName name="kk_1_1" localSheetId="20" hidden="1">{"'CptDifn'!$AA$32:$AG$32"}</definedName>
    <definedName name="kk_1_1" hidden="1">{"'CptDifn'!$AA$32:$AG$32"}</definedName>
    <definedName name="kk_1_1_1" localSheetId="20" hidden="1">{"'CptDifn'!$AA$32:$AG$32"}</definedName>
    <definedName name="kk_1_1_1" hidden="1">{"'CptDifn'!$AA$32:$AG$32"}</definedName>
    <definedName name="kk_1_2" localSheetId="20" hidden="1">{"'CptDifn'!$AA$32:$AG$32"}</definedName>
    <definedName name="kk_1_2" hidden="1">{"'CptDifn'!$AA$32:$AG$32"}</definedName>
    <definedName name="kk_2" localSheetId="20" hidden="1">{"'CptDifn'!$AA$32:$AG$32"}</definedName>
    <definedName name="kk_2" hidden="1">{"'CptDifn'!$AA$32:$AG$32"}</definedName>
    <definedName name="kkk" localSheetId="21">NA()</definedName>
    <definedName name="kkk">NA()</definedName>
    <definedName name="kkkk" localSheetId="20" hidden="1">{#N/A,#N/A,FALSE,"PCOL"}</definedName>
    <definedName name="kkkk" hidden="1">{#N/A,#N/A,FALSE,"PCOL"}</definedName>
    <definedName name="kkkk_1" localSheetId="20" hidden="1">{#N/A,#N/A,FALSE,"PCOL"}</definedName>
    <definedName name="kkkk_1" hidden="1">{#N/A,#N/A,FALSE,"PCOL"}</definedName>
    <definedName name="kkkk_1_1" localSheetId="20" hidden="1">{#N/A,#N/A,FALSE,"PCOL"}</definedName>
    <definedName name="kkkk_1_1" hidden="1">{#N/A,#N/A,FALSE,"PCOL"}</definedName>
    <definedName name="kkkk_1_1_1" localSheetId="20" hidden="1">{#N/A,#N/A,FALSE,"PCOL"}</definedName>
    <definedName name="kkkk_1_1_1" hidden="1">{#N/A,#N/A,FALSE,"PCOL"}</definedName>
    <definedName name="kkkk_1_2" localSheetId="20" hidden="1">{#N/A,#N/A,FALSE,"PCOL"}</definedName>
    <definedName name="kkkk_1_2" hidden="1">{#N/A,#N/A,FALSE,"PCOL"}</definedName>
    <definedName name="kkkk_2" localSheetId="20" hidden="1">{#N/A,#N/A,FALSE,"PCOL"}</definedName>
    <definedName name="kkkk_2" hidden="1">{#N/A,#N/A,FALSE,"PCOL"}</definedName>
    <definedName name="kkkkk">#REF!</definedName>
    <definedName name="kkkkkk" localSheetId="20" hidden="1">{#N/A,#N/A,FALSE,"MO (2)"}</definedName>
    <definedName name="kkkkkk" hidden="1">{#N/A,#N/A,FALSE,"MO (2)"}</definedName>
    <definedName name="kkkkkkkkk">#N/A</definedName>
    <definedName name="klçlç" localSheetId="20" hidden="1">{"'gráf jan00'!$A$1:$AK$41"}</definedName>
    <definedName name="klçlç" hidden="1">{"'gráf jan00'!$A$1:$AK$41"}</definedName>
    <definedName name="klçlç_1" localSheetId="20" hidden="1">{"'gráf jan00'!$A$1:$AK$41"}</definedName>
    <definedName name="klçlç_1" hidden="1">{"'gráf jan00'!$A$1:$AK$41"}</definedName>
    <definedName name="klçlç_1_1" localSheetId="20" hidden="1">{"'gráf jan00'!$A$1:$AK$41"}</definedName>
    <definedName name="klçlç_1_1" hidden="1">{"'gráf jan00'!$A$1:$AK$41"}</definedName>
    <definedName name="klçlç_1_1_1" localSheetId="20" hidden="1">{"'gráf jan00'!$A$1:$AK$41"}</definedName>
    <definedName name="klçlç_1_1_1" hidden="1">{"'gráf jan00'!$A$1:$AK$41"}</definedName>
    <definedName name="klçlç_1_2" localSheetId="20" hidden="1">{"'gráf jan00'!$A$1:$AK$41"}</definedName>
    <definedName name="klçlç_1_2" hidden="1">{"'gráf jan00'!$A$1:$AK$41"}</definedName>
    <definedName name="klçlç_2" localSheetId="20" hidden="1">{"'gráf jan00'!$A$1:$AK$41"}</definedName>
    <definedName name="klçlç_2" hidden="1">{"'gráf jan00'!$A$1:$AK$41"}</definedName>
    <definedName name="klklklkl" localSheetId="20" hidden="1">{#N/A,#N/A,FALSE,"MO (2)"}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406_407">#REF!</definedName>
    <definedName name="KM_406_407_1">#REF!</definedName>
    <definedName name="KM406407_1">#REF!</definedName>
    <definedName name="kmh" localSheetId="20" hidden="1">{#N/A,#N/A,TRUE,"Cover sheet";#N/A,#N/A,TRUE,"DCF analysis";#N/A,#N/A,TRUE,"WACC calculation"}</definedName>
    <definedName name="kmh" hidden="1">{#N/A,#N/A,TRUE,"Cover sheet";#N/A,#N/A,TRUE,"DCF analysis";#N/A,#N/A,TRUE,"WACC calculation"}</definedName>
    <definedName name="kmh_1" localSheetId="20" hidden="1">{#N/A,#N/A,TRUE,"Cover sheet";#N/A,#N/A,TRUE,"DCF analysis";#N/A,#N/A,TRUE,"WACC calculation"}</definedName>
    <definedName name="kmh_1" hidden="1">{#N/A,#N/A,TRUE,"Cover sheet";#N/A,#N/A,TRUE,"DCF analysis";#N/A,#N/A,TRUE,"WACC calculation"}</definedName>
    <definedName name="kmh_1_1" localSheetId="20" hidden="1">{#N/A,#N/A,TRUE,"Cover sheet";#N/A,#N/A,TRUE,"DCF analysis";#N/A,#N/A,TRUE,"WACC calculation"}</definedName>
    <definedName name="kmh_1_1" hidden="1">{#N/A,#N/A,TRUE,"Cover sheet";#N/A,#N/A,TRUE,"DCF analysis";#N/A,#N/A,TRUE,"WACC calculation"}</definedName>
    <definedName name="kmh_1_1_1" localSheetId="20" hidden="1">{#N/A,#N/A,TRUE,"Cover sheet";#N/A,#N/A,TRUE,"DCF analysis";#N/A,#N/A,TRUE,"WACC calculation"}</definedName>
    <definedName name="kmh_1_1_1" hidden="1">{#N/A,#N/A,TRUE,"Cover sheet";#N/A,#N/A,TRUE,"DCF analysis";#N/A,#N/A,TRUE,"WACC calculation"}</definedName>
    <definedName name="kmh_1_2" localSheetId="20" hidden="1">{#N/A,#N/A,TRUE,"Cover sheet";#N/A,#N/A,TRUE,"DCF analysis";#N/A,#N/A,TRUE,"WACC calculation"}</definedName>
    <definedName name="kmh_1_2" hidden="1">{#N/A,#N/A,TRUE,"Cover sheet";#N/A,#N/A,TRUE,"DCF analysis";#N/A,#N/A,TRUE,"WACC calculation"}</definedName>
    <definedName name="kmh_2" localSheetId="20" hidden="1">{#N/A,#N/A,TRUE,"Cover sheet";#N/A,#N/A,TRUE,"DCF analysis";#N/A,#N/A,TRUE,"WACC calculation"}</definedName>
    <definedName name="kmh_2" hidden="1">{#N/A,#N/A,TRUE,"Cover sheet";#N/A,#N/A,TRUE,"DCF analysis";#N/A,#N/A,TRUE,"WACC calculation"}</definedName>
    <definedName name="ko" localSheetId="20" hidden="1">{#N/A,#N/A,FALSE,"PCOL"}</definedName>
    <definedName name="ko" hidden="1">{#N/A,#N/A,FALSE,"PCOL"}</definedName>
    <definedName name="ko_1" localSheetId="20" hidden="1">{#N/A,#N/A,FALSE,"PCOL"}</definedName>
    <definedName name="ko_1" hidden="1">{#N/A,#N/A,FALSE,"PCOL"}</definedName>
    <definedName name="ko_1_1" localSheetId="20" hidden="1">{#N/A,#N/A,FALSE,"PCOL"}</definedName>
    <definedName name="ko_1_1" hidden="1">{#N/A,#N/A,FALSE,"PCOL"}</definedName>
    <definedName name="ko_1_1_1" localSheetId="20" hidden="1">{#N/A,#N/A,FALSE,"PCOL"}</definedName>
    <definedName name="ko_1_1_1" hidden="1">{#N/A,#N/A,FALSE,"PCOL"}</definedName>
    <definedName name="ko_1_2" localSheetId="20" hidden="1">{#N/A,#N/A,FALSE,"PCOL"}</definedName>
    <definedName name="ko_1_2" hidden="1">{#N/A,#N/A,FALSE,"PCOL"}</definedName>
    <definedName name="ko_2" localSheetId="20" hidden="1">{#N/A,#N/A,FALSE,"PCOL"}</definedName>
    <definedName name="ko_2" hidden="1">{#N/A,#N/A,FALSE,"PCOL"}</definedName>
    <definedName name="KPAV">#REF!</definedName>
    <definedName name="KTER">#REF!</definedName>
    <definedName name="kwh">#REF!</definedName>
    <definedName name="kwh_1">#REF!</definedName>
    <definedName name="kx" localSheetId="20" hidden="1">{"det (May)",#N/A,FALSE,"June";"sum (MAY YTD)",#N/A,FALSE,"June YTD"}</definedName>
    <definedName name="kx" hidden="1">{"det (May)",#N/A,FALSE,"June";"sum (MAY YTD)",#N/A,FALSE,"June YTD"}</definedName>
    <definedName name="kx_1" localSheetId="20" hidden="1">{"det (May)",#N/A,FALSE,"June";"sum (MAY YTD)",#N/A,FALSE,"June YTD"}</definedName>
    <definedName name="kx_1" hidden="1">{"det (May)",#N/A,FALSE,"June";"sum (MAY YTD)",#N/A,FALSE,"June YTD"}</definedName>
    <definedName name="kx_1_1" localSheetId="20" hidden="1">{"det (May)",#N/A,FALSE,"June";"sum (MAY YTD)",#N/A,FALSE,"June YTD"}</definedName>
    <definedName name="kx_1_1" hidden="1">{"det (May)",#N/A,FALSE,"June";"sum (MAY YTD)",#N/A,FALSE,"June YTD"}</definedName>
    <definedName name="kx_1_1_1" localSheetId="20" hidden="1">{"det (May)",#N/A,FALSE,"June";"sum (MAY YTD)",#N/A,FALSE,"June YTD"}</definedName>
    <definedName name="kx_1_1_1" hidden="1">{"det (May)",#N/A,FALSE,"June";"sum (MAY YTD)",#N/A,FALSE,"June YTD"}</definedName>
    <definedName name="kx_1_2" localSheetId="20" hidden="1">{"det (May)",#N/A,FALSE,"June";"sum (MAY YTD)",#N/A,FALSE,"June YTD"}</definedName>
    <definedName name="kx_1_2" hidden="1">{"det (May)",#N/A,FALSE,"June";"sum (MAY YTD)",#N/A,FALSE,"June YTD"}</definedName>
    <definedName name="kx_2" localSheetId="20" hidden="1">{"det (May)",#N/A,FALSE,"June";"sum (MAY YTD)",#N/A,FALSE,"June YTD"}</definedName>
    <definedName name="kx_2" hidden="1">{"det (May)",#N/A,FALSE,"June";"sum (MAY YTD)",#N/A,FALSE,"June YTD"}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MARROADA_AN">#REF!</definedName>
    <definedName name="L_MARROADA_AT">#REF!</definedName>
    <definedName name="la" localSheetId="20" hidden="1">{#N/A,#N/A,FALSE,"MO (2)"}</definedName>
    <definedName name="la" hidden="1">{#N/A,#N/A,FALSE,"MO (2)"}</definedName>
    <definedName name="la_1" localSheetId="20" hidden="1">{#N/A,#N/A,FALSE,"MO (2)"}</definedName>
    <definedName name="la_1" hidden="1">{#N/A,#N/A,FALSE,"MO (2)"}</definedName>
    <definedName name="la2.1">[16]PATO!#REF!</definedName>
    <definedName name="lab" localSheetId="20" hidden="1">{#N/A,#N/A,TRUE,"Serviços"}</definedName>
    <definedName name="lab" localSheetId="2" hidden="1">{#N/A,#N/A,TRUE,"Serviços"}</definedName>
    <definedName name="lab" hidden="1">{#N/A,#N/A,TRUE,"Serviços"}</definedName>
    <definedName name="lab_1" localSheetId="20" hidden="1">{"'gráf jan00'!$A$1:$AK$41"}</definedName>
    <definedName name="lab_1" hidden="1">{"'gráf jan00'!$A$1:$AK$41"}</definedName>
    <definedName name="lab_1_1" localSheetId="20" hidden="1">{"'gráf jan00'!$A$1:$AK$41"}</definedName>
    <definedName name="lab_1_1" hidden="1">{"'gráf jan00'!$A$1:$AK$41"}</definedName>
    <definedName name="lab_1_1_1" localSheetId="20" hidden="1">{"'gráf jan00'!$A$1:$AK$41"}</definedName>
    <definedName name="lab_1_1_1" hidden="1">{"'gráf jan00'!$A$1:$AK$41"}</definedName>
    <definedName name="lab_1_2" localSheetId="20" hidden="1">{"'gráf jan00'!$A$1:$AK$41"}</definedName>
    <definedName name="lab_1_2" hidden="1">{"'gráf jan00'!$A$1:$AK$41"}</definedName>
    <definedName name="lab_2" localSheetId="20" hidden="1">{"'gráf jan00'!$A$1:$AK$41"}</definedName>
    <definedName name="lab_2" hidden="1">{"'gráf jan00'!$A$1:$AK$41"}</definedName>
    <definedName name="labb" localSheetId="20" hidden="1">{#N/A,#N/A,TRUE,"Serviços"}</definedName>
    <definedName name="labb" localSheetId="2" hidden="1">{#N/A,#N/A,TRUE,"Serviços"}</definedName>
    <definedName name="labb" hidden="1">{#N/A,#N/A,TRUE,"Serviços"}</definedName>
    <definedName name="LABORATORIO">#REF!</definedName>
    <definedName name="LADO">'[41]Fresagem de Pista Ago-98'!#REF!</definedName>
    <definedName name="LAMA">#N/A</definedName>
    <definedName name="LAMADA">#N/A</definedName>
    <definedName name="LAMADAS">#N/A</definedName>
    <definedName name="LAMAG">#REF!</definedName>
    <definedName name="LAMAS">#N/A</definedName>
    <definedName name="LAPEL" localSheetId="20" hidden="1">{"'RR'!$A$2:$E$81"}</definedName>
    <definedName name="LAPEL" hidden="1">{"'RR'!$A$2:$E$81"}</definedName>
    <definedName name="LAPEL_1" localSheetId="20" hidden="1">{"'RR'!$A$2:$E$81"}</definedName>
    <definedName name="LAPEL_1" hidden="1">{"'RR'!$A$2:$E$81"}</definedName>
    <definedName name="LAPEL_1_1" localSheetId="20" hidden="1">{"'RR'!$A$2:$E$81"}</definedName>
    <definedName name="LAPEL_1_1" hidden="1">{"'RR'!$A$2:$E$81"}</definedName>
    <definedName name="LAPEL_1_1_1" localSheetId="20" hidden="1">{"'RR'!$A$2:$E$81"}</definedName>
    <definedName name="LAPEL_1_1_1" hidden="1">{"'RR'!$A$2:$E$81"}</definedName>
    <definedName name="LAPEL_1_2" localSheetId="20" hidden="1">{"'RR'!$A$2:$E$81"}</definedName>
    <definedName name="LAPEL_1_2" hidden="1">{"'RR'!$A$2:$E$81"}</definedName>
    <definedName name="LAPEL_2" localSheetId="20" hidden="1">{"'RR'!$A$2:$E$81"}</definedName>
    <definedName name="LAPEL_2" hidden="1">{"'RR'!$A$2:$E$81"}</definedName>
    <definedName name="LARANJEIRAS">'[162]CUSTO LARANJEIRAS'!$A$3:$N$5</definedName>
    <definedName name="LARG">'[41]Fresagem de Pista Ago-98'!#REF!</definedName>
    <definedName name="LARG_BARRACÃO">#REF!</definedName>
    <definedName name="LARG_CANTEIRO">#REF!</definedName>
    <definedName name="Largura_da_Faixa_de_Tráfego___...........">#REF!</definedName>
    <definedName name="Largura_da_Faixa_de_Tráfego___..........._15">#REF!</definedName>
    <definedName name="Largura_da_Faixa_de_Tráfego______________">#REF!</definedName>
    <definedName name="LASTRO_AN">#REF!</definedName>
    <definedName name="LASTRO_AT">#REF!</definedName>
    <definedName name="LAURA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 localSheetId="21">NA()</definedName>
    <definedName name="Lcar">NA()</definedName>
    <definedName name="LD">'[41]Fresagem de Pista Ago-98'!#REF!</definedName>
    <definedName name="LDA">#REF!</definedName>
    <definedName name="LDI">#REF!</definedName>
    <definedName name="LDI_1">#REF!</definedName>
    <definedName name="LDIANTIGO">'[158]P A T O'!#REF!</definedName>
    <definedName name="LDIATUAL">'[158]P A T O'!#REF!</definedName>
    <definedName name="le">#REF!</definedName>
    <definedName name="LEANDRO" localSheetId="20" hidden="1">{#N/A,#N/A,TRUE,"Serviços"}</definedName>
    <definedName name="LEANDRO" hidden="1">{#N/A,#N/A,TRUE,"Serviços"}</definedName>
    <definedName name="LEE" localSheetId="20" hidden="1">{"det (May)",#N/A,FALSE,"June";"sum (MAY YTD)",#N/A,FALSE,"June YTD"}</definedName>
    <definedName name="LEE" hidden="1">{"det (May)",#N/A,FALSE,"June";"sum (MAY YTD)",#N/A,FALSE,"June YTD"}</definedName>
    <definedName name="LEE_1" localSheetId="20" hidden="1">{"det (May)",#N/A,FALSE,"June";"sum (MAY YTD)",#N/A,FALSE,"June YTD"}</definedName>
    <definedName name="LEE_1" hidden="1">{"det (May)",#N/A,FALSE,"June";"sum (MAY YTD)",#N/A,FALSE,"June YTD"}</definedName>
    <definedName name="LEE_1_1" localSheetId="20" hidden="1">{"det (May)",#N/A,FALSE,"June";"sum (MAY YTD)",#N/A,FALSE,"June YTD"}</definedName>
    <definedName name="LEE_1_1" hidden="1">{"det (May)",#N/A,FALSE,"June";"sum (MAY YTD)",#N/A,FALSE,"June YTD"}</definedName>
    <definedName name="LEE_1_1_1" localSheetId="20" hidden="1">{"det (May)",#N/A,FALSE,"June";"sum (MAY YTD)",#N/A,FALSE,"June YTD"}</definedName>
    <definedName name="LEE_1_1_1" hidden="1">{"det (May)",#N/A,FALSE,"June";"sum (MAY YTD)",#N/A,FALSE,"June YTD"}</definedName>
    <definedName name="LEE_1_2" localSheetId="20" hidden="1">{"det (May)",#N/A,FALSE,"June";"sum (MAY YTD)",#N/A,FALSE,"June YTD"}</definedName>
    <definedName name="LEE_1_2" hidden="1">{"det (May)",#N/A,FALSE,"June";"sum (MAY YTD)",#N/A,FALSE,"June YTD"}</definedName>
    <definedName name="LEE_2" localSheetId="20" hidden="1">{"det (May)",#N/A,FALSE,"June";"sum (MAY YTD)",#N/A,FALSE,"June YTD"}</definedName>
    <definedName name="LEE_2" hidden="1">{"det (May)",#N/A,FALSE,"June";"sum (MAY YTD)",#N/A,FALSE,"June YTD"}</definedName>
    <definedName name="Leg" hidden="1">#REF!</definedName>
    <definedName name="legal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o" localSheetId="20" hidden="1">{"'CptDifn'!$AA$32:$AG$32"}</definedName>
    <definedName name="leo" hidden="1">{"'CptDifn'!$AA$32:$AG$32"}</definedName>
    <definedName name="leo_1" localSheetId="20" hidden="1">{"'CptDifn'!$AA$32:$AG$32"}</definedName>
    <definedName name="leo_1" hidden="1">{"'CptDifn'!$AA$32:$AG$32"}</definedName>
    <definedName name="leo_1_1" localSheetId="20" hidden="1">{"'CptDifn'!$AA$32:$AG$32"}</definedName>
    <definedName name="leo_1_1" hidden="1">{"'CptDifn'!$AA$32:$AG$32"}</definedName>
    <definedName name="leo_1_1_1" localSheetId="20" hidden="1">{"'CptDifn'!$AA$32:$AG$32"}</definedName>
    <definedName name="leo_1_1_1" hidden="1">{"'CptDifn'!$AA$32:$AG$32"}</definedName>
    <definedName name="leo_1_2" localSheetId="20" hidden="1">{"'CptDifn'!$AA$32:$AG$32"}</definedName>
    <definedName name="leo_1_2" hidden="1">{"'CptDifn'!$AA$32:$AG$32"}</definedName>
    <definedName name="leo_2" localSheetId="20" hidden="1">{"'CptDifn'!$AA$32:$AG$32"}</definedName>
    <definedName name="leo_2" hidden="1">{"'CptDifn'!$AA$32:$AG$32"}</definedName>
    <definedName name="leonardo" localSheetId="20" hidden="1">{"'gráf jan00'!$A$1:$AK$41"}</definedName>
    <definedName name="leonardo" hidden="1">{"'gráf jan00'!$A$1:$AK$41"}</definedName>
    <definedName name="leonardo_1" localSheetId="20" hidden="1">{"'gráf jan00'!$A$1:$AK$41"}</definedName>
    <definedName name="leonardo_1" hidden="1">{"'gráf jan00'!$A$1:$AK$41"}</definedName>
    <definedName name="leonardo_1_1" localSheetId="20" hidden="1">{"'gráf jan00'!$A$1:$AK$41"}</definedName>
    <definedName name="leonardo_1_1" hidden="1">{"'gráf jan00'!$A$1:$AK$41"}</definedName>
    <definedName name="leonardo_1_1_1" localSheetId="20" hidden="1">{"'gráf jan00'!$A$1:$AK$41"}</definedName>
    <definedName name="leonardo_1_1_1" hidden="1">{"'gráf jan00'!$A$1:$AK$41"}</definedName>
    <definedName name="leonardo_1_2" localSheetId="20" hidden="1">{"'gráf jan00'!$A$1:$AK$41"}</definedName>
    <definedName name="leonardo_1_2" hidden="1">{"'gráf jan00'!$A$1:$AK$41"}</definedName>
    <definedName name="leonardo_2" localSheetId="20" hidden="1">{"'gráf jan00'!$A$1:$AK$41"}</definedName>
    <definedName name="leonardo_2" hidden="1">{"'gráf jan00'!$A$1:$AK$41"}</definedName>
    <definedName name="Leste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t" hidden="1">"Quadro Logistico Maio"</definedName>
    <definedName name="LG" localSheetId="20" hidden="1">{"'Quadro'!$A$4:$BG$78"}</definedName>
    <definedName name="LG" hidden="1">{"'Quadro'!$A$4:$BG$78"}</definedName>
    <definedName name="LG_1" localSheetId="20" hidden="1">{"'Quadro'!$A$4:$BG$78"}</definedName>
    <definedName name="LG_1" hidden="1">{"'Quadro'!$A$4:$BG$78"}</definedName>
    <definedName name="LG_1_1" localSheetId="20" hidden="1">{"'Quadro'!$A$4:$BG$78"}</definedName>
    <definedName name="LG_1_1" hidden="1">{"'Quadro'!$A$4:$BG$78"}</definedName>
    <definedName name="LG_1_1_1" localSheetId="20" hidden="1">{"'Quadro'!$A$4:$BG$78"}</definedName>
    <definedName name="LG_1_1_1" hidden="1">{"'Quadro'!$A$4:$BG$78"}</definedName>
    <definedName name="LG_1_2" localSheetId="20" hidden="1">{"'Quadro'!$A$4:$BG$78"}</definedName>
    <definedName name="LG_1_2" hidden="1">{"'Quadro'!$A$4:$BG$78"}</definedName>
    <definedName name="LG_2" localSheetId="20" hidden="1">{"'Quadro'!$A$4:$BG$78"}</definedName>
    <definedName name="LG_2" hidden="1">{"'Quadro'!$A$4:$BG$78"}</definedName>
    <definedName name="Li" localSheetId="21">NA()</definedName>
    <definedName name="Li">NA()</definedName>
    <definedName name="lias">#N/A</definedName>
    <definedName name="lidia">#N/A</definedName>
    <definedName name="lig">'[101]P reaj x P atual'!#REF!</definedName>
    <definedName name="LIG_ÁGUA">#REF!</definedName>
    <definedName name="LIG_ENERG">#REF!</definedName>
    <definedName name="Lig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ção" localSheetId="0">[163]!PassaExtenso</definedName>
    <definedName name="ligação" localSheetId="30">[164]!PassaExtenso</definedName>
    <definedName name="ligação">[163]!PassaExtenso</definedName>
    <definedName name="LIGANT">'[101]P reaj x P atual'!$N$7</definedName>
    <definedName name="Ligas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LASDRENA">#REF!</definedName>
    <definedName name="LILASDRENA_11">#REF!</definedName>
    <definedName name="LILASDRENA_12">#REF!</definedName>
    <definedName name="LILASDRENA_13">#REF!</definedName>
    <definedName name="LILASDRENA_15">#REF!</definedName>
    <definedName name="LILASDRENA_2">#REF!</definedName>
    <definedName name="LILASDRENA_4">#REF!</definedName>
    <definedName name="LILASDRENA_5">#REF!</definedName>
    <definedName name="LILASDRENA_6">#REF!</definedName>
    <definedName name="LILASDRENA_7">#REF!</definedName>
    <definedName name="LILASDRENA_8">#REF!</definedName>
    <definedName name="LILASDRENA_9">#REF!</definedName>
    <definedName name="LILASDRENAA">#REF!</definedName>
    <definedName name="limcount" hidden="1">1</definedName>
    <definedName name="LimnFFFFRange" hidden="1">#REF!</definedName>
    <definedName name="LimnPPP1Range" hidden="1">#REF!</definedName>
    <definedName name="LimnPPP2Range" hidden="1">#REF!</definedName>
    <definedName name="LimnPPP3Range" hidden="1">#REF!</definedName>
    <definedName name="LimnPPP4Range" hidden="1">#REF!</definedName>
    <definedName name="Limp">#REF!</definedName>
    <definedName name="Limp_1">#REF!</definedName>
    <definedName name="Limp_14" localSheetId="21">#REF!</definedName>
    <definedName name="Limp_14">#REF!</definedName>
    <definedName name="Limp_7">#REF!</definedName>
    <definedName name="Limp_7_1">#REF!</definedName>
    <definedName name="Limp_7_14" localSheetId="21">#REF!</definedName>
    <definedName name="Limp_7_14">#REF!</definedName>
    <definedName name="limpesa">#REF!</definedName>
    <definedName name="Limpeza">#N/A</definedName>
    <definedName name="LIMPPONTE">#REF!</definedName>
    <definedName name="LIMPPONTE_1">#REF!</definedName>
    <definedName name="LIMPPONTE_14" localSheetId="21">#REF!</definedName>
    <definedName name="LIMPPONTE_14">#REF!</definedName>
    <definedName name="Lin_Logo" localSheetId="21">NA()</definedName>
    <definedName name="Lin_Logo">NA()</definedName>
    <definedName name="Linha_equipamento">COUNTA(#REF!)-3</definedName>
    <definedName name="Linha_maodeobra">COUNTA(#REF!)-6</definedName>
    <definedName name="Linha_materiais">COUNTA(#REF!)-6</definedName>
    <definedName name="linha_serviço">COUNTA(#REF!)-1</definedName>
    <definedName name="Linha_transporte">COUNTA(#REF!)-11</definedName>
    <definedName name="Liquidez">#REF!</definedName>
    <definedName name="LISTA">#REF!</definedName>
    <definedName name="lista.coluna">#REF!</definedName>
    <definedName name="lista.linha">#REF!</definedName>
    <definedName name="LIST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" localSheetId="21">"$#REF!.$B$4:$E$256"</definedName>
    <definedName name="lista_1">"$#REF!.$B$4:$E$256"</definedName>
    <definedName name="LIST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atual">[165]lista_comp!$A$4:$D$256</definedName>
    <definedName name="LISTA_CÓD_MEDIÇÕES" localSheetId="21">#REF!</definedName>
    <definedName name="LISTA_CÓD_MEDIÇÕES">[55]Listas!$B$5:$B$38</definedName>
    <definedName name="lista_comp">"$#REF!.$A$4:$D$256"</definedName>
    <definedName name="lista_composicoes">#REF!</definedName>
    <definedName name="LISTA_NUM_CONTRATOS">#REF!</definedName>
    <definedName name="listacomp_1">"$#REF!.$B$4:$E$256"</definedName>
    <definedName name="ListSize" hidden="1">#REF!</definedName>
    <definedName name="lixo" localSheetId="1">#REF!</definedName>
    <definedName name="lixo">#REF!</definedName>
    <definedName name="lixo2">#REF!</definedName>
    <definedName name="liz" localSheetId="21">#REF!</definedName>
    <definedName name="liz">#REF!</definedName>
    <definedName name="ljkhj" localSheetId="20" hidden="1">{"'gráf jan00'!$A$1:$AK$41"}</definedName>
    <definedName name="ljkhj" hidden="1">{"'gráf jan00'!$A$1:$AK$41"}</definedName>
    <definedName name="ljkhj_1" localSheetId="20" hidden="1">{"'gráf jan00'!$A$1:$AK$41"}</definedName>
    <definedName name="ljkhj_1" hidden="1">{"'gráf jan00'!$A$1:$AK$41"}</definedName>
    <definedName name="ljkhj_1_1" localSheetId="20" hidden="1">{"'gráf jan00'!$A$1:$AK$41"}</definedName>
    <definedName name="ljkhj_1_1" hidden="1">{"'gráf jan00'!$A$1:$AK$41"}</definedName>
    <definedName name="ljkhj_1_1_1" localSheetId="20" hidden="1">{"'gráf jan00'!$A$1:$AK$41"}</definedName>
    <definedName name="ljkhj_1_1_1" hidden="1">{"'gráf jan00'!$A$1:$AK$41"}</definedName>
    <definedName name="ljkhj_1_2" localSheetId="20" hidden="1">{"'gráf jan00'!$A$1:$AK$41"}</definedName>
    <definedName name="ljkhj_1_2" hidden="1">{"'gráf jan00'!$A$1:$AK$41"}</definedName>
    <definedName name="ljkhj_2" localSheetId="20" hidden="1">{"'gráf jan00'!$A$1:$AK$41"}</definedName>
    <definedName name="ljkhj_2" hidden="1">{"'gráf jan00'!$A$1:$AK$41"}</definedName>
    <definedName name="lk" localSheetId="20" hidden="1">{"'CptDifn'!$AA$32:$AG$32"}</definedName>
    <definedName name="lk" hidden="1">{"'CptDifn'!$AA$32:$AG$32"}</definedName>
    <definedName name="lk_1" localSheetId="20" hidden="1">{"'CptDifn'!$AA$32:$AG$32"}</definedName>
    <definedName name="lk_1" hidden="1">{"'CptDifn'!$AA$32:$AG$32"}</definedName>
    <definedName name="lk_1_1" localSheetId="20" hidden="1">{"'CptDifn'!$AA$32:$AG$32"}</definedName>
    <definedName name="lk_1_1" hidden="1">{"'CptDifn'!$AA$32:$AG$32"}</definedName>
    <definedName name="lk_1_1_1" localSheetId="20" hidden="1">{"'CptDifn'!$AA$32:$AG$32"}</definedName>
    <definedName name="lk_1_1_1" hidden="1">{"'CptDifn'!$AA$32:$AG$32"}</definedName>
    <definedName name="lk_1_2" localSheetId="20" hidden="1">{"'CptDifn'!$AA$32:$AG$32"}</definedName>
    <definedName name="lk_1_2" hidden="1">{"'CptDifn'!$AA$32:$AG$32"}</definedName>
    <definedName name="lk_2" localSheetId="20" hidden="1">{"'CptDifn'!$AA$32:$AG$32"}</definedName>
    <definedName name="lk_2" hidden="1">{"'CptDifn'!$AA$32:$AG$32"}</definedName>
    <definedName name="LKJ" localSheetId="20" hidden="1">{"'Quadro'!$A$4:$BG$78"}</definedName>
    <definedName name="LKJ" hidden="1">{"'Quadro'!$A$4:$BG$78"}</definedName>
    <definedName name="LKJ_1" localSheetId="20" hidden="1">{"'Quadro'!$A$4:$BG$78"}</definedName>
    <definedName name="LKJ_1" hidden="1">{"'Quadro'!$A$4:$BG$78"}</definedName>
    <definedName name="LKJ_1_1" localSheetId="20" hidden="1">{"'Quadro'!$A$4:$BG$78"}</definedName>
    <definedName name="LKJ_1_1" hidden="1">{"'Quadro'!$A$4:$BG$78"}</definedName>
    <definedName name="LKJ_1_1_1" localSheetId="20" hidden="1">{"'Quadro'!$A$4:$BG$78"}</definedName>
    <definedName name="LKJ_1_1_1" hidden="1">{"'Quadro'!$A$4:$BG$78"}</definedName>
    <definedName name="LKJ_1_2" localSheetId="20" hidden="1">{"'Quadro'!$A$4:$BG$78"}</definedName>
    <definedName name="LKJ_1_2" hidden="1">{"'Quadro'!$A$4:$BG$78"}</definedName>
    <definedName name="LKJ_2" localSheetId="20" hidden="1">{"'Quadro'!$A$4:$BG$78"}</definedName>
    <definedName name="LKJ_2" hidden="1">{"'Quadro'!$A$4:$BG$78"}</definedName>
    <definedName name="lkjh" localSheetId="20" hidden="1">{"'CptDifn'!$AA$32:$AG$32"}</definedName>
    <definedName name="lkjh" hidden="1">{"'CptDifn'!$AA$32:$AG$32"}</definedName>
    <definedName name="lkjh_1" localSheetId="20" hidden="1">{"'CptDifn'!$AA$32:$AG$32"}</definedName>
    <definedName name="lkjh_1" hidden="1">{"'CptDifn'!$AA$32:$AG$32"}</definedName>
    <definedName name="lkjh_1_1" localSheetId="20" hidden="1">{"'CptDifn'!$AA$32:$AG$32"}</definedName>
    <definedName name="lkjh_1_1" hidden="1">{"'CptDifn'!$AA$32:$AG$32"}</definedName>
    <definedName name="lkjh_1_1_1" localSheetId="20" hidden="1">{"'CptDifn'!$AA$32:$AG$32"}</definedName>
    <definedName name="lkjh_1_1_1" hidden="1">{"'CptDifn'!$AA$32:$AG$32"}</definedName>
    <definedName name="lkjh_1_2" localSheetId="20" hidden="1">{"'CptDifn'!$AA$32:$AG$32"}</definedName>
    <definedName name="lkjh_1_2" hidden="1">{"'CptDifn'!$AA$32:$AG$32"}</definedName>
    <definedName name="lkjh_2" localSheetId="20" hidden="1">{"'CptDifn'!$AA$32:$AG$32"}</definedName>
    <definedName name="lkjh_2" hidden="1">{"'CptDifn'!$AA$32:$AG$32"}</definedName>
    <definedName name="LL" localSheetId="21">#REF!</definedName>
    <definedName name="LL">[166]Geral!$B$21</definedName>
    <definedName name="LLL">#N/A</definedName>
    <definedName name="LLLL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LL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lll_1" localSheetId="20" hidden="1">{"'CptDifn'!$AA$32:$AG$32"}</definedName>
    <definedName name="llll_1" hidden="1">{"'CptDifn'!$AA$32:$AG$32"}</definedName>
    <definedName name="llll_1_1" localSheetId="20" hidden="1">{"'CptDifn'!$AA$32:$AG$32"}</definedName>
    <definedName name="llll_1_1" hidden="1">{"'CptDifn'!$AA$32:$AG$32"}</definedName>
    <definedName name="llll_1_1_1" localSheetId="20" hidden="1">{"'CptDifn'!$AA$32:$AG$32"}</definedName>
    <definedName name="llll_1_1_1" hidden="1">{"'CptDifn'!$AA$32:$AG$32"}</definedName>
    <definedName name="llll_1_2" localSheetId="20" hidden="1">{"'CptDifn'!$AA$32:$AG$32"}</definedName>
    <definedName name="llll_1_2" hidden="1">{"'CptDifn'!$AA$32:$AG$32"}</definedName>
    <definedName name="llll_2" localSheetId="20" hidden="1">{"'CptDifn'!$AA$32:$AG$32"}</definedName>
    <definedName name="llll_2" hidden="1">{"'CptDifn'!$AA$32:$AG$32"}</definedName>
    <definedName name="lllll" localSheetId="20" hidden="1">{"'gráf jan00'!$A$1:$AK$41"}</definedName>
    <definedName name="lllll" hidden="1">{"'gráf jan00'!$A$1:$AK$41"}</definedName>
    <definedName name="lllll_1" localSheetId="20" hidden="1">{"'gráf jan00'!$A$1:$AK$41"}</definedName>
    <definedName name="lllll_1" hidden="1">{"'gráf jan00'!$A$1:$AK$41"}</definedName>
    <definedName name="lllll_1_1" localSheetId="20" hidden="1">{"'gráf jan00'!$A$1:$AK$41"}</definedName>
    <definedName name="lllll_1_1" hidden="1">{"'gráf jan00'!$A$1:$AK$41"}</definedName>
    <definedName name="lllll_1_1_1" localSheetId="20" hidden="1">{"'gráf jan00'!$A$1:$AK$41"}</definedName>
    <definedName name="lllll_1_1_1" hidden="1">{"'gráf jan00'!$A$1:$AK$41"}</definedName>
    <definedName name="lllll_1_2" localSheetId="20" hidden="1">{"'gráf jan00'!$A$1:$AK$41"}</definedName>
    <definedName name="lllll_1_2" hidden="1">{"'gráf jan00'!$A$1:$AK$41"}</definedName>
    <definedName name="lllll_2" localSheetId="20" hidden="1">{"'gráf jan00'!$A$1:$AK$41"}</definedName>
    <definedName name="lllll_2" hidden="1">{"'gráf jan00'!$A$1:$AK$41"}</definedName>
    <definedName name="llllllll">'[40]CROQUIS DE DIST.'!llllllll</definedName>
    <definedName name="llllllll_10">#N/A</definedName>
    <definedName name="llllllll_12">#N/A</definedName>
    <definedName name="llllllll_13">#N/A</definedName>
    <definedName name="llllllll_15">#N/A</definedName>
    <definedName name="llllllll_24" localSheetId="2">RESUMO!llllllll_24</definedName>
    <definedName name="llllllll_24">llllllll_24</definedName>
    <definedName name="llllllll_25" localSheetId="2">RESUMO!llllllll_25</definedName>
    <definedName name="llllllll_25">llllllll_25</definedName>
    <definedName name="llllllll_25_10">#N/A</definedName>
    <definedName name="llllllll_25_12">#N/A</definedName>
    <definedName name="llllllll_25_13">#N/A</definedName>
    <definedName name="llllllll_25_15">#N/A</definedName>
    <definedName name="llllllll_25_5">#N/A</definedName>
    <definedName name="llllllll_25_6">#N/A</definedName>
    <definedName name="llllllll_25_7">#N/A</definedName>
    <definedName name="llllllll_25_8">#N/A</definedName>
    <definedName name="llllllll_25_9">#N/A</definedName>
    <definedName name="llllllll_5">#N/A</definedName>
    <definedName name="llllllll_6">#N/A</definedName>
    <definedName name="llllllll_7">#N/A</definedName>
    <definedName name="llllllll_8">#N/A</definedName>
    <definedName name="llllllll_9">#N/A</definedName>
    <definedName name="Lmís" localSheetId="21">NA()</definedName>
    <definedName name="Lmís">NA()</definedName>
    <definedName name="LNNN" hidden="1">#REF!</definedName>
    <definedName name="lo" localSheetId="20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20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C">#REF!</definedName>
    <definedName name="LOCAÇÃO_AN">#REF!</definedName>
    <definedName name="LOCAÇÃO_AT">#REF!</definedName>
    <definedName name="LOCAL">#REF!</definedName>
    <definedName name="LOGOTIPO" localSheetId="21">"Figura 3"</definedName>
    <definedName name="LOGOTIPO">"Figura 3"</definedName>
    <definedName name="loii" localSheetId="20">' 6.0 - Empréstimos '!loii</definedName>
    <definedName name="loii">[0]!loii</definedName>
    <definedName name="loja" localSheetId="20" hidden="1">{#N/A,#N/A,FALSE,"BETER -1";#N/A,#N/A,FALSE,"BETER -2";#N/A,#N/A,FALSE,"BETER -3";#N/A,#N/A,FALSE,"BETER -urb";#N/A,#N/A,FALSE,"BETER -RESUMO"}</definedName>
    <definedName name="loja" hidden="1">{#N/A,#N/A,FALSE,"BETER -1";#N/A,#N/A,FALSE,"BETER -2";#N/A,#N/A,FALSE,"BETER -3";#N/A,#N/A,FALSE,"BETER -urb";#N/A,#N/A,FALSE,"BETER -RESUMO"}</definedName>
    <definedName name="loka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o">[167]Cadastrar!$A$4:$O$233</definedName>
    <definedName name="lot">#REF!</definedName>
    <definedName name="LOTE" localSheetId="20">#NAME?</definedName>
    <definedName name="LOTE" localSheetId="21">#NAME?</definedName>
    <definedName name="LOTE">[111]IDENTIFICAÇÃO!$D$4</definedName>
    <definedName name="lote_10">#REF!</definedName>
    <definedName name="lote_12">#REF!</definedName>
    <definedName name="lote_4">#REF!</definedName>
    <definedName name="lote_9">#REF!</definedName>
    <definedName name="lote1">#REF!</definedName>
    <definedName name="lote2">#REF!</definedName>
    <definedName name="LoteBonito2" localSheetId="20" hidden="1">{"'Resumo2'!$B$2:$J$23"}</definedName>
    <definedName name="LoteBonito2" hidden="1">{"'Resumo2'!$B$2:$J$23"}</definedName>
    <definedName name="LoteBonito2_1" localSheetId="20" hidden="1">{"'Resumo2'!$B$2:$J$23"}</definedName>
    <definedName name="LoteBonito2_1" hidden="1">{"'Resumo2'!$B$2:$J$23"}</definedName>
    <definedName name="LoteBonito2_1_1" localSheetId="20" hidden="1">{"'Resumo2'!$B$2:$J$23"}</definedName>
    <definedName name="LoteBonito2_1_1" hidden="1">{"'Resumo2'!$B$2:$J$23"}</definedName>
    <definedName name="LoteBonito2_1_1_1" localSheetId="20" hidden="1">{"'Resumo2'!$B$2:$J$23"}</definedName>
    <definedName name="LoteBonito2_1_1_1" hidden="1">{"'Resumo2'!$B$2:$J$23"}</definedName>
    <definedName name="LoteBonito2_1_2" localSheetId="20" hidden="1">{"'Resumo2'!$B$2:$J$23"}</definedName>
    <definedName name="LoteBonito2_1_2" hidden="1">{"'Resumo2'!$B$2:$J$23"}</definedName>
    <definedName name="LoteBonito2_2" localSheetId="20" hidden="1">{"'Resumo2'!$B$2:$J$23"}</definedName>
    <definedName name="LoteBonito2_2" hidden="1">{"'Resumo2'!$B$2:$J$23"}</definedName>
    <definedName name="LP">#REF!</definedName>
    <definedName name="Lpap" localSheetId="21">NA()</definedName>
    <definedName name="Lpap">NA()</definedName>
    <definedName name="lpo">[167]Cadastrar!$A$4:$O$233</definedName>
    <definedName name="LPTE">#REF!</definedName>
    <definedName name="LPW">#REF!</definedName>
    <definedName name="LPWA">#REF!</definedName>
    <definedName name="LRANJA">'[168]CUSTO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t_G" localSheetId="21">NA()</definedName>
    <definedName name="Lt_G">NA()</definedName>
    <definedName name="Lt_M" localSheetId="21">NA()</definedName>
    <definedName name="Lt_M">NA()</definedName>
    <definedName name="Lt_P" localSheetId="21">NA()</definedName>
    <definedName name="Lt_P">NA()</definedName>
    <definedName name="LteSe" localSheetId="20" hidden="1">{"'CptDifn'!$AA$32:$AG$32"}</definedName>
    <definedName name="LteSe" hidden="1">{"'CptDifn'!$AA$32:$AG$32"}</definedName>
    <definedName name="LteSe_1" localSheetId="20" hidden="1">{"'CptDifn'!$AA$32:$AG$32"}</definedName>
    <definedName name="LteSe_1" hidden="1">{"'CptDifn'!$AA$32:$AG$32"}</definedName>
    <definedName name="LteSe_1_1" localSheetId="20" hidden="1">{"'CptDifn'!$AA$32:$AG$32"}</definedName>
    <definedName name="LteSe_1_1" hidden="1">{"'CptDifn'!$AA$32:$AG$32"}</definedName>
    <definedName name="LteSe_1_1_1" localSheetId="20" hidden="1">{"'CptDifn'!$AA$32:$AG$32"}</definedName>
    <definedName name="LteSe_1_1_1" hidden="1">{"'CptDifn'!$AA$32:$AG$32"}</definedName>
    <definedName name="LteSe_1_2" localSheetId="20" hidden="1">{"'CptDifn'!$AA$32:$AG$32"}</definedName>
    <definedName name="LteSe_1_2" hidden="1">{"'CptDifn'!$AA$32:$AG$32"}</definedName>
    <definedName name="LteSe_2" localSheetId="20" hidden="1">{"'CptDifn'!$AA$32:$AG$32"}</definedName>
    <definedName name="LteSe_2" hidden="1">{"'CptDifn'!$AA$32:$AG$32"}</definedName>
    <definedName name="LU" localSheetId="20" hidden="1">{"'gráf jan00'!$A$1:$AK$41"}</definedName>
    <definedName name="LU" hidden="1">{"'gráf jan00'!$A$1:$AK$41"}</definedName>
    <definedName name="LU_1" localSheetId="20" hidden="1">{"'gráf jan00'!$A$1:$AK$41"}</definedName>
    <definedName name="LU_1" hidden="1">{"'gráf jan00'!$A$1:$AK$41"}</definedName>
    <definedName name="LU_1_1" localSheetId="20" hidden="1">{"'gráf jan00'!$A$1:$AK$41"}</definedName>
    <definedName name="LU_1_1" hidden="1">{"'gráf jan00'!$A$1:$AK$41"}</definedName>
    <definedName name="LU_1_1_1" localSheetId="20" hidden="1">{"'gráf jan00'!$A$1:$AK$41"}</definedName>
    <definedName name="LU_1_1_1" hidden="1">{"'gráf jan00'!$A$1:$AK$41"}</definedName>
    <definedName name="LU_1_2" localSheetId="20" hidden="1">{"'gráf jan00'!$A$1:$AK$41"}</definedName>
    <definedName name="LU_1_2" hidden="1">{"'gráf jan00'!$A$1:$AK$41"}</definedName>
    <definedName name="LU_2" localSheetId="20" hidden="1">{"'gráf jan00'!$A$1:$AK$41"}</definedName>
    <definedName name="LU_2" hidden="1">{"'gráf jan00'!$A$1:$AK$41"}</definedName>
    <definedName name="LUCRO">'[85]Comp P Unit '!$M$43</definedName>
    <definedName name="LUCROMATBET">'[85]Comp P Unit '!$M$47</definedName>
    <definedName name="luis" localSheetId="20" hidden="1">{"'Plan1 (2)'!$A$5:$F$63"}</definedName>
    <definedName name="luis" hidden="1">{"'Plan1 (2)'!$A$5:$F$63"}</definedName>
    <definedName name="luis_1" localSheetId="20" hidden="1">{"'Plan1 (2)'!$A$5:$F$63"}</definedName>
    <definedName name="luis_1" hidden="1">{"'Plan1 (2)'!$A$5:$F$63"}</definedName>
    <definedName name="luis_1_1" localSheetId="20" hidden="1">{"'Plan1 (2)'!$A$5:$F$63"}</definedName>
    <definedName name="luis_1_1" hidden="1">{"'Plan1 (2)'!$A$5:$F$63"}</definedName>
    <definedName name="luis_1_1_1" localSheetId="20" hidden="1">{"'Plan1 (2)'!$A$5:$F$63"}</definedName>
    <definedName name="luis_1_1_1" hidden="1">{"'Plan1 (2)'!$A$5:$F$63"}</definedName>
    <definedName name="luis_1_2" localSheetId="20" hidden="1">{"'Plan1 (2)'!$A$5:$F$63"}</definedName>
    <definedName name="luis_1_2" hidden="1">{"'Plan1 (2)'!$A$5:$F$63"}</definedName>
    <definedName name="luis_2" localSheetId="20" hidden="1">{"'Plan1 (2)'!$A$5:$F$63"}</definedName>
    <definedName name="luis_2" hidden="1">{"'Plan1 (2)'!$A$5:$F$63"}</definedName>
    <definedName name="LVC">#REF!</definedName>
    <definedName name="LVD">#REF!</definedName>
    <definedName name="M" localSheetId="21">#REF!</definedName>
    <definedName name="M">[34]!M</definedName>
    <definedName name="M_003">#NAME?</definedName>
    <definedName name="M_003_1">#REF!</definedName>
    <definedName name="M_1" localSheetId="21">NA()</definedName>
    <definedName name="M_1">NA()</definedName>
    <definedName name="M_100">#NAME?</definedName>
    <definedName name="M_100_1">#REF!</definedName>
    <definedName name="M_2" localSheetId="21">NA()</definedName>
    <definedName name="M_2">NA()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">#REF!</definedName>
    <definedName name="MAAUQ">[169]Alteração!$F$19</definedName>
    <definedName name="MAAUQ_1">#REF!</definedName>
    <definedName name="mai00">[35]Consultoria!#REF!</definedName>
    <definedName name="MAIA">#REF!</definedName>
    <definedName name="man" localSheetId="20" hidden="1">{"'gráf jan00'!$A$1:$AK$41"}</definedName>
    <definedName name="man" hidden="1">{"'gráf jan00'!$A$1:$AK$41"}</definedName>
    <definedName name="man_1" localSheetId="20" hidden="1">{"'gráf jan00'!$A$1:$AK$41"}</definedName>
    <definedName name="man_1" hidden="1">{"'gráf jan00'!$A$1:$AK$41"}</definedName>
    <definedName name="man_1_1" localSheetId="20" hidden="1">{"'gráf jan00'!$A$1:$AK$41"}</definedName>
    <definedName name="man_1_1" hidden="1">{"'gráf jan00'!$A$1:$AK$41"}</definedName>
    <definedName name="man_1_1_1" localSheetId="20" hidden="1">{"'gráf jan00'!$A$1:$AK$41"}</definedName>
    <definedName name="man_1_1_1" hidden="1">{"'gráf jan00'!$A$1:$AK$41"}</definedName>
    <definedName name="man_1_2" localSheetId="20" hidden="1">{"'gráf jan00'!$A$1:$AK$41"}</definedName>
    <definedName name="man_1_2" hidden="1">{"'gráf jan00'!$A$1:$AK$41"}</definedName>
    <definedName name="man_2" localSheetId="20" hidden="1">{"'gráf jan00'!$A$1:$AK$41"}</definedName>
    <definedName name="man_2" hidden="1">{"'gráf jan00'!$A$1:$AK$41"}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oel" localSheetId="20" hidden="1">{"'Quadro'!$A$4:$BG$78"}</definedName>
    <definedName name="Manoel" hidden="1">{"'Quadro'!$A$4:$BG$78"}</definedName>
    <definedName name="Manoel_1" localSheetId="20" hidden="1">{"'Quadro'!$A$4:$BG$78"}</definedName>
    <definedName name="Manoel_1" hidden="1">{"'Quadro'!$A$4:$BG$78"}</definedName>
    <definedName name="Manoel_1_1" localSheetId="20" hidden="1">{"'Quadro'!$A$4:$BG$78"}</definedName>
    <definedName name="Manoel_1_1" hidden="1">{"'Quadro'!$A$4:$BG$78"}</definedName>
    <definedName name="Manoel_1_1_1" localSheetId="20" hidden="1">{"'Quadro'!$A$4:$BG$78"}</definedName>
    <definedName name="Manoel_1_1_1" hidden="1">{"'Quadro'!$A$4:$BG$78"}</definedName>
    <definedName name="Manoel_1_2" localSheetId="20" hidden="1">{"'Quadro'!$A$4:$BG$78"}</definedName>
    <definedName name="Manoel_1_2" hidden="1">{"'Quadro'!$A$4:$BG$78"}</definedName>
    <definedName name="Manoel_2" localSheetId="20" hidden="1">{"'Quadro'!$A$4:$BG$78"}</definedName>
    <definedName name="Manoel_2" hidden="1">{"'Quadro'!$A$4:$BG$78"}</definedName>
    <definedName name="MANT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ut" localSheetId="20" hidden="1">{"'gráf jan00'!$A$1:$AK$41"}</definedName>
    <definedName name="manut" hidden="1">{"'gráf jan00'!$A$1:$AK$41"}</definedName>
    <definedName name="manut_1" localSheetId="20" hidden="1">{"'gráf jan00'!$A$1:$AK$41"}</definedName>
    <definedName name="manut_1" hidden="1">{"'gráf jan00'!$A$1:$AK$41"}</definedName>
    <definedName name="manut_1_1" localSheetId="20" hidden="1">{"'gráf jan00'!$A$1:$AK$41"}</definedName>
    <definedName name="manut_1_1" hidden="1">{"'gráf jan00'!$A$1:$AK$41"}</definedName>
    <definedName name="manut_1_1_1" localSheetId="20" hidden="1">{"'gráf jan00'!$A$1:$AK$41"}</definedName>
    <definedName name="manut_1_1_1" hidden="1">{"'gráf jan00'!$A$1:$AK$41"}</definedName>
    <definedName name="manut_1_2" localSheetId="20" hidden="1">{"'gráf jan00'!$A$1:$AK$41"}</definedName>
    <definedName name="manut_1_2" hidden="1">{"'gráf jan00'!$A$1:$AK$41"}</definedName>
    <definedName name="manut_2" localSheetId="20" hidden="1">{"'gráf jan00'!$A$1:$AK$41"}</definedName>
    <definedName name="manut_2" hidden="1">{"'gráf jan00'!$A$1:$AK$41"}</definedName>
    <definedName name="Manutenção" localSheetId="20" hidden="1">{#N/A,#N/A,FALSE,"CONSOL. 5";#N/A,#N/A,FALSE,"CONSOL. ACUM. 6";#N/A,#N/A,FALSE,"CAP. EMPREG. 7";#N/A,#N/A,FALSE,"ORIGENS E APLICAÇÕES 9"}</definedName>
    <definedName name="Manutenção" hidden="1">{#N/A,#N/A,FALSE,"CONSOL. 5";#N/A,#N/A,FALSE,"CONSOL. ACUM. 6";#N/A,#N/A,FALSE,"CAP. EMPREG. 7";#N/A,#N/A,FALSE,"ORIGENS E APLICAÇÕES 9"}</definedName>
    <definedName name="Manutenção_1" localSheetId="20" hidden="1">{#N/A,#N/A,FALSE,"CONSOL. 5";#N/A,#N/A,FALSE,"CONSOL. ACUM. 6";#N/A,#N/A,FALSE,"CAP. EMPREG. 7";#N/A,#N/A,FALSE,"ORIGENS E APLICAÇÕES 9"}</definedName>
    <definedName name="Manutenção_1" hidden="1">{#N/A,#N/A,FALSE,"CONSOL. 5";#N/A,#N/A,FALSE,"CONSOL. ACUM. 6";#N/A,#N/A,FALSE,"CAP. EMPREG. 7";#N/A,#N/A,FALSE,"ORIGENS E APLICAÇÕES 9"}</definedName>
    <definedName name="Manutenção_1_1" localSheetId="20" hidden="1">{#N/A,#N/A,FALSE,"CONSOL. 5";#N/A,#N/A,FALSE,"CONSOL. ACUM. 6";#N/A,#N/A,FALSE,"CAP. EMPREG. 7";#N/A,#N/A,FALSE,"ORIGENS E APLICAÇÕES 9"}</definedName>
    <definedName name="Manutenção_1_1" hidden="1">{#N/A,#N/A,FALSE,"CONSOL. 5";#N/A,#N/A,FALSE,"CONSOL. ACUM. 6";#N/A,#N/A,FALSE,"CAP. EMPREG. 7";#N/A,#N/A,FALSE,"ORIGENS E APLICAÇÕES 9"}</definedName>
    <definedName name="Manutenção_1_1_1" localSheetId="20" hidden="1">{#N/A,#N/A,FALSE,"CONSOL. 5";#N/A,#N/A,FALSE,"CONSOL. ACUM. 6";#N/A,#N/A,FALSE,"CAP. EMPREG. 7";#N/A,#N/A,FALSE,"ORIGENS E APLICAÇÕES 9"}</definedName>
    <definedName name="Manutenção_1_1_1" hidden="1">{#N/A,#N/A,FALSE,"CONSOL. 5";#N/A,#N/A,FALSE,"CONSOL. ACUM. 6";#N/A,#N/A,FALSE,"CAP. EMPREG. 7";#N/A,#N/A,FALSE,"ORIGENS E APLICAÇÕES 9"}</definedName>
    <definedName name="Manutenção_1_2" localSheetId="20" hidden="1">{#N/A,#N/A,FALSE,"CONSOL. 5";#N/A,#N/A,FALSE,"CONSOL. ACUM. 6";#N/A,#N/A,FALSE,"CAP. EMPREG. 7";#N/A,#N/A,FALSE,"ORIGENS E APLICAÇÕES 9"}</definedName>
    <definedName name="Manutenção_1_2" hidden="1">{#N/A,#N/A,FALSE,"CONSOL. 5";#N/A,#N/A,FALSE,"CONSOL. ACUM. 6";#N/A,#N/A,FALSE,"CAP. EMPREG. 7";#N/A,#N/A,FALSE,"ORIGENS E APLICAÇÕES 9"}</definedName>
    <definedName name="Manutenção_2" localSheetId="20" hidden="1">{#N/A,#N/A,FALSE,"CONSOL. 5";#N/A,#N/A,FALSE,"CONSOL. ACUM. 6";#N/A,#N/A,FALSE,"CAP. EMPREG. 7";#N/A,#N/A,FALSE,"ORIGENS E APLICAÇÕES 9"}</definedName>
    <definedName name="Manutenção_2" hidden="1">{#N/A,#N/A,FALSE,"CONSOL. 5";#N/A,#N/A,FALSE,"CONSOL. ACUM. 6";#N/A,#N/A,FALSE,"CAP. EMPREG. 7";#N/A,#N/A,FALSE,"ORIGENS E APLICAÇÕES 9"}</definedName>
    <definedName name="MAO" localSheetId="21">#REF!</definedName>
    <definedName name="MAO">'[52]Q-01'!#REF!</definedName>
    <definedName name="mão">#REF!</definedName>
    <definedName name="MÃODEOBRA">'[85]C MÃO OBRA'!$A$13:$F$41</definedName>
    <definedName name="MAQSERV" localSheetId="1">#REF!</definedName>
    <definedName name="MAQSERV">#REF!</definedName>
    <definedName name="MAQSERV048" localSheetId="1">#REF!</definedName>
    <definedName name="MAQSERV048">#REF!</definedName>
    <definedName name="MAR00">[35]Consultoria!#REF!</definedName>
    <definedName name="MARA">#REF!</definedName>
    <definedName name="marcelo" localSheetId="20" hidden="1">{"'gráf jan00'!$A$1:$AK$41"}</definedName>
    <definedName name="marcelo" localSheetId="21">#REF!</definedName>
    <definedName name="marcelo">#REF!</definedName>
    <definedName name="marcelo_1" localSheetId="20" hidden="1">{"'gráf jan00'!$A$1:$AK$41"}</definedName>
    <definedName name="marcelo_1" hidden="1">{"'gráf jan00'!$A$1:$AK$41"}</definedName>
    <definedName name="marcelo_1_1" localSheetId="20" hidden="1">{"'gráf jan00'!$A$1:$AK$41"}</definedName>
    <definedName name="marcelo_1_1" hidden="1">{"'gráf jan00'!$A$1:$AK$41"}</definedName>
    <definedName name="marcelo_1_1_1" localSheetId="20" hidden="1">{"'gráf jan00'!$A$1:$AK$41"}</definedName>
    <definedName name="marcelo_1_1_1" hidden="1">{"'gráf jan00'!$A$1:$AK$41"}</definedName>
    <definedName name="marcelo_1_2" localSheetId="20" hidden="1">{"'gráf jan00'!$A$1:$AK$41"}</definedName>
    <definedName name="marcelo_1_2" hidden="1">{"'gráf jan00'!$A$1:$AK$41"}</definedName>
    <definedName name="marcelo_2" localSheetId="20" hidden="1">{"'gráf jan00'!$A$1:$AK$41"}</definedName>
    <definedName name="marcelo_2" hidden="1">{"'gráf jan00'!$A$1:$AK$41"}</definedName>
    <definedName name="Marcio_1" hidden="1">#REF!-1 &amp; "." &amp; MAX(1,COUNTA(INDEX(#REF!,MATCH(#REF!-1,#REF!,FALSE)):#REF!))</definedName>
    <definedName name="Marcio_2" hidden="1">#REF!-1 &amp; "." &amp; MAX(1,COUNTA(INDEX(#REF!,MATCH(#REF!-1,#REF!,FALSE)):#REF!))</definedName>
    <definedName name="Marcio_3" hidden="1">#REF!-1 &amp; "." &amp; MAX(1,COUNTA(INDEX(#REF!,MATCH(#REF!-1,#REF!,FALSE)):#REF!))</definedName>
    <definedName name="Marcio_4" hidden="1">#REF!-1 &amp; "." &amp; MAX(1,COUNTA(INDEX(#REF!,MATCH(#REF!-1,#REF!,FALSE)):#REF!))</definedName>
    <definedName name="Marcio_5" hidden="1">#REF!-1 &amp; "." &amp; MAX(1,COUNTA(INDEX(#REF!,MATCH(#REF!-1,#REF!,FALSE)):#REF!))</definedName>
    <definedName name="MARCO">'[170]61M-CBMI'!$AA$1:$AA$51</definedName>
    <definedName name="MARIA" localSheetId="20" hidden="1">{"'gráf jan00'!$A$1:$AK$41"}</definedName>
    <definedName name="MARIA" hidden="1">{"'gráf jan00'!$A$1:$AK$41"}</definedName>
    <definedName name="MARIA_1" localSheetId="20" hidden="1">{"'gráf jan00'!$A$1:$AK$41"}</definedName>
    <definedName name="MARIA_1" hidden="1">{"'gráf jan00'!$A$1:$AK$41"}</definedName>
    <definedName name="MARIA_1_1" localSheetId="20" hidden="1">{"'gráf jan00'!$A$1:$AK$41"}</definedName>
    <definedName name="MARIA_1_1" hidden="1">{"'gráf jan00'!$A$1:$AK$41"}</definedName>
    <definedName name="MARIA_1_1_1" localSheetId="20" hidden="1">{"'gráf jan00'!$A$1:$AK$41"}</definedName>
    <definedName name="MARIA_1_1_1" hidden="1">{"'gráf jan00'!$A$1:$AK$41"}</definedName>
    <definedName name="MARIA_1_2" localSheetId="20" hidden="1">{"'gráf jan00'!$A$1:$AK$41"}</definedName>
    <definedName name="MARIA_1_2" hidden="1">{"'gráf jan00'!$A$1:$AK$41"}</definedName>
    <definedName name="MARIA_2" localSheetId="20" hidden="1">{"'gráf jan00'!$A$1:$AK$41"}</definedName>
    <definedName name="MARIA_2" hidden="1">{"'gráf jan00'!$A$1:$AK$41"}</definedName>
    <definedName name="MARINA">#N/A</definedName>
    <definedName name="Mario" localSheetId="20" hidden="1">{#N/A,#N/A,FALSE,"SITUAÇÃO DIÁRIA ";#N/A,#N/A,FALSE,"7 à 7"}</definedName>
    <definedName name="Mario" hidden="1">{#N/A,#N/A,FALSE,"SITUAÇÃO DIÁRIA ";#N/A,#N/A,FALSE,"7 à 7"}</definedName>
    <definedName name="Mario_1" localSheetId="20" hidden="1">{#N/A,#N/A,FALSE,"SITUAÇÃO DIÁRIA ";#N/A,#N/A,FALSE,"7 à 7"}</definedName>
    <definedName name="Mario_1" hidden="1">{#N/A,#N/A,FALSE,"SITUAÇÃO DIÁRIA ";#N/A,#N/A,FALSE,"7 à 7"}</definedName>
    <definedName name="Mario_1_1" localSheetId="20" hidden="1">{#N/A,#N/A,FALSE,"SITUAÇÃO DIÁRIA ";#N/A,#N/A,FALSE,"7 à 7"}</definedName>
    <definedName name="Mario_1_1" hidden="1">{#N/A,#N/A,FALSE,"SITUAÇÃO DIÁRIA ";#N/A,#N/A,FALSE,"7 à 7"}</definedName>
    <definedName name="Mario_1_1_1" localSheetId="20" hidden="1">{#N/A,#N/A,FALSE,"SITUAÇÃO DIÁRIA ";#N/A,#N/A,FALSE,"7 à 7"}</definedName>
    <definedName name="Mario_1_1_1" hidden="1">{#N/A,#N/A,FALSE,"SITUAÇÃO DIÁRIA ";#N/A,#N/A,FALSE,"7 à 7"}</definedName>
    <definedName name="Mario_1_2" localSheetId="20" hidden="1">{#N/A,#N/A,FALSE,"SITUAÇÃO DIÁRIA ";#N/A,#N/A,FALSE,"7 à 7"}</definedName>
    <definedName name="Mario_1_2" hidden="1">{#N/A,#N/A,FALSE,"SITUAÇÃO DIÁRIA ";#N/A,#N/A,FALSE,"7 à 7"}</definedName>
    <definedName name="Mario_2" localSheetId="20" hidden="1">{#N/A,#N/A,FALSE,"SITUAÇÃO DIÁRIA ";#N/A,#N/A,FALSE,"7 à 7"}</definedName>
    <definedName name="Mario_2" hidden="1">{#N/A,#N/A,FALSE,"SITUAÇÃO DIÁRIA ";#N/A,#N/A,FALSE,"7 à 7"}</definedName>
    <definedName name="marshall">#REF!</definedName>
    <definedName name="Massa">#REF!</definedName>
    <definedName name="MASTE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 localSheetId="21">#REF!</definedName>
    <definedName name="mat">[171]Mat!$B$4:$E$528</definedName>
    <definedName name="MATBET">#REF!</definedName>
    <definedName name="mater">#REF!</definedName>
    <definedName name="MATERIAIS">#REF!</definedName>
    <definedName name="MATERIAL">#REF!</definedName>
    <definedName name="material_1">#REF!</definedName>
    <definedName name="MATRIZ1" localSheetId="20" hidden="1">{#N/A,#N/A,TRUE,"Serviços"}</definedName>
    <definedName name="MATRIZ1" hidden="1">{#N/A,#N/A,TRUE,"Serviços"}</definedName>
    <definedName name="mattubcus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 localSheetId="20" hidden="1">{"'Índice'!$A$1:$K$49"}</definedName>
    <definedName name="Máximo" hidden="1">{"'Índice'!$A$1:$K$49"}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CGráfico" localSheetId="0">[91]!Mc_CGráfico</definedName>
    <definedName name="Mc_CGráfico" localSheetId="30">[91]!Mc_CGráfico</definedName>
    <definedName name="Mc_CGráfico">[91]!Mc_CGráfico</definedName>
    <definedName name="MC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 localSheetId="20" hidden="1">{#N/A,#N/A,FALSE,"ET-CAPA";#N/A,#N/A,FALSE,"ET-PAG1";#N/A,#N/A,FALSE,"ET-PAG2";#N/A,#N/A,FALSE,"ET-PAG3";#N/A,#N/A,FALSE,"ET-PAG4";#N/A,#N/A,FALSE,"ET-PAG5"}</definedName>
    <definedName name="MDO" hidden="1">{#N/A,#N/A,FALSE,"ET-CAPA";#N/A,#N/A,FALSE,"ET-PAG1";#N/A,#N/A,FALSE,"ET-PAG2";#N/A,#N/A,FALSE,"ET-PAG3";#N/A,#N/A,FALSE,"ET-PAG4";#N/A,#N/A,FALSE,"ET-PAG5"}</definedName>
    <definedName name="MDO_1" localSheetId="20" hidden="1">{#N/A,#N/A,FALSE,"ET-CAPA";#N/A,#N/A,FALSE,"ET-PAG1";#N/A,#N/A,FALSE,"ET-PAG2";#N/A,#N/A,FALSE,"ET-PAG3";#N/A,#N/A,FALSE,"ET-PAG4";#N/A,#N/A,FALSE,"ET-PAG5"}</definedName>
    <definedName name="MDO_1" hidden="1">{#N/A,#N/A,FALSE,"ET-CAPA";#N/A,#N/A,FALSE,"ET-PAG1";#N/A,#N/A,FALSE,"ET-PAG2";#N/A,#N/A,FALSE,"ET-PAG3";#N/A,#N/A,FALSE,"ET-PAG4";#N/A,#N/A,FALSE,"ET-PAG5"}</definedName>
    <definedName name="MDO_1_1" localSheetId="20" hidden="1">{#N/A,#N/A,FALSE,"ET-CAPA";#N/A,#N/A,FALSE,"ET-PAG1";#N/A,#N/A,FALSE,"ET-PAG2";#N/A,#N/A,FALSE,"ET-PAG3";#N/A,#N/A,FALSE,"ET-PAG4";#N/A,#N/A,FALSE,"ET-PAG5"}</definedName>
    <definedName name="MDO_1_1" hidden="1">{#N/A,#N/A,FALSE,"ET-CAPA";#N/A,#N/A,FALSE,"ET-PAG1";#N/A,#N/A,FALSE,"ET-PAG2";#N/A,#N/A,FALSE,"ET-PAG3";#N/A,#N/A,FALSE,"ET-PAG4";#N/A,#N/A,FALSE,"ET-PAG5"}</definedName>
    <definedName name="MDO_1_1_1" localSheetId="20" hidden="1">{#N/A,#N/A,FALSE,"ET-CAPA";#N/A,#N/A,FALSE,"ET-PAG1";#N/A,#N/A,FALSE,"ET-PAG2";#N/A,#N/A,FALSE,"ET-PAG3";#N/A,#N/A,FALSE,"ET-PAG4";#N/A,#N/A,FALSE,"ET-PAG5"}</definedName>
    <definedName name="MDO_1_1_1" hidden="1">{#N/A,#N/A,FALSE,"ET-CAPA";#N/A,#N/A,FALSE,"ET-PAG1";#N/A,#N/A,FALSE,"ET-PAG2";#N/A,#N/A,FALSE,"ET-PAG3";#N/A,#N/A,FALSE,"ET-PAG4";#N/A,#N/A,FALSE,"ET-PAG5"}</definedName>
    <definedName name="MDO_1_2" localSheetId="20" hidden="1">{#N/A,#N/A,FALSE,"ET-CAPA";#N/A,#N/A,FALSE,"ET-PAG1";#N/A,#N/A,FALSE,"ET-PAG2";#N/A,#N/A,FALSE,"ET-PAG3";#N/A,#N/A,FALSE,"ET-PAG4";#N/A,#N/A,FALSE,"ET-PAG5"}</definedName>
    <definedName name="MDO_1_2" hidden="1">{#N/A,#N/A,FALSE,"ET-CAPA";#N/A,#N/A,FALSE,"ET-PAG1";#N/A,#N/A,FALSE,"ET-PAG2";#N/A,#N/A,FALSE,"ET-PAG3";#N/A,#N/A,FALSE,"ET-PAG4";#N/A,#N/A,FALSE,"ET-PAG5"}</definedName>
    <definedName name="MDO_2" localSheetId="20" hidden="1">{#N/A,#N/A,FALSE,"ET-CAPA";#N/A,#N/A,FALSE,"ET-PAG1";#N/A,#N/A,FALSE,"ET-PAG2";#N/A,#N/A,FALSE,"ET-PAG3";#N/A,#N/A,FALSE,"ET-PAG4";#N/A,#N/A,FALSE,"ET-PAG5"}</definedName>
    <definedName name="MDO_2" hidden="1">{#N/A,#N/A,FALSE,"ET-CAPA";#N/A,#N/A,FALSE,"ET-PAG1";#N/A,#N/A,FALSE,"ET-PAG2";#N/A,#N/A,FALSE,"ET-PAG3";#N/A,#N/A,FALSE,"ET-PAG4";#N/A,#N/A,FALSE,"ET-PAG5"}</definedName>
    <definedName name="ME">#REF!</definedName>
    <definedName name="ME_1">#REF!</definedName>
    <definedName name="ME_14" localSheetId="21">#REF!</definedName>
    <definedName name="ME_14">#REF!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 localSheetId="21">#REF!</definedName>
    <definedName name="Mecanica_5">#REF!</definedName>
    <definedName name="Mecanica_7" localSheetId="21">#REF!</definedName>
    <definedName name="Mecanica_7">#REF!</definedName>
    <definedName name="Mecanica_9" localSheetId="21">#REF!</definedName>
    <definedName name="Mecanica_9">#REF!</definedName>
    <definedName name="MED">#REF!</definedName>
    <definedName name="MEDD">#REF!</definedName>
    <definedName name="MEDEXP4.1" localSheetId="20" hidden="1">{#N/A,#N/A,FALSE,"ET-CAPA";#N/A,#N/A,FALSE,"ET-PAG1";#N/A,#N/A,FALSE,"ET-PAG2";#N/A,#N/A,FALSE,"ET-PAG3";#N/A,#N/A,FALSE,"ET-PAG4";#N/A,#N/A,FALSE,"ET-PAG5"}</definedName>
    <definedName name="MEDEXP4.1" hidden="1">{#N/A,#N/A,FALSE,"ET-CAPA";#N/A,#N/A,FALSE,"ET-PAG1";#N/A,#N/A,FALSE,"ET-PAG2";#N/A,#N/A,FALSE,"ET-PAG3";#N/A,#N/A,FALSE,"ET-PAG4";#N/A,#N/A,FALSE,"ET-PAG5"}</definedName>
    <definedName name="MEDEXP4.1_1" localSheetId="20" hidden="1">{#N/A,#N/A,FALSE,"ET-CAPA";#N/A,#N/A,FALSE,"ET-PAG1";#N/A,#N/A,FALSE,"ET-PAG2";#N/A,#N/A,FALSE,"ET-PAG3";#N/A,#N/A,FALSE,"ET-PAG4";#N/A,#N/A,FALSE,"ET-PAG5"}</definedName>
    <definedName name="MEDEXP4.1_1" hidden="1">{#N/A,#N/A,FALSE,"ET-CAPA";#N/A,#N/A,FALSE,"ET-PAG1";#N/A,#N/A,FALSE,"ET-PAG2";#N/A,#N/A,FALSE,"ET-PAG3";#N/A,#N/A,FALSE,"ET-PAG4";#N/A,#N/A,FALSE,"ET-PAG5"}</definedName>
    <definedName name="MEDEXP4.1_1_1" localSheetId="20" hidden="1">{#N/A,#N/A,FALSE,"ET-CAPA";#N/A,#N/A,FALSE,"ET-PAG1";#N/A,#N/A,FALSE,"ET-PAG2";#N/A,#N/A,FALSE,"ET-PAG3";#N/A,#N/A,FALSE,"ET-PAG4";#N/A,#N/A,FALSE,"ET-PAG5"}</definedName>
    <definedName name="MEDEXP4.1_1_1" hidden="1">{#N/A,#N/A,FALSE,"ET-CAPA";#N/A,#N/A,FALSE,"ET-PAG1";#N/A,#N/A,FALSE,"ET-PAG2";#N/A,#N/A,FALSE,"ET-PAG3";#N/A,#N/A,FALSE,"ET-PAG4";#N/A,#N/A,FALSE,"ET-PAG5"}</definedName>
    <definedName name="MEDEXP4.1_1_1_1" localSheetId="20" hidden="1">{#N/A,#N/A,FALSE,"ET-CAPA";#N/A,#N/A,FALSE,"ET-PAG1";#N/A,#N/A,FALSE,"ET-PAG2";#N/A,#N/A,FALSE,"ET-PAG3";#N/A,#N/A,FALSE,"ET-PAG4";#N/A,#N/A,FALSE,"ET-PAG5"}</definedName>
    <definedName name="MEDEXP4.1_1_1_1" hidden="1">{#N/A,#N/A,FALSE,"ET-CAPA";#N/A,#N/A,FALSE,"ET-PAG1";#N/A,#N/A,FALSE,"ET-PAG2";#N/A,#N/A,FALSE,"ET-PAG3";#N/A,#N/A,FALSE,"ET-PAG4";#N/A,#N/A,FALSE,"ET-PAG5"}</definedName>
    <definedName name="MEDEXP4.1_1_2" localSheetId="20" hidden="1">{#N/A,#N/A,FALSE,"ET-CAPA";#N/A,#N/A,FALSE,"ET-PAG1";#N/A,#N/A,FALSE,"ET-PAG2";#N/A,#N/A,FALSE,"ET-PAG3";#N/A,#N/A,FALSE,"ET-PAG4";#N/A,#N/A,FALSE,"ET-PAG5"}</definedName>
    <definedName name="MEDEXP4.1_1_2" hidden="1">{#N/A,#N/A,FALSE,"ET-CAPA";#N/A,#N/A,FALSE,"ET-PAG1";#N/A,#N/A,FALSE,"ET-PAG2";#N/A,#N/A,FALSE,"ET-PAG3";#N/A,#N/A,FALSE,"ET-PAG4";#N/A,#N/A,FALSE,"ET-PAG5"}</definedName>
    <definedName name="MEDEXP4.1_2" localSheetId="20" hidden="1">{#N/A,#N/A,FALSE,"ET-CAPA";#N/A,#N/A,FALSE,"ET-PAG1";#N/A,#N/A,FALSE,"ET-PAG2";#N/A,#N/A,FALSE,"ET-PAG3";#N/A,#N/A,FALSE,"ET-PAG4";#N/A,#N/A,FALSE,"ET-PAG5"}</definedName>
    <definedName name="MEDEXP4.1_2" hidden="1">{#N/A,#N/A,FALSE,"ET-CAPA";#N/A,#N/A,FALSE,"ET-PAG1";#N/A,#N/A,FALSE,"ET-PAG2";#N/A,#N/A,FALSE,"ET-PAG3";#N/A,#N/A,FALSE,"ET-PAG4";#N/A,#N/A,FALSE,"ET-PAG5"}</definedName>
    <definedName name="MEDEXP44" localSheetId="20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EXP44_1" localSheetId="20" hidden="1">{#N/A,#N/A,FALSE,"ET-CAPA";#N/A,#N/A,FALSE,"ET-PAG1";#N/A,#N/A,FALSE,"ET-PAG2";#N/A,#N/A,FALSE,"ET-PAG3";#N/A,#N/A,FALSE,"ET-PAG4";#N/A,#N/A,FALSE,"ET-PAG5"}</definedName>
    <definedName name="MEDEXP44_1" hidden="1">{#N/A,#N/A,FALSE,"ET-CAPA";#N/A,#N/A,FALSE,"ET-PAG1";#N/A,#N/A,FALSE,"ET-PAG2";#N/A,#N/A,FALSE,"ET-PAG3";#N/A,#N/A,FALSE,"ET-PAG4";#N/A,#N/A,FALSE,"ET-PAG5"}</definedName>
    <definedName name="MEDEXP44_1_1" localSheetId="20" hidden="1">{#N/A,#N/A,FALSE,"ET-CAPA";#N/A,#N/A,FALSE,"ET-PAG1";#N/A,#N/A,FALSE,"ET-PAG2";#N/A,#N/A,FALSE,"ET-PAG3";#N/A,#N/A,FALSE,"ET-PAG4";#N/A,#N/A,FALSE,"ET-PAG5"}</definedName>
    <definedName name="MEDEXP44_1_1" hidden="1">{#N/A,#N/A,FALSE,"ET-CAPA";#N/A,#N/A,FALSE,"ET-PAG1";#N/A,#N/A,FALSE,"ET-PAG2";#N/A,#N/A,FALSE,"ET-PAG3";#N/A,#N/A,FALSE,"ET-PAG4";#N/A,#N/A,FALSE,"ET-PAG5"}</definedName>
    <definedName name="MEDEXP44_1_1_1" localSheetId="20" hidden="1">{#N/A,#N/A,FALSE,"ET-CAPA";#N/A,#N/A,FALSE,"ET-PAG1";#N/A,#N/A,FALSE,"ET-PAG2";#N/A,#N/A,FALSE,"ET-PAG3";#N/A,#N/A,FALSE,"ET-PAG4";#N/A,#N/A,FALSE,"ET-PAG5"}</definedName>
    <definedName name="MEDEXP44_1_1_1" hidden="1">{#N/A,#N/A,FALSE,"ET-CAPA";#N/A,#N/A,FALSE,"ET-PAG1";#N/A,#N/A,FALSE,"ET-PAG2";#N/A,#N/A,FALSE,"ET-PAG3";#N/A,#N/A,FALSE,"ET-PAG4";#N/A,#N/A,FALSE,"ET-PAG5"}</definedName>
    <definedName name="MEDEXP44_1_2" localSheetId="20" hidden="1">{#N/A,#N/A,FALSE,"ET-CAPA";#N/A,#N/A,FALSE,"ET-PAG1";#N/A,#N/A,FALSE,"ET-PAG2";#N/A,#N/A,FALSE,"ET-PAG3";#N/A,#N/A,FALSE,"ET-PAG4";#N/A,#N/A,FALSE,"ET-PAG5"}</definedName>
    <definedName name="MEDEXP44_1_2" hidden="1">{#N/A,#N/A,FALSE,"ET-CAPA";#N/A,#N/A,FALSE,"ET-PAG1";#N/A,#N/A,FALSE,"ET-PAG2";#N/A,#N/A,FALSE,"ET-PAG3";#N/A,#N/A,FALSE,"ET-PAG4";#N/A,#N/A,FALSE,"ET-PAG5"}</definedName>
    <definedName name="MEDEXP44_2" localSheetId="20" hidden="1">{#N/A,#N/A,FALSE,"ET-CAPA";#N/A,#N/A,FALSE,"ET-PAG1";#N/A,#N/A,FALSE,"ET-PAG2";#N/A,#N/A,FALSE,"ET-PAG3";#N/A,#N/A,FALSE,"ET-PAG4";#N/A,#N/A,FALSE,"ET-PAG5"}</definedName>
    <definedName name="MEDEXP44_2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ção_11">#REF!</definedName>
    <definedName name="Medição_12">#REF!</definedName>
    <definedName name="Medição_13">#REF!</definedName>
    <definedName name="MEDICAO_14" localSheetId="21">#REF!</definedName>
    <definedName name="MEDICAO_14">#REF!</definedName>
    <definedName name="MEDIÇÃO_14" localSheetId="21">#REF!</definedName>
    <definedName name="MEDIÇÃO_14">#REF!</definedName>
    <definedName name="Medição_15">#REF!</definedName>
    <definedName name="Medição_2">#REF!</definedName>
    <definedName name="Medição_4">#REF!</definedName>
    <definedName name="Medição_5">#REF!</definedName>
    <definedName name="Medição_6">#REF!</definedName>
    <definedName name="Medição_7">#REF!</definedName>
    <definedName name="Medição_8">#REF!</definedName>
    <definedName name="Medição_9">#REF!</definedName>
    <definedName name="MEDICAO7">#N/A</definedName>
    <definedName name="Mediçãoo">#REF!</definedName>
    <definedName name="medir">[172]Teor!$B$3:$B$7</definedName>
    <definedName name="MEDIR_CERCA">#REF!="S"</definedName>
    <definedName name="MedMês95">#N/A</definedName>
    <definedName name="melhoria" localSheetId="20" hidden="1">{#N/A,#N/A,FALSE,"Plan1"}</definedName>
    <definedName name="melhoria" hidden="1">{#N/A,#N/A,FALSE,"Plan1"}</definedName>
    <definedName name="Mem.01" localSheetId="20" hidden="1">{"'Plan1 (2)'!$A$5:$F$63"}</definedName>
    <definedName name="Mem.01" hidden="1">{"'Plan1 (2)'!$A$5:$F$63"}</definedName>
    <definedName name="MENU">#REF!</definedName>
    <definedName name="mercia" localSheetId="20" hidden="1">{"'REL CUSTODIF'!$B$1:$H$72"}</definedName>
    <definedName name="mercia" hidden="1">{"'REL CUSTODIF'!$B$1:$H$72"}</definedName>
    <definedName name="mercia_1" localSheetId="20" hidden="1">{"'REL CUSTODIF'!$B$1:$H$72"}</definedName>
    <definedName name="mercia_1" hidden="1">{"'REL CUSTODIF'!$B$1:$H$72"}</definedName>
    <definedName name="mercia_1_1" localSheetId="20" hidden="1">{"'REL CUSTODIF'!$B$1:$H$72"}</definedName>
    <definedName name="mercia_1_1" hidden="1">{"'REL CUSTODIF'!$B$1:$H$72"}</definedName>
    <definedName name="mercia_1_1_1" localSheetId="20" hidden="1">{"'REL CUSTODIF'!$B$1:$H$72"}</definedName>
    <definedName name="mercia_1_1_1" hidden="1">{"'REL CUSTODIF'!$B$1:$H$72"}</definedName>
    <definedName name="mercia_1_2" localSheetId="20" hidden="1">{"'REL CUSTODIF'!$B$1:$H$72"}</definedName>
    <definedName name="mercia_1_2" hidden="1">{"'REL CUSTODIF'!$B$1:$H$72"}</definedName>
    <definedName name="mercia_2" localSheetId="20" hidden="1">{"'REL CUSTODIF'!$B$1:$H$72"}</definedName>
    <definedName name="mercia_2" hidden="1">{"'REL CUSTODIF'!$B$1:$H$72"}</definedName>
    <definedName name="MERDA">'[40]CROQUIS DE DIST.'!MERDA</definedName>
    <definedName name="MERDA_10">#N/A</definedName>
    <definedName name="MERDA_12">#N/A</definedName>
    <definedName name="MERDA_13">#N/A</definedName>
    <definedName name="MERDA_15">#N/A</definedName>
    <definedName name="MERDA_5">#N/A</definedName>
    <definedName name="MERDA_6">#N/A</definedName>
    <definedName name="MERDA_7">#N/A</definedName>
    <definedName name="MERDA_8">#N/A</definedName>
    <definedName name="MERDA_9">#N/A</definedName>
    <definedName name="merito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1" hidden="1">#REF!</definedName>
    <definedName name="MES">#REF!</definedName>
    <definedName name="mês">#REF!</definedName>
    <definedName name="mes_10">#REF!</definedName>
    <definedName name="mes_12">#REF!</definedName>
    <definedName name="mes_4">#REF!</definedName>
    <definedName name="mes_9">#REF!</definedName>
    <definedName name="Meses">#REF!,#REF!,#REF!,#REF!,#REF!,#REF!,#REF!,#REF!,#REF!,#REF!,#REF!,#REF!</definedName>
    <definedName name="mesoestrutura">#REF!</definedName>
    <definedName name="mesoestrutura_1">#REF!</definedName>
    <definedName name="mesoestrutura_10">#REF!</definedName>
    <definedName name="mesoestrutura_12">#REF!</definedName>
    <definedName name="mesoestrutura_2">#REF!</definedName>
    <definedName name="mesoestrutura_3">#REF!</definedName>
    <definedName name="mesoestrutura_4">#REF!</definedName>
    <definedName name="mesoestrutura_9">#REF!</definedName>
    <definedName name="MESTR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a">#REF!</definedName>
    <definedName name="METÁLICO_AN">#REF!</definedName>
    <definedName name="METÁLICO_AT">#REF!</definedName>
    <definedName name="metasantigas" localSheetId="20" hidden="1">{"'gráf jan00'!$A$1:$AK$41"}</definedName>
    <definedName name="metasantigas" hidden="1">{"'gráf jan00'!$A$1:$AK$41"}</definedName>
    <definedName name="metasantigas_1" localSheetId="20" hidden="1">{"'gráf jan00'!$A$1:$AK$41"}</definedName>
    <definedName name="metasantigas_1" hidden="1">{"'gráf jan00'!$A$1:$AK$41"}</definedName>
    <definedName name="metasantigas_1_1" localSheetId="20" hidden="1">{"'gráf jan00'!$A$1:$AK$41"}</definedName>
    <definedName name="metasantigas_1_1" hidden="1">{"'gráf jan00'!$A$1:$AK$41"}</definedName>
    <definedName name="metasantigas_1_1_1" localSheetId="20" hidden="1">{"'gráf jan00'!$A$1:$AK$41"}</definedName>
    <definedName name="metasantigas_1_1_1" hidden="1">{"'gráf jan00'!$A$1:$AK$41"}</definedName>
    <definedName name="metasantigas_1_2" localSheetId="20" hidden="1">{"'gráf jan00'!$A$1:$AK$41"}</definedName>
    <definedName name="metasantigas_1_2" hidden="1">{"'gráf jan00'!$A$1:$AK$41"}</definedName>
    <definedName name="metasantigas_2" localSheetId="20" hidden="1">{"'gráf jan00'!$A$1:$AK$41"}</definedName>
    <definedName name="metasantigas_2" hidden="1">{"'gráf jan00'!$A$1:$AK$41"}</definedName>
    <definedName name="Meu">#REF!</definedName>
    <definedName name="Meu_10">#REF!</definedName>
    <definedName name="Meu_11">#REF!</definedName>
    <definedName name="Meu_12">#REF!</definedName>
    <definedName name="Meu_15">#REF!</definedName>
    <definedName name="Meu_3">#REF!</definedName>
    <definedName name="Meu_9">#REF!</definedName>
    <definedName name="MEWarning" hidden="1">1</definedName>
    <definedName name="MF">#REF!</definedName>
    <definedName name="MG">#REF!</definedName>
    <definedName name="Micro">#REF!</definedName>
    <definedName name="MINA_RELATÓRIO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MINA_RELATÓRI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misu">#REF!</definedName>
    <definedName name="mktg" localSheetId="20" hidden="1">{#N/A,#N/A,FALSE,"지침";#N/A,#N/A,FALSE,"환경분석";#N/A,#N/A,FALSE,"Sheet16"}</definedName>
    <definedName name="mktg" hidden="1">{#N/A,#N/A,FALSE,"지침";#N/A,#N/A,FALSE,"환경분석";#N/A,#N/A,FALSE,"Sheet16"}</definedName>
    <definedName name="mktg_1" localSheetId="20" hidden="1">{#N/A,#N/A,FALSE,"지침";#N/A,#N/A,FALSE,"환경분석";#N/A,#N/A,FALSE,"Sheet16"}</definedName>
    <definedName name="mktg_1" hidden="1">{#N/A,#N/A,FALSE,"지침";#N/A,#N/A,FALSE,"환경분석";#N/A,#N/A,FALSE,"Sheet16"}</definedName>
    <definedName name="mktg_1_1" localSheetId="20" hidden="1">{#N/A,#N/A,FALSE,"지침";#N/A,#N/A,FALSE,"환경분석";#N/A,#N/A,FALSE,"Sheet16"}</definedName>
    <definedName name="mktg_1_1" hidden="1">{#N/A,#N/A,FALSE,"지침";#N/A,#N/A,FALSE,"환경분석";#N/A,#N/A,FALSE,"Sheet16"}</definedName>
    <definedName name="mktg_1_1_1" localSheetId="20" hidden="1">{#N/A,#N/A,FALSE,"지침";#N/A,#N/A,FALSE,"환경분석";#N/A,#N/A,FALSE,"Sheet16"}</definedName>
    <definedName name="mktg_1_1_1" hidden="1">{#N/A,#N/A,FALSE,"지침";#N/A,#N/A,FALSE,"환경분석";#N/A,#N/A,FALSE,"Sheet16"}</definedName>
    <definedName name="mktg_1_2" localSheetId="20" hidden="1">{#N/A,#N/A,FALSE,"지침";#N/A,#N/A,FALSE,"환경분석";#N/A,#N/A,FALSE,"Sheet16"}</definedName>
    <definedName name="mktg_1_2" hidden="1">{#N/A,#N/A,FALSE,"지침";#N/A,#N/A,FALSE,"환경분석";#N/A,#N/A,FALSE,"Sheet16"}</definedName>
    <definedName name="mktg_2" localSheetId="20" hidden="1">{#N/A,#N/A,FALSE,"지침";#N/A,#N/A,FALSE,"환경분석";#N/A,#N/A,FALSE,"Sheet16"}</definedName>
    <definedName name="mktg_2" hidden="1">{#N/A,#N/A,FALSE,"지침";#N/A,#N/A,FALSE,"환경분석";#N/A,#N/A,FALSE,"Sheet16"}</definedName>
    <definedName name="MLNK0b11bf7e2b1d40ad80e656475a84bc4f" hidden="1">#REF!</definedName>
    <definedName name="MLNK0bb9e2c3441b428185b37803f44b025f" hidden="1">#REF!</definedName>
    <definedName name="MLNK24de39fd0fde49088761ab6fab408c5a" hidden="1">#REF!</definedName>
    <definedName name="MLNK913f4b439ed54185b797cc484391b3cc" hidden="1">#REF!</definedName>
    <definedName name="MLNKca0dbfbe7eb340f89b403e0c7e9931f0" hidden="1">#REF!</definedName>
    <definedName name="MLNKeb19893831ee4658ae38f0fccece34e7" hidden="1">#REF!</definedName>
    <definedName name="MM" localSheetId="21">#REF!</definedName>
    <definedName name="MM">#N/A</definedName>
    <definedName name="M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0">#N/A</definedName>
    <definedName name="MM_12">#N/A</definedName>
    <definedName name="MM_13">#N/A</definedName>
    <definedName name="MM_15">#N/A</definedName>
    <definedName name="mm_2" localSheetId="20" hidden="1">{"'CptDifn'!$AA$32:$AG$32"}</definedName>
    <definedName name="mm_2" hidden="1">{"'CptDifn'!$AA$32:$AG$32"}</definedName>
    <definedName name="mm_2_1" localSheetId="20" hidden="1">{"'CptDifn'!$AA$32:$AG$32"}</definedName>
    <definedName name="mm_2_1" hidden="1">{"'CptDifn'!$AA$32:$AG$32"}</definedName>
    <definedName name="mm_3" localSheetId="20" hidden="1">{"'CptDifn'!$AA$32:$AG$32"}</definedName>
    <definedName name="mm_3" hidden="1">{"'CptDifn'!$AA$32:$AG$32"}</definedName>
    <definedName name="MM_5">#N/A</definedName>
    <definedName name="MM_6">#N/A</definedName>
    <definedName name="MM_7">#N/A</definedName>
    <definedName name="MM_8">#N/A</definedName>
    <definedName name="MM_9">#N/A</definedName>
    <definedName name="MMM" localSheetId="20" hidden="1">{"'gráf jan00'!$A$1:$AK$41"}</definedName>
    <definedName name="MMM" hidden="1">{"'gráf jan00'!$A$1:$AK$41"}</definedName>
    <definedName name="MMM_1" localSheetId="20" hidden="1">{"'gráf jan00'!$A$1:$AK$41"}</definedName>
    <definedName name="MMM_1" hidden="1">{"'gráf jan00'!$A$1:$AK$41"}</definedName>
    <definedName name="MMM_1_1" localSheetId="20" hidden="1">{"'gráf jan00'!$A$1:$AK$41"}</definedName>
    <definedName name="MMM_1_1" hidden="1">{"'gráf jan00'!$A$1:$AK$41"}</definedName>
    <definedName name="MMM_1_1_1" localSheetId="20" hidden="1">{"'gráf jan00'!$A$1:$AK$41"}</definedName>
    <definedName name="MMM_1_1_1" hidden="1">{"'gráf jan00'!$A$1:$AK$41"}</definedName>
    <definedName name="MMM_1_2" localSheetId="20" hidden="1">{"'gráf jan00'!$A$1:$AK$41"}</definedName>
    <definedName name="MMM_1_2" hidden="1">{"'gráf jan00'!$A$1:$AK$41"}</definedName>
    <definedName name="MMM_2" localSheetId="20" hidden="1">{"'gráf jan00'!$A$1:$AK$41"}</definedName>
    <definedName name="MMM_2" hidden="1">{"'gráf jan00'!$A$1:$AK$41"}</definedName>
    <definedName name="MMMM" hidden="1">[126]Poço!#REF!</definedName>
    <definedName name="MMMMM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M" localSheetId="20" hidden="1">{"CAPA",#N/A,FALSE,"CAPA"}</definedName>
    <definedName name="MMMMMM" hidden="1">{"CAPA",#N/A,FALSE,"CAPA"}</definedName>
    <definedName name="MMMMMM_1" localSheetId="20" hidden="1">{"CAPA",#N/A,FALSE,"CAPA"}</definedName>
    <definedName name="MMMMMM_1" hidden="1">{"CAPA",#N/A,FALSE,"CAPA"}</definedName>
    <definedName name="MMMMMM_1_1" localSheetId="20" hidden="1">{"CAPA",#N/A,FALSE,"CAPA"}</definedName>
    <definedName name="MMMMMM_1_1" hidden="1">{"CAPA",#N/A,FALSE,"CAPA"}</definedName>
    <definedName name="MMMMMM_1_1_1" localSheetId="20" hidden="1">{"CAPA",#N/A,FALSE,"CAPA"}</definedName>
    <definedName name="MMMMMM_1_1_1" hidden="1">{"CAPA",#N/A,FALSE,"CAPA"}</definedName>
    <definedName name="MMMMMM_1_2" localSheetId="20" hidden="1">{"CAPA",#N/A,FALSE,"CAPA"}</definedName>
    <definedName name="MMMMMM_1_2" hidden="1">{"CAPA",#N/A,FALSE,"CAPA"}</definedName>
    <definedName name="MMMMMM_2" localSheetId="20" hidden="1">{"CAPA",#N/A,FALSE,"CAPA"}</definedName>
    <definedName name="MMMMMM_2" hidden="1">{"CAPA",#N/A,FALSE,"CAPA"}</definedName>
    <definedName name="MNB" localSheetId="21">#REF!</definedName>
    <definedName name="MNB">#REF!</definedName>
    <definedName name="mnlm" localSheetId="20" hidden="1">{#N/A,#N/A,FALSE,"RESUMO";#N/A,#N/A,FALSE,"EXTR-CRONO";#N/A,#N/A,FALSE,"REAJUSTE";#N/A,#N/A,FALSE,"ACOMP-OBRA";#N/A,#N/A,FALSE,"MEDIÇÃO";#N/A,#N/A,FALSE,"POSIÇÃO FÍSICA";#N/A,#N/A,FALSE,"GRÁFICO"}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localSheetId="20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 localSheetId="21" hidden="1">#REF!</definedName>
    <definedName name="MO" hidden="1">#REF!</definedName>
    <definedName name="MOA" localSheetId="20" hidden="1">{#N/A,#N/A,FALSE,"DEF1";#N/A,#N/A,FALSE,"DEF2";#N/A,#N/A,FALSE,"DEF3"}</definedName>
    <definedName name="MOA" hidden="1">{#N/A,#N/A,FALSE,"DEF1";#N/A,#N/A,FALSE,"DEF2";#N/A,#N/A,FALSE,"DEF3"}</definedName>
    <definedName name="MOA_1" localSheetId="20" hidden="1">{#N/A,#N/A,FALSE,"DEF1";#N/A,#N/A,FALSE,"DEF2";#N/A,#N/A,FALSE,"DEF3"}</definedName>
    <definedName name="MOA_1" hidden="1">{#N/A,#N/A,FALSE,"DEF1";#N/A,#N/A,FALSE,"DEF2";#N/A,#N/A,FALSE,"DEF3"}</definedName>
    <definedName name="MOA_1_1" localSheetId="20" hidden="1">{#N/A,#N/A,FALSE,"DEF1";#N/A,#N/A,FALSE,"DEF2";#N/A,#N/A,FALSE,"DEF3"}</definedName>
    <definedName name="MOA_1_1" hidden="1">{#N/A,#N/A,FALSE,"DEF1";#N/A,#N/A,FALSE,"DEF2";#N/A,#N/A,FALSE,"DEF3"}</definedName>
    <definedName name="MOA_1_1_1" localSheetId="20" hidden="1">{#N/A,#N/A,FALSE,"DEF1";#N/A,#N/A,FALSE,"DEF2";#N/A,#N/A,FALSE,"DEF3"}</definedName>
    <definedName name="MOA_1_1_1" hidden="1">{#N/A,#N/A,FALSE,"DEF1";#N/A,#N/A,FALSE,"DEF2";#N/A,#N/A,FALSE,"DEF3"}</definedName>
    <definedName name="MOA_1_2" localSheetId="20" hidden="1">{#N/A,#N/A,FALSE,"DEF1";#N/A,#N/A,FALSE,"DEF2";#N/A,#N/A,FALSE,"DEF3"}</definedName>
    <definedName name="MOA_1_2" hidden="1">{#N/A,#N/A,FALSE,"DEF1";#N/A,#N/A,FALSE,"DEF2";#N/A,#N/A,FALSE,"DEF3"}</definedName>
    <definedName name="MOA_2" localSheetId="20" hidden="1">{#N/A,#N/A,FALSE,"DEF1";#N/A,#N/A,FALSE,"DEF2";#N/A,#N/A,FALSE,"DEF3"}</definedName>
    <definedName name="MOA_2" hidden="1">{#N/A,#N/A,FALSE,"DEF1";#N/A,#N/A,FALSE,"DEF2";#N/A,#N/A,FALSE,"DEF3"}</definedName>
    <definedName name="Mob" hidden="1">#REF!</definedName>
    <definedName name="Mod">#REF!</definedName>
    <definedName name="mod1.ext" localSheetId="2">RESUMO!mod1.ext</definedName>
    <definedName name="mod1.ext">mod1.ext</definedName>
    <definedName name="mod1.ext_38" localSheetId="2">RESUMO!mod1.ext_38</definedName>
    <definedName name="mod1.ext_38">mod1.ext_38</definedName>
    <definedName name="Modelo" localSheetId="21" hidden="1">#REF!</definedName>
    <definedName name="MODELO">#N/A</definedName>
    <definedName name="MODELO_1" localSheetId="20" hidden="1">{#N/A,#N/A,FALSE,"SITUAÇÃO DIÁRIA ";#N/A,#N/A,FALSE,"7 à 7"}</definedName>
    <definedName name="MODELO_1" hidden="1">{#N/A,#N/A,FALSE,"SITUAÇÃO DIÁRIA ";#N/A,#N/A,FALSE,"7 à 7"}</definedName>
    <definedName name="MODELO_1_1" localSheetId="20" hidden="1">{#N/A,#N/A,FALSE,"SITUAÇÃO DIÁRIA ";#N/A,#N/A,FALSE,"7 à 7"}</definedName>
    <definedName name="MODELO_1_1" hidden="1">{#N/A,#N/A,FALSE,"SITUAÇÃO DIÁRIA ";#N/A,#N/A,FALSE,"7 à 7"}</definedName>
    <definedName name="MODELO_1_1_1" localSheetId="20" hidden="1">{#N/A,#N/A,FALSE,"SITUAÇÃO DIÁRIA ";#N/A,#N/A,FALSE,"7 à 7"}</definedName>
    <definedName name="MODELO_1_1_1" hidden="1">{#N/A,#N/A,FALSE,"SITUAÇÃO DIÁRIA ";#N/A,#N/A,FALSE,"7 à 7"}</definedName>
    <definedName name="MODELO_1_2" localSheetId="20" hidden="1">{#N/A,#N/A,FALSE,"SITUAÇÃO DIÁRIA ";#N/A,#N/A,FALSE,"7 à 7"}</definedName>
    <definedName name="MODELO_1_2" hidden="1">{#N/A,#N/A,FALSE,"SITUAÇÃO DIÁRIA ";#N/A,#N/A,FALSE,"7 à 7"}</definedName>
    <definedName name="MODELO_2" localSheetId="20" hidden="1">{#N/A,#N/A,FALSE,"SITUAÇÃO DIÁRIA ";#N/A,#N/A,FALSE,"7 à 7"}</definedName>
    <definedName name="MODELO_2" hidden="1">{#N/A,#N/A,FALSE,"SITUAÇÃO DIÁRIA ";#N/A,#N/A,FALSE,"7 à 7"}</definedName>
    <definedName name="Modelo1" localSheetId="20" hidden="1">{"'CptDifn'!$AA$32:$AG$32"}</definedName>
    <definedName name="Modelo1" hidden="1">{"'CptDifn'!$AA$32:$AG$32"}</definedName>
    <definedName name="Modelo1_1" localSheetId="20" hidden="1">{"'CptDifn'!$AA$32:$AG$32"}</definedName>
    <definedName name="Modelo1_1" hidden="1">{"'CptDifn'!$AA$32:$AG$32"}</definedName>
    <definedName name="Modelo1_1_1" localSheetId="20" hidden="1">{"'CptDifn'!$AA$32:$AG$32"}</definedName>
    <definedName name="Modelo1_1_1" hidden="1">{"'CptDifn'!$AA$32:$AG$32"}</definedName>
    <definedName name="Modelo1_1_1_1" localSheetId="20" hidden="1">{"'CptDifn'!$AA$32:$AG$32"}</definedName>
    <definedName name="Modelo1_1_1_1" hidden="1">{"'CptDifn'!$AA$32:$AG$32"}</definedName>
    <definedName name="Modelo1_1_2" localSheetId="20" hidden="1">{"'CptDifn'!$AA$32:$AG$32"}</definedName>
    <definedName name="Modelo1_1_2" hidden="1">{"'CptDifn'!$AA$32:$AG$32"}</definedName>
    <definedName name="Modelo1_2" localSheetId="20" hidden="1">{"'CptDifn'!$AA$32:$AG$32"}</definedName>
    <definedName name="Modelo1_2" hidden="1">{"'CptDifn'!$AA$32:$AG$32"}</definedName>
    <definedName name="MODEXT" localSheetId="21">#REF!</definedName>
    <definedName name="MODEXT">#N/A</definedName>
    <definedName name="MODEXT_10">#N/A</definedName>
    <definedName name="MODEXT_12">#N/A</definedName>
    <definedName name="MODEXT_13">#N/A</definedName>
    <definedName name="MODEXT_15">#N/A</definedName>
    <definedName name="MODEXT_5">#N/A</definedName>
    <definedName name="MODEXT_6">#N/A</definedName>
    <definedName name="MODEXT_7">#N/A</definedName>
    <definedName name="MODEXT_8">#N/A</definedName>
    <definedName name="MODEXT_9">#N/A</definedName>
    <definedName name="módulo1.Extenso" localSheetId="21">#REF!</definedName>
    <definedName name="módulo1.Extenso">[141]!módulo1.Extenso</definedName>
    <definedName name="módulo1.Extenso_1" localSheetId="2">RESUMO!módulo1.Extenso_1</definedName>
    <definedName name="módulo1.Extenso_1">módulo1.Extenso_1</definedName>
    <definedName name="módulo1.Extenso_1_10">#N/A</definedName>
    <definedName name="módulo1.Extenso_1_12">#N/A</definedName>
    <definedName name="módulo1.Extenso_1_13">#N/A</definedName>
    <definedName name="módulo1.Extenso_1_15">#N/A</definedName>
    <definedName name="módulo1.Extenso_1_5">#N/A</definedName>
    <definedName name="módulo1.Extenso_1_6">#N/A</definedName>
    <definedName name="módulo1.Extenso_1_7">#N/A</definedName>
    <definedName name="módulo1.Extenso_1_8">#N/A</definedName>
    <definedName name="módulo1.Extenso_1_9">#N/A</definedName>
    <definedName name="módulo1.Extenso_10" localSheetId="2">RESUMO!módulo1.Extenso_10</definedName>
    <definedName name="módulo1.Extenso_10">módulo1.Extenso_10</definedName>
    <definedName name="módulo1.Extenso_11">#N/A</definedName>
    <definedName name="módulo1.Extenso_12" localSheetId="2">RESUMO!módulo1.Extenso_12</definedName>
    <definedName name="módulo1.Extenso_12">módulo1.Extenso_12</definedName>
    <definedName name="módulo1.Extenso_13" localSheetId="2">RESUMO!módulo1.Extenso_13</definedName>
    <definedName name="módulo1.Extenso_13">módulo1.Extenso_13</definedName>
    <definedName name="módulo1.Extenso_13_10">#N/A</definedName>
    <definedName name="módulo1.Extenso_13_12">#N/A</definedName>
    <definedName name="módulo1.Extenso_13_13">#N/A</definedName>
    <definedName name="módulo1.Extenso_13_15">#N/A</definedName>
    <definedName name="módulo1.Extenso_13_5">#N/A</definedName>
    <definedName name="módulo1.Extenso_13_6">#N/A</definedName>
    <definedName name="módulo1.Extenso_13_7">#N/A</definedName>
    <definedName name="módulo1.Extenso_13_8">#N/A</definedName>
    <definedName name="módulo1.Extenso_13_9">#N/A</definedName>
    <definedName name="módulo1.Extenso_14" localSheetId="2">RESUMO!módulo1.Extenso_14</definedName>
    <definedName name="módulo1.Extenso_14">módulo1.Extenso_14</definedName>
    <definedName name="módulo1.Extenso_14_10">#N/A</definedName>
    <definedName name="módulo1.Extenso_14_12">#N/A</definedName>
    <definedName name="módulo1.Extenso_14_13">#N/A</definedName>
    <definedName name="módulo1.Extenso_14_15">#N/A</definedName>
    <definedName name="módulo1.Extenso_14_5">#N/A</definedName>
    <definedName name="módulo1.Extenso_14_6">#N/A</definedName>
    <definedName name="módulo1.Extenso_14_7">#N/A</definedName>
    <definedName name="módulo1.Extenso_14_8">#N/A</definedName>
    <definedName name="módulo1.Extenso_14_9">#N/A</definedName>
    <definedName name="módulo1.Extenso_15">#N/A</definedName>
    <definedName name="módulo1.Extenso_19" localSheetId="2">RESUMO!módulo1.Extenso_19</definedName>
    <definedName name="módulo1.Extenso_19">módulo1.Extenso_19</definedName>
    <definedName name="módulo1.Extenso_2" localSheetId="2">RESUMO!módulo1.Extenso_2</definedName>
    <definedName name="módulo1.Extenso_2">módulo1.Extenso_2</definedName>
    <definedName name="módulo1.Extenso_2_10">#N/A</definedName>
    <definedName name="módulo1.Extenso_2_12">#N/A</definedName>
    <definedName name="módulo1.Extenso_2_13">#N/A</definedName>
    <definedName name="módulo1.Extenso_2_15">#N/A</definedName>
    <definedName name="módulo1.Extenso_2_5">#N/A</definedName>
    <definedName name="módulo1.Extenso_2_6">#N/A</definedName>
    <definedName name="módulo1.Extenso_2_7">#N/A</definedName>
    <definedName name="módulo1.Extenso_2_8">#N/A</definedName>
    <definedName name="módulo1.Extenso_2_9">#N/A</definedName>
    <definedName name="módulo1.Extenso_20" localSheetId="2">RESUMO!módulo1.Extenso_20</definedName>
    <definedName name="módulo1.Extenso_20">módulo1.Extenso_20</definedName>
    <definedName name="módulo1.Extenso_21" localSheetId="2">RESUMO!módulo1.Extenso_21</definedName>
    <definedName name="módulo1.Extenso_21">módulo1.Extenso_21</definedName>
    <definedName name="módulo1.Extenso_22" localSheetId="2">RESUMO!módulo1.Extenso_22</definedName>
    <definedName name="módulo1.Extenso_22">módulo1.Extenso_22</definedName>
    <definedName name="módulo1.Extenso_22_10">#N/A</definedName>
    <definedName name="módulo1.Extenso_22_12">#N/A</definedName>
    <definedName name="módulo1.Extenso_22_13">#N/A</definedName>
    <definedName name="módulo1.Extenso_22_15">#N/A</definedName>
    <definedName name="módulo1.Extenso_22_5">#N/A</definedName>
    <definedName name="módulo1.Extenso_22_6">#N/A</definedName>
    <definedName name="módulo1.Extenso_22_7">#N/A</definedName>
    <definedName name="módulo1.Extenso_22_8">#N/A</definedName>
    <definedName name="módulo1.Extenso_22_9">#N/A</definedName>
    <definedName name="módulo1.Extenso_23" localSheetId="2">RESUMO!módulo1.Extenso_23</definedName>
    <definedName name="módulo1.Extenso_23">módulo1.Extenso_23</definedName>
    <definedName name="módulo1.Extenso_24" localSheetId="2">RESUMO!módulo1.Extenso_24</definedName>
    <definedName name="módulo1.Extenso_24">módulo1.Extenso_24</definedName>
    <definedName name="módulo1.Extenso_25" localSheetId="2">RESUMO!módulo1.Extenso_25</definedName>
    <definedName name="módulo1.Extenso_25">módulo1.Extenso_25</definedName>
    <definedName name="módulo1.Extenso_25_10">#N/A</definedName>
    <definedName name="módulo1.Extenso_25_12">#N/A</definedName>
    <definedName name="módulo1.Extenso_25_13">#N/A</definedName>
    <definedName name="módulo1.Extenso_25_15">#N/A</definedName>
    <definedName name="módulo1.Extenso_25_5">#N/A</definedName>
    <definedName name="módulo1.Extenso_25_6">#N/A</definedName>
    <definedName name="módulo1.Extenso_25_7">#N/A</definedName>
    <definedName name="módulo1.Extenso_25_8">#N/A</definedName>
    <definedName name="módulo1.Extenso_25_9">#N/A</definedName>
    <definedName name="módulo1.Extenso_26" localSheetId="2">RESUMO!módulo1.Extenso_26</definedName>
    <definedName name="módulo1.Extenso_26">módulo1.Extenso_26</definedName>
    <definedName name="módulo1.Extenso_26_10">#N/A</definedName>
    <definedName name="módulo1.Extenso_26_12">#N/A</definedName>
    <definedName name="módulo1.Extenso_26_13">#N/A</definedName>
    <definedName name="módulo1.Extenso_26_15">#N/A</definedName>
    <definedName name="módulo1.Extenso_26_5">#N/A</definedName>
    <definedName name="módulo1.Extenso_26_6">#N/A</definedName>
    <definedName name="módulo1.Extenso_26_7">#N/A</definedName>
    <definedName name="módulo1.Extenso_26_8">#N/A</definedName>
    <definedName name="módulo1.Extenso_26_9">#N/A</definedName>
    <definedName name="módulo1.Extenso_27" localSheetId="2">RESUMO!módulo1.Extenso_27</definedName>
    <definedName name="módulo1.Extenso_27">módulo1.Extenso_27</definedName>
    <definedName name="módulo1.Extenso_27_10">#N/A</definedName>
    <definedName name="módulo1.Extenso_27_12">#N/A</definedName>
    <definedName name="módulo1.Extenso_27_13">#N/A</definedName>
    <definedName name="módulo1.Extenso_27_15">#N/A</definedName>
    <definedName name="módulo1.Extenso_27_5">#N/A</definedName>
    <definedName name="módulo1.Extenso_27_6">#N/A</definedName>
    <definedName name="módulo1.Extenso_27_7">#N/A</definedName>
    <definedName name="módulo1.Extenso_27_8">#N/A</definedName>
    <definedName name="módulo1.Extenso_27_9">#N/A</definedName>
    <definedName name="módulo1.Extenso_28" localSheetId="2">RESUMO!módulo1.Extenso_28</definedName>
    <definedName name="módulo1.Extenso_28">módulo1.Extenso_28</definedName>
    <definedName name="módulo1.Extenso_29" localSheetId="2">RESUMO!módulo1.Extenso_29</definedName>
    <definedName name="módulo1.Extenso_29">módulo1.Extenso_29</definedName>
    <definedName name="módulo1.Extenso_29_10">#N/A</definedName>
    <definedName name="módulo1.Extenso_29_12">#N/A</definedName>
    <definedName name="módulo1.Extenso_29_13">#N/A</definedName>
    <definedName name="módulo1.Extenso_29_15">#N/A</definedName>
    <definedName name="módulo1.Extenso_29_5">#N/A</definedName>
    <definedName name="módulo1.Extenso_29_6">#N/A</definedName>
    <definedName name="módulo1.Extenso_29_7">#N/A</definedName>
    <definedName name="módulo1.Extenso_29_8">#N/A</definedName>
    <definedName name="módulo1.Extenso_29_9">#N/A</definedName>
    <definedName name="módulo1.Extenso_3" localSheetId="2">RESUMO!módulo1.Extenso_3</definedName>
    <definedName name="módulo1.Extenso_3">módulo1.Extenso_3</definedName>
    <definedName name="módulo1.Extenso_3_10">#N/A</definedName>
    <definedName name="módulo1.Extenso_3_12">#N/A</definedName>
    <definedName name="módulo1.Extenso_3_13">#N/A</definedName>
    <definedName name="módulo1.Extenso_3_15">#N/A</definedName>
    <definedName name="módulo1.Extenso_3_5">#N/A</definedName>
    <definedName name="módulo1.Extenso_3_6">#N/A</definedName>
    <definedName name="módulo1.Extenso_3_7">#N/A</definedName>
    <definedName name="módulo1.Extenso_3_8">#N/A</definedName>
    <definedName name="módulo1.Extenso_3_9">#N/A</definedName>
    <definedName name="módulo1.Extenso_30" localSheetId="2">RESUMO!módulo1.Extenso_30</definedName>
    <definedName name="módulo1.Extenso_30">módulo1.Extenso_30</definedName>
    <definedName name="módulo1.Extenso_30_10">#N/A</definedName>
    <definedName name="módulo1.Extenso_30_12">#N/A</definedName>
    <definedName name="módulo1.Extenso_30_13">#N/A</definedName>
    <definedName name="módulo1.Extenso_30_15">#N/A</definedName>
    <definedName name="módulo1.Extenso_30_5">#N/A</definedName>
    <definedName name="módulo1.Extenso_30_6">#N/A</definedName>
    <definedName name="módulo1.Extenso_30_7">#N/A</definedName>
    <definedName name="módulo1.Extenso_30_8">#N/A</definedName>
    <definedName name="módulo1.Extenso_30_9">#N/A</definedName>
    <definedName name="módulo1.Extenso_31" localSheetId="2">RESUMO!módulo1.Extenso_31</definedName>
    <definedName name="módulo1.Extenso_31">módulo1.Extenso_31</definedName>
    <definedName name="módulo1.Extenso_31_10">#N/A</definedName>
    <definedName name="módulo1.Extenso_31_12">#N/A</definedName>
    <definedName name="módulo1.Extenso_31_13">#N/A</definedName>
    <definedName name="módulo1.Extenso_31_15">#N/A</definedName>
    <definedName name="módulo1.Extenso_31_5">#N/A</definedName>
    <definedName name="módulo1.Extenso_31_6">#N/A</definedName>
    <definedName name="módulo1.Extenso_31_7">#N/A</definedName>
    <definedName name="módulo1.Extenso_31_8">#N/A</definedName>
    <definedName name="módulo1.Extenso_31_9">#N/A</definedName>
    <definedName name="módulo1.Extenso_32" localSheetId="2">RESUMO!módulo1.Extenso_32</definedName>
    <definedName name="módulo1.Extenso_32">módulo1.Extenso_32</definedName>
    <definedName name="módulo1.Extenso_33" localSheetId="2">RESUMO!módulo1.Extenso_33</definedName>
    <definedName name="módulo1.Extenso_33">módulo1.Extenso_33</definedName>
    <definedName name="módulo1.Extenso_33_10">#N/A</definedName>
    <definedName name="módulo1.Extenso_33_12">#N/A</definedName>
    <definedName name="módulo1.Extenso_33_13">#N/A</definedName>
    <definedName name="módulo1.Extenso_33_15">#N/A</definedName>
    <definedName name="módulo1.Extenso_33_5">#N/A</definedName>
    <definedName name="módulo1.Extenso_33_6">#N/A</definedName>
    <definedName name="módulo1.Extenso_33_7">#N/A</definedName>
    <definedName name="módulo1.Extenso_33_8">#N/A</definedName>
    <definedName name="módulo1.Extenso_33_9">#N/A</definedName>
    <definedName name="módulo1.Extenso_34" localSheetId="2">RESUMO!módulo1.Extenso_34</definedName>
    <definedName name="módulo1.Extenso_34">módulo1.Extenso_34</definedName>
    <definedName name="módulo1.Extenso_34_10">#N/A</definedName>
    <definedName name="módulo1.Extenso_34_12">#N/A</definedName>
    <definedName name="módulo1.Extenso_34_13">#N/A</definedName>
    <definedName name="módulo1.Extenso_34_15">#N/A</definedName>
    <definedName name="módulo1.Extenso_34_5">#N/A</definedName>
    <definedName name="módulo1.Extenso_34_6">#N/A</definedName>
    <definedName name="módulo1.Extenso_34_7">#N/A</definedName>
    <definedName name="módulo1.Extenso_34_8">#N/A</definedName>
    <definedName name="módulo1.Extenso_34_9">#N/A</definedName>
    <definedName name="módulo1.Extenso_35" localSheetId="2">RESUMO!módulo1.Extenso_35</definedName>
    <definedName name="módulo1.Extenso_35">módulo1.Extenso_35</definedName>
    <definedName name="módulo1.Extenso_35_10">#N/A</definedName>
    <definedName name="módulo1.Extenso_35_12">#N/A</definedName>
    <definedName name="módulo1.Extenso_35_13">#N/A</definedName>
    <definedName name="módulo1.Extenso_35_15">#N/A</definedName>
    <definedName name="módulo1.Extenso_35_5">#N/A</definedName>
    <definedName name="módulo1.Extenso_35_6">#N/A</definedName>
    <definedName name="módulo1.Extenso_35_7">#N/A</definedName>
    <definedName name="módulo1.Extenso_35_8">#N/A</definedName>
    <definedName name="módulo1.Extenso_35_9">#N/A</definedName>
    <definedName name="módulo1.Extenso_36" localSheetId="2">RESUMO!módulo1.Extenso_36</definedName>
    <definedName name="módulo1.Extenso_36">módulo1.Extenso_36</definedName>
    <definedName name="módulo1.Extenso_36_10">#N/A</definedName>
    <definedName name="módulo1.Extenso_36_12">#N/A</definedName>
    <definedName name="módulo1.Extenso_36_13">#N/A</definedName>
    <definedName name="módulo1.Extenso_36_15">#N/A</definedName>
    <definedName name="módulo1.Extenso_36_5">#N/A</definedName>
    <definedName name="módulo1.Extenso_36_6">#N/A</definedName>
    <definedName name="módulo1.Extenso_36_7">#N/A</definedName>
    <definedName name="módulo1.Extenso_36_8">#N/A</definedName>
    <definedName name="módulo1.Extenso_36_9">#N/A</definedName>
    <definedName name="módulo1.Extenso_37" localSheetId="2">RESUMO!módulo1.Extenso_37</definedName>
    <definedName name="módulo1.Extenso_37">módulo1.Extenso_37</definedName>
    <definedName name="módulo1.Extenso_38" localSheetId="2">RESUMO!módulo1.Extenso_38</definedName>
    <definedName name="módulo1.Extenso_38">módulo1.Extenso_38</definedName>
    <definedName name="módulo1.Extenso_39" localSheetId="2">RESUMO!módulo1.Extenso_39</definedName>
    <definedName name="módulo1.Extenso_39">módulo1.Extenso_39</definedName>
    <definedName name="módulo1.Extenso_4">#N/A</definedName>
    <definedName name="módulo1.Extenso_40" localSheetId="2">RESUMO!módulo1.Extenso_40</definedName>
    <definedName name="módulo1.Extenso_40">módulo1.Extenso_40</definedName>
    <definedName name="módulo1.Extenso_41" localSheetId="2">RESUMO!módulo1.Extenso_41</definedName>
    <definedName name="módulo1.Extenso_41">módulo1.Extenso_41</definedName>
    <definedName name="módulo1.Extenso_42" localSheetId="2">RESUMO!módulo1.Extenso_42</definedName>
    <definedName name="módulo1.Extenso_42">módulo1.Extenso_42</definedName>
    <definedName name="módulo1.Extenso_43" localSheetId="2">RESUMO!módulo1.Extenso_43</definedName>
    <definedName name="módulo1.Extenso_43">módulo1.Extenso_43</definedName>
    <definedName name="módulo1.Extenso_44" localSheetId="2">RESUMO!módulo1.Extenso_44</definedName>
    <definedName name="módulo1.Extenso_44">módulo1.Extenso_44</definedName>
    <definedName name="módulo1.Extenso_45" localSheetId="2">RESUMO!módulo1.Extenso_45</definedName>
    <definedName name="módulo1.Extenso_45">módulo1.Extenso_45</definedName>
    <definedName name="módulo1.Extenso_46" localSheetId="2">RESUMO!módulo1.Extenso_46</definedName>
    <definedName name="módulo1.Extenso_46">módulo1.Extenso_46</definedName>
    <definedName name="módulo1.Extenso_47" localSheetId="2">RESUMO!módulo1.Extenso_47</definedName>
    <definedName name="módulo1.Extenso_47">módulo1.Extenso_47</definedName>
    <definedName name="módulo1.Extenso_48" localSheetId="2">RESUMO!módulo1.Extenso_48</definedName>
    <definedName name="módulo1.Extenso_48">módulo1.Extenso_48</definedName>
    <definedName name="módulo1.Extenso_5" localSheetId="2">RESUMO!módulo1.Extenso_5</definedName>
    <definedName name="módulo1.Extenso_5">módulo1.Extenso_5</definedName>
    <definedName name="módulo1.Extenso_5_10">#N/A</definedName>
    <definedName name="módulo1.Extenso_5_12">#N/A</definedName>
    <definedName name="módulo1.Extenso_5_13">#N/A</definedName>
    <definedName name="módulo1.Extenso_5_15">#N/A</definedName>
    <definedName name="módulo1.Extenso_5_5">#N/A</definedName>
    <definedName name="módulo1.Extenso_5_6">#N/A</definedName>
    <definedName name="módulo1.Extenso_5_7">#N/A</definedName>
    <definedName name="módulo1.Extenso_5_8">#N/A</definedName>
    <definedName name="módulo1.Extenso_5_9">#N/A</definedName>
    <definedName name="módulo1.Extenso_51" localSheetId="2">RESUMO!módulo1.Extenso_51</definedName>
    <definedName name="módulo1.Extenso_51">módulo1.Extenso_51</definedName>
    <definedName name="módulo1.Extenso_52" localSheetId="2">RESUMO!módulo1.Extenso_52</definedName>
    <definedName name="módulo1.Extenso_52">módulo1.Extenso_52</definedName>
    <definedName name="módulo1.Extenso_53" localSheetId="2">RESUMO!módulo1.Extenso_53</definedName>
    <definedName name="módulo1.Extenso_53">módulo1.Extenso_53</definedName>
    <definedName name="módulo1.Extenso_54" localSheetId="2">RESUMO!módulo1.Extenso_54</definedName>
    <definedName name="módulo1.Extenso_54">módulo1.Extenso_54</definedName>
    <definedName name="módulo1.Extenso_55" localSheetId="2">RESUMO!módulo1.Extenso_55</definedName>
    <definedName name="módulo1.Extenso_55">módulo1.Extenso_55</definedName>
    <definedName name="módulo1.Extenso_56" localSheetId="2">RESUMO!módulo1.Extenso_56</definedName>
    <definedName name="módulo1.Extenso_56">módulo1.Extenso_56</definedName>
    <definedName name="módulo1.Extenso_57" localSheetId="2">RESUMO!módulo1.Extenso_57</definedName>
    <definedName name="módulo1.Extenso_57">módulo1.Extenso_57</definedName>
    <definedName name="módulo1.Extenso_58" localSheetId="2">RESUMO!módulo1.Extenso_58</definedName>
    <definedName name="módulo1.Extenso_58">módulo1.Extenso_58</definedName>
    <definedName name="módulo1.Extenso_59" localSheetId="2">RESUMO!módulo1.Extenso_59</definedName>
    <definedName name="módulo1.Extenso_59">módulo1.Extenso_59</definedName>
    <definedName name="módulo1.Extenso_6" localSheetId="2">RESUMO!módulo1.Extenso_6</definedName>
    <definedName name="módulo1.Extenso_6">módulo1.Extenso_6</definedName>
    <definedName name="módulo1.Extenso_6_10">#N/A</definedName>
    <definedName name="módulo1.Extenso_6_12">#N/A</definedName>
    <definedName name="módulo1.Extenso_6_13">#N/A</definedName>
    <definedName name="módulo1.Extenso_6_15">#N/A</definedName>
    <definedName name="módulo1.Extenso_6_5">#N/A</definedName>
    <definedName name="módulo1.Extenso_6_6">#N/A</definedName>
    <definedName name="módulo1.Extenso_6_7">#N/A</definedName>
    <definedName name="módulo1.Extenso_6_8">#N/A</definedName>
    <definedName name="módulo1.Extenso_6_9">#N/A</definedName>
    <definedName name="módulo1.Extenso_60" localSheetId="2">RESUMO!módulo1.Extenso_60</definedName>
    <definedName name="módulo1.Extenso_60">módulo1.Extenso_60</definedName>
    <definedName name="módulo1.Extenso_61" localSheetId="2">RESUMO!módulo1.Extenso_61</definedName>
    <definedName name="módulo1.Extenso_61">módulo1.Extenso_61</definedName>
    <definedName name="módulo1.Extenso_62" localSheetId="2">RESUMO!módulo1.Extenso_62</definedName>
    <definedName name="módulo1.Extenso_62">módulo1.Extenso_62</definedName>
    <definedName name="módulo1.Extenso_63" localSheetId="2">RESUMO!módulo1.Extenso_63</definedName>
    <definedName name="módulo1.Extenso_63">módulo1.Extenso_63</definedName>
    <definedName name="módulo1.Extenso_64" localSheetId="2">RESUMO!módulo1.Extenso_64</definedName>
    <definedName name="módulo1.Extenso_64">módulo1.Extenso_64</definedName>
    <definedName name="módulo1.Extenso_65" localSheetId="2">RESUMO!módulo1.Extenso_65</definedName>
    <definedName name="módulo1.Extenso_65">módulo1.Extenso_65</definedName>
    <definedName name="módulo1.Extenso_66" localSheetId="2">RESUMO!módulo1.Extenso_66</definedName>
    <definedName name="módulo1.Extenso_66">módulo1.Extenso_66</definedName>
    <definedName name="módulo1.Extenso_67" localSheetId="2">RESUMO!módulo1.Extenso_67</definedName>
    <definedName name="módulo1.Extenso_67">módulo1.Extenso_67</definedName>
    <definedName name="módulo1.Extenso_68" localSheetId="2">RESUMO!módulo1.Extenso_68</definedName>
    <definedName name="módulo1.Extenso_68">módulo1.Extenso_68</definedName>
    <definedName name="módulo1.Extenso_69" localSheetId="2">RESUMO!módulo1.Extenso_69</definedName>
    <definedName name="módulo1.Extenso_69">módulo1.Extenso_69</definedName>
    <definedName name="módulo1.Extenso_7" localSheetId="2">RESUMO!módulo1.Extenso_7</definedName>
    <definedName name="módulo1.Extenso_7">módulo1.Extenso_7</definedName>
    <definedName name="módulo1.Extenso_7_10">#N/A</definedName>
    <definedName name="módulo1.Extenso_7_12">#N/A</definedName>
    <definedName name="módulo1.Extenso_7_13">#N/A</definedName>
    <definedName name="módulo1.Extenso_7_15">#N/A</definedName>
    <definedName name="módulo1.Extenso_7_5">#N/A</definedName>
    <definedName name="módulo1.Extenso_7_6">#N/A</definedName>
    <definedName name="módulo1.Extenso_7_7">#N/A</definedName>
    <definedName name="módulo1.Extenso_7_8">#N/A</definedName>
    <definedName name="módulo1.Extenso_7_9">#N/A</definedName>
    <definedName name="módulo1.Extenso_70" localSheetId="2">RESUMO!módulo1.Extenso_70</definedName>
    <definedName name="módulo1.Extenso_70">módulo1.Extenso_70</definedName>
    <definedName name="módulo1.Extenso_71" localSheetId="2">RESUMO!módulo1.Extenso_71</definedName>
    <definedName name="módulo1.Extenso_71">módulo1.Extenso_71</definedName>
    <definedName name="módulo1.Extenso_72" localSheetId="2">RESUMO!módulo1.Extenso_72</definedName>
    <definedName name="módulo1.Extenso_72">módulo1.Extenso_72</definedName>
    <definedName name="módulo1.Extenso_8" localSheetId="2">RESUMO!módulo1.Extenso_8</definedName>
    <definedName name="módulo1.Extenso_8">módulo1.Extenso_8</definedName>
    <definedName name="módulo1.Extenso_8_10">#N/A</definedName>
    <definedName name="módulo1.Extenso_8_12">#N/A</definedName>
    <definedName name="módulo1.Extenso_8_13">#N/A</definedName>
    <definedName name="módulo1.Extenso_8_15">#N/A</definedName>
    <definedName name="módulo1.Extenso_8_5">#N/A</definedName>
    <definedName name="módulo1.Extenso_8_6">#N/A</definedName>
    <definedName name="módulo1.Extenso_8_7">#N/A</definedName>
    <definedName name="módulo1.Extenso_8_8">#N/A</definedName>
    <definedName name="módulo1.Extenso_8_9">#N/A</definedName>
    <definedName name="módulo1.Extenso_9" localSheetId="2">RESUMO!módulo1.Extenso_9</definedName>
    <definedName name="módulo1.Extenso_9">módulo1.Extenso_9</definedName>
    <definedName name="módulo1.Extenso_9_10">#N/A</definedName>
    <definedName name="módulo1.Extenso_9_12">#N/A</definedName>
    <definedName name="módulo1.Extenso_9_13">#N/A</definedName>
    <definedName name="módulo1.Extenso_9_15">#N/A</definedName>
    <definedName name="módulo1.Extenso_9_5">#N/A</definedName>
    <definedName name="módulo1.Extenso_9_6">#N/A</definedName>
    <definedName name="módulo1.Extenso_9_7">#N/A</definedName>
    <definedName name="módulo1.Extenso_9_8">#N/A</definedName>
    <definedName name="módulo1.Extenso_9_9">#N/A</definedName>
    <definedName name="módulo1_Extenso">#N/A</definedName>
    <definedName name="Moeda">#REF!</definedName>
    <definedName name="MoedaVal">#REF!</definedName>
    <definedName name="mon">'[16]Mão de Obra'!$E$18</definedName>
    <definedName name="montagem">#REF!</definedName>
    <definedName name="MOSTRAR_DT">#REF!="S"</definedName>
    <definedName name="MP" localSheetId="21" hidden="1">#REF!</definedName>
    <definedName name="MP" hidden="1">#REF!</definedName>
    <definedName name="MSICRO">#REF!</definedName>
    <definedName name="MSICRO_1">#REF!</definedName>
    <definedName name="MT__DEPARTAMENTO_NACIONAL_DE_ESTRADAS_DE_RODAGEM">#REF!</definedName>
    <definedName name="MULHRT" localSheetId="20" hidden="1">{"'gráf jan00'!$A$1:$AK$41"}</definedName>
    <definedName name="MULHRT" hidden="1">{"'gráf jan00'!$A$1:$AK$41"}</definedName>
    <definedName name="MULHRT_1" localSheetId="20" hidden="1">{"'gráf jan00'!$A$1:$AK$41"}</definedName>
    <definedName name="MULHRT_1" hidden="1">{"'gráf jan00'!$A$1:$AK$41"}</definedName>
    <definedName name="MULHRT_1_1" localSheetId="20" hidden="1">{"'gráf jan00'!$A$1:$AK$41"}</definedName>
    <definedName name="MULHRT_1_1" hidden="1">{"'gráf jan00'!$A$1:$AK$41"}</definedName>
    <definedName name="MULHRT_1_1_1" localSheetId="20" hidden="1">{"'gráf jan00'!$A$1:$AK$41"}</definedName>
    <definedName name="MULHRT_1_1_1" hidden="1">{"'gráf jan00'!$A$1:$AK$41"}</definedName>
    <definedName name="MULHRT_1_2" localSheetId="20" hidden="1">{"'gráf jan00'!$A$1:$AK$41"}</definedName>
    <definedName name="MULHRT_1_2" hidden="1">{"'gráf jan00'!$A$1:$AK$41"}</definedName>
    <definedName name="MULHRT_2" localSheetId="20" hidden="1">{"'gráf jan00'!$A$1:$AK$41"}</definedName>
    <definedName name="MULHRT_2" hidden="1">{"'gráf jan00'!$A$1:$AK$41"}</definedName>
    <definedName name="multa1" localSheetId="20" hidden="1">{#N/A,#N/A,FALSE,"RESUMO FINANC.";#N/A,#N/A,FALSE,"RESUMO POS.FÍS.";#N/A,#N/A,FALSE,"EXTRATO CRON.";#N/A,#N/A,FALSE,"REAJUSTE";#N/A,#N/A,FALSE,"MEDIÇÃO";#N/A,#N/A,FALSE,"POSIÇÃO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>#REF!</definedName>
    <definedName name="N.">#REF!</definedName>
    <definedName name="N..">#REF!</definedName>
    <definedName name="N.Ferrosos" localSheetId="20" hidden="1">{"'CptDifn'!$AA$32:$AG$32"}</definedName>
    <definedName name="N.Ferrosos" hidden="1">{"'CptDifn'!$AA$32:$AG$32"}</definedName>
    <definedName name="N.Ferrosos_1" localSheetId="20" hidden="1">{"'CptDifn'!$AA$32:$AG$32"}</definedName>
    <definedName name="N.Ferrosos_1" hidden="1">{"'CptDifn'!$AA$32:$AG$32"}</definedName>
    <definedName name="N.Ferrosos_1_1" localSheetId="20" hidden="1">{"'CptDifn'!$AA$32:$AG$32"}</definedName>
    <definedName name="N.Ferrosos_1_1" hidden="1">{"'CptDifn'!$AA$32:$AG$32"}</definedName>
    <definedName name="N.Ferrosos_1_1_1" localSheetId="20" hidden="1">{"'CptDifn'!$AA$32:$AG$32"}</definedName>
    <definedName name="N.Ferrosos_1_1_1" hidden="1">{"'CptDifn'!$AA$32:$AG$32"}</definedName>
    <definedName name="N.Ferrosos_1_2" localSheetId="20" hidden="1">{"'CptDifn'!$AA$32:$AG$32"}</definedName>
    <definedName name="N.Ferrosos_1_2" hidden="1">{"'CptDifn'!$AA$32:$AG$32"}</definedName>
    <definedName name="N.Ferrosos_2" localSheetId="20" hidden="1">{"'CptDifn'!$AA$32:$AG$32"}</definedName>
    <definedName name="N.Ferrosos_2" hidden="1">{"'CptDifn'!$AA$32:$AG$32"}</definedName>
    <definedName name="nada" localSheetId="20" hidden="1">{"'Quadro'!$A$4:$BG$78"}</definedName>
    <definedName name="nada" hidden="1">{"'Quadro'!$A$4:$BG$78"}</definedName>
    <definedName name="NAOOO">#REF!</definedName>
    <definedName name="nass" hidden="1">#N/A</definedName>
    <definedName name="Natal">#N/A</definedName>
    <definedName name="NATUREZA">#REF!</definedName>
    <definedName name="nb" localSheetId="20" hidden="1">{#N/A,#N/A,FALSE,"RESUMO-BB1";#N/A,#N/A,FALSE,"MOD-A01-R - BB1";#N/A,#N/A,FALSE,"URB-BB1"}</definedName>
    <definedName name="nb" hidden="1">{#N/A,#N/A,FALSE,"RESUMO-BB1";#N/A,#N/A,FALSE,"MOD-A01-R - BB1";#N/A,#N/A,FALSE,"URB-BB1"}</definedName>
    <definedName name="NBV" localSheetId="21">#REF!</definedName>
    <definedName name="NBV">#REF!</definedName>
    <definedName name="Ncél" localSheetId="20">NÃO.DISP()</definedName>
    <definedName name="Ncél" localSheetId="21">NA()</definedName>
    <definedName name="Ncél">NA()</definedName>
    <definedName name="NColunas" localSheetId="1">#REF!</definedName>
    <definedName name="NColunas">#REF!</definedName>
    <definedName name="negócio" localSheetId="20" hidden="1">{"'gráf jan00'!$A$1:$AK$41"}</definedName>
    <definedName name="negócio" hidden="1">{"'gráf jan00'!$A$1:$AK$41"}</definedName>
    <definedName name="negócio_1" localSheetId="20" hidden="1">{"'gráf jan00'!$A$1:$AK$41"}</definedName>
    <definedName name="negócio_1" hidden="1">{"'gráf jan00'!$A$1:$AK$41"}</definedName>
    <definedName name="negócio_1_1" localSheetId="20" hidden="1">{"'gráf jan00'!$A$1:$AK$41"}</definedName>
    <definedName name="negócio_1_1" hidden="1">{"'gráf jan00'!$A$1:$AK$41"}</definedName>
    <definedName name="negócio_1_1_1" localSheetId="20" hidden="1">{"'gráf jan00'!$A$1:$AK$41"}</definedName>
    <definedName name="negócio_1_1_1" hidden="1">{"'gráf jan00'!$A$1:$AK$41"}</definedName>
    <definedName name="negócio_1_2" localSheetId="20" hidden="1">{"'gráf jan00'!$A$1:$AK$41"}</definedName>
    <definedName name="negócio_1_2" hidden="1">{"'gráf jan00'!$A$1:$AK$41"}</definedName>
    <definedName name="negócio_2" localSheetId="20" hidden="1">{"'gráf jan00'!$A$1:$AK$41"}</definedName>
    <definedName name="negócio_2" hidden="1">{"'gráf jan00'!$A$1:$AK$41"}</definedName>
    <definedName name="NEW" localSheetId="20" hidden="1">{"'RATEIO RECEITA BRUTA'!$B$77:$C$106"}</definedName>
    <definedName name="NEW" hidden="1">{"'RATEIO RECEITA BRUTA'!$B$77:$C$106"}</definedName>
    <definedName name="newDC" localSheetId="20" hidden="1">{#N/A,#N/A,TRUE,"Cover sheet";#N/A,#N/A,TRUE,"DCF analysis";#N/A,#N/A,TRUE,"WACC calculation"}</definedName>
    <definedName name="newDC" hidden="1">{#N/A,#N/A,TRUE,"Cover sheet";#N/A,#N/A,TRUE,"DCF analysis";#N/A,#N/A,TRUE,"WACC calculation"}</definedName>
    <definedName name="newDC_1" localSheetId="20" hidden="1">{#N/A,#N/A,TRUE,"Cover sheet";#N/A,#N/A,TRUE,"DCF analysis";#N/A,#N/A,TRUE,"WACC calculation"}</definedName>
    <definedName name="newDC_1" hidden="1">{#N/A,#N/A,TRUE,"Cover sheet";#N/A,#N/A,TRUE,"DCF analysis";#N/A,#N/A,TRUE,"WACC calculation"}</definedName>
    <definedName name="newDC_1_1" localSheetId="20" hidden="1">{#N/A,#N/A,TRUE,"Cover sheet";#N/A,#N/A,TRUE,"DCF analysis";#N/A,#N/A,TRUE,"WACC calculation"}</definedName>
    <definedName name="newDC_1_1" hidden="1">{#N/A,#N/A,TRUE,"Cover sheet";#N/A,#N/A,TRUE,"DCF analysis";#N/A,#N/A,TRUE,"WACC calculation"}</definedName>
    <definedName name="newDC_1_1_1" localSheetId="20" hidden="1">{#N/A,#N/A,TRUE,"Cover sheet";#N/A,#N/A,TRUE,"DCF analysis";#N/A,#N/A,TRUE,"WACC calculation"}</definedName>
    <definedName name="newDC_1_1_1" hidden="1">{#N/A,#N/A,TRUE,"Cover sheet";#N/A,#N/A,TRUE,"DCF analysis";#N/A,#N/A,TRUE,"WACC calculation"}</definedName>
    <definedName name="newDC_1_2" localSheetId="20" hidden="1">{#N/A,#N/A,TRUE,"Cover sheet";#N/A,#N/A,TRUE,"DCF analysis";#N/A,#N/A,TRUE,"WACC calculation"}</definedName>
    <definedName name="newDC_1_2" hidden="1">{#N/A,#N/A,TRUE,"Cover sheet";#N/A,#N/A,TRUE,"DCF analysis";#N/A,#N/A,TRUE,"WACC calculation"}</definedName>
    <definedName name="newDC_2" localSheetId="20" hidden="1">{#N/A,#N/A,TRUE,"Cover sheet";#N/A,#N/A,TRUE,"DCF analysis";#N/A,#N/A,TRUE,"WACC calculation"}</definedName>
    <definedName name="newDC_2" hidden="1">{#N/A,#N/A,TRUE,"Cover sheet";#N/A,#N/A,TRUE,"DCF analysis";#N/A,#N/A,TRUE,"WACC calculation"}</definedName>
    <definedName name="nil">#REF!</definedName>
    <definedName name="NILO">#REF!</definedName>
    <definedName name="NLEq" hidden="1">4</definedName>
    <definedName name="NLinhasPagina" localSheetId="1">#REF!</definedName>
    <definedName name="NLinhasPagina">#REF!</definedName>
    <definedName name="NLinhasRodape" localSheetId="1">#REF!</definedName>
    <definedName name="NLinhasRodape">#REF!</definedName>
    <definedName name="NLMo" hidden="1">6</definedName>
    <definedName name="NLMp" hidden="1">5</definedName>
    <definedName name="NLTr" hidden="1">3</definedName>
    <definedName name="nMED">#REF!</definedName>
    <definedName name="NN">[34]!NN</definedName>
    <definedName name="nn_1" localSheetId="20" hidden="1">{"'CptDifn'!$AA$32:$AG$32"}</definedName>
    <definedName name="nn_1" hidden="1">{"'CptDifn'!$AA$32:$AG$32"}</definedName>
    <definedName name="nn_1_1" localSheetId="20" hidden="1">{"'CptDifn'!$AA$32:$AG$32"}</definedName>
    <definedName name="nn_1_1" hidden="1">{"'CptDifn'!$AA$32:$AG$32"}</definedName>
    <definedName name="nn_1_1_1" localSheetId="20" hidden="1">{"'CptDifn'!$AA$32:$AG$32"}</definedName>
    <definedName name="nn_1_1_1" hidden="1">{"'CptDifn'!$AA$32:$AG$32"}</definedName>
    <definedName name="nn_1_2" localSheetId="20" hidden="1">{"'CptDifn'!$AA$32:$AG$32"}</definedName>
    <definedName name="nn_1_2" hidden="1">{"'CptDifn'!$AA$32:$AG$32"}</definedName>
    <definedName name="nn_2" localSheetId="20" hidden="1">{"'CptDifn'!$AA$32:$AG$32"}</definedName>
    <definedName name="nn_2" hidden="1">{"'CptDifn'!$AA$32:$AG$32"}</definedName>
    <definedName name="nnn">[43]Equipamentos!#REF!</definedName>
    <definedName name="nnnn" localSheetId="20" hidden="1">{"'CptDifn'!$AA$32:$AG$32"}</definedName>
    <definedName name="nnnn" localSheetId="21">#REF!</definedName>
    <definedName name="nnnn">[34]!nnnn</definedName>
    <definedName name="nnnn_1" localSheetId="20" hidden="1">{"'CptDifn'!$AA$32:$AG$32"}</definedName>
    <definedName name="nnnn_1" hidden="1">{"'CptDifn'!$AA$32:$AG$32"}</definedName>
    <definedName name="nnnn_1_1" localSheetId="20" hidden="1">{"'CptDifn'!$AA$32:$AG$32"}</definedName>
    <definedName name="nnnn_1_1" hidden="1">{"'CptDifn'!$AA$32:$AG$32"}</definedName>
    <definedName name="nnnn_1_1_1" localSheetId="20" hidden="1">{"'CptDifn'!$AA$32:$AG$32"}</definedName>
    <definedName name="nnnn_1_1_1" hidden="1">{"'CptDifn'!$AA$32:$AG$32"}</definedName>
    <definedName name="nnnn_1_2" localSheetId="20" hidden="1">{"'CptDifn'!$AA$32:$AG$32"}</definedName>
    <definedName name="nnnn_1_2" hidden="1">{"'CptDifn'!$AA$32:$AG$32"}</definedName>
    <definedName name="nnnn_2" localSheetId="20" hidden="1">{"'CptDifn'!$AA$32:$AG$32"}</definedName>
    <definedName name="nnnn_2" hidden="1">{"'CptDifn'!$AA$32:$AG$32"}</definedName>
    <definedName name="NNNNN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" localSheetId="21">#REF!</definedName>
    <definedName name="NNNNN">[34]!NNNNN</definedName>
    <definedName name="NNNNN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IN">#REF!</definedName>
    <definedName name="NOME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ESPEC">#REF!</definedName>
    <definedName name="Nomes">#REF!</definedName>
    <definedName name="Nossa_Senhora">#N/A</definedName>
    <definedName name="nova">#REF!</definedName>
    <definedName name="Nova01" hidden="1">#N/A</definedName>
    <definedName name="NOVAVAAA">#REF!</definedName>
    <definedName name="nove">#REF!</definedName>
    <definedName name="nOVO" localSheetId="20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NOVO" localSheetId="21">#REF!</definedName>
    <definedName name="NOVO">[173]PROJETO!#REF!</definedName>
    <definedName name="Novo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nome" localSheetId="20" hidden="1">{#N/A,#N/A,FALSE,"31 - Balanço";#N/A,#N/A,FALSE,"41 - Resultado";#N/A,#N/A,FALSE,"51 - Fluxo de Caixa"}</definedName>
    <definedName name="novo_nome" hidden="1">{#N/A,#N/A,FALSE,"31 - Balanço";#N/A,#N/A,FALSE,"41 - Resultado";#N/A,#N/A,FALSE,"51 - Fluxo de Caixa"}</definedName>
    <definedName name="NT" localSheetId="20" hidden="1">{"'Quadro'!$A$4:$BG$78"}</definedName>
    <definedName name="NT" hidden="1">{"'Quadro'!$A$4:$BG$78"}</definedName>
    <definedName name="NT_1" localSheetId="20" hidden="1">{"'Quadro'!$A$4:$BG$78"}</definedName>
    <definedName name="NT_1" hidden="1">{"'Quadro'!$A$4:$BG$78"}</definedName>
    <definedName name="NT_1_1" localSheetId="20" hidden="1">{"'Quadro'!$A$4:$BG$78"}</definedName>
    <definedName name="NT_1_1" hidden="1">{"'Quadro'!$A$4:$BG$78"}</definedName>
    <definedName name="NT_1_1_1" localSheetId="20" hidden="1">{"'Quadro'!$A$4:$BG$78"}</definedName>
    <definedName name="NT_1_1_1" hidden="1">{"'Quadro'!$A$4:$BG$78"}</definedName>
    <definedName name="NT_1_2" localSheetId="20" hidden="1">{"'Quadro'!$A$4:$BG$78"}</definedName>
    <definedName name="NT_1_2" hidden="1">{"'Quadro'!$A$4:$BG$78"}</definedName>
    <definedName name="NT_2" localSheetId="20" hidden="1">{"'Quadro'!$A$4:$BG$78"}</definedName>
    <definedName name="NT_2" hidden="1">{"'Quadro'!$A$4:$BG$78"}</definedName>
    <definedName name="NTEI" localSheetId="21">#REF!</definedName>
    <definedName name="NTEI">'[47]PRO-08'!#REF!</definedName>
    <definedName name="NTEI_11">[48]PRO_08!#REF!</definedName>
    <definedName name="NTEI_15">[48]PRO_08!#REF!</definedName>
    <definedName name="NTEI_24">'[49]PRO-08'!#REF!</definedName>
    <definedName name="NTEI_26">'[50]PRO-08'!#REF!</definedName>
    <definedName name="NTEI_27">'[49]PRO-08'!#REF!</definedName>
    <definedName name="NTEI_27_11">[51]PRO_08!#REF!</definedName>
    <definedName name="NTEI_9">'[49]PRO-08'!#REF!</definedName>
    <definedName name="NTEI_9_11">[51]PRO_08!#REF!</definedName>
    <definedName name="NTEI2">#REF!</definedName>
    <definedName name="numDerived">17</definedName>
    <definedName name="NUMED">#REF!</definedName>
    <definedName name="numMassRelated">34</definedName>
    <definedName name="numN">[172]PROJETO!#REF!</definedName>
    <definedName name="nw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.A.E.">#REF!</definedName>
    <definedName name="O.COMPLEM.">#REF!</definedName>
    <definedName name="o_1" localSheetId="20" hidden="1">{"'CptDifn'!$AA$32:$AG$32"}</definedName>
    <definedName name="o_1" hidden="1">{"'CptDifn'!$AA$32:$AG$32"}</definedName>
    <definedName name="o_1_1" localSheetId="20" hidden="1">{"'CptDifn'!$AA$32:$AG$32"}</definedName>
    <definedName name="o_1_1" hidden="1">{"'CptDifn'!$AA$32:$AG$32"}</definedName>
    <definedName name="o_1_1_1" localSheetId="20" hidden="1">{"'CptDifn'!$AA$32:$AG$32"}</definedName>
    <definedName name="o_1_1_1" hidden="1">{"'CptDifn'!$AA$32:$AG$32"}</definedName>
    <definedName name="o_1_2" localSheetId="20" hidden="1">{"'CptDifn'!$AA$32:$AG$32"}</definedName>
    <definedName name="o_1_2" hidden="1">{"'CptDifn'!$AA$32:$AG$32"}</definedName>
    <definedName name="o_2" localSheetId="20" hidden="1">{"'CptDifn'!$AA$32:$AG$32"}</definedName>
    <definedName name="o_2" hidden="1">{"'CptDifn'!$AA$32:$AG$32"}</definedName>
    <definedName name="O_A_E_">#REF!</definedName>
    <definedName name="O_COMPLEM_">#REF!</definedName>
    <definedName name="o1x" localSheetId="20" hidden="1">{"det (May)",#N/A,FALSE,"June";"sum (MAY YTD)",#N/A,FALSE,"June YTD"}</definedName>
    <definedName name="o1x" hidden="1">{"det (May)",#N/A,FALSE,"June";"sum (MAY YTD)",#N/A,FALSE,"June YTD"}</definedName>
    <definedName name="o1x_1" localSheetId="20" hidden="1">{"det (May)",#N/A,FALSE,"June";"sum (MAY YTD)",#N/A,FALSE,"June YTD"}</definedName>
    <definedName name="o1x_1" hidden="1">{"det (May)",#N/A,FALSE,"June";"sum (MAY YTD)",#N/A,FALSE,"June YTD"}</definedName>
    <definedName name="o1x_1_1" localSheetId="20" hidden="1">{"det (May)",#N/A,FALSE,"June";"sum (MAY YTD)",#N/A,FALSE,"June YTD"}</definedName>
    <definedName name="o1x_1_1" hidden="1">{"det (May)",#N/A,FALSE,"June";"sum (MAY YTD)",#N/A,FALSE,"June YTD"}</definedName>
    <definedName name="o1x_1_1_1" localSheetId="20" hidden="1">{"det (May)",#N/A,FALSE,"June";"sum (MAY YTD)",#N/A,FALSE,"June YTD"}</definedName>
    <definedName name="o1x_1_1_1" hidden="1">{"det (May)",#N/A,FALSE,"June";"sum (MAY YTD)",#N/A,FALSE,"June YTD"}</definedName>
    <definedName name="o1x_1_2" localSheetId="20" hidden="1">{"det (May)",#N/A,FALSE,"June";"sum (MAY YTD)",#N/A,FALSE,"June YTD"}</definedName>
    <definedName name="o1x_1_2" hidden="1">{"det (May)",#N/A,FALSE,"June";"sum (MAY YTD)",#N/A,FALSE,"June YTD"}</definedName>
    <definedName name="o1x_2" localSheetId="20" hidden="1">{"det (May)",#N/A,FALSE,"June";"sum (MAY YTD)",#N/A,FALSE,"June YTD"}</definedName>
    <definedName name="o1x_2" hidden="1">{"det (May)",#N/A,FALSE,"June";"sum (MAY YTD)",#N/A,FALSE,"June YTD"}</definedName>
    <definedName name="OA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DREN">'[52]Q-01'!#REF!</definedName>
    <definedName name="OAE">#REF!</definedName>
    <definedName name="oae_1">#REF!</definedName>
    <definedName name="oae_10">#REF!</definedName>
    <definedName name="oae_12">#REF!</definedName>
    <definedName name="oae_2">#REF!</definedName>
    <definedName name="oae_3">#REF!</definedName>
    <definedName name="oae_4">#REF!</definedName>
    <definedName name="oae_9">#REF!</definedName>
    <definedName name="OAE_MAR94">#REF!</definedName>
    <definedName name="OBJETIVO">#REF!</definedName>
    <definedName name="Obra" hidden="1">""</definedName>
    <definedName name="OBRA1">[174]PQ!$B$7</definedName>
    <definedName name="oBS1.1">#REF!</definedName>
    <definedName name="Obs1.2">#REF!</definedName>
    <definedName name="Obs2.1">#REF!</definedName>
    <definedName name="Ocorrencias" localSheetId="20" hidden="1">{"'gráf jan00'!$A$1:$AK$41"}</definedName>
    <definedName name="Ocorrencias" hidden="1">{"'gráf jan00'!$A$1:$AK$41"}</definedName>
    <definedName name="Ocorrencias_1" localSheetId="20" hidden="1">{"'gráf jan00'!$A$1:$AK$41"}</definedName>
    <definedName name="Ocorrencias_1" hidden="1">{"'gráf jan00'!$A$1:$AK$41"}</definedName>
    <definedName name="Ocorrencias_1_1" localSheetId="20" hidden="1">{"'gráf jan00'!$A$1:$AK$41"}</definedName>
    <definedName name="Ocorrencias_1_1" hidden="1">{"'gráf jan00'!$A$1:$AK$41"}</definedName>
    <definedName name="Ocorrencias_1_1_1" localSheetId="20" hidden="1">{"'gráf jan00'!$A$1:$AK$41"}</definedName>
    <definedName name="Ocorrencias_1_1_1" hidden="1">{"'gráf jan00'!$A$1:$AK$41"}</definedName>
    <definedName name="Ocorrencias_1_2" localSheetId="20" hidden="1">{"'gráf jan00'!$A$1:$AK$41"}</definedName>
    <definedName name="Ocorrencias_1_2" hidden="1">{"'gráf jan00'!$A$1:$AK$41"}</definedName>
    <definedName name="Ocorrencias_2" localSheetId="20" hidden="1">{"'gráf jan00'!$A$1:$AK$41"}</definedName>
    <definedName name="Ocorrencias_2" hidden="1">{"'gráf jan00'!$A$1:$AK$41"}</definedName>
    <definedName name="ocos">#REF!</definedName>
    <definedName name="oii" localSheetId="20" hidden="1">{#N/A,#N/A,FALSE,"PCOL"}</definedName>
    <definedName name="oii" hidden="1">{#N/A,#N/A,FALSE,"PCOL"}</definedName>
    <definedName name="oii_1" localSheetId="20" hidden="1">{#N/A,#N/A,FALSE,"PCOL"}</definedName>
    <definedName name="oii_1" hidden="1">{#N/A,#N/A,FALSE,"PCOL"}</definedName>
    <definedName name="oii_1_1" localSheetId="20" hidden="1">{#N/A,#N/A,FALSE,"PCOL"}</definedName>
    <definedName name="oii_1_1" hidden="1">{#N/A,#N/A,FALSE,"PCOL"}</definedName>
    <definedName name="oii_1_1_1" localSheetId="20" hidden="1">{#N/A,#N/A,FALSE,"PCOL"}</definedName>
    <definedName name="oii_1_1_1" hidden="1">{#N/A,#N/A,FALSE,"PCOL"}</definedName>
    <definedName name="oii_1_2" localSheetId="20" hidden="1">{#N/A,#N/A,FALSE,"PCOL"}</definedName>
    <definedName name="oii_1_2" hidden="1">{#N/A,#N/A,FALSE,"PCOL"}</definedName>
    <definedName name="oii_2" localSheetId="20" hidden="1">{#N/A,#N/A,FALSE,"PCOL"}</definedName>
    <definedName name="oii_2" hidden="1">{#N/A,#N/A,FALSE,"PCOL"}</definedName>
    <definedName name="oito">#REF!</definedName>
    <definedName name="OIUNHG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IUNHG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K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k" localSheetId="21">#REF!</definedName>
    <definedName name="ok">[175]Dados!$B$1</definedName>
    <definedName name="okaaaaa" hidden="1">#REF!</definedName>
    <definedName name="okbari" localSheetId="20" hidden="1">{"det (May)",#N/A,FALSE,"June";"sum (MAY YTD)",#N/A,FALSE,"June YTD"}</definedName>
    <definedName name="okbari" hidden="1">{"det (May)",#N/A,FALSE,"June";"sum (MAY YTD)",#N/A,FALSE,"June YTD"}</definedName>
    <definedName name="okbari_1" localSheetId="20" hidden="1">{"det (May)",#N/A,FALSE,"June";"sum (MAY YTD)",#N/A,FALSE,"June YTD"}</definedName>
    <definedName name="okbari_1" hidden="1">{"det (May)",#N/A,FALSE,"June";"sum (MAY YTD)",#N/A,FALSE,"June YTD"}</definedName>
    <definedName name="okbari_1_1" localSheetId="20" hidden="1">{"det (May)",#N/A,FALSE,"June";"sum (MAY YTD)",#N/A,FALSE,"June YTD"}</definedName>
    <definedName name="okbari_1_1" hidden="1">{"det (May)",#N/A,FALSE,"June";"sum (MAY YTD)",#N/A,FALSE,"June YTD"}</definedName>
    <definedName name="okbari_1_1_1" localSheetId="20" hidden="1">{"det (May)",#N/A,FALSE,"June";"sum (MAY YTD)",#N/A,FALSE,"June YTD"}</definedName>
    <definedName name="okbari_1_1_1" hidden="1">{"det (May)",#N/A,FALSE,"June";"sum (MAY YTD)",#N/A,FALSE,"June YTD"}</definedName>
    <definedName name="okbari_1_2" localSheetId="20" hidden="1">{"det (May)",#N/A,FALSE,"June";"sum (MAY YTD)",#N/A,FALSE,"June YTD"}</definedName>
    <definedName name="okbari_1_2" hidden="1">{"det (May)",#N/A,FALSE,"June";"sum (MAY YTD)",#N/A,FALSE,"June YTD"}</definedName>
    <definedName name="okbari_2" localSheetId="20" hidden="1">{"det (May)",#N/A,FALSE,"June";"sum (MAY YTD)",#N/A,FALSE,"June YTD"}</definedName>
    <definedName name="okbari_2" hidden="1">{"det (May)",#N/A,FALSE,"June";"sum (MAY YTD)",#N/A,FALSE,"June YTD"}</definedName>
    <definedName name="okbaria" localSheetId="20" hidden="1">{"det (May)",#N/A,FALSE,"June";"sum (MAY YTD)",#N/A,FALSE,"June YTD"}</definedName>
    <definedName name="okbaria" hidden="1">{"det (May)",#N/A,FALSE,"June";"sum (MAY YTD)",#N/A,FALSE,"June YTD"}</definedName>
    <definedName name="okbaria_1" localSheetId="20" hidden="1">{"det (May)",#N/A,FALSE,"June";"sum (MAY YTD)",#N/A,FALSE,"June YTD"}</definedName>
    <definedName name="okbaria_1" hidden="1">{"det (May)",#N/A,FALSE,"June";"sum (MAY YTD)",#N/A,FALSE,"June YTD"}</definedName>
    <definedName name="okbaria_1_1" localSheetId="20" hidden="1">{"det (May)",#N/A,FALSE,"June";"sum (MAY YTD)",#N/A,FALSE,"June YTD"}</definedName>
    <definedName name="okbaria_1_1" hidden="1">{"det (May)",#N/A,FALSE,"June";"sum (MAY YTD)",#N/A,FALSE,"June YTD"}</definedName>
    <definedName name="okbaria_1_1_1" localSheetId="20" hidden="1">{"det (May)",#N/A,FALSE,"June";"sum (MAY YTD)",#N/A,FALSE,"June YTD"}</definedName>
    <definedName name="okbaria_1_1_1" hidden="1">{"det (May)",#N/A,FALSE,"June";"sum (MAY YTD)",#N/A,FALSE,"June YTD"}</definedName>
    <definedName name="okbaria_1_2" localSheetId="20" hidden="1">{"det (May)",#N/A,FALSE,"June";"sum (MAY YTD)",#N/A,FALSE,"June YTD"}</definedName>
    <definedName name="okbaria_1_2" hidden="1">{"det (May)",#N/A,FALSE,"June";"sum (MAY YTD)",#N/A,FALSE,"June YTD"}</definedName>
    <definedName name="okbaria_2" localSheetId="20" hidden="1">{"det (May)",#N/A,FALSE,"June";"sum (MAY YTD)",#N/A,FALSE,"June YTD"}</definedName>
    <definedName name="okbaria_2" hidden="1">{"det (May)",#N/A,FALSE,"June";"sum (MAY YTD)",#N/A,FALSE,"June YTD"}</definedName>
    <definedName name="okbaric" localSheetId="20" hidden="1">{"det (May)",#N/A,FALSE,"June";"sum (MAY YTD)",#N/A,FALSE,"June YTD"}</definedName>
    <definedName name="okbaric" hidden="1">{"det (May)",#N/A,FALSE,"June";"sum (MAY YTD)",#N/A,FALSE,"June YTD"}</definedName>
    <definedName name="okbaric_1" localSheetId="20" hidden="1">{"det (May)",#N/A,FALSE,"June";"sum (MAY YTD)",#N/A,FALSE,"June YTD"}</definedName>
    <definedName name="okbaric_1" hidden="1">{"det (May)",#N/A,FALSE,"June";"sum (MAY YTD)",#N/A,FALSE,"June YTD"}</definedName>
    <definedName name="okbaric_1_1" localSheetId="20" hidden="1">{"det (May)",#N/A,FALSE,"June";"sum (MAY YTD)",#N/A,FALSE,"June YTD"}</definedName>
    <definedName name="okbaric_1_1" hidden="1">{"det (May)",#N/A,FALSE,"June";"sum (MAY YTD)",#N/A,FALSE,"June YTD"}</definedName>
    <definedName name="okbaric_1_1_1" localSheetId="20" hidden="1">{"det (May)",#N/A,FALSE,"June";"sum (MAY YTD)",#N/A,FALSE,"June YTD"}</definedName>
    <definedName name="okbaric_1_1_1" hidden="1">{"det (May)",#N/A,FALSE,"June";"sum (MAY YTD)",#N/A,FALSE,"June YTD"}</definedName>
    <definedName name="okbaric_1_2" localSheetId="20" hidden="1">{"det (May)",#N/A,FALSE,"June";"sum (MAY YTD)",#N/A,FALSE,"June YTD"}</definedName>
    <definedName name="okbaric_1_2" hidden="1">{"det (May)",#N/A,FALSE,"June";"sum (MAY YTD)",#N/A,FALSE,"June YTD"}</definedName>
    <definedName name="okbaric_2" localSheetId="20" hidden="1">{"det (May)",#N/A,FALSE,"June";"sum (MAY YTD)",#N/A,FALSE,"June YTD"}</definedName>
    <definedName name="okbaric_2" hidden="1">{"det (May)",#N/A,FALSE,"June";"sum (MAY YTD)",#N/A,FALSE,"June YTD"}</definedName>
    <definedName name="OLEO">[15]DADOS!$C$23</definedName>
    <definedName name="OLI">#REF!</definedName>
    <definedName name="olnah" localSheetId="20" hidden="1">{#N/A,#N/A,TRUE,"Summary";#N/A,#N/A,TRUE,"Worksheet";#N/A,#N/A,TRUE,"CashFlow"}</definedName>
    <definedName name="olnah" hidden="1">{#N/A,#N/A,TRUE,"Summary";#N/A,#N/A,TRUE,"Worksheet";#N/A,#N/A,TRUE,"CashFlow"}</definedName>
    <definedName name="olnah_1" localSheetId="20" hidden="1">{#N/A,#N/A,TRUE,"Summary";#N/A,#N/A,TRUE,"Worksheet";#N/A,#N/A,TRUE,"CashFlow"}</definedName>
    <definedName name="olnah_1" hidden="1">{#N/A,#N/A,TRUE,"Summary";#N/A,#N/A,TRUE,"Worksheet";#N/A,#N/A,TRUE,"CashFlow"}</definedName>
    <definedName name="olnah_1_1" localSheetId="20" hidden="1">{#N/A,#N/A,TRUE,"Summary";#N/A,#N/A,TRUE,"Worksheet";#N/A,#N/A,TRUE,"CashFlow"}</definedName>
    <definedName name="olnah_1_1" hidden="1">{#N/A,#N/A,TRUE,"Summary";#N/A,#N/A,TRUE,"Worksheet";#N/A,#N/A,TRUE,"CashFlow"}</definedName>
    <definedName name="olnah_1_1_1" localSheetId="20" hidden="1">{#N/A,#N/A,TRUE,"Summary";#N/A,#N/A,TRUE,"Worksheet";#N/A,#N/A,TRUE,"CashFlow"}</definedName>
    <definedName name="olnah_1_1_1" hidden="1">{#N/A,#N/A,TRUE,"Summary";#N/A,#N/A,TRUE,"Worksheet";#N/A,#N/A,TRUE,"CashFlow"}</definedName>
    <definedName name="olnah_1_2" localSheetId="20" hidden="1">{#N/A,#N/A,TRUE,"Summary";#N/A,#N/A,TRUE,"Worksheet";#N/A,#N/A,TRUE,"CashFlow"}</definedName>
    <definedName name="olnah_1_2" hidden="1">{#N/A,#N/A,TRUE,"Summary";#N/A,#N/A,TRUE,"Worksheet";#N/A,#N/A,TRUE,"CashFlow"}</definedName>
    <definedName name="olnah_2" localSheetId="20" hidden="1">{#N/A,#N/A,TRUE,"Summary";#N/A,#N/A,TRUE,"Worksheet";#N/A,#N/A,TRUE,"CashFlow"}</definedName>
    <definedName name="olnah_2" hidden="1">{#N/A,#N/A,TRUE,"Summary";#N/A,#N/A,TRUE,"Worksheet";#N/A,#N/A,TRUE,"CashFlow"}</definedName>
    <definedName name="OLO">#REF!</definedName>
    <definedName name="OMY" localSheetId="20" hidden="1">{#N/A,#N/A,FALSE,"Ocorrência OOLA";#N/A,#N/A,FALSE,"Ocorrência OOLL";#N/A,#N/A,FALSE,"Extra OOLA";#N/A,#N/A,FALSE,"Extra OOLL"}</definedName>
    <definedName name="OMY" hidden="1">{#N/A,#N/A,FALSE,"Ocorrência OOLA";#N/A,#N/A,FALSE,"Ocorrência OOLL";#N/A,#N/A,FALSE,"Extra OOLA";#N/A,#N/A,FALSE,"Extra OOLL"}</definedName>
    <definedName name="on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ibus">#N/A</definedName>
    <definedName name="OnOff" hidden="1">"ON"</definedName>
    <definedName name="onze">#REF!</definedName>
    <definedName name="OO" hidden="1">#REF!</definedName>
    <definedName name="oooo" localSheetId="20" hidden="1">{"'CptDifn'!$AA$32:$AG$32"}</definedName>
    <definedName name="oooo" hidden="1">{"'CptDifn'!$AA$32:$AG$32"}</definedName>
    <definedName name="oooo_1" localSheetId="20" hidden="1">{"'CptDifn'!$AA$32:$AG$32"}</definedName>
    <definedName name="oooo_1" hidden="1">{"'CptDifn'!$AA$32:$AG$32"}</definedName>
    <definedName name="oooo_1_1" localSheetId="20" hidden="1">{"'CptDifn'!$AA$32:$AG$32"}</definedName>
    <definedName name="oooo_1_1" hidden="1">{"'CptDifn'!$AA$32:$AG$32"}</definedName>
    <definedName name="oooo_1_1_1" localSheetId="20" hidden="1">{"'CptDifn'!$AA$32:$AG$32"}</definedName>
    <definedName name="oooo_1_1_1" hidden="1">{"'CptDifn'!$AA$32:$AG$32"}</definedName>
    <definedName name="oooo_1_2" localSheetId="20" hidden="1">{"'CptDifn'!$AA$32:$AG$32"}</definedName>
    <definedName name="oooo_1_2" hidden="1">{"'CptDifn'!$AA$32:$AG$32"}</definedName>
    <definedName name="oooo_2" localSheetId="20" hidden="1">{"'CptDifn'!$AA$32:$AG$32"}</definedName>
    <definedName name="oooo_2" hidden="1">{"'CptDifn'!$AA$32:$AG$32"}</definedName>
    <definedName name="OOOOO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PA" localSheetId="21">#REF!</definedName>
    <definedName name="OPA">'[47]PRO-08'!#REF!</definedName>
    <definedName name="OPA_11">[48]PRO_08!#REF!</definedName>
    <definedName name="OPA_15">[48]PRO_08!#REF!</definedName>
    <definedName name="OPA_24">'[49]PRO-08'!#REF!</definedName>
    <definedName name="OPA_26">'[50]PRO-08'!#REF!</definedName>
    <definedName name="OPA_27">'[49]PRO-08'!#REF!</definedName>
    <definedName name="OPA_27_11">[51]PRO_08!#REF!</definedName>
    <definedName name="OPA_9">'[49]PRO-08'!#REF!</definedName>
    <definedName name="OPA_9_11">[51]PRO_08!#REF!</definedName>
    <definedName name="OPAY">#REF!</definedName>
    <definedName name="opções">[176]FRE!$AM$260:$AM$262</definedName>
    <definedName name="ope">'[16]Mão de Obra'!$E$12</definedName>
    <definedName name="OPIOKKL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" hidden="1">{#N/A,#N/A,FALSE,"Suprimentos";#N/A,#N/A,FALSE,"Medicina e Segurança";#N/A,#N/A,FALSE,"Administração";#N/A,#N/A,FALSE,"Meio Ambiente";#N/A,#N/A,FALSE,"Operação (Mina)";#N/A,#N/A,FALSE,"Operação (Porto)"}</definedName>
    <definedName name="OPIOKKL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_1" hidden="1">{#N/A,#N/A,FALSE,"Suprimentos";#N/A,#N/A,FALSE,"Medicina e Segurança";#N/A,#N/A,FALSE,"Administração";#N/A,#N/A,FALSE,"Meio Ambiente";#N/A,#N/A,FALSE,"Operação (Mina)";#N/A,#N/A,FALSE,"Operação (Porto)"}</definedName>
    <definedName name="OPIOKKL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_1_1" hidden="1">{#N/A,#N/A,FALSE,"Suprimentos";#N/A,#N/A,FALSE,"Medicina e Segurança";#N/A,#N/A,FALSE,"Administração";#N/A,#N/A,FALSE,"Meio Ambiente";#N/A,#N/A,FALSE,"Operação (Mina)";#N/A,#N/A,FALSE,"Operação (Porto)"}</definedName>
    <definedName name="OPIOKKL_1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_1_1_1" hidden="1">{#N/A,#N/A,FALSE,"Suprimentos";#N/A,#N/A,FALSE,"Medicina e Segurança";#N/A,#N/A,FALSE,"Administração";#N/A,#N/A,FALSE,"Meio Ambiente";#N/A,#N/A,FALSE,"Operação (Mina)";#N/A,#N/A,FALSE,"Operação (Porto)"}</definedName>
    <definedName name="OPIOKKL_1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_1_2" hidden="1">{#N/A,#N/A,FALSE,"Suprimentos";#N/A,#N/A,FALSE,"Medicina e Segurança";#N/A,#N/A,FALSE,"Administração";#N/A,#N/A,FALSE,"Meio Ambiente";#N/A,#N/A,FALSE,"Operação (Mina)";#N/A,#N/A,FALSE,"Operação (Porto)"}</definedName>
    <definedName name="OPIOKKL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OPIOKKL_2" hidden="1">{#N/A,#N/A,FALSE,"Suprimentos";#N/A,#N/A,FALSE,"Medicina e Segurança";#N/A,#N/A,FALSE,"Administração";#N/A,#N/A,FALSE,"Meio Ambiente";#N/A,#N/A,FALSE,"Operação (Mina)";#N/A,#N/A,FALSE,"Operação (Porto)"}</definedName>
    <definedName name="opklçlçkklk" localSheetId="20" hidden="1">{"'Quadro'!$A$4:$BG$78"}</definedName>
    <definedName name="opklçlçkklk" hidden="1">{"'Quadro'!$A$4:$BG$78"}</definedName>
    <definedName name="opklçlçkklk_1" localSheetId="20" hidden="1">{"'Quadro'!$A$4:$BG$78"}</definedName>
    <definedName name="opklçlçkklk_1" hidden="1">{"'Quadro'!$A$4:$BG$78"}</definedName>
    <definedName name="opklçlçkklk_1_1" localSheetId="20" hidden="1">{"'Quadro'!$A$4:$BG$78"}</definedName>
    <definedName name="opklçlçkklk_1_1" hidden="1">{"'Quadro'!$A$4:$BG$78"}</definedName>
    <definedName name="opklçlçkklk_1_1_1" localSheetId="20" hidden="1">{"'Quadro'!$A$4:$BG$78"}</definedName>
    <definedName name="opklçlçkklk_1_1_1" hidden="1">{"'Quadro'!$A$4:$BG$78"}</definedName>
    <definedName name="opklçlçkklk_1_2" localSheetId="20" hidden="1">{"'Quadro'!$A$4:$BG$78"}</definedName>
    <definedName name="opklçlçkklk_1_2" hidden="1">{"'Quadro'!$A$4:$BG$78"}</definedName>
    <definedName name="opklçlçkklk_2" localSheetId="20" hidden="1">{"'Quadro'!$A$4:$BG$78"}</definedName>
    <definedName name="opklçlçkklk_2" hidden="1">{"'Quadro'!$A$4:$BG$78"}</definedName>
    <definedName name="opo" localSheetId="20" hidden="1">{#N/A,#N/A,FALSE,"지침";#N/A,#N/A,FALSE,"환경분석";#N/A,#N/A,FALSE,"Sheet16"}</definedName>
    <definedName name="opo" hidden="1">{#N/A,#N/A,FALSE,"지침";#N/A,#N/A,FALSE,"환경분석";#N/A,#N/A,FALSE,"Sheet16"}</definedName>
    <definedName name="opo_1" localSheetId="20" hidden="1">{#N/A,#N/A,FALSE,"지침";#N/A,#N/A,FALSE,"환경분석";#N/A,#N/A,FALSE,"Sheet16"}</definedName>
    <definedName name="opo_1" hidden="1">{#N/A,#N/A,FALSE,"지침";#N/A,#N/A,FALSE,"환경분석";#N/A,#N/A,FALSE,"Sheet16"}</definedName>
    <definedName name="opo_1_1" localSheetId="20" hidden="1">{#N/A,#N/A,FALSE,"지침";#N/A,#N/A,FALSE,"환경분석";#N/A,#N/A,FALSE,"Sheet16"}</definedName>
    <definedName name="opo_1_1" hidden="1">{#N/A,#N/A,FALSE,"지침";#N/A,#N/A,FALSE,"환경분석";#N/A,#N/A,FALSE,"Sheet16"}</definedName>
    <definedName name="opo_1_1_1" localSheetId="20" hidden="1">{#N/A,#N/A,FALSE,"지침";#N/A,#N/A,FALSE,"환경분석";#N/A,#N/A,FALSE,"Sheet16"}</definedName>
    <definedName name="opo_1_1_1" hidden="1">{#N/A,#N/A,FALSE,"지침";#N/A,#N/A,FALSE,"환경분석";#N/A,#N/A,FALSE,"Sheet16"}</definedName>
    <definedName name="opo_1_2" localSheetId="20" hidden="1">{#N/A,#N/A,FALSE,"지침";#N/A,#N/A,FALSE,"환경분석";#N/A,#N/A,FALSE,"Sheet16"}</definedName>
    <definedName name="opo_1_2" hidden="1">{#N/A,#N/A,FALSE,"지침";#N/A,#N/A,FALSE,"환경분석";#N/A,#N/A,FALSE,"Sheet16"}</definedName>
    <definedName name="opo_2" localSheetId="20" hidden="1">{#N/A,#N/A,FALSE,"지침";#N/A,#N/A,FALSE,"환경분석";#N/A,#N/A,FALSE,"Sheet16"}</definedName>
    <definedName name="opo_2" hidden="1">{#N/A,#N/A,FALSE,"지침";#N/A,#N/A,FALSE,"환경분석";#N/A,#N/A,FALSE,"Sheet16"}</definedName>
    <definedName name="ORÇ">[177]PORIGINAL!$B$1:$G$174</definedName>
    <definedName name="ORÇA">[178]ORÇAMENTO!#REF!</definedName>
    <definedName name="Orçado_2011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[179]Orçamento!$A$13:$D$34</definedName>
    <definedName name="Orçamento_1">#REF!</definedName>
    <definedName name="Orçamento_1_1" localSheetId="20" hidden="1">{#N/A,#N/A,FALSE,"TOTAL"}</definedName>
    <definedName name="Orçamento_1_1" hidden="1">{#N/A,#N/A,FALSE,"TOTAL"}</definedName>
    <definedName name="Orçamento_1_1_1" localSheetId="20" hidden="1">{#N/A,#N/A,FALSE,"TOTAL"}</definedName>
    <definedName name="Orçamento_1_1_1" hidden="1">{#N/A,#N/A,FALSE,"TOTAL"}</definedName>
    <definedName name="Orçamento_1_2" localSheetId="20" hidden="1">{#N/A,#N/A,FALSE,"TOTAL"}</definedName>
    <definedName name="Orçamento_1_2" hidden="1">{#N/A,#N/A,FALSE,"TOTAL"}</definedName>
    <definedName name="Orçamento_10">#REF!</definedName>
    <definedName name="Orçamento_14">#REF!</definedName>
    <definedName name="Orçamento_2" localSheetId="20" hidden="1">{#N/A,#N/A,FALSE,"TOTAL"}</definedName>
    <definedName name="Orçamento_2" hidden="1">{#N/A,#N/A,FALSE,"TOTAL"}</definedName>
    <definedName name="orçamrest" localSheetId="20" hidden="1">{#N/A,#N/A,TRUE,"Serviços"}</definedName>
    <definedName name="orçamrest" localSheetId="21">{#N/A,#N/A,TRUE,"Serviços"}</definedName>
    <definedName name="orçamrest" localSheetId="2" hidden="1">{#N/A,#N/A,TRUE,"Serviços"}</definedName>
    <definedName name="orçamrest" hidden="1">{#N/A,#N/A,TRUE,"Serviços"}</definedName>
    <definedName name="orçamrest_1" localSheetId="20">{#N/A,#N/A,TRUE,"Serviços"}</definedName>
    <definedName name="orçamrest_1" localSheetId="21">{#N/A,#N/A,TRUE,"Serviços"}</definedName>
    <definedName name="orçamrest_1">{#N/A,#N/A,TRUE,"Serviços"}</definedName>
    <definedName name="orçamrestt" localSheetId="20" hidden="1">{#N/A,#N/A,TRUE,"Serviços"}</definedName>
    <definedName name="orçamrestt" localSheetId="2" hidden="1">{#N/A,#N/A,TRUE,"Serviços"}</definedName>
    <definedName name="orçamrestt" hidden="1">{#N/A,#N/A,TRUE,"Serviços"}</definedName>
    <definedName name="orcrig">#REF!</definedName>
    <definedName name="ORD">#REF!</definedName>
    <definedName name="Ordem" localSheetId="21" hidden="1">#REF!</definedName>
    <definedName name="Ordem" hidden="1">#REF!</definedName>
    <definedName name="ORGAN" localSheetId="20" hidden="1">{#N/A,#N/A,FALSE,"Ocorrência OOLA";#N/A,#N/A,FALSE,"Ocorrência OOLL";#N/A,#N/A,FALSE,"Extra OOLA";#N/A,#N/A,FALSE,"Extra OOLL"}</definedName>
    <definedName name="ORGAN" hidden="1">{#N/A,#N/A,FALSE,"Ocorrência OOLA";#N/A,#N/A,FALSE,"Ocorrência OOLL";#N/A,#N/A,FALSE,"Extra OOLA";#N/A,#N/A,FALSE,"Extra OOLL"}</definedName>
    <definedName name="ORGANO" localSheetId="20" hidden="1">{#N/A,#N/A,FALSE,"Anexo I";#N/A,#N/A,FALSE,"Anexo II";#N/A,#N/A,FALSE,"Anexo III"}</definedName>
    <definedName name="ORGANO" hidden="1">{#N/A,#N/A,FALSE,"Anexo I";#N/A,#N/A,FALSE,"Anexo II";#N/A,#N/A,FALSE,"Anexo III"}</definedName>
    <definedName name="Origem" localSheetId="21" hidden="1">#REF!</definedName>
    <definedName name="Origem" hidden="1">#REF!</definedName>
    <definedName name="origen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A">#REF!</definedName>
    <definedName name="OUTR">#REF!</definedName>
    <definedName name="OUTR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UBRO" localSheetId="20" hidden="1">{#N/A,#N/A,FALSE,"SITUAÇÃO DIÁRIA ";#N/A,#N/A,FALSE,"7 à 7"}</definedName>
    <definedName name="OUTUBRO" hidden="1">{#N/A,#N/A,FALSE,"SITUAÇÃO DIÁRIA ";#N/A,#N/A,FALSE,"7 à 7"}</definedName>
    <definedName name="OUTUBRO_1" localSheetId="20" hidden="1">{#N/A,#N/A,FALSE,"SITUAÇÃO DIÁRIA ";#N/A,#N/A,FALSE,"7 à 7"}</definedName>
    <definedName name="OUTUBRO_1" hidden="1">{#N/A,#N/A,FALSE,"SITUAÇÃO DIÁRIA ";#N/A,#N/A,FALSE,"7 à 7"}</definedName>
    <definedName name="OUTUBRO_1_1" localSheetId="20" hidden="1">{#N/A,#N/A,FALSE,"SITUAÇÃO DIÁRIA ";#N/A,#N/A,FALSE,"7 à 7"}</definedName>
    <definedName name="OUTUBRO_1_1" hidden="1">{#N/A,#N/A,FALSE,"SITUAÇÃO DIÁRIA ";#N/A,#N/A,FALSE,"7 à 7"}</definedName>
    <definedName name="OUTUBRO_1_1_1" localSheetId="20" hidden="1">{#N/A,#N/A,FALSE,"SITUAÇÃO DIÁRIA ";#N/A,#N/A,FALSE,"7 à 7"}</definedName>
    <definedName name="OUTUBRO_1_1_1" hidden="1">{#N/A,#N/A,FALSE,"SITUAÇÃO DIÁRIA ";#N/A,#N/A,FALSE,"7 à 7"}</definedName>
    <definedName name="OUTUBRO_1_2" localSheetId="20" hidden="1">{#N/A,#N/A,FALSE,"SITUAÇÃO DIÁRIA ";#N/A,#N/A,FALSE,"7 à 7"}</definedName>
    <definedName name="OUTUBRO_1_2" hidden="1">{#N/A,#N/A,FALSE,"SITUAÇÃO DIÁRIA ";#N/A,#N/A,FALSE,"7 à 7"}</definedName>
    <definedName name="OUTUBRO_2" localSheetId="20" hidden="1">{#N/A,#N/A,FALSE,"SITUAÇÃO DIÁRIA ";#N/A,#N/A,FALSE,"7 à 7"}</definedName>
    <definedName name="OUTUBRO_2" hidden="1">{#N/A,#N/A,FALSE,"SITUAÇÃO DIÁRIA ";#N/A,#N/A,FALSE,"7 à 7"}</definedName>
    <definedName name="ouyo" localSheetId="20" hidden="1">{"'CptDifn'!$AA$32:$AG$32"}</definedName>
    <definedName name="ouyo" hidden="1">{"'CptDifn'!$AA$32:$AG$32"}</definedName>
    <definedName name="ouyo_1" localSheetId="20" hidden="1">{"'CptDifn'!$AA$32:$AG$32"}</definedName>
    <definedName name="ouyo_1" hidden="1">{"'CptDifn'!$AA$32:$AG$32"}</definedName>
    <definedName name="ouyo_1_1" localSheetId="20" hidden="1">{"'CptDifn'!$AA$32:$AG$32"}</definedName>
    <definedName name="ouyo_1_1" hidden="1">{"'CptDifn'!$AA$32:$AG$32"}</definedName>
    <definedName name="ouyo_1_1_1" localSheetId="20" hidden="1">{"'CptDifn'!$AA$32:$AG$32"}</definedName>
    <definedName name="ouyo_1_1_1" hidden="1">{"'CptDifn'!$AA$32:$AG$32"}</definedName>
    <definedName name="ouyo_1_2" localSheetId="20" hidden="1">{"'CptDifn'!$AA$32:$AG$32"}</definedName>
    <definedName name="ouyo_1_2" hidden="1">{"'CptDifn'!$AA$32:$AG$32"}</definedName>
    <definedName name="ouyo_2" localSheetId="20" hidden="1">{"'CptDifn'!$AA$32:$AG$32"}</definedName>
    <definedName name="ouyo_2" hidden="1">{"'CptDifn'!$AA$32:$AG$32"}</definedName>
    <definedName name="OVER_FINAN">#REF!</definedName>
    <definedName name="ox" localSheetId="20" hidden="1">{"det (May)",#N/A,FALSE,"June";"sum (MAY YTD)",#N/A,FALSE,"June YTD"}</definedName>
    <definedName name="ox" hidden="1">{"det (May)",#N/A,FALSE,"June";"sum (MAY YTD)",#N/A,FALSE,"June YTD"}</definedName>
    <definedName name="ox_1" localSheetId="20" hidden="1">{"det (May)",#N/A,FALSE,"June";"sum (MAY YTD)",#N/A,FALSE,"June YTD"}</definedName>
    <definedName name="ox_1" hidden="1">{"det (May)",#N/A,FALSE,"June";"sum (MAY YTD)",#N/A,FALSE,"June YTD"}</definedName>
    <definedName name="ox_1_1" localSheetId="20" hidden="1">{"det (May)",#N/A,FALSE,"June";"sum (MAY YTD)",#N/A,FALSE,"June YTD"}</definedName>
    <definedName name="ox_1_1" hidden="1">{"det (May)",#N/A,FALSE,"June";"sum (MAY YTD)",#N/A,FALSE,"June YTD"}</definedName>
    <definedName name="ox_1_1_1" localSheetId="20" hidden="1">{"det (May)",#N/A,FALSE,"June";"sum (MAY YTD)",#N/A,FALSE,"June YTD"}</definedName>
    <definedName name="ox_1_1_1" hidden="1">{"det (May)",#N/A,FALSE,"June";"sum (MAY YTD)",#N/A,FALSE,"June YTD"}</definedName>
    <definedName name="ox_1_2" localSheetId="20" hidden="1">{"det (May)",#N/A,FALSE,"June";"sum (MAY YTD)",#N/A,FALSE,"June YTD"}</definedName>
    <definedName name="ox_1_2" hidden="1">{"det (May)",#N/A,FALSE,"June";"sum (MAY YTD)",#N/A,FALSE,"June YTD"}</definedName>
    <definedName name="ox_2" localSheetId="20" hidden="1">{"det (May)",#N/A,FALSE,"June";"sum (MAY YTD)",#N/A,FALSE,"June YTD"}</definedName>
    <definedName name="ox_2" hidden="1">{"det (May)",#N/A,FALSE,"June";"sum (MAY YTD)",#N/A,FALSE,"June YTD"}</definedName>
    <definedName name="oyuoy" localSheetId="20" hidden="1">{"'CptDifn'!$AA$32:$AG$32"}</definedName>
    <definedName name="oyuoy" hidden="1">{"'CptDifn'!$AA$32:$AG$32"}</definedName>
    <definedName name="oyuoy_1" localSheetId="20" hidden="1">{"'CptDifn'!$AA$32:$AG$32"}</definedName>
    <definedName name="oyuoy_1" hidden="1">{"'CptDifn'!$AA$32:$AG$32"}</definedName>
    <definedName name="oyuoy_1_1" localSheetId="20" hidden="1">{"'CptDifn'!$AA$32:$AG$32"}</definedName>
    <definedName name="oyuoy_1_1" hidden="1">{"'CptDifn'!$AA$32:$AG$32"}</definedName>
    <definedName name="oyuoy_1_1_1" localSheetId="20" hidden="1">{"'CptDifn'!$AA$32:$AG$32"}</definedName>
    <definedName name="oyuoy_1_1_1" hidden="1">{"'CptDifn'!$AA$32:$AG$32"}</definedName>
    <definedName name="oyuoy_1_2" localSheetId="20" hidden="1">{"'CptDifn'!$AA$32:$AG$32"}</definedName>
    <definedName name="oyuoy_1_2" hidden="1">{"'CptDifn'!$AA$32:$AG$32"}</definedName>
    <definedName name="oyuoy_2" localSheetId="20" hidden="1">{"'CptDifn'!$AA$32:$AG$32"}</definedName>
    <definedName name="oyuoy_2" hidden="1">{"'CptDifn'!$AA$32:$AG$32"}</definedName>
    <definedName name="oyuoyu" localSheetId="20" hidden="1">{"'CptDifn'!$AA$32:$AG$32"}</definedName>
    <definedName name="oyuoyu" hidden="1">{"'CptDifn'!$AA$32:$AG$32"}</definedName>
    <definedName name="oyuoyu_1" localSheetId="20" hidden="1">{"'CptDifn'!$AA$32:$AG$32"}</definedName>
    <definedName name="oyuoyu_1" hidden="1">{"'CptDifn'!$AA$32:$AG$32"}</definedName>
    <definedName name="oyuoyu_1_1" localSheetId="20" hidden="1">{"'CptDifn'!$AA$32:$AG$32"}</definedName>
    <definedName name="oyuoyu_1_1" hidden="1">{"'CptDifn'!$AA$32:$AG$32"}</definedName>
    <definedName name="oyuoyu_1_1_1" localSheetId="20" hidden="1">{"'CptDifn'!$AA$32:$AG$32"}</definedName>
    <definedName name="oyuoyu_1_1_1" hidden="1">{"'CptDifn'!$AA$32:$AG$32"}</definedName>
    <definedName name="oyuoyu_1_2" localSheetId="20" hidden="1">{"'CptDifn'!$AA$32:$AG$32"}</definedName>
    <definedName name="oyuoyu_1_2" hidden="1">{"'CptDifn'!$AA$32:$AG$32"}</definedName>
    <definedName name="oyuoyu_2" localSheetId="20" hidden="1">{"'CptDifn'!$AA$32:$AG$32"}</definedName>
    <definedName name="oyuoyu_2" hidden="1">{"'CptDifn'!$AA$32:$AG$32"}</definedName>
    <definedName name="p" localSheetId="20">comparação</definedName>
    <definedName name="p" localSheetId="21">'Modelo 10.0 - Resumo e Quant.'!comparação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 localSheetId="20" hidden="1">{"'gráf jan00'!$A$1:$AK$41"}</definedName>
    <definedName name="P_1" localSheetId="21">NA()</definedName>
    <definedName name="P_1">NA()</definedName>
    <definedName name="P_1_1" localSheetId="20" hidden="1">{"'gráf jan00'!$A$1:$AK$41"}</definedName>
    <definedName name="P_1_1" hidden="1">{"'gráf jan00'!$A$1:$AK$41"}</definedName>
    <definedName name="P_2" localSheetId="20">NÃO.DISP()</definedName>
    <definedName name="P_2" localSheetId="21">NA()</definedName>
    <definedName name="P_2">NA()</definedName>
    <definedName name="P_Cristo" localSheetId="2">Dom_Páscoa-2</definedName>
    <definedName name="P_Cristo">Dom_Páscoa-2</definedName>
    <definedName name="P_Rep">#N/A</definedName>
    <definedName name="p08.300.01">[180]CONS_CORR!$Q$44</definedName>
    <definedName name="PACAP20MBQ">#REF!</definedName>
    <definedName name="PACM30IMP">#REF!</definedName>
    <definedName name="PACM30RP">#REF!</definedName>
    <definedName name="PACM30TB">#REF!</definedName>
    <definedName name="pad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EMULCS">#REF!</definedName>
    <definedName name="PAEMULTSD">#REF!</definedName>
    <definedName name="PAEMULTSS">#REF!</definedName>
    <definedName name="Página5" localSheetId="20" hidden="1">{#N/A,#N/A,FALSE,"O&amp;I Worksheet"}</definedName>
    <definedName name="Página5" hidden="1">{#N/A,#N/A,FALSE,"O&amp;I Worksheet"}</definedName>
    <definedName name="Página5_1" localSheetId="20" hidden="1">{#N/A,#N/A,FALSE,"O&amp;I Worksheet"}</definedName>
    <definedName name="Página5_1" hidden="1">{#N/A,#N/A,FALSE,"O&amp;I Worksheet"}</definedName>
    <definedName name="Página5_1_1" localSheetId="20" hidden="1">{#N/A,#N/A,FALSE,"O&amp;I Worksheet"}</definedName>
    <definedName name="Página5_1_1" hidden="1">{#N/A,#N/A,FALSE,"O&amp;I Worksheet"}</definedName>
    <definedName name="Página5_1_1_1" localSheetId="20" hidden="1">{#N/A,#N/A,FALSE,"O&amp;I Worksheet"}</definedName>
    <definedName name="Página5_1_1_1" hidden="1">{#N/A,#N/A,FALSE,"O&amp;I Worksheet"}</definedName>
    <definedName name="Página5_1_2" localSheetId="20" hidden="1">{#N/A,#N/A,FALSE,"O&amp;I Worksheet"}</definedName>
    <definedName name="Página5_1_2" hidden="1">{#N/A,#N/A,FALSE,"O&amp;I Worksheet"}</definedName>
    <definedName name="Página5_2" localSheetId="20" hidden="1">{#N/A,#N/A,FALSE,"O&amp;I Worksheet"}</definedName>
    <definedName name="Página5_2" hidden="1">{#N/A,#N/A,FALSE,"O&amp;I Worksheet"}</definedName>
    <definedName name="PAJUDANTE">#NAME?</definedName>
    <definedName name="PAJUDANTE_1">#REF!</definedName>
    <definedName name="Pal_Workbook_GUID" hidden="1">"ZJCEKNZZ6MSABE3E4DMF6R63"</definedName>
    <definedName name="PALOM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R">#REF!</definedName>
    <definedName name="PAR_5" localSheetId="21">#REF!</definedName>
    <definedName name="PAR_5">#REF!</definedName>
    <definedName name="PAR_7" localSheetId="21">#REF!</definedName>
    <definedName name="PAR_7">#REF!</definedName>
    <definedName name="PAR_9" localSheetId="21">#REF!</definedName>
    <definedName name="PAR_9">#REF!</definedName>
    <definedName name="parada" localSheetId="20" hidden="1">{"'gráf jan00'!$A$1:$AK$41"}</definedName>
    <definedName name="parada" hidden="1">{"'gráf jan00'!$A$1:$AK$41"}</definedName>
    <definedName name="parada_1" localSheetId="20" hidden="1">{"'gráf jan00'!$A$1:$AK$41"}</definedName>
    <definedName name="parada_1" hidden="1">{"'gráf jan00'!$A$1:$AK$41"}</definedName>
    <definedName name="parada_1_1" localSheetId="20" hidden="1">{"'gráf jan00'!$A$1:$AK$41"}</definedName>
    <definedName name="parada_1_1" hidden="1">{"'gráf jan00'!$A$1:$AK$41"}</definedName>
    <definedName name="parada_1_1_1" localSheetId="20" hidden="1">{"'gráf jan00'!$A$1:$AK$41"}</definedName>
    <definedName name="parada_1_1_1" hidden="1">{"'gráf jan00'!$A$1:$AK$41"}</definedName>
    <definedName name="parada_1_2" localSheetId="20" hidden="1">{"'gráf jan00'!$A$1:$AK$41"}</definedName>
    <definedName name="parada_1_2" hidden="1">{"'gráf jan00'!$A$1:$AK$41"}</definedName>
    <definedName name="parada_2" localSheetId="20" hidden="1">{"'gráf jan00'!$A$1:$AK$41"}</definedName>
    <definedName name="parada_2" hidden="1">{"'gráf jan00'!$A$1:$AK$41"}</definedName>
    <definedName name="parametros">#REF!</definedName>
    <definedName name="parametross">#REF!</definedName>
    <definedName name="pARAPEITO" localSheetId="0">[115]!PassaExtenso</definedName>
    <definedName name="pARAPEITO" localSheetId="30">[115]!PassaExtenso</definedName>
    <definedName name="pARAPEITO">[115]!PassaExtenso</definedName>
    <definedName name="PARETOATIV" localSheetId="20" hidden="1">{#N/A,#N/A,FALSE,"CPV";#N/A,#N/A,FALSE,"Pareto";#N/A,#N/A,FALSE,"Gráficos"}</definedName>
    <definedName name="PARETOATIV" hidden="1">{#N/A,#N/A,FALSE,"CPV";#N/A,#N/A,FALSE,"Pareto";#N/A,#N/A,FALSE,"Gráficos"}</definedName>
    <definedName name="PARETOATIV_1" localSheetId="20" hidden="1">{#N/A,#N/A,FALSE,"CPV";#N/A,#N/A,FALSE,"Pareto";#N/A,#N/A,FALSE,"Gráficos"}</definedName>
    <definedName name="PARETOATIV_1" hidden="1">{#N/A,#N/A,FALSE,"CPV";#N/A,#N/A,FALSE,"Pareto";#N/A,#N/A,FALSE,"Gráficos"}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[22]Feriados!$B$6</definedName>
    <definedName name="pass">#N/A</definedName>
    <definedName name="PassaExt" localSheetId="21">#REF!</definedName>
    <definedName name="PassaExt">#REF!</definedName>
    <definedName name="PassaExtenso" localSheetId="21">#REF!</definedName>
    <definedName name="PassaExtenso" localSheetId="0">[181]!PassaExtenso</definedName>
    <definedName name="PassaExtenso" localSheetId="30">[181]!PassaExtenso</definedName>
    <definedName name="PassaExtenso">[181]!PassaExtenso</definedName>
    <definedName name="PassaExtenso___0">NA()</definedName>
    <definedName name="PassaExtenso___0_16">#N/A</definedName>
    <definedName name="PassaExtenso___0_4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 localSheetId="21">#REF!</definedName>
    <definedName name="PassaExtenso_1">#N/A</definedName>
    <definedName name="PassaExtenso_1_1">#N/A</definedName>
    <definedName name="PassaExtenso_1_1_1">NA()</definedName>
    <definedName name="PassaExtenso_1_1_33">#N/A</definedName>
    <definedName name="PassaExtenso_1_1_33_1">NA()</definedName>
    <definedName name="PassaExtenso_1_1_35">#N/A</definedName>
    <definedName name="PassaExtenso_1_1_35_1">NA()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2">#N/A</definedName>
    <definedName name="PassaExtenso_13">#N/A</definedName>
    <definedName name="PassaExtenso_14" localSheetId="0">'QUANT. GERAL - RODOVIA'!PassaExtenso</definedName>
    <definedName name="PassaExtenso_14" localSheetId="2">PassaExtenso</definedName>
    <definedName name="PassaExtenso_14">PassaExtenso</definedName>
    <definedName name="PassaExtenso_15">#N/A</definedName>
    <definedName name="PassaExtenso_18" localSheetId="21">#REF!</definedName>
    <definedName name="PassaExtenso_18">#REF!</definedName>
    <definedName name="PassaExtenso_18_1" localSheetId="21">#REF!</definedName>
    <definedName name="PassaExtenso_18_1">#REF!</definedName>
    <definedName name="PassaExtenso_19" localSheetId="21">#REF!</definedName>
    <definedName name="PassaExtenso_19">#N/A</definedName>
    <definedName name="PassaExtenso_19_1" localSheetId="21">#REF!</definedName>
    <definedName name="PassaExtenso_19_1">#REF!</definedName>
    <definedName name="PassaExtenso_2" localSheetId="21">#REF!</definedName>
    <definedName name="PassaExtenso_2">#N/A</definedName>
    <definedName name="PassaExtenso_2_1" localSheetId="21">#REF!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 localSheetId="21">#REF!</definedName>
    <definedName name="PassaExtenso_20">#REF!</definedName>
    <definedName name="PassaExtenso_20_1" localSheetId="21">#REF!</definedName>
    <definedName name="PassaExtenso_20_1">#REF!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 localSheetId="21">#REF!</definedName>
    <definedName name="PassaExtenso_22">"#NAME!PassaExtenso"</definedName>
    <definedName name="PassaExtenso_22_1" localSheetId="21">#REF!</definedName>
    <definedName name="PassaExtenso_22_1">#REF!</definedName>
    <definedName name="PassaExtenso_23">"#NAME!PassaExtenso"</definedName>
    <definedName name="PassaExtenso_24">[40]!PassaExtenso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 localSheetId="0">'QUANT. GERAL - RODOVIA'!PassaExtenso</definedName>
    <definedName name="PassaExtenso_26" localSheetId="2">PassaExtenso</definedName>
    <definedName name="PassaExtenso_26">PassaExtenso</definedName>
    <definedName name="PassaExtenso_27">#N/A</definedName>
    <definedName name="PassaExtenso_27_10">#N/A</definedName>
    <definedName name="PassaExtenso_27_11">#N/A</definedName>
    <definedName name="PassaExtenso_27_12">#N/A</definedName>
    <definedName name="PassaExtenso_27_13">#N/A</definedName>
    <definedName name="PassaExtenso_27_15">#N/A</definedName>
    <definedName name="PassaExtenso_27_5">#N/A</definedName>
    <definedName name="PassaExtenso_27_6">#N/A</definedName>
    <definedName name="PassaExtenso_27_7">#N/A</definedName>
    <definedName name="PassaExtenso_27_8">#N/A</definedName>
    <definedName name="PassaExtenso_27_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4" localSheetId="21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10">NA()</definedName>
    <definedName name="PassaExtenso_4_12" localSheetId="2">PassaExtenso_12</definedName>
    <definedName name="PassaExtenso_4_12">PassaExtenso_12</definedName>
    <definedName name="PassaExtenso_4_13" localSheetId="2">PassaExtenso_13</definedName>
    <definedName name="PassaExtenso_4_13">PassaExtenso_13</definedName>
    <definedName name="PassaExtenso_4_15" localSheetId="2">PassaExtenso_15</definedName>
    <definedName name="PassaExtenso_4_15">PassaExtenso_15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4_5" localSheetId="2">[0]!PassaExtenso_5</definedName>
    <definedName name="PassaExtenso_4_5">[0]!PassaExtenso_5</definedName>
    <definedName name="PassaExtenso_4_6" localSheetId="2">[0]!PassaExtenso_6</definedName>
    <definedName name="PassaExtenso_4_6">[0]!PassaExtenso_6</definedName>
    <definedName name="PassaExtenso_4_7" localSheetId="2">[0]!PassaExtenso_7</definedName>
    <definedName name="PassaExtenso_4_7">[0]!PassaExtenso_7</definedName>
    <definedName name="PassaExtenso_4_8" localSheetId="0">'QUANT. GERAL - RODOVIA'!PassaExtenso_8</definedName>
    <definedName name="PassaExtenso_4_8" localSheetId="2">RESUMO!PassaExtenso_8</definedName>
    <definedName name="PassaExtenso_4_8">[0]!PassaExtenso_8</definedName>
    <definedName name="PassaExtenso_4_9">#N/A</definedName>
    <definedName name="PassaExtenso_5">#N/A</definedName>
    <definedName name="PassaExtenso_6">"#NAME!PassaExtenso"</definedName>
    <definedName name="PassaExtenso_7">"#NAME!PassaExtenso"</definedName>
    <definedName name="PassaExtenso_7_1" localSheetId="21">#REF!</definedName>
    <definedName name="PassaExtenso_7_1">#REF!</definedName>
    <definedName name="PassaExtenso_8" localSheetId="0">'QUANT. GERAL - RODOVIA'!PassaExtenso</definedName>
    <definedName name="PassaExtenso_8" localSheetId="2">PassaExtenso</definedName>
    <definedName name="PassaExtenso_8">PassaExtenso</definedName>
    <definedName name="PassaExtenso_9">#N/A</definedName>
    <definedName name="PassaExtenso_9_10">#N/A</definedName>
    <definedName name="PassaExtenso_9_11">#N/A</definedName>
    <definedName name="PassaExtenso_9_12">#N/A</definedName>
    <definedName name="PassaExtenso_9_13">#N/A</definedName>
    <definedName name="PassaExtenso_9_15">#N/A</definedName>
    <definedName name="PassaExtenso_9_5">#N/A</definedName>
    <definedName name="PassaExtenso_9_6">#N/A</definedName>
    <definedName name="PassaExtenso_9_7">#N/A</definedName>
    <definedName name="PassaExtenso_9_8">#N/A</definedName>
    <definedName name="PassaExtenso_9_9">#N/A</definedName>
    <definedName name="PassaExtenso4" localSheetId="20">PassaExt</definedName>
    <definedName name="PassaExtenso4" localSheetId="21">'Modelo 10.0 - Resumo e Quant.'!PassaExt</definedName>
    <definedName name="PassaExtenso4">PassaExt</definedName>
    <definedName name="PASSAGEM">#NAME?</definedName>
    <definedName name="Pasta" localSheetId="20" hidden="1">{#N/A,#N/A,FALSE,"CONSOL. 5";#N/A,#N/A,FALSE,"CONSOL. ACUM. 6";#N/A,#N/A,FALSE,"CAP. EMPREG. 7";#N/A,#N/A,FALSE,"ORIGENS E APLICAÇÕES 9"}</definedName>
    <definedName name="Pasta" hidden="1">{#N/A,#N/A,FALSE,"CONSOL. 5";#N/A,#N/A,FALSE,"CONSOL. ACUM. 6";#N/A,#N/A,FALSE,"CAP. EMPREG. 7";#N/A,#N/A,FALSE,"ORIGENS E APLICAÇÕES 9"}</definedName>
    <definedName name="Pasta_1" localSheetId="20" hidden="1">{#N/A,#N/A,FALSE,"CONSOL. 5";#N/A,#N/A,FALSE,"CONSOL. ACUM. 6";#N/A,#N/A,FALSE,"CAP. EMPREG. 7";#N/A,#N/A,FALSE,"ORIGENS E APLICAÇÕES 9"}</definedName>
    <definedName name="Pasta_1" hidden="1">{#N/A,#N/A,FALSE,"CONSOL. 5";#N/A,#N/A,FALSE,"CONSOL. ACUM. 6";#N/A,#N/A,FALSE,"CAP. EMPREG. 7";#N/A,#N/A,FALSE,"ORIGENS E APLICAÇÕES 9"}</definedName>
    <definedName name="Pasta_1_1" localSheetId="20" hidden="1">{#N/A,#N/A,FALSE,"CONSOL. 5";#N/A,#N/A,FALSE,"CONSOL. ACUM. 6";#N/A,#N/A,FALSE,"CAP. EMPREG. 7";#N/A,#N/A,FALSE,"ORIGENS E APLICAÇÕES 9"}</definedName>
    <definedName name="Pasta_1_1" hidden="1">{#N/A,#N/A,FALSE,"CONSOL. 5";#N/A,#N/A,FALSE,"CONSOL. ACUM. 6";#N/A,#N/A,FALSE,"CAP. EMPREG. 7";#N/A,#N/A,FALSE,"ORIGENS E APLICAÇÕES 9"}</definedName>
    <definedName name="Pasta_1_1_1" localSheetId="20" hidden="1">{#N/A,#N/A,FALSE,"CONSOL. 5";#N/A,#N/A,FALSE,"CONSOL. ACUM. 6";#N/A,#N/A,FALSE,"CAP. EMPREG. 7";#N/A,#N/A,FALSE,"ORIGENS E APLICAÇÕES 9"}</definedName>
    <definedName name="Pasta_1_1_1" hidden="1">{#N/A,#N/A,FALSE,"CONSOL. 5";#N/A,#N/A,FALSE,"CONSOL. ACUM. 6";#N/A,#N/A,FALSE,"CAP. EMPREG. 7";#N/A,#N/A,FALSE,"ORIGENS E APLICAÇÕES 9"}</definedName>
    <definedName name="Pasta_1_2" localSheetId="20" hidden="1">{#N/A,#N/A,FALSE,"CONSOL. 5";#N/A,#N/A,FALSE,"CONSOL. ACUM. 6";#N/A,#N/A,FALSE,"CAP. EMPREG. 7";#N/A,#N/A,FALSE,"ORIGENS E APLICAÇÕES 9"}</definedName>
    <definedName name="Pasta_1_2" hidden="1">{#N/A,#N/A,FALSE,"CONSOL. 5";#N/A,#N/A,FALSE,"CONSOL. ACUM. 6";#N/A,#N/A,FALSE,"CAP. EMPREG. 7";#N/A,#N/A,FALSE,"ORIGENS E APLICAÇÕES 9"}</definedName>
    <definedName name="Pasta_2" localSheetId="20" hidden="1">{#N/A,#N/A,FALSE,"CONSOL. 5";#N/A,#N/A,FALSE,"CONSOL. ACUM. 6";#N/A,#N/A,FALSE,"CAP. EMPREG. 7";#N/A,#N/A,FALSE,"ORIGENS E APLICAÇÕES 9"}</definedName>
    <definedName name="Pasta_2" hidden="1">{#N/A,#N/A,FALSE,"CONSOL. 5";#N/A,#N/A,FALSE,"CONSOL. ACUM. 6";#N/A,#N/A,FALSE,"CAP. EMPREG. 7";#N/A,#N/A,FALSE,"ORIGENS E APLICAÇÕES 9"}</definedName>
    <definedName name="pata" localSheetId="20" hidden="1">{#N/A,#N/A,FALSE,"SITUAÇÃO DIÁRIA ";#N/A,#N/A,FALSE,"7 à 7"}</definedName>
    <definedName name="pata" hidden="1">{#N/A,#N/A,FALSE,"SITUAÇÃO DIÁRIA ";#N/A,#N/A,FALSE,"7 à 7"}</definedName>
    <definedName name="pata_1" localSheetId="20" hidden="1">{#N/A,#N/A,FALSE,"SITUAÇÃO DIÁRIA ";#N/A,#N/A,FALSE,"7 à 7"}</definedName>
    <definedName name="pata_1" hidden="1">{#N/A,#N/A,FALSE,"SITUAÇÃO DIÁRIA ";#N/A,#N/A,FALSE,"7 à 7"}</definedName>
    <definedName name="pata_1_1" localSheetId="20" hidden="1">{#N/A,#N/A,FALSE,"SITUAÇÃO DIÁRIA ";#N/A,#N/A,FALSE,"7 à 7"}</definedName>
    <definedName name="pata_1_1" hidden="1">{#N/A,#N/A,FALSE,"SITUAÇÃO DIÁRIA ";#N/A,#N/A,FALSE,"7 à 7"}</definedName>
    <definedName name="pata_1_1_1" localSheetId="20" hidden="1">{#N/A,#N/A,FALSE,"SITUAÇÃO DIÁRIA ";#N/A,#N/A,FALSE,"7 à 7"}</definedName>
    <definedName name="pata_1_1_1" hidden="1">{#N/A,#N/A,FALSE,"SITUAÇÃO DIÁRIA ";#N/A,#N/A,FALSE,"7 à 7"}</definedName>
    <definedName name="pata_1_2" localSheetId="20" hidden="1">{#N/A,#N/A,FALSE,"SITUAÇÃO DIÁRIA ";#N/A,#N/A,FALSE,"7 à 7"}</definedName>
    <definedName name="pata_1_2" hidden="1">{#N/A,#N/A,FALSE,"SITUAÇÃO DIÁRIA ";#N/A,#N/A,FALSE,"7 à 7"}</definedName>
    <definedName name="pata_2" localSheetId="20" hidden="1">{#N/A,#N/A,FALSE,"SITUAÇÃO DIÁRIA ";#N/A,#N/A,FALSE,"7 à 7"}</definedName>
    <definedName name="pata_2" hidden="1">{#N/A,#N/A,FALSE,"SITUAÇÃO DIÁRIA ";#N/A,#N/A,FALSE,"7 à 7"}</definedName>
    <definedName name="pato">#REF!</definedName>
    <definedName name="pato_1">#REF!</definedName>
    <definedName name="patoetapa">'[182]QUADRO COMPARATIVO'!$AA$1:$AA$51</definedName>
    <definedName name="Paula" localSheetId="20" hidden="1">{"'Quadro'!$A$4:$BG$78"}</definedName>
    <definedName name="Paula" hidden="1">{"'Quadro'!$A$4:$BG$78"}</definedName>
    <definedName name="Paula_1" localSheetId="20" hidden="1">{"'Quadro'!$A$4:$BG$78"}</definedName>
    <definedName name="Paula_1" hidden="1">{"'Quadro'!$A$4:$BG$78"}</definedName>
    <definedName name="Paula_1_1" localSheetId="20" hidden="1">{"'Quadro'!$A$4:$BG$78"}</definedName>
    <definedName name="Paula_1_1" hidden="1">{"'Quadro'!$A$4:$BG$78"}</definedName>
    <definedName name="Paula_1_1_1" localSheetId="20" hidden="1">{"'Quadro'!$A$4:$BG$78"}</definedName>
    <definedName name="Paula_1_1_1" hidden="1">{"'Quadro'!$A$4:$BG$78"}</definedName>
    <definedName name="Paula_1_2" localSheetId="20" hidden="1">{"'Quadro'!$A$4:$BG$78"}</definedName>
    <definedName name="Paula_1_2" hidden="1">{"'Quadro'!$A$4:$BG$78"}</definedName>
    <definedName name="Paula_2" localSheetId="20" hidden="1">{"'Quadro'!$A$4:$BG$78"}</definedName>
    <definedName name="Paula_2" hidden="1">{"'Quadro'!$A$4:$BG$78"}</definedName>
    <definedName name="paulo" localSheetId="20">' 6.0 - Empréstimos '!paulo</definedName>
    <definedName name="paulo">[0]!paulo</definedName>
    <definedName name="PAUTO">#REF!</definedName>
    <definedName name="PAV">#REF!</definedName>
    <definedName name="PAV_11">[183]RESUMO_AUT1!#REF!</definedName>
    <definedName name="PAV_MAR94">#REF!</definedName>
    <definedName name="PAVIM">'[101]P reaj x P atual'!$N$8</definedName>
    <definedName name="PAVIMENT.">#REF!</definedName>
    <definedName name="PAVIMENT_">#REF!</definedName>
    <definedName name="pavimentacao">#REF!</definedName>
    <definedName name="Pavimentaçã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">#REF!</definedName>
    <definedName name="Pavimentaçã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0">#REF!</definedName>
    <definedName name="pavimentacao_12">#REF!</definedName>
    <definedName name="pavimentacao_2">#REF!</definedName>
    <definedName name="Pavimentaçã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3">#REF!</definedName>
    <definedName name="pavimentacao_4">#REF!</definedName>
    <definedName name="pavimentacao_9">#REF!</definedName>
    <definedName name="PAVIMENTONOVO" localSheetId="21">#REF!</definedName>
    <definedName name="PAVIMENTONOVO">[183]QuQuant!#REF!</definedName>
    <definedName name="PAVIMENTONOVO_11">[184]QuQuant!#REF!</definedName>
    <definedName name="Payment_Needed">"Pagamento necessário"</definedName>
    <definedName name="PAZ" localSheetId="20" hidden="1">{"'Quadro'!$A$4:$BG$78"}</definedName>
    <definedName name="PAZ" hidden="1">{"'Quadro'!$A$4:$BG$78"}</definedName>
    <definedName name="PAZ.COM.N" localSheetId="20" hidden="1">{"'TelRDAV'!$A$1:$T$20"}</definedName>
    <definedName name="PAZ.COM.N" hidden="1">{"'TelRDAV'!$A$1:$T$20"}</definedName>
    <definedName name="PAZ.COM.N_1" localSheetId="20" hidden="1">{"'TelRDAV'!$A$1:$T$20"}</definedName>
    <definedName name="PAZ.COM.N_1" hidden="1">{"'TelRDAV'!$A$1:$T$20"}</definedName>
    <definedName name="PAZ.COM.N_1_1" localSheetId="20" hidden="1">{"'TelRDAV'!$A$1:$T$20"}</definedName>
    <definedName name="PAZ.COM.N_1_1" hidden="1">{"'TelRDAV'!$A$1:$T$20"}</definedName>
    <definedName name="PAZ.COM.N_1_1_1" localSheetId="20" hidden="1">{"'TelRDAV'!$A$1:$T$20"}</definedName>
    <definedName name="PAZ.COM.N_1_1_1" hidden="1">{"'TelRDAV'!$A$1:$T$20"}</definedName>
    <definedName name="PAZ.COM.N_1_2" localSheetId="20" hidden="1">{"'TelRDAV'!$A$1:$T$20"}</definedName>
    <definedName name="PAZ.COM.N_1_2" hidden="1">{"'TelRDAV'!$A$1:$T$20"}</definedName>
    <definedName name="PAZ.COM.N_2" localSheetId="20" hidden="1">{"'TelRDAV'!$A$1:$T$20"}</definedName>
    <definedName name="PAZ.COM.N_2" hidden="1">{"'TelRDAV'!$A$1:$T$20"}</definedName>
    <definedName name="PAZ_1" localSheetId="20" hidden="1">{"'Quadro'!$A$4:$BG$78"}</definedName>
    <definedName name="PAZ_1" hidden="1">{"'Quadro'!$A$4:$BG$78"}</definedName>
    <definedName name="PAZ_1_1" localSheetId="20" hidden="1">{"'Quadro'!$A$4:$BG$78"}</definedName>
    <definedName name="PAZ_1_1" hidden="1">{"'Quadro'!$A$4:$BG$78"}</definedName>
    <definedName name="PAZ_1_1_1" localSheetId="20" hidden="1">{"'Quadro'!$A$4:$BG$78"}</definedName>
    <definedName name="PAZ_1_1_1" hidden="1">{"'Quadro'!$A$4:$BG$78"}</definedName>
    <definedName name="PAZ_1_2" localSheetId="20" hidden="1">{"'Quadro'!$A$4:$BG$78"}</definedName>
    <definedName name="PAZ_1_2" hidden="1">{"'Quadro'!$A$4:$BG$78"}</definedName>
    <definedName name="PAZ_2" localSheetId="20" hidden="1">{"'Quadro'!$A$4:$BG$78"}</definedName>
    <definedName name="PAZ_2" hidden="1">{"'Quadro'!$A$4:$BG$78"}</definedName>
    <definedName name="pc" localSheetId="20" hidden="1">{#N/A,#N/A,FALSE,"ET-CAPA";#N/A,#N/A,FALSE,"ET-PAG1";#N/A,#N/A,FALSE,"ET-PAG2";#N/A,#N/A,FALSE,"ET-PAG3";#N/A,#N/A,FALSE,"ET-PAG4";#N/A,#N/A,FALSE,"ET-PAG5"}</definedName>
    <definedName name="pc" hidden="1">{#N/A,#N/A,FALSE,"ET-CAPA";#N/A,#N/A,FALSE,"ET-PAG1";#N/A,#N/A,FALSE,"ET-PAG2";#N/A,#N/A,FALSE,"ET-PAG3";#N/A,#N/A,FALSE,"ET-PAG4";#N/A,#N/A,FALSE,"ET-PAG5"}</definedName>
    <definedName name="PCAI">#REF!</definedName>
    <definedName name="PCAP20">#REF!</definedName>
    <definedName name="PCARPINTEIRO">#NAME?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30.1">[16]PATO!#REF!</definedName>
    <definedName name="PCM30.2">[16]PATO!#REF!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 localSheetId="20" hidden="1">{"'RR'!$A$2:$E$81"}</definedName>
    <definedName name="PDCA" localSheetId="21">#REF!</definedName>
    <definedName name="PDCA">#REF!</definedName>
    <definedName name="PDCA_1" localSheetId="20" hidden="1">{"'RR'!$A$2:$E$81"}</definedName>
    <definedName name="PDCA_1" hidden="1">{"'RR'!$A$2:$E$81"}</definedName>
    <definedName name="PDCA_1_1" localSheetId="20" hidden="1">{"'RR'!$A$2:$E$81"}</definedName>
    <definedName name="PDCA_1_1" hidden="1">{"'RR'!$A$2:$E$81"}</definedName>
    <definedName name="PDCA_1_1_1" localSheetId="20" hidden="1">{"'RR'!$A$2:$E$81"}</definedName>
    <definedName name="PDCA_1_1_1" hidden="1">{"'RR'!$A$2:$E$81"}</definedName>
    <definedName name="PDCA_1_2" localSheetId="20" hidden="1">{"'RR'!$A$2:$E$81"}</definedName>
    <definedName name="PDCA_1_2" hidden="1">{"'RR'!$A$2:$E$81"}</definedName>
    <definedName name="PDCA_2" localSheetId="20" hidden="1">{"'RR'!$A$2:$E$81"}</definedName>
    <definedName name="PDCA_2" hidden="1">{"'RR'!$A$2:$E$81"}</definedName>
    <definedName name="PDM">[15]DADOS!$C$13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">'[16]Mão de Obra'!$E$20</definedName>
    <definedName name="pedrisco.">#REF!</definedName>
    <definedName name="PEDRO" localSheetId="21">#REF!</definedName>
    <definedName name="PEDRO">#REF!</definedName>
    <definedName name="PEDRO1" localSheetId="20">PEDRO</definedName>
    <definedName name="PEDRO1" localSheetId="21">'Modelo 10.0 - Resumo e Quant.'!PEDRO</definedName>
    <definedName name="PEDRO1">PEDRO</definedName>
    <definedName name="PEJ">#REF!</definedName>
    <definedName name="PEMN">#REF!</definedName>
    <definedName name="PEN">#REF!</definedName>
    <definedName name="PENCATURMA">#NAME?</definedName>
    <definedName name="PENCATURMA_1">#REF!</definedName>
    <definedName name="pendencias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EIRAS">#REF!</definedName>
    <definedName name="Percentual">#REF!</definedName>
    <definedName name="PercResid.">#REF!</definedName>
    <definedName name="PERDA">#REF!</definedName>
    <definedName name="periodo">'[185]Resumo_%'!$C$5:$O$22</definedName>
    <definedName name="PERÍODO" localSheetId="21">#REF!</definedName>
    <definedName name="PERÍODO">'[94]Vínculos (Não Mexer)'!$G$24</definedName>
    <definedName name="PERSONAL" localSheetId="20" hidden="1">{#N/A,#N/A,FALSE,"310.1";#N/A,#N/A,FALSE,"321.1";#N/A,#N/A,FALSE,"320.3";#N/A,#N/A,FALSE,"330.1"}</definedName>
    <definedName name="PERSONAL" hidden="1">{#N/A,#N/A,FALSE,"310.1";#N/A,#N/A,FALSE,"321.1";#N/A,#N/A,FALSE,"320.3";#N/A,#N/A,FALSE,"330.1"}</definedName>
    <definedName name="pervp" hidden="1">#REF!</definedName>
    <definedName name="pesquisa">#REF!</definedName>
    <definedName name="pesquisa_11">#REF!</definedName>
    <definedName name="pesquisa_12">#REF!</definedName>
    <definedName name="pesquisa_13">#REF!</definedName>
    <definedName name="pesquisa_15">#REF!</definedName>
    <definedName name="pesquisa_2">#REF!</definedName>
    <definedName name="pesquisa_4">#REF!</definedName>
    <definedName name="pesquisa_5">#REF!</definedName>
    <definedName name="pesquisa_6">#REF!</definedName>
    <definedName name="pesquisa_7">#REF!</definedName>
    <definedName name="pesquisa_8">#REF!</definedName>
    <definedName name="pesquisa_9">#REF!</definedName>
    <definedName name="pesquisa1">'[8]Página 16'!$A$3:$G$7</definedName>
    <definedName name="pesquisaa">#REF!</definedName>
    <definedName name="PESSO">#REF!</definedName>
    <definedName name="PESSO_1">#REF!</definedName>
    <definedName name="pessoal">#REF!</definedName>
    <definedName name="pessoal_1">#REF!</definedName>
    <definedName name="Pet" localSheetId="20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Pet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PEV" localSheetId="20" hidden="1">{"'Quadro'!$A$4:$BG$78"}</definedName>
    <definedName name="PEV" hidden="1">{"'Quadro'!$A$4:$BG$78"}</definedName>
    <definedName name="PEV_1" localSheetId="20" hidden="1">{"'Quadro'!$A$4:$BG$78"}</definedName>
    <definedName name="PEV_1" hidden="1">{"'Quadro'!$A$4:$BG$78"}</definedName>
    <definedName name="PEV_1_1" localSheetId="20" hidden="1">{"'Quadro'!$A$4:$BG$78"}</definedName>
    <definedName name="PEV_1_1" hidden="1">{"'Quadro'!$A$4:$BG$78"}</definedName>
    <definedName name="PEV_1_1_1" localSheetId="20" hidden="1">{"'Quadro'!$A$4:$BG$78"}</definedName>
    <definedName name="PEV_1_1_1" hidden="1">{"'Quadro'!$A$4:$BG$78"}</definedName>
    <definedName name="PEV_1_2" localSheetId="20" hidden="1">{"'Quadro'!$A$4:$BG$78"}</definedName>
    <definedName name="PEV_1_2" hidden="1">{"'Quadro'!$A$4:$BG$78"}</definedName>
    <definedName name="PEV_2" localSheetId="20" hidden="1">{"'Quadro'!$A$4:$BG$78"}</definedName>
    <definedName name="PEV_2" hidden="1">{"'Quadro'!$A$4:$BG$78"}</definedName>
    <definedName name="PG">#REF!</definedName>
    <definedName name="PGP">#REF!</definedName>
    <definedName name="PI">[2]SID_NI_5!#REF!</definedName>
    <definedName name="PICOS">#REF!</definedName>
    <definedName name="pinco" hidden="1">#REF!</definedName>
    <definedName name="PintLig">'[53]2.2.4.Pintura de lig.'!$L$48</definedName>
    <definedName name="Pintura">#REF!</definedName>
    <definedName name="pippo" hidden="1">#REF!</definedName>
    <definedName name="PISTA" localSheetId="20" hidden="1">{#N/A,#N/A,TRUE,"Serviços"}</definedName>
    <definedName name="PISTA" localSheetId="2" hidden="1">{#N/A,#N/A,TRUE,"Serviços"}</definedName>
    <definedName name="PISTA" hidden="1">{#N/A,#N/A,TRUE,"Serviços"}</definedName>
    <definedName name="PISTAPDLD">#REF!</definedName>
    <definedName name="PISTAPDLD_11">#REF!</definedName>
    <definedName name="PISTAPDLD_15">#REF!</definedName>
    <definedName name="PISTAPDLE">#REF!</definedName>
    <definedName name="PISTAPDLE_11">#REF!</definedName>
    <definedName name="PISTAPDLE_15">#REF!</definedName>
    <definedName name="PISTAPELD">#REF!</definedName>
    <definedName name="PISTAPELD_11">#REF!</definedName>
    <definedName name="PISTAPELD_15">#REF!</definedName>
    <definedName name="PISTAPELE">#REF!</definedName>
    <definedName name="PISTAPELE_11">#REF!</definedName>
    <definedName name="PISTAPELE_15">#REF!</definedName>
    <definedName name="PIV">#REF!</definedName>
    <definedName name="PL">#REF!</definedName>
    <definedName name="PL_11">#REF!</definedName>
    <definedName name="PL_12">#REF!</definedName>
    <definedName name="PL_13">#REF!</definedName>
    <definedName name="PL_15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1.1">#REF!</definedName>
    <definedName name="PL1_11">#REF!</definedName>
    <definedName name="PL1_12">#REF!</definedName>
    <definedName name="PL1_13">#REF!</definedName>
    <definedName name="PL1_2">#REF!</definedName>
    <definedName name="PL1_4">#REF!</definedName>
    <definedName name="PL1_5">#REF!</definedName>
    <definedName name="PL1_6">#REF!</definedName>
    <definedName name="PL1_7">#REF!</definedName>
    <definedName name="PL1_8">#REF!</definedName>
    <definedName name="PL1_9">#REF!</definedName>
    <definedName name="PLA">#REF!</definedName>
    <definedName name="PLA2.1">[16]PATO!#REF!</definedName>
    <definedName name="PLAC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mnsj" localSheetId="20" hidden="1">{#N/A,#N/A,TRUE,"Summary";#N/A,#N/A,TRUE,"Worksheet";#N/A,#N/A,TRUE,"CashFlow"}</definedName>
    <definedName name="plamnsj" hidden="1">{#N/A,#N/A,TRUE,"Summary";#N/A,#N/A,TRUE,"Worksheet";#N/A,#N/A,TRUE,"CashFlow"}</definedName>
    <definedName name="plamnsj_1" localSheetId="20" hidden="1">{#N/A,#N/A,TRUE,"Summary";#N/A,#N/A,TRUE,"Worksheet";#N/A,#N/A,TRUE,"CashFlow"}</definedName>
    <definedName name="plamnsj_1" hidden="1">{#N/A,#N/A,TRUE,"Summary";#N/A,#N/A,TRUE,"Worksheet";#N/A,#N/A,TRUE,"CashFlow"}</definedName>
    <definedName name="plamnsj_1_1" localSheetId="20" hidden="1">{#N/A,#N/A,TRUE,"Summary";#N/A,#N/A,TRUE,"Worksheet";#N/A,#N/A,TRUE,"CashFlow"}</definedName>
    <definedName name="plamnsj_1_1" hidden="1">{#N/A,#N/A,TRUE,"Summary";#N/A,#N/A,TRUE,"Worksheet";#N/A,#N/A,TRUE,"CashFlow"}</definedName>
    <definedName name="plamnsj_1_1_1" localSheetId="20" hidden="1">{#N/A,#N/A,TRUE,"Summary";#N/A,#N/A,TRUE,"Worksheet";#N/A,#N/A,TRUE,"CashFlow"}</definedName>
    <definedName name="plamnsj_1_1_1" hidden="1">{#N/A,#N/A,TRUE,"Summary";#N/A,#N/A,TRUE,"Worksheet";#N/A,#N/A,TRUE,"CashFlow"}</definedName>
    <definedName name="plamnsj_1_2" localSheetId="20" hidden="1">{#N/A,#N/A,TRUE,"Summary";#N/A,#N/A,TRUE,"Worksheet";#N/A,#N/A,TRUE,"CashFlow"}</definedName>
    <definedName name="plamnsj_1_2" hidden="1">{#N/A,#N/A,TRUE,"Summary";#N/A,#N/A,TRUE,"Worksheet";#N/A,#N/A,TRUE,"CashFlow"}</definedName>
    <definedName name="plamnsj_2" localSheetId="20" hidden="1">{#N/A,#N/A,TRUE,"Summary";#N/A,#N/A,TRUE,"Worksheet";#N/A,#N/A,TRUE,"CashFlow"}</definedName>
    <definedName name="plamnsj_2" hidden="1">{#N/A,#N/A,TRUE,"Summary";#N/A,#N/A,TRUE,"Worksheet";#N/A,#N/A,TRUE,"CashFlow"}</definedName>
    <definedName name="PLAN">#N/A</definedName>
    <definedName name="PLAN_1">#REF!</definedName>
    <definedName name="Plan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1" localSheetId="21">#REF!</definedName>
    <definedName name="Plan1" hidden="1">#REF!</definedName>
    <definedName name="plan10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EJADA">#REF!</definedName>
    <definedName name="Planejamento" localSheetId="20" hidden="1">{"'RR'!$A$2:$E$81"}</definedName>
    <definedName name="Planejamento" hidden="1">{"'RR'!$A$2:$E$81"}</definedName>
    <definedName name="Planejamento_1" localSheetId="20" hidden="1">{"'RR'!$A$2:$E$81"}</definedName>
    <definedName name="Planejamento_1" hidden="1">{"'RR'!$A$2:$E$81"}</definedName>
    <definedName name="Planejamento_1_1" localSheetId="20" hidden="1">{"'RR'!$A$2:$E$81"}</definedName>
    <definedName name="Planejamento_1_1" hidden="1">{"'RR'!$A$2:$E$81"}</definedName>
    <definedName name="Planejamento_1_1_1" localSheetId="20" hidden="1">{"'RR'!$A$2:$E$81"}</definedName>
    <definedName name="Planejamento_1_1_1" hidden="1">{"'RR'!$A$2:$E$81"}</definedName>
    <definedName name="Planejamento_1_2" localSheetId="20" hidden="1">{"'RR'!$A$2:$E$81"}</definedName>
    <definedName name="Planejamento_1_2" hidden="1">{"'RR'!$A$2:$E$81"}</definedName>
    <definedName name="Planejamento_2" localSheetId="20" hidden="1">{"'RR'!$A$2:$E$81"}</definedName>
    <definedName name="Planejamento_2" hidden="1">{"'RR'!$A$2:$E$81"}</definedName>
    <definedName name="plan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lha" localSheetId="20" hidden="1">{#N/A,#N/A,FALSE,"Planilha";#N/A,#N/A,FALSE,"Resumo";#N/A,#N/A,FALSE,"Fisico";#N/A,#N/A,FALSE,"Financeiro";#N/A,#N/A,FALSE,"Financeiro"}</definedName>
    <definedName name="PLANILHA" localSheetId="21">#REF!</definedName>
    <definedName name="PLANILHA" localSheetId="2" hidden="1">{#N/A,#N/A,TRUE,"Serviços"}</definedName>
    <definedName name="PLANILHA" hidden="1">{#N/A,#N/A,TRUE,"Serviços"}</definedName>
    <definedName name="planilha25" hidden="1">#REF!</definedName>
    <definedName name="PlanilhasOriginais">#REF!</definedName>
    <definedName name="Plapla">[186]RMLE157!#REF!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sticidade">#REF!</definedName>
    <definedName name="Platicidade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BUQ">#REF!</definedName>
    <definedName name="plnilha">[5]PLMUSEU!#REF!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'[16]Mão de Obra'!$E$13</definedName>
    <definedName name="PM334.1">#REF!</definedName>
    <definedName name="PM334_1">#REF!</definedName>
    <definedName name="PM335.1">#REF!</definedName>
    <definedName name="PM335_1">#REF!</definedName>
    <definedName name="pm346_1">#REF!</definedName>
    <definedName name="PM405_1">#REF!</definedName>
    <definedName name="PM406.1">#REF!</definedName>
    <definedName name="PM406_1">#REF!</definedName>
    <definedName name="PM412.1">#REF!</definedName>
    <definedName name="PM609.1">#REF!</definedName>
    <definedName name="PM970.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MQ">'[53]2.2.5.PMQ'!$O$39</definedName>
    <definedName name="PN_95_AN">#REF!</definedName>
    <definedName name="PN_95_AT">#REF!</definedName>
    <definedName name="pnow" localSheetId="20" hidden="1">{"'gráf jan00'!$A$1:$AK$41"}</definedName>
    <definedName name="pnow" hidden="1">{"'gráf jan00'!$A$1:$AK$41"}</definedName>
    <definedName name="pnow_1" localSheetId="20" hidden="1">{"'gráf jan00'!$A$1:$AK$41"}</definedName>
    <definedName name="pnow_1" hidden="1">{"'gráf jan00'!$A$1:$AK$41"}</definedName>
    <definedName name="pnow_1_1" localSheetId="20" hidden="1">{"'gráf jan00'!$A$1:$AK$41"}</definedName>
    <definedName name="pnow_1_1" hidden="1">{"'gráf jan00'!$A$1:$AK$41"}</definedName>
    <definedName name="pnow_1_1_1" localSheetId="20" hidden="1">{"'gráf jan00'!$A$1:$AK$41"}</definedName>
    <definedName name="pnow_1_1_1" hidden="1">{"'gráf jan00'!$A$1:$AK$41"}</definedName>
    <definedName name="pnow_1_2" localSheetId="20" hidden="1">{"'gráf jan00'!$A$1:$AK$41"}</definedName>
    <definedName name="pnow_1_2" hidden="1">{"'gráf jan00'!$A$1:$AK$41"}</definedName>
    <definedName name="pnow_2" localSheetId="20" hidden="1">{"'gráf jan00'!$A$1:$AK$41"}</definedName>
    <definedName name="pnow_2" hidden="1">{"'gráf jan00'!$A$1:$AK$41"}</definedName>
    <definedName name="PO">'[187]8ª MP_BR-459'!#REF!</definedName>
    <definedName name="PÓ">#REF!</definedName>
    <definedName name="PO_10">'[188]8ª MP_BR_459'!#REF!</definedName>
    <definedName name="PO_12">'[188]8ª MP_BR_459'!#REF!</definedName>
    <definedName name="PO_3">'[188]8ª MP_BR_459'!#REF!</definedName>
    <definedName name="PO_9">'[188]8ª MP_BR_459'!#REF!</definedName>
    <definedName name="POIUYT" localSheetId="20" hidden="1">{"'REL CUSTODIF'!$B$1:$H$72"}</definedName>
    <definedName name="POIUYT" hidden="1">{"'REL CUSTODIF'!$B$1:$H$72"}</definedName>
    <definedName name="POIUYT_1" localSheetId="20" hidden="1">{"'REL CUSTODIF'!$B$1:$H$72"}</definedName>
    <definedName name="POIUYT_1" hidden="1">{"'REL CUSTODIF'!$B$1:$H$72"}</definedName>
    <definedName name="POIUYT_1_1" localSheetId="20" hidden="1">{"'REL CUSTODIF'!$B$1:$H$72"}</definedName>
    <definedName name="POIUYT_1_1" hidden="1">{"'REL CUSTODIF'!$B$1:$H$72"}</definedName>
    <definedName name="POIUYT_1_1_1" localSheetId="20" hidden="1">{"'REL CUSTODIF'!$B$1:$H$72"}</definedName>
    <definedName name="POIUYT_1_1_1" hidden="1">{"'REL CUSTODIF'!$B$1:$H$72"}</definedName>
    <definedName name="POIUYT_1_2" localSheetId="20" hidden="1">{"'REL CUSTODIF'!$B$1:$H$72"}</definedName>
    <definedName name="POIUYT_1_2" hidden="1">{"'REL CUSTODIF'!$B$1:$H$72"}</definedName>
    <definedName name="POIUYT_2" localSheetId="20" hidden="1">{"'REL CUSTODIF'!$B$1:$H$72"}</definedName>
    <definedName name="POIUYT_2" hidden="1">{"'REL CUSTODIF'!$B$1:$H$72"}</definedName>
    <definedName name="POLIM">[189]MB!$G$26</definedName>
    <definedName name="pollyanna" localSheetId="20" hidden="1">{"'gráf jan00'!$A$1:$AK$41"}</definedName>
    <definedName name="pollyanna" hidden="1">{"'gráf jan00'!$A$1:$AK$41"}</definedName>
    <definedName name="pollyanna_1" localSheetId="20" hidden="1">{"'gráf jan00'!$A$1:$AK$41"}</definedName>
    <definedName name="pollyanna_1" hidden="1">{"'gráf jan00'!$A$1:$AK$41"}</definedName>
    <definedName name="pollyanna_1_1" localSheetId="20" hidden="1">{"'gráf jan00'!$A$1:$AK$41"}</definedName>
    <definedName name="pollyanna_1_1" hidden="1">{"'gráf jan00'!$A$1:$AK$41"}</definedName>
    <definedName name="pollyanna_1_1_1" localSheetId="20" hidden="1">{"'gráf jan00'!$A$1:$AK$41"}</definedName>
    <definedName name="pollyanna_1_1_1" hidden="1">{"'gráf jan00'!$A$1:$AK$41"}</definedName>
    <definedName name="pollyanna_1_2" localSheetId="20" hidden="1">{"'gráf jan00'!$A$1:$AK$41"}</definedName>
    <definedName name="pollyanna_1_2" hidden="1">{"'gráf jan00'!$A$1:$AK$41"}</definedName>
    <definedName name="pollyanna_2" localSheetId="20" hidden="1">{"'gráf jan00'!$A$1:$AK$41"}</definedName>
    <definedName name="pollyanna_2" hidden="1">{"'gráf jan00'!$A$1:$AK$41"}</definedName>
    <definedName name="PONTALETEAMENTO_AN">#REF!</definedName>
    <definedName name="PONTALETEAMENTO_AT">#REF!</definedName>
    <definedName name="Ponte" localSheetId="20">' 6.0 - Empréstimos '!Ponte</definedName>
    <definedName name="PONTE">#REF!</definedName>
    <definedName name="Ponte_10" localSheetId="2">RESUMO!Ponte_10</definedName>
    <definedName name="Ponte_10">Ponte_10</definedName>
    <definedName name="Ponte_12" localSheetId="2">RESUMO!Ponte_12</definedName>
    <definedName name="Ponte_12">Ponte_12</definedName>
    <definedName name="Ponte_19" localSheetId="2">RESUMO!Ponte_19</definedName>
    <definedName name="Ponte_19">Ponte_19</definedName>
    <definedName name="Ponte_2" localSheetId="2">RESUMO!Ponte_2</definedName>
    <definedName name="Ponte_2">Ponte_2</definedName>
    <definedName name="Ponte_21" localSheetId="2">RESUMO!Ponte_21</definedName>
    <definedName name="Ponte_21">Ponte_21</definedName>
    <definedName name="Ponte_23" localSheetId="2">RESUMO!Ponte_23</definedName>
    <definedName name="Ponte_23">Ponte_23</definedName>
    <definedName name="Ponte_24" localSheetId="2">RESUMO!Ponte_24</definedName>
    <definedName name="Ponte_24">Ponte_24</definedName>
    <definedName name="Ponte_26" localSheetId="2">RESUMO!Ponte_26</definedName>
    <definedName name="Ponte_26">Ponte_26</definedName>
    <definedName name="Ponte_27" localSheetId="2">RESUMO!Ponte_27</definedName>
    <definedName name="Ponte_27">Ponte_27</definedName>
    <definedName name="Ponte_29" localSheetId="2">RESUMO!Ponte_29</definedName>
    <definedName name="Ponte_29">Ponte_29</definedName>
    <definedName name="Ponte_30" localSheetId="2">RESUMO!Ponte_30</definedName>
    <definedName name="Ponte_30">Ponte_30</definedName>
    <definedName name="Ponte_31" localSheetId="2">RESUMO!Ponte_31</definedName>
    <definedName name="Ponte_31">Ponte_31</definedName>
    <definedName name="Ponte_33" localSheetId="2">RESUMO!Ponte_33</definedName>
    <definedName name="Ponte_33">Ponte_33</definedName>
    <definedName name="Ponte_34" localSheetId="2">RESUMO!Ponte_34</definedName>
    <definedName name="Ponte_34">Ponte_34</definedName>
    <definedName name="Ponte_35" localSheetId="2">RESUMO!Ponte_35</definedName>
    <definedName name="Ponte_35">Ponte_35</definedName>
    <definedName name="Ponte_36" localSheetId="2">RESUMO!Ponte_36</definedName>
    <definedName name="Ponte_36">Ponte_36</definedName>
    <definedName name="Ponte_37" localSheetId="2">RESUMO!Ponte_37</definedName>
    <definedName name="Ponte_37">Ponte_37</definedName>
    <definedName name="Ponte_38" localSheetId="2">RESUMO!Ponte_38</definedName>
    <definedName name="Ponte_38">Ponte_38</definedName>
    <definedName name="Ponte_39" localSheetId="2">RESUMO!Ponte_39</definedName>
    <definedName name="Ponte_39">Ponte_39</definedName>
    <definedName name="Ponte_4" localSheetId="2">RESUMO!Ponte_4</definedName>
    <definedName name="Ponte_4">Ponte_4</definedName>
    <definedName name="Ponte_40" localSheetId="2">RESUMO!Ponte_40</definedName>
    <definedName name="Ponte_40">Ponte_40</definedName>
    <definedName name="Ponte_41" localSheetId="2">RESUMO!Ponte_41</definedName>
    <definedName name="Ponte_41">Ponte_41</definedName>
    <definedName name="Ponte_42" localSheetId="2">RESUMO!Ponte_42</definedName>
    <definedName name="Ponte_42">Ponte_42</definedName>
    <definedName name="Ponte_43" localSheetId="2">RESUMO!Ponte_43</definedName>
    <definedName name="Ponte_43">Ponte_43</definedName>
    <definedName name="Ponte_44" localSheetId="2">RESUMO!Ponte_44</definedName>
    <definedName name="Ponte_44">Ponte_44</definedName>
    <definedName name="Ponte_45" localSheetId="2">RESUMO!Ponte_45</definedName>
    <definedName name="Ponte_45">Ponte_45</definedName>
    <definedName name="Ponte_46" localSheetId="2">RESUMO!Ponte_46</definedName>
    <definedName name="Ponte_46">Ponte_46</definedName>
    <definedName name="Ponte_47" localSheetId="2">RESUMO!Ponte_47</definedName>
    <definedName name="Ponte_47">Ponte_47</definedName>
    <definedName name="Ponte_48" localSheetId="2">RESUMO!Ponte_48</definedName>
    <definedName name="Ponte_48">Ponte_48</definedName>
    <definedName name="Ponte_51" localSheetId="2">RESUMO!Ponte_51</definedName>
    <definedName name="Ponte_51">Ponte_51</definedName>
    <definedName name="Ponte_52" localSheetId="2">RESUMO!Ponte_52</definedName>
    <definedName name="Ponte_52">Ponte_52</definedName>
    <definedName name="Ponte_53" localSheetId="2">RESUMO!Ponte_53</definedName>
    <definedName name="Ponte_53">Ponte_53</definedName>
    <definedName name="Ponte_55" localSheetId="2">RESUMO!Ponte_55</definedName>
    <definedName name="Ponte_55">Ponte_55</definedName>
    <definedName name="Ponte_58" localSheetId="2">RESUMO!Ponte_58</definedName>
    <definedName name="Ponte_58">Ponte_58</definedName>
    <definedName name="Ponte_59" localSheetId="2">RESUMO!Ponte_59</definedName>
    <definedName name="Ponte_59">Ponte_59</definedName>
    <definedName name="Ponte_60" localSheetId="2">RESUMO!Ponte_60</definedName>
    <definedName name="Ponte_60">Ponte_60</definedName>
    <definedName name="Ponte_61" localSheetId="2">RESUMO!Ponte_61</definedName>
    <definedName name="Ponte_61">Ponte_61</definedName>
    <definedName name="Ponte_62" localSheetId="2">RESUMO!Ponte_62</definedName>
    <definedName name="Ponte_62">Ponte_62</definedName>
    <definedName name="Ponte_63" localSheetId="2">RESUMO!Ponte_63</definedName>
    <definedName name="Ponte_63">Ponte_63</definedName>
    <definedName name="Ponte_64" localSheetId="2">RESUMO!Ponte_64</definedName>
    <definedName name="Ponte_64">Ponte_64</definedName>
    <definedName name="Ponte_65" localSheetId="2">RESUMO!Ponte_65</definedName>
    <definedName name="Ponte_65">Ponte_65</definedName>
    <definedName name="Ponte_66" localSheetId="2">RESUMO!Ponte_66</definedName>
    <definedName name="Ponte_66">Ponte_66</definedName>
    <definedName name="Ponte_67" localSheetId="2">RESUMO!Ponte_67</definedName>
    <definedName name="Ponte_67">Ponte_67</definedName>
    <definedName name="Ponte_68" localSheetId="2">RESUMO!Ponte_68</definedName>
    <definedName name="Ponte_68">Ponte_68</definedName>
    <definedName name="Ponte_69" localSheetId="2">RESUMO!Ponte_69</definedName>
    <definedName name="Ponte_69">Ponte_69</definedName>
    <definedName name="Ponte_70" localSheetId="2">RESUMO!Ponte_70</definedName>
    <definedName name="Ponte_70">Ponte_70</definedName>
    <definedName name="Ponte_71" localSheetId="2">RESUMO!Ponte_71</definedName>
    <definedName name="Ponte_71">Ponte_71</definedName>
    <definedName name="Ponte_72" localSheetId="2">RESUMO!Ponte_72</definedName>
    <definedName name="Ponte_72">Ponte_72</definedName>
    <definedName name="Ponte_8" localSheetId="2">RESUMO!Ponte_8</definedName>
    <definedName name="Ponte_8">Ponte_8</definedName>
    <definedName name="PONTEMADEIRA">#REF!</definedName>
    <definedName name="ponto">#N/A</definedName>
    <definedName name="popopopo" localSheetId="20" hidden="1">{#N/A,#N/A,FALSE,"MO (2)"}</definedName>
    <definedName name="popopopo" hidden="1">{#N/A,#N/A,FALSE,"MO (2)"}</definedName>
    <definedName name="Popular" localSheetId="20" hidden="1">{#N/A,#N/A,FALSE,"Cronograma";#N/A,#N/A,FALSE,"Cronogr. 2"}</definedName>
    <definedName name="Popular" hidden="1">{#N/A,#N/A,FALSE,"Cronograma";#N/A,#N/A,FALSE,"Cronogr. 2"}</definedName>
    <definedName name="Popular_1" localSheetId="20" hidden="1">{#N/A,#N/A,FALSE,"Cronograma";#N/A,#N/A,FALSE,"Cronogr. 2"}</definedName>
    <definedName name="Popular_1" hidden="1">{#N/A,#N/A,FALSE,"Cronograma";#N/A,#N/A,FALSE,"Cronogr. 2"}</definedName>
    <definedName name="Popular_1_1" localSheetId="20" hidden="1">{#N/A,#N/A,FALSE,"Cronograma";#N/A,#N/A,FALSE,"Cronogr. 2"}</definedName>
    <definedName name="Popular_1_1" hidden="1">{#N/A,#N/A,FALSE,"Cronograma";#N/A,#N/A,FALSE,"Cronogr. 2"}</definedName>
    <definedName name="Popular_1_1_1" localSheetId="20" hidden="1">{#N/A,#N/A,FALSE,"Cronograma";#N/A,#N/A,FALSE,"Cronogr. 2"}</definedName>
    <definedName name="Popular_1_1_1" hidden="1">{#N/A,#N/A,FALSE,"Cronograma";#N/A,#N/A,FALSE,"Cronogr. 2"}</definedName>
    <definedName name="Popular_1_2" localSheetId="20" hidden="1">{#N/A,#N/A,FALSE,"Cronograma";#N/A,#N/A,FALSE,"Cronogr. 2"}</definedName>
    <definedName name="Popular_1_2" hidden="1">{#N/A,#N/A,FALSE,"Cronograma";#N/A,#N/A,FALSE,"Cronogr. 2"}</definedName>
    <definedName name="Popular_2" localSheetId="20" hidden="1">{#N/A,#N/A,FALSE,"Cronograma";#N/A,#N/A,FALSE,"Cronogr. 2"}</definedName>
    <definedName name="Popular_2" hidden="1">{#N/A,#N/A,FALSE,"Cronograma";#N/A,#N/A,FALSE,"Cronogr. 2"}</definedName>
    <definedName name="PORC_MATERIAL">#REF!</definedName>
    <definedName name="portaria" hidden="1">#REF!</definedName>
    <definedName name="Portos1" localSheetId="20" hidden="1">{"'RR'!$A$2:$E$81"}</definedName>
    <definedName name="Portos1" hidden="1">{"'RR'!$A$2:$E$81"}</definedName>
    <definedName name="Portos1_1" localSheetId="20" hidden="1">{"'RR'!$A$2:$E$81"}</definedName>
    <definedName name="Portos1_1" hidden="1">{"'RR'!$A$2:$E$81"}</definedName>
    <definedName name="Portos1_1_1" localSheetId="20" hidden="1">{"'RR'!$A$2:$E$81"}</definedName>
    <definedName name="Portos1_1_1" hidden="1">{"'RR'!$A$2:$E$81"}</definedName>
    <definedName name="Portos1_1_1_1" localSheetId="20" hidden="1">{"'RR'!$A$2:$E$81"}</definedName>
    <definedName name="Portos1_1_1_1" hidden="1">{"'RR'!$A$2:$E$81"}</definedName>
    <definedName name="Portos1_1_2" localSheetId="20" hidden="1">{"'RR'!$A$2:$E$81"}</definedName>
    <definedName name="Portos1_1_2" hidden="1">{"'RR'!$A$2:$E$81"}</definedName>
    <definedName name="Portos1_2" localSheetId="20" hidden="1">{"'RR'!$A$2:$E$81"}</definedName>
    <definedName name="Portos1_2" hidden="1">{"'RR'!$A$2:$E$81"}</definedName>
    <definedName name="PORTU" localSheetId="20" hidden="1">{"'REL CUSTODIF'!$B$1:$H$72"}</definedName>
    <definedName name="PORTU" hidden="1">{"'REL CUSTODIF'!$B$1:$H$72"}</definedName>
    <definedName name="PORTU_1" localSheetId="20" hidden="1">{"'REL CUSTODIF'!$B$1:$H$72"}</definedName>
    <definedName name="PORTU_1" hidden="1">{"'REL CUSTODIF'!$B$1:$H$72"}</definedName>
    <definedName name="PORTU_1_1" localSheetId="20" hidden="1">{"'REL CUSTODIF'!$B$1:$H$72"}</definedName>
    <definedName name="PORTU_1_1" hidden="1">{"'REL CUSTODIF'!$B$1:$H$72"}</definedName>
    <definedName name="PORTU_1_1_1" localSheetId="20" hidden="1">{"'REL CUSTODIF'!$B$1:$H$72"}</definedName>
    <definedName name="PORTU_1_1_1" hidden="1">{"'REL CUSTODIF'!$B$1:$H$72"}</definedName>
    <definedName name="PORTU_1_2" localSheetId="20" hidden="1">{"'REL CUSTODIF'!$B$1:$H$72"}</definedName>
    <definedName name="PORTU_1_2" hidden="1">{"'REL CUSTODIF'!$B$1:$H$72"}</definedName>
    <definedName name="PORTU_2" localSheetId="20" hidden="1">{"'REL CUSTODIF'!$B$1:$H$72"}</definedName>
    <definedName name="PORTU_2" hidden="1">{"'REL CUSTODIF'!$B$1:$H$72"}</definedName>
    <definedName name="po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ição" localSheetId="21" hidden="1">#REF!</definedName>
    <definedName name="Posição" hidden="1">#REF!</definedName>
    <definedName name="potencia">#REF!</definedName>
    <definedName name="pp">#REF!</definedName>
    <definedName name="pp_5" localSheetId="21">#REF!</definedName>
    <definedName name="pp_5">#REF!</definedName>
    <definedName name="pp_7" localSheetId="21">#REF!</definedName>
    <definedName name="pp_7">#REF!</definedName>
    <definedName name="pp_9" localSheetId="21">#REF!</definedName>
    <definedName name="pp_9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EDREIRO">#NAME?</definedName>
    <definedName name="PPEDREIRO_1">#REF!</definedName>
    <definedName name="PPEN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" localSheetId="20" hidden="1">{"'CptDifn'!$AA$32:$AG$32"}</definedName>
    <definedName name="pppp" hidden="1">{"'CptDifn'!$AA$32:$AG$32"}</definedName>
    <definedName name="pppp_1" localSheetId="20" hidden="1">{"'CptDifn'!$AA$32:$AG$32"}</definedName>
    <definedName name="pppp_1" hidden="1">{"'CptDifn'!$AA$32:$AG$32"}</definedName>
    <definedName name="pppp_1_1" localSheetId="20" hidden="1">{"'CptDifn'!$AA$32:$AG$32"}</definedName>
    <definedName name="pppp_1_1" hidden="1">{"'CptDifn'!$AA$32:$AG$32"}</definedName>
    <definedName name="pppp_1_1_1" localSheetId="20" hidden="1">{"'CptDifn'!$AA$32:$AG$32"}</definedName>
    <definedName name="pppp_1_1_1" hidden="1">{"'CptDifn'!$AA$32:$AG$32"}</definedName>
    <definedName name="pppp_1_2" localSheetId="20" hidden="1">{"'CptDifn'!$AA$32:$AG$32"}</definedName>
    <definedName name="pppp_1_2" hidden="1">{"'CptDifn'!$AA$32:$AG$32"}</definedName>
    <definedName name="pppp_2" localSheetId="20" hidden="1">{"'CptDifn'!$AA$32:$AG$32"}</definedName>
    <definedName name="pppp_2" hidden="1">{"'CptDifn'!$AA$32:$AG$32"}</definedName>
    <definedName name="PPPPP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RA" localSheetId="20" hidden="1">{"'CptDifn'!$AA$32:$AG$32"}</definedName>
    <definedName name="PPRA" hidden="1">{"'CptDifn'!$AA$32:$AG$32"}</definedName>
    <definedName name="PPRA_1" localSheetId="20" hidden="1">{"'CptDifn'!$AA$32:$AG$32"}</definedName>
    <definedName name="PPRA_1" hidden="1">{"'CptDifn'!$AA$32:$AG$32"}</definedName>
    <definedName name="PPRA_1_1" localSheetId="20" hidden="1">{"'CptDifn'!$AA$32:$AG$32"}</definedName>
    <definedName name="PPRA_1_1" hidden="1">{"'CptDifn'!$AA$32:$AG$32"}</definedName>
    <definedName name="PPRA_1_1_1" localSheetId="20" hidden="1">{"'CptDifn'!$AA$32:$AG$32"}</definedName>
    <definedName name="PPRA_1_1_1" hidden="1">{"'CptDifn'!$AA$32:$AG$32"}</definedName>
    <definedName name="PPRA_1_2" localSheetId="20" hidden="1">{"'CptDifn'!$AA$32:$AG$32"}</definedName>
    <definedName name="PPRA_1_2" hidden="1">{"'CptDifn'!$AA$32:$AG$32"}</definedName>
    <definedName name="PPRA_2" localSheetId="20" hidden="1">{"'CptDifn'!$AA$32:$AG$32"}</definedName>
    <definedName name="PPRA_2" hidden="1">{"'CptDifn'!$AA$32:$AG$32"}</definedName>
    <definedName name="PPSA2" localSheetId="20" hidden="1">{"'REL CUSTODIF'!$B$1:$H$72"}</definedName>
    <definedName name="PPSA2" hidden="1">{"'REL CUSTODIF'!$B$1:$H$72"}</definedName>
    <definedName name="PPUMO">#REF!</definedName>
    <definedName name="PPUMO_8" localSheetId="21">#REF!</definedName>
    <definedName name="PPUMO_8">#REF!</definedName>
    <definedName name="PPUMO_9" localSheetId="21">#REF!</definedName>
    <definedName name="PPUMO_9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CO">#REF!</definedName>
    <definedName name="PREÇO_ETE">#REF!</definedName>
    <definedName name="Preço_Improd.">#REF!</definedName>
    <definedName name="PREÇO_LEVE">#REF!</definedName>
    <definedName name="Preço_parcial">#REF!</definedName>
    <definedName name="PREÇO_PESADO">#REF!</definedName>
    <definedName name="PREÇO_PREF">#REF!="S"</definedName>
    <definedName name="Preço_prod.">#REF!</definedName>
    <definedName name="PREÇO_REDE" localSheetId="21">#REF!</definedName>
    <definedName name="PREÇO_REDE">[94]Planejamento!#REF!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'[190]BD Equip.'!$A$1:$B$263</definedName>
    <definedName name="PRECP">#REF!</definedName>
    <definedName name="PRECREV">#REF!</definedName>
    <definedName name="PREFEITO" localSheetId="21">#REF!</definedName>
    <definedName name="PREFEITO">'[94]Vínculos (Não Mexer)'!$G$38</definedName>
    <definedName name="PREGO">[15]DADOS!$C$18</definedName>
    <definedName name="premissas" hidden="1">#REF!</definedName>
    <definedName name="PREMN">#REF!</definedName>
    <definedName name="Pres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2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2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visao" localSheetId="20" hidden="1">{"'Índice'!$A$1:$K$49"}</definedName>
    <definedName name="Previsao" hidden="1">{"'Índice'!$A$1:$K$49"}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meiraCamadaFinal">#REF!</definedName>
    <definedName name="PRINC.">#REF!</definedName>
    <definedName name="Print" localSheetId="20">#REF!</definedName>
    <definedName name="Print" localSheetId="21">#REF!</definedName>
    <definedName name="Print" localSheetId="1">[191]QuQuant!#REF!</definedName>
    <definedName name="Print">[191]QuQuant!#REF!</definedName>
    <definedName name="Print_1">[192]QuQuant!#REF!</definedName>
    <definedName name="Print_10">[62]QuQuant!#REF!</definedName>
    <definedName name="Print_11">[193]QuQuant!#REF!</definedName>
    <definedName name="Print_12">[62]QuQuant!#REF!</definedName>
    <definedName name="Print_13">[193]QuQuant!#REF!</definedName>
    <definedName name="Print_15">[193]QuQuant!#REF!</definedName>
    <definedName name="Print_2">[192]QuQuant!#REF!</definedName>
    <definedName name="Print_3">[62]QuQuant!#REF!</definedName>
    <definedName name="Print_4" localSheetId="21">#REF!</definedName>
    <definedName name="Print_4">[192]QuQuant!#REF!</definedName>
    <definedName name="Print_4_11">[38]QuQuant!#REF!</definedName>
    <definedName name="Print_4_15">[194]QuQuant!#REF!</definedName>
    <definedName name="Print_5">[195]QuQuant!#REF!</definedName>
    <definedName name="Print_6">[195]QuQuant!#REF!</definedName>
    <definedName name="Print_7">[195]QuQuant!#REF!</definedName>
    <definedName name="Print_8">[193]QuQuant!#REF!</definedName>
    <definedName name="Print_9">[62]QuQuant!#REF!</definedName>
    <definedName name="Print_Area_1">#REF!</definedName>
    <definedName name="Print_Area_MI" localSheetId="21">#REF!</definedName>
    <definedName name="Print_Area_MI" localSheetId="1">#REF!</definedName>
    <definedName name="Print_Area_MI">#REF!</definedName>
    <definedName name="Print_Area_MI_1">#REF!</definedName>
    <definedName name="Print_Area_MI_1_1">#REF!</definedName>
    <definedName name="Print_Area_MI_1_10">#REF!</definedName>
    <definedName name="Print_Area_MI_1_12">#REF!</definedName>
    <definedName name="Print_Area_MI_1_9">#REF!</definedName>
    <definedName name="Print_Area_MI_10">#REF!</definedName>
    <definedName name="Print_Area_MI_11">"$#REF!.$A$8:$G$165"</definedName>
    <definedName name="Print_Area_MI_12">#REF!</definedName>
    <definedName name="Print_Area_MI_13">#REF!</definedName>
    <definedName name="Print_Area_MI_14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3">#REF!</definedName>
    <definedName name="Print_Area_MI_3_1">#REF!</definedName>
    <definedName name="Print_Area_MI_3_10">#REF!</definedName>
    <definedName name="Print_Area_MI_3_12">#REF!</definedName>
    <definedName name="Print_Area_MI_3_9">#REF!</definedName>
    <definedName name="Print_Area_MI_4">#REF!</definedName>
    <definedName name="Print_Area_MI_4_11">#REF!</definedName>
    <definedName name="Print_Area_MI_4_15">#REF!</definedName>
    <definedName name="Print_Area_MI_5">#REF!</definedName>
    <definedName name="Print_Area_MI_6">#REF!</definedName>
    <definedName name="Print_Area_MI_7">#REF!</definedName>
    <definedName name="Print_Area_MI_8">#REF!</definedName>
    <definedName name="Print_Area_MI_9">#REF!</definedName>
    <definedName name="Print_area_MI2">#REF!</definedName>
    <definedName name="Print_Area_MII">#REF!</definedName>
    <definedName name="Print_Titles_MI">#REF!</definedName>
    <definedName name="PRINT_TITLES_MI_1">#REF!</definedName>
    <definedName name="PRINT_TITLES_MI_10">#REF!</definedName>
    <definedName name="PRINT_TITLES_MI_11">"$#REF!.$A$1:$IV$7"</definedName>
    <definedName name="PRINT_TITLES_MI_12">#REF!</definedName>
    <definedName name="PRINT_TITLES_MI_13">#REF!</definedName>
    <definedName name="PRINT_TITLES_MI_14">#REF!</definedName>
    <definedName name="PRINT_TITLES_MI_15">#REF!</definedName>
    <definedName name="PRINT_TITLES_MI_19">#REF!</definedName>
    <definedName name="PRINT_TITLES_MI_2">#REF!</definedName>
    <definedName name="PRINT_TITLES_MI_3">#REF!</definedName>
    <definedName name="PRINT_TITLES_MI_3_1">#REF!</definedName>
    <definedName name="PRINT_TITLES_MI_3_10">#REF!</definedName>
    <definedName name="PRINT_TITLES_MI_3_12">#REF!</definedName>
    <definedName name="PRINT_TITLES_MI_3_9">#REF!</definedName>
    <definedName name="PRINT_TITLES_MI_4">#REF!</definedName>
    <definedName name="PRINT_TITLES_MI_9">#REF!</definedName>
    <definedName name="PRINT_TITLES_MII">#REF!</definedName>
    <definedName name="priordefinit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M1C">#REF!</definedName>
    <definedName name="PRMN">#REF!</definedName>
    <definedName name="PROC_BAIRROS" localSheetId="21">#REF!</definedName>
    <definedName name="PROC_BAIRROS">[55]Listas!$O$8:$P$41</definedName>
    <definedName name="PROC_EMPREITEIRAS" localSheetId="21">#REF!</definedName>
    <definedName name="PROC_EMPREITEIRAS">[55]Listas!$R$8:$S$41</definedName>
    <definedName name="PROC_MEDIÇÕES" localSheetId="21">#REF!</definedName>
    <definedName name="PROC_MEDIÇÕES">[55]Listas!$D$8:$M$41</definedName>
    <definedName name="Prod" localSheetId="20" hidden="1">{"'IndicadoresRH'!$AA$50:$AP$67"}</definedName>
    <definedName name="Prod" hidden="1">{"'IndicadoresRH'!$AA$50:$AP$67"}</definedName>
    <definedName name="PROD_1" localSheetId="20" hidden="1">{#N/A,#N/A,TRUE,"Serviços"}</definedName>
    <definedName name="PROD_1" localSheetId="21">{#N/A,#N/A,TRUE,"Serviços"}</definedName>
    <definedName name="PROD_1" localSheetId="2" hidden="1">{#N/A,#N/A,TRUE,"Serviços"}</definedName>
    <definedName name="PROD_1" hidden="1">{#N/A,#N/A,TRUE,"Serviços"}</definedName>
    <definedName name="PROD_1_1" localSheetId="20">{#N/A,#N/A,TRUE,"Serviços"}</definedName>
    <definedName name="PROD_1_1" localSheetId="21">{#N/A,#N/A,TRUE,"Serviços"}</definedName>
    <definedName name="PROD_1_1">{#N/A,#N/A,TRUE,"Serviços"}</definedName>
    <definedName name="PROD_11" localSheetId="20" hidden="1">{#N/A,#N/A,TRUE,"Serviços"}</definedName>
    <definedName name="PROD_11" localSheetId="2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 localSheetId="20" hidden="1">{"'REL CUSTODIF'!$B$1:$H$72"}</definedName>
    <definedName name="produção" localSheetId="21">#REF!</definedName>
    <definedName name="produção">#REF!</definedName>
    <definedName name="produçao1">#REF!</definedName>
    <definedName name="PRODUCAO364">#REF!</definedName>
    <definedName name="PRODUCAO364_1">#REF!</definedName>
    <definedName name="ProdutosANP">_xlfn.UNIQUE(#REF!)</definedName>
    <definedName name="Prog.Excel._Set" localSheetId="20" hidden="1">{"'teste'!$B$2:$R$49"}</definedName>
    <definedName name="Prog.Excel._Set" hidden="1">{"'teste'!$B$2:$R$49"}</definedName>
    <definedName name="Prog.Excel._Set_1" localSheetId="20" hidden="1">{"'teste'!$B$2:$R$49"}</definedName>
    <definedName name="Prog.Excel._Set_1" hidden="1">{"'teste'!$B$2:$R$49"}</definedName>
    <definedName name="Prog.Excel._Set_1_1" localSheetId="20" hidden="1">{"'teste'!$B$2:$R$49"}</definedName>
    <definedName name="Prog.Excel._Set_1_1" hidden="1">{"'teste'!$B$2:$R$49"}</definedName>
    <definedName name="Prog.Excel._Set_1_1_1" localSheetId="20" hidden="1">{"'teste'!$B$2:$R$49"}</definedName>
    <definedName name="Prog.Excel._Set_1_1_1" hidden="1">{"'teste'!$B$2:$R$49"}</definedName>
    <definedName name="Prog.Excel._Set_1_2" localSheetId="20" hidden="1">{"'teste'!$B$2:$R$49"}</definedName>
    <definedName name="Prog.Excel._Set_1_2" hidden="1">{"'teste'!$B$2:$R$49"}</definedName>
    <definedName name="Prog.Excel._Set_2" localSheetId="20" hidden="1">{"'teste'!$B$2:$R$49"}</definedName>
    <definedName name="Prog.Excel._Set_2" hidden="1">{"'teste'!$B$2:$R$49"}</definedName>
    <definedName name="PROGRAMA">#REF!</definedName>
    <definedName name="Programado" localSheetId="20" hidden="1">{"'teste'!$B$2:$R$49"}</definedName>
    <definedName name="Programado" hidden="1">{"'teste'!$B$2:$R$49"}</definedName>
    <definedName name="Programado_1" localSheetId="20" hidden="1">{"'teste'!$B$2:$R$49"}</definedName>
    <definedName name="Programado_1" hidden="1">{"'teste'!$B$2:$R$49"}</definedName>
    <definedName name="Programado_1_1" localSheetId="20" hidden="1">{"'teste'!$B$2:$R$49"}</definedName>
    <definedName name="Programado_1_1" hidden="1">{"'teste'!$B$2:$R$49"}</definedName>
    <definedName name="Programado_1_1_1" localSheetId="20" hidden="1">{"'teste'!$B$2:$R$49"}</definedName>
    <definedName name="Programado_1_1_1" hidden="1">{"'teste'!$B$2:$R$49"}</definedName>
    <definedName name="Programado_1_2" localSheetId="20" hidden="1">{"'teste'!$B$2:$R$49"}</definedName>
    <definedName name="Programado_1_2" hidden="1">{"'teste'!$B$2:$R$49"}</definedName>
    <definedName name="Programado_2" localSheetId="20" hidden="1">{"'teste'!$B$2:$R$49"}</definedName>
    <definedName name="Programado_2" hidden="1">{"'teste'!$B$2:$R$49"}</definedName>
    <definedName name="PROJETO">[196]PROJETO!$1:$1048576</definedName>
    <definedName name="PROJETO_10">[196]PROJETO!$1:$1048576</definedName>
    <definedName name="PROJETO_17">[196]PROJETO!$1:$1048576</definedName>
    <definedName name="PROJETO_6">[196]PROJETO!$1:$1048576</definedName>
    <definedName name="PROJETO_7">[196]PROJETO!$1:$1048576</definedName>
    <definedName name="PROJETO_8">[196]PROJETO!$1:$1048576</definedName>
    <definedName name="PROJETO_9">[196]PROJETO!$1:$1048576</definedName>
    <definedName name="PROMZ">#REF!</definedName>
    <definedName name="PROP1" localSheetId="20" hidden="1">{#N/A,#N/A,FALSE,"EXPORTAC";#N/A,#N/A,FALSE,"SUPEL94"}</definedName>
    <definedName name="PROP1" hidden="1">{#N/A,#N/A,FALSE,"EXPORTAC";#N/A,#N/A,FALSE,"SUPEL94"}</definedName>
    <definedName name="PROP1_1" localSheetId="20" hidden="1">{#N/A,#N/A,FALSE,"EXPORTAC";#N/A,#N/A,FALSE,"SUPEL94"}</definedName>
    <definedName name="PROP1_1" hidden="1">{#N/A,#N/A,FALSE,"EXPORTAC";#N/A,#N/A,FALSE,"SUPEL94"}</definedName>
    <definedName name="PROP1_1_1" localSheetId="20" hidden="1">{#N/A,#N/A,FALSE,"EXPORTAC";#N/A,#N/A,FALSE,"SUPEL94"}</definedName>
    <definedName name="PROP1_1_1" hidden="1">{#N/A,#N/A,FALSE,"EXPORTAC";#N/A,#N/A,FALSE,"SUPEL94"}</definedName>
    <definedName name="PROP1_1_1_1" localSheetId="20" hidden="1">{#N/A,#N/A,FALSE,"EXPORTAC";#N/A,#N/A,FALSE,"SUPEL94"}</definedName>
    <definedName name="PROP1_1_1_1" hidden="1">{#N/A,#N/A,FALSE,"EXPORTAC";#N/A,#N/A,FALSE,"SUPEL94"}</definedName>
    <definedName name="PROP1_1_2" localSheetId="20" hidden="1">{#N/A,#N/A,FALSE,"EXPORTAC";#N/A,#N/A,FALSE,"SUPEL94"}</definedName>
    <definedName name="PROP1_1_2" hidden="1">{#N/A,#N/A,FALSE,"EXPORTAC";#N/A,#N/A,FALSE,"SUPEL94"}</definedName>
    <definedName name="PROP1_2" localSheetId="20" hidden="1">{#N/A,#N/A,FALSE,"EXPORTAC";#N/A,#N/A,FALSE,"SUPEL94"}</definedName>
    <definedName name="PROP1_2" hidden="1">{#N/A,#N/A,FALSE,"EXPORTAC";#N/A,#N/A,FALSE,"SUPEL94"}</definedName>
    <definedName name="PROP3" localSheetId="20" hidden="1">{#N/A,#N/A,FALSE,"GQGEMPRE"}</definedName>
    <definedName name="PROP3" hidden="1">{#N/A,#N/A,FALSE,"GQGEMPRE"}</definedName>
    <definedName name="PROP3_1" localSheetId="20" hidden="1">{#N/A,#N/A,FALSE,"GQGEMPRE"}</definedName>
    <definedName name="PROP3_1" hidden="1">{#N/A,#N/A,FALSE,"GQGEMPRE"}</definedName>
    <definedName name="PROP3_1_1" localSheetId="20" hidden="1">{#N/A,#N/A,FALSE,"GQGEMPRE"}</definedName>
    <definedName name="PROP3_1_1" hidden="1">{#N/A,#N/A,FALSE,"GQGEMPRE"}</definedName>
    <definedName name="PROP3_1_1_1" localSheetId="20" hidden="1">{#N/A,#N/A,FALSE,"GQGEMPRE"}</definedName>
    <definedName name="PROP3_1_1_1" hidden="1">{#N/A,#N/A,FALSE,"GQGEMPRE"}</definedName>
    <definedName name="PROP3_1_2" localSheetId="20" hidden="1">{#N/A,#N/A,FALSE,"GQGEMPRE"}</definedName>
    <definedName name="PROP3_1_2" hidden="1">{#N/A,#N/A,FALSE,"GQGEMPRE"}</definedName>
    <definedName name="PROP3_2" localSheetId="20" hidden="1">{#N/A,#N/A,FALSE,"GQGEMPRE"}</definedName>
    <definedName name="PROP3_2" hidden="1">{#N/A,#N/A,FALSE,"GQGEMPRE"}</definedName>
    <definedName name="PROP4" localSheetId="20" hidden="1">{#N/A,#N/A,FALSE,"EXPORTAC";#N/A,#N/A,FALSE,"SUPEL94"}</definedName>
    <definedName name="PROP4" hidden="1">{#N/A,#N/A,FALSE,"EXPORTAC";#N/A,#N/A,FALSE,"SUPEL94"}</definedName>
    <definedName name="PROP4_1" localSheetId="20" hidden="1">{#N/A,#N/A,FALSE,"EXPORTAC";#N/A,#N/A,FALSE,"SUPEL94"}</definedName>
    <definedName name="PROP4_1" hidden="1">{#N/A,#N/A,FALSE,"EXPORTAC";#N/A,#N/A,FALSE,"SUPEL94"}</definedName>
    <definedName name="PROP4_1_1" localSheetId="20" hidden="1">{#N/A,#N/A,FALSE,"EXPORTAC";#N/A,#N/A,FALSE,"SUPEL94"}</definedName>
    <definedName name="PROP4_1_1" hidden="1">{#N/A,#N/A,FALSE,"EXPORTAC";#N/A,#N/A,FALSE,"SUPEL94"}</definedName>
    <definedName name="PROP4_1_1_1" localSheetId="20" hidden="1">{#N/A,#N/A,FALSE,"EXPORTAC";#N/A,#N/A,FALSE,"SUPEL94"}</definedName>
    <definedName name="PROP4_1_1_1" hidden="1">{#N/A,#N/A,FALSE,"EXPORTAC";#N/A,#N/A,FALSE,"SUPEL94"}</definedName>
    <definedName name="PROP4_1_2" localSheetId="20" hidden="1">{#N/A,#N/A,FALSE,"EXPORTAC";#N/A,#N/A,FALSE,"SUPEL94"}</definedName>
    <definedName name="PROP4_1_2" hidden="1">{#N/A,#N/A,FALSE,"EXPORTAC";#N/A,#N/A,FALSE,"SUPEL94"}</definedName>
    <definedName name="PROP4_2" localSheetId="20" hidden="1">{#N/A,#N/A,FALSE,"EXPORTAC";#N/A,#N/A,FALSE,"SUPEL94"}</definedName>
    <definedName name="PROP4_2" hidden="1">{#N/A,#N/A,FALSE,"EXPORTAC";#N/A,#N/A,FALSE,"SUPEL94"}</definedName>
    <definedName name="proposta" localSheetId="20" hidden="1">{"'Quadro'!$A$4:$BG$78"}</definedName>
    <definedName name="proposta" hidden="1">{"'Quadro'!$A$4:$BG$78"}</definedName>
    <definedName name="proposta_1" localSheetId="20" hidden="1">{"'Quadro'!$A$4:$BG$78"}</definedName>
    <definedName name="proposta_1" hidden="1">{"'Quadro'!$A$4:$BG$78"}</definedName>
    <definedName name="proposta_1_1" localSheetId="20" hidden="1">{"'Quadro'!$A$4:$BG$78"}</definedName>
    <definedName name="proposta_1_1" hidden="1">{"'Quadro'!$A$4:$BG$78"}</definedName>
    <definedName name="proposta_1_1_1" localSheetId="20" hidden="1">{"'Quadro'!$A$4:$BG$78"}</definedName>
    <definedName name="proposta_1_1_1" hidden="1">{"'Quadro'!$A$4:$BG$78"}</definedName>
    <definedName name="proposta_1_2" localSheetId="20" hidden="1">{"'Quadro'!$A$4:$BG$78"}</definedName>
    <definedName name="proposta_1_2" hidden="1">{"'Quadro'!$A$4:$BG$78"}</definedName>
    <definedName name="proposta_2" localSheetId="20" hidden="1">{"'Quadro'!$A$4:$BG$78"}</definedName>
    <definedName name="proposta_2" hidden="1">{"'Quadro'!$A$4:$BG$78"}</definedName>
    <definedName name="Proprietário" localSheetId="20">NÃO.DISP()</definedName>
    <definedName name="Proprietário" localSheetId="21">NA()</definedName>
    <definedName name="Proprietário">NA()</definedName>
    <definedName name="prot.ambient">#REF!</definedName>
    <definedName name="prot.ambient_1">#REF!</definedName>
    <definedName name="prot.ambient_10">#REF!</definedName>
    <definedName name="prot.ambient_12">#REF!</definedName>
    <definedName name="prot.ambient_2">#REF!</definedName>
    <definedName name="prot.ambient_3">#REF!</definedName>
    <definedName name="prot.ambient_4">#REF!</definedName>
    <definedName name="prot.ambient_9">#REF!</definedName>
    <definedName name="ProteçãoAmbiental">'[144]Medição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A" localSheetId="20" hidden="1">{"'CptDifn'!$AA$32:$AG$32"}</definedName>
    <definedName name="PRRA" hidden="1">{"'CptDifn'!$AA$32:$AG$32"}</definedName>
    <definedName name="PRRA_1" localSheetId="20" hidden="1">{"'CptDifn'!$AA$32:$AG$32"}</definedName>
    <definedName name="PRRA_1" hidden="1">{"'CptDifn'!$AA$32:$AG$32"}</definedName>
    <definedName name="PRRA_1_1" localSheetId="20" hidden="1">{"'CptDifn'!$AA$32:$AG$32"}</definedName>
    <definedName name="PRRA_1_1" hidden="1">{"'CptDifn'!$AA$32:$AG$32"}</definedName>
    <definedName name="PRRA_1_1_1" localSheetId="20" hidden="1">{"'CptDifn'!$AA$32:$AG$32"}</definedName>
    <definedName name="PRRA_1_1_1" hidden="1">{"'CptDifn'!$AA$32:$AG$32"}</definedName>
    <definedName name="PRRA_1_2" localSheetId="20" hidden="1">{"'CptDifn'!$AA$32:$AG$32"}</definedName>
    <definedName name="PRRA_1_2" hidden="1">{"'CptDifn'!$AA$32:$AG$32"}</definedName>
    <definedName name="PRRA_2" localSheetId="20" hidden="1">{"'CptDifn'!$AA$32:$AG$32"}</definedName>
    <definedName name="PRRA_2" hidden="1">{"'CptDifn'!$AA$32:$AG$32"}</definedName>
    <definedName name="PRRP">#REF!</definedName>
    <definedName name="prs" localSheetId="2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Z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ERVENTE">#NAME?</definedName>
    <definedName name="PSERVENTE_1">#REF!</definedName>
    <definedName name="PSERVIÇOS">#REF!</definedName>
    <definedName name="PSERVIÇOS_1">#REF!</definedName>
    <definedName name="PSINAL">#REF!</definedName>
    <definedName name="PST">#REF!</definedName>
    <definedName name="pt">#REF!</definedName>
    <definedName name="PTB">#REF!</definedName>
    <definedName name="PTB10.1">[16]PATO!#REF!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 localSheetId="2">RESUMO!pte</definedName>
    <definedName name="pte">pte</definedName>
    <definedName name="pte_38" localSheetId="2">RESUMO!pte_38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ROUND([197]Planilha!$D1*[197]Planilha!$E1,2)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">#REF!</definedName>
    <definedName name="pu_1" localSheetId="20" hidden="1">{"'CptDifn'!$AA$32:$AG$32"}</definedName>
    <definedName name="pu_1" hidden="1">{"'CptDifn'!$AA$32:$AG$32"}</definedName>
    <definedName name="pu_1_1" localSheetId="20" hidden="1">{"'CptDifn'!$AA$32:$AG$32"}</definedName>
    <definedName name="pu_1_1" hidden="1">{"'CptDifn'!$AA$32:$AG$32"}</definedName>
    <definedName name="pu_1_1_1" localSheetId="20" hidden="1">{"'CptDifn'!$AA$32:$AG$32"}</definedName>
    <definedName name="pu_1_1_1" hidden="1">{"'CptDifn'!$AA$32:$AG$32"}</definedName>
    <definedName name="pu_1_2" localSheetId="20" hidden="1">{"'CptDifn'!$AA$32:$AG$32"}</definedName>
    <definedName name="pu_1_2" hidden="1">{"'CptDifn'!$AA$32:$AG$32"}</definedName>
    <definedName name="pu_2" localSheetId="20" hidden="1">{"'CptDifn'!$AA$32:$AG$32"}</definedName>
    <definedName name="pu_2" hidden="1">{"'CptDifn'!$AA$32:$AG$32"}</definedName>
    <definedName name="PU_8" localSheetId="21">#REF!</definedName>
    <definedName name="PU_8">#REF!</definedName>
    <definedName name="PU_9" localSheetId="21">#REF!</definedName>
    <definedName name="PU_9">#REF!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i" localSheetId="20" hidden="1">{"'gráf jan00'!$A$1:$AK$41"}</definedName>
    <definedName name="pui" hidden="1">{"'gráf jan00'!$A$1:$AK$41"}</definedName>
    <definedName name="pui_1" localSheetId="20" hidden="1">{"'gráf jan00'!$A$1:$AK$41"}</definedName>
    <definedName name="pui_1" hidden="1">{"'gráf jan00'!$A$1:$AK$41"}</definedName>
    <definedName name="pui_1_1" localSheetId="20" hidden="1">{"'gráf jan00'!$A$1:$AK$41"}</definedName>
    <definedName name="pui_1_1" hidden="1">{"'gráf jan00'!$A$1:$AK$41"}</definedName>
    <definedName name="pui_1_1_1" localSheetId="20" hidden="1">{"'gráf jan00'!$A$1:$AK$41"}</definedName>
    <definedName name="pui_1_1_1" hidden="1">{"'gráf jan00'!$A$1:$AK$41"}</definedName>
    <definedName name="pui_1_2" localSheetId="20" hidden="1">{"'gráf jan00'!$A$1:$AK$41"}</definedName>
    <definedName name="pui_1_2" hidden="1">{"'gráf jan00'!$A$1:$AK$41"}</definedName>
    <definedName name="pui_2" localSheetId="20" hidden="1">{"'gráf jan00'!$A$1:$AK$41"}</definedName>
    <definedName name="pui_2" hidden="1">{"'gráf jan00'!$A$1:$AK$41"}</definedName>
    <definedName name="pulverulento">#N/A</definedName>
    <definedName name="PUM">#REF!</definedName>
    <definedName name="PUM_8" localSheetId="21">#REF!</definedName>
    <definedName name="PUM_8">#REF!</definedName>
    <definedName name="PUM_9" localSheetId="21">#REF!</definedName>
    <definedName name="PUM_9">#REF!</definedName>
    <definedName name="pum405_1">#REF!</definedName>
    <definedName name="pum406_1">#REF!</definedName>
    <definedName name="pum609_1">#REF!</definedName>
    <definedName name="pum969_1">#REF!</definedName>
    <definedName name="PUMO">#REF!</definedName>
    <definedName name="PUMO_8" localSheetId="21">#REF!</definedName>
    <definedName name="PUMO_8">#REF!</definedName>
    <definedName name="PUMO_9" localSheetId="21">#REF!</definedName>
    <definedName name="PUMO_9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PV_10_AN">#REF!</definedName>
    <definedName name="PV_10_AT">#REF!</definedName>
    <definedName name="PV_15_AN">#REF!</definedName>
    <definedName name="PV_15_AT">#REF!</definedName>
    <definedName name="PV_20_AN">#REF!</definedName>
    <definedName name="PV_20_AT">#REF!</definedName>
    <definedName name="PV_25_AN">#REF!</definedName>
    <definedName name="PV_25_AT">#REF!</definedName>
    <definedName name="PV_30_AN">#REF!</definedName>
    <definedName name="PV_30_AT">#REF!</definedName>
    <definedName name="PV_35_AN">#REF!</definedName>
    <definedName name="PV_35_AT">#REF!</definedName>
    <definedName name="PV_40_AN">#REF!</definedName>
    <definedName name="PV_40_AT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 localSheetId="21">SUM(#REF!)</definedName>
    <definedName name="PV_ATÉ_2_AN">SUM([94]Vínculos!$H$143:$H$145)</definedName>
    <definedName name="PV_ATÉ_2_AT" localSheetId="21">SUM(#REF!)</definedName>
    <definedName name="PV_ATÉ_2_AT">SUM([94]Vínculos!$G$143:$G$145)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X" localSheetId="20" hidden="1">{#N/A,#N/A,FALSE,"RELATÓRIO";#N/A,#N/A,FALSE,"RELATÓRIO"}</definedName>
    <definedName name="PX" hidden="1">{#N/A,#N/A,FALSE,"RELATÓRIO";#N/A,#N/A,FALSE,"RELATÓRIO"}</definedName>
    <definedName name="PX_1" localSheetId="20" hidden="1">{#N/A,#N/A,FALSE,"RELATÓRIO";#N/A,#N/A,FALSE,"RELATÓRIO"}</definedName>
    <definedName name="PX_1" hidden="1">{#N/A,#N/A,FALSE,"RELATÓRIO";#N/A,#N/A,FALSE,"RELATÓRIO"}</definedName>
    <definedName name="PX_1_1" localSheetId="20" hidden="1">{#N/A,#N/A,FALSE,"RELATÓRIO";#N/A,#N/A,FALSE,"RELATÓRIO"}</definedName>
    <definedName name="PX_1_1" hidden="1">{#N/A,#N/A,FALSE,"RELATÓRIO";#N/A,#N/A,FALSE,"RELATÓRIO"}</definedName>
    <definedName name="PX_1_1_1" localSheetId="20" hidden="1">{#N/A,#N/A,FALSE,"RELATÓRIO";#N/A,#N/A,FALSE,"RELATÓRIO"}</definedName>
    <definedName name="PX_1_1_1" hidden="1">{#N/A,#N/A,FALSE,"RELATÓRIO";#N/A,#N/A,FALSE,"RELATÓRIO"}</definedName>
    <definedName name="PX_1_2" localSheetId="20" hidden="1">{#N/A,#N/A,FALSE,"RELATÓRIO";#N/A,#N/A,FALSE,"RELATÓRIO"}</definedName>
    <definedName name="PX_1_2" hidden="1">{#N/A,#N/A,FALSE,"RELATÓRIO";#N/A,#N/A,FALSE,"RELATÓRIO"}</definedName>
    <definedName name="PX_2" localSheetId="20" hidden="1">{#N/A,#N/A,FALSE,"RELATÓRIO";#N/A,#N/A,FALSE,"RELATÓRIO"}</definedName>
    <definedName name="PX_2" hidden="1">{#N/A,#N/A,FALSE,"RELATÓRIO";#N/A,#N/A,FALSE,"RELATÓRIO"}</definedName>
    <definedName name="Q" localSheetId="21">#REF!</definedName>
    <definedName name="Q">[34]!Q</definedName>
    <definedName name="q_1">#REF!</definedName>
    <definedName name="q_11">[63]PROJETO!#REF!</definedName>
    <definedName name="q_12">[63]PROJETO!#REF!</definedName>
    <definedName name="q_13">[63]PROJETO!#REF!</definedName>
    <definedName name="q_15">[63]PROJETO!#REF!</definedName>
    <definedName name="q_2">[63]PROJETO!#REF!</definedName>
    <definedName name="q_4">[63]PROJETO!#REF!</definedName>
    <definedName name="q_5">[63]PROJETO!#REF!</definedName>
    <definedName name="q_6">[63]PROJETO!#REF!</definedName>
    <definedName name="q_7">[63]PROJETO!#REF!</definedName>
    <definedName name="q_8">[63]PROJETO!#REF!</definedName>
    <definedName name="q_9">[63]PROJETO!#REF!</definedName>
    <definedName name="Q913m123">#REF!</definedName>
    <definedName name="qa" hidden="1">#REF!</definedName>
    <definedName name="qa_1" localSheetId="20" hidden="1">{"'CptDifn'!$AA$32:$AG$32"}</definedName>
    <definedName name="qa_1" hidden="1">{"'CptDifn'!$AA$32:$AG$32"}</definedName>
    <definedName name="qa_1_1" localSheetId="20" hidden="1">{"'CptDifn'!$AA$32:$AG$32"}</definedName>
    <definedName name="qa_1_1" hidden="1">{"'CptDifn'!$AA$32:$AG$32"}</definedName>
    <definedName name="qa_1_1_1" localSheetId="20" hidden="1">{"'CptDifn'!$AA$32:$AG$32"}</definedName>
    <definedName name="qa_1_1_1" hidden="1">{"'CptDifn'!$AA$32:$AG$32"}</definedName>
    <definedName name="qa_1_2" localSheetId="20" hidden="1">{"'CptDifn'!$AA$32:$AG$32"}</definedName>
    <definedName name="qa_1_2" hidden="1">{"'CptDifn'!$AA$32:$AG$32"}</definedName>
    <definedName name="qa_2" localSheetId="20" hidden="1">{"'CptDifn'!$AA$32:$AG$32"}</definedName>
    <definedName name="qa_2" hidden="1">{"'CptDifn'!$AA$32:$AG$32"}</definedName>
    <definedName name="QAZ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A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az_1" localSheetId="20" hidden="1">{"'gráf jan00'!$A$1:$AK$41"}</definedName>
    <definedName name="qaz_1" hidden="1">{"'gráf jan00'!$A$1:$AK$41"}</definedName>
    <definedName name="qaz_1_1" localSheetId="20" hidden="1">{"'gráf jan00'!$A$1:$AK$41"}</definedName>
    <definedName name="qaz_1_1" hidden="1">{"'gráf jan00'!$A$1:$AK$41"}</definedName>
    <definedName name="qaz_1_1_1" localSheetId="20" hidden="1">{"'gráf jan00'!$A$1:$AK$41"}</definedName>
    <definedName name="qaz_1_1_1" hidden="1">{"'gráf jan00'!$A$1:$AK$41"}</definedName>
    <definedName name="qaz_1_2" localSheetId="20" hidden="1">{"'gráf jan00'!$A$1:$AK$41"}</definedName>
    <definedName name="qaz_1_2" hidden="1">{"'gráf jan00'!$A$1:$AK$41"}</definedName>
    <definedName name="qaz_2" localSheetId="20" hidden="1">{"'gráf jan00'!$A$1:$AK$41"}</definedName>
    <definedName name="qaz_2" hidden="1">{"'gráf jan00'!$A$1:$AK$41"}</definedName>
    <definedName name="qb" localSheetId="20" hidden="1">{"'CptDifn'!$AA$32:$AG$32"}</definedName>
    <definedName name="qb" hidden="1">{"'CptDifn'!$AA$32:$AG$32"}</definedName>
    <definedName name="qb_1" localSheetId="20" hidden="1">{"'CptDifn'!$AA$32:$AG$32"}</definedName>
    <definedName name="qb_1" hidden="1">{"'CptDifn'!$AA$32:$AG$32"}</definedName>
    <definedName name="qb_1_1" localSheetId="20" hidden="1">{"'CptDifn'!$AA$32:$AG$32"}</definedName>
    <definedName name="qb_1_1" hidden="1">{"'CptDifn'!$AA$32:$AG$32"}</definedName>
    <definedName name="qb_1_1_1" localSheetId="20" hidden="1">{"'CptDifn'!$AA$32:$AG$32"}</definedName>
    <definedName name="qb_1_1_1" hidden="1">{"'CptDifn'!$AA$32:$AG$32"}</definedName>
    <definedName name="qb_1_2" localSheetId="20" hidden="1">{"'CptDifn'!$AA$32:$AG$32"}</definedName>
    <definedName name="qb_1_2" hidden="1">{"'CptDifn'!$AA$32:$AG$32"}</definedName>
    <definedName name="qb_2" localSheetId="20" hidden="1">{"'CptDifn'!$AA$32:$AG$32"}</definedName>
    <definedName name="qb_2" hidden="1">{"'CptDifn'!$AA$32:$AG$32"}</definedName>
    <definedName name="qc" localSheetId="20" hidden="1">{"'CptDifn'!$AA$32:$AG$32"}</definedName>
    <definedName name="qc" hidden="1">{"'CptDifn'!$AA$32:$AG$32"}</definedName>
    <definedName name="qc_1" localSheetId="20" hidden="1">{"'CptDifn'!$AA$32:$AG$32"}</definedName>
    <definedName name="qc_1" hidden="1">{"'CptDifn'!$AA$32:$AG$32"}</definedName>
    <definedName name="qc_1_1" localSheetId="20" hidden="1">{"'CptDifn'!$AA$32:$AG$32"}</definedName>
    <definedName name="qc_1_1" hidden="1">{"'CptDifn'!$AA$32:$AG$32"}</definedName>
    <definedName name="qc_1_1_1" localSheetId="20" hidden="1">{"'CptDifn'!$AA$32:$AG$32"}</definedName>
    <definedName name="qc_1_1_1" hidden="1">{"'CptDifn'!$AA$32:$AG$32"}</definedName>
    <definedName name="qc_1_2" localSheetId="20" hidden="1">{"'CptDifn'!$AA$32:$AG$32"}</definedName>
    <definedName name="qc_1_2" hidden="1">{"'CptDifn'!$AA$32:$AG$32"}</definedName>
    <definedName name="qc_2" localSheetId="20" hidden="1">{"'CptDifn'!$AA$32:$AG$32"}</definedName>
    <definedName name="qc_2" hidden="1">{"'CptDifn'!$AA$32:$AG$32"}</definedName>
    <definedName name="QD" localSheetId="21" hidden="1">#REF!</definedName>
    <definedName name="QD" hidden="1">#REF!</definedName>
    <definedName name="Qd.Comp.Miranda">#N/A</definedName>
    <definedName name="qd_1" localSheetId="20" hidden="1">{"'CptDifn'!$AA$32:$AG$32"}</definedName>
    <definedName name="qd_1" hidden="1">{"'CptDifn'!$AA$32:$AG$32"}</definedName>
    <definedName name="qd_1_1" localSheetId="20" hidden="1">{"'CptDifn'!$AA$32:$AG$32"}</definedName>
    <definedName name="qd_1_1" hidden="1">{"'CptDifn'!$AA$32:$AG$32"}</definedName>
    <definedName name="qd_1_1_1" localSheetId="20" hidden="1">{"'CptDifn'!$AA$32:$AG$32"}</definedName>
    <definedName name="qd_1_1_1" hidden="1">{"'CptDifn'!$AA$32:$AG$32"}</definedName>
    <definedName name="qd_1_2" localSheetId="20" hidden="1">{"'CptDifn'!$AA$32:$AG$32"}</definedName>
    <definedName name="qd_1_2" hidden="1">{"'CptDifn'!$AA$32:$AG$32"}</definedName>
    <definedName name="qd_2" localSheetId="20" hidden="1">{"'CptDifn'!$AA$32:$AG$32"}</definedName>
    <definedName name="qd_2" hidden="1">{"'CptDifn'!$AA$32:$AG$32"}</definedName>
    <definedName name="QDM">#REF!</definedName>
    <definedName name="QEC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RTT" localSheetId="20" hidden="1">{#N/A,#N/A,FALSE,"ORC-ACKE";#N/A,#N/A,FALSE,"RESUMO"}</definedName>
    <definedName name="QERTT" hidden="1">{#N/A,#N/A,FALSE,"ORC-ACKE";#N/A,#N/A,FALSE,"RESUMO"}</definedName>
    <definedName name="qewqewq" localSheetId="20" hidden="1">{"'Ocorrência_que_Impactaram'!$A$1:$Q$43"}</definedName>
    <definedName name="qewqewq" hidden="1">{"'Ocorrência_que_Impactaram'!$A$1:$Q$43"}</definedName>
    <definedName name="qewqewq_1" localSheetId="20" hidden="1">{"'Ocorrência_que_Impactaram'!$A$1:$Q$43"}</definedName>
    <definedName name="qewqewq_1" hidden="1">{"'Ocorrência_que_Impactaram'!$A$1:$Q$43"}</definedName>
    <definedName name="qewqewq_1_1" localSheetId="20" hidden="1">{"'Ocorrência_que_Impactaram'!$A$1:$Q$43"}</definedName>
    <definedName name="qewqewq_1_1" hidden="1">{"'Ocorrência_que_Impactaram'!$A$1:$Q$43"}</definedName>
    <definedName name="qewqewq_1_1_1" localSheetId="20" hidden="1">{"'Ocorrência_que_Impactaram'!$A$1:$Q$43"}</definedName>
    <definedName name="qewqewq_1_1_1" hidden="1">{"'Ocorrência_que_Impactaram'!$A$1:$Q$43"}</definedName>
    <definedName name="qewqewq_1_2" localSheetId="20" hidden="1">{"'Ocorrência_que_Impactaram'!$A$1:$Q$43"}</definedName>
    <definedName name="qewqewq_1_2" hidden="1">{"'Ocorrência_que_Impactaram'!$A$1:$Q$43"}</definedName>
    <definedName name="qewqewq_2" localSheetId="20" hidden="1">{"'Ocorrência_que_Impactaram'!$A$1:$Q$43"}</definedName>
    <definedName name="qewqewq_2" hidden="1">{"'Ocorrência_que_Impactaram'!$A$1:$Q$43"}</definedName>
    <definedName name="QF">#REF!</definedName>
    <definedName name="qf_1" localSheetId="20" hidden="1">{"'CptDifn'!$AA$32:$AG$32"}</definedName>
    <definedName name="qf_1" hidden="1">{"'CptDifn'!$AA$32:$AG$32"}</definedName>
    <definedName name="qf_1_1" localSheetId="20" hidden="1">{"'CptDifn'!$AA$32:$AG$32"}</definedName>
    <definedName name="qf_1_1" hidden="1">{"'CptDifn'!$AA$32:$AG$32"}</definedName>
    <definedName name="qf_1_1_1" localSheetId="20" hidden="1">{"'CptDifn'!$AA$32:$AG$32"}</definedName>
    <definedName name="qf_1_1_1" hidden="1">{"'CptDifn'!$AA$32:$AG$32"}</definedName>
    <definedName name="qf_1_2" localSheetId="20" hidden="1">{"'CptDifn'!$AA$32:$AG$32"}</definedName>
    <definedName name="qf_1_2" hidden="1">{"'CptDifn'!$AA$32:$AG$32"}</definedName>
    <definedName name="qf_2" localSheetId="20" hidden="1">{"'CptDifn'!$AA$32:$AG$32"}</definedName>
    <definedName name="qf_2" hidden="1">{"'CptDifn'!$AA$32:$AG$32"}</definedName>
    <definedName name="QF_8" localSheetId="21">#REF!</definedName>
    <definedName name="QF_8">#REF!</definedName>
    <definedName name="QF_9" localSheetId="21">#REF!</definedName>
    <definedName name="QF_9">#REF!</definedName>
    <definedName name="qg" localSheetId="20" hidden="1">{"'CptDifn'!$AA$32:$AG$32"}</definedName>
    <definedName name="qg" hidden="1">{"'CptDifn'!$AA$32:$AG$32"}</definedName>
    <definedName name="qg_1" localSheetId="20" hidden="1">{"'CptDifn'!$AA$32:$AG$32"}</definedName>
    <definedName name="qg_1" hidden="1">{"'CptDifn'!$AA$32:$AG$32"}</definedName>
    <definedName name="qg_1_1" localSheetId="20" hidden="1">{"'CptDifn'!$AA$32:$AG$32"}</definedName>
    <definedName name="qg_1_1" hidden="1">{"'CptDifn'!$AA$32:$AG$32"}</definedName>
    <definedName name="qg_1_1_1" localSheetId="20" hidden="1">{"'CptDifn'!$AA$32:$AG$32"}</definedName>
    <definedName name="qg_1_1_1" hidden="1">{"'CptDifn'!$AA$32:$AG$32"}</definedName>
    <definedName name="qg_1_2" localSheetId="20" hidden="1">{"'CptDifn'!$AA$32:$AG$32"}</definedName>
    <definedName name="qg_1_2" hidden="1">{"'CptDifn'!$AA$32:$AG$32"}</definedName>
    <definedName name="qg_2" localSheetId="20" hidden="1">{"'CptDifn'!$AA$32:$AG$32"}</definedName>
    <definedName name="qg_2" hidden="1">{"'CptDifn'!$AA$32:$AG$32"}</definedName>
    <definedName name="qh">NA()</definedName>
    <definedName name="qh_1" localSheetId="20" hidden="1">{"'CptDifn'!$AA$32:$AG$32"}</definedName>
    <definedName name="qh_1" hidden="1">{"'CptDifn'!$AA$32:$AG$32"}</definedName>
    <definedName name="qh_1_1" localSheetId="20" hidden="1">{"'CptDifn'!$AA$32:$AG$32"}</definedName>
    <definedName name="qh_1_1" hidden="1">{"'CptDifn'!$AA$32:$AG$32"}</definedName>
    <definedName name="qh_1_1_1" localSheetId="20" hidden="1">{"'CptDifn'!$AA$32:$AG$32"}</definedName>
    <definedName name="qh_1_1_1" hidden="1">{"'CptDifn'!$AA$32:$AG$32"}</definedName>
    <definedName name="qh_1_2" localSheetId="20" hidden="1">{"'CptDifn'!$AA$32:$AG$32"}</definedName>
    <definedName name="qh_1_2" hidden="1">{"'CptDifn'!$AA$32:$AG$32"}</definedName>
    <definedName name="qh_2" localSheetId="20" hidden="1">{"'CptDifn'!$AA$32:$AG$32"}</definedName>
    <definedName name="qh_2" hidden="1">{"'CptDifn'!$AA$32:$AG$32"}</definedName>
    <definedName name="QI">#REF!</definedName>
    <definedName name="QI_8" localSheetId="21">#REF!</definedName>
    <definedName name="QI_8">#REF!</definedName>
    <definedName name="QI_9" localSheetId="21">#REF!</definedName>
    <definedName name="QI_9">#REF!</definedName>
    <definedName name="qj" localSheetId="20" hidden="1">{"'CptDifn'!$AA$32:$AG$32"}</definedName>
    <definedName name="qj" hidden="1">{"'CptDifn'!$AA$32:$AG$32"}</definedName>
    <definedName name="qj_1" localSheetId="20" hidden="1">{"'CptDifn'!$AA$32:$AG$32"}</definedName>
    <definedName name="qj_1" hidden="1">{"'CptDifn'!$AA$32:$AG$32"}</definedName>
    <definedName name="qj_1_1" localSheetId="20" hidden="1">{"'CptDifn'!$AA$32:$AG$32"}</definedName>
    <definedName name="qj_1_1" hidden="1">{"'CptDifn'!$AA$32:$AG$32"}</definedName>
    <definedName name="qj_1_1_1" localSheetId="20" hidden="1">{"'CptDifn'!$AA$32:$AG$32"}</definedName>
    <definedName name="qj_1_1_1" hidden="1">{"'CptDifn'!$AA$32:$AG$32"}</definedName>
    <definedName name="qj_1_2" localSheetId="20" hidden="1">{"'CptDifn'!$AA$32:$AG$32"}</definedName>
    <definedName name="qj_1_2" hidden="1">{"'CptDifn'!$AA$32:$AG$32"}</definedName>
    <definedName name="qj_2" localSheetId="20" hidden="1">{"'CptDifn'!$AA$32:$AG$32"}</definedName>
    <definedName name="qj_2" hidden="1">{"'CptDifn'!$AA$32:$AG$32"}</definedName>
    <definedName name="qk" localSheetId="20" hidden="1">{"'CptDifn'!$AA$32:$AG$32"}</definedName>
    <definedName name="qk" hidden="1">{"'CptDifn'!$AA$32:$AG$32"}</definedName>
    <definedName name="qk_1" localSheetId="20" hidden="1">{"'CptDifn'!$AA$32:$AG$32"}</definedName>
    <definedName name="qk_1" hidden="1">{"'CptDifn'!$AA$32:$AG$32"}</definedName>
    <definedName name="qk_1_1" localSheetId="20" hidden="1">{"'CptDifn'!$AA$32:$AG$32"}</definedName>
    <definedName name="qk_1_1" hidden="1">{"'CptDifn'!$AA$32:$AG$32"}</definedName>
    <definedName name="qk_1_1_1" localSheetId="20" hidden="1">{"'CptDifn'!$AA$32:$AG$32"}</definedName>
    <definedName name="qk_1_1_1" hidden="1">{"'CptDifn'!$AA$32:$AG$32"}</definedName>
    <definedName name="qk_1_2" localSheetId="20" hidden="1">{"'CptDifn'!$AA$32:$AG$32"}</definedName>
    <definedName name="qk_1_2" hidden="1">{"'CptDifn'!$AA$32:$AG$32"}</definedName>
    <definedName name="qk_2" localSheetId="20" hidden="1">{"'CptDifn'!$AA$32:$AG$32"}</definedName>
    <definedName name="qk_2" hidden="1">{"'CptDifn'!$AA$32:$AG$32"}</definedName>
    <definedName name="qm">NA()</definedName>
    <definedName name="qn" localSheetId="20" hidden="1">{"'CptDifn'!$AA$32:$AG$32"}</definedName>
    <definedName name="qn" hidden="1">{"'CptDifn'!$AA$32:$AG$32"}</definedName>
    <definedName name="qn_1" localSheetId="20" hidden="1">{"'CptDifn'!$AA$32:$AG$32"}</definedName>
    <definedName name="qn_1" hidden="1">{"'CptDifn'!$AA$32:$AG$32"}</definedName>
    <definedName name="qn_1_1" localSheetId="20" hidden="1">{"'CptDifn'!$AA$32:$AG$32"}</definedName>
    <definedName name="qn_1_1" hidden="1">{"'CptDifn'!$AA$32:$AG$32"}</definedName>
    <definedName name="qn_1_1_1" localSheetId="20" hidden="1">{"'CptDifn'!$AA$32:$AG$32"}</definedName>
    <definedName name="qn_1_1_1" hidden="1">{"'CptDifn'!$AA$32:$AG$32"}</definedName>
    <definedName name="qn_1_2" localSheetId="20" hidden="1">{"'CptDifn'!$AA$32:$AG$32"}</definedName>
    <definedName name="qn_1_2" hidden="1">{"'CptDifn'!$AA$32:$AG$32"}</definedName>
    <definedName name="qn_2" localSheetId="20" hidden="1">{"'CptDifn'!$AA$32:$AG$32"}</definedName>
    <definedName name="qn_2" hidden="1">{"'CptDifn'!$AA$32:$AG$32"}</definedName>
    <definedName name="qq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 localSheetId="21">#REF!</definedName>
    <definedName name="qq">'[40]CROQUIS DE DIST.'!qq</definedName>
    <definedName name="QQ_1" localSheetId="20" hidden="1">{"'gráf jan00'!$A$1:$AK$41"}</definedName>
    <definedName name="QQ_1" hidden="1">{"'gráf jan00'!$A$1:$AK$41"}</definedName>
    <definedName name="QQ_1_1" localSheetId="20" hidden="1">{"'gráf jan00'!$A$1:$AK$41"}</definedName>
    <definedName name="QQ_1_1" hidden="1">{"'gráf jan00'!$A$1:$AK$41"}</definedName>
    <definedName name="QQ_1_1_1" localSheetId="20" hidden="1">{"'gráf jan00'!$A$1:$AK$41"}</definedName>
    <definedName name="QQ_1_1_1" hidden="1">{"'gráf jan00'!$A$1:$AK$41"}</definedName>
    <definedName name="QQ_1_2" localSheetId="20" hidden="1">{"'gráf jan00'!$A$1:$AK$41"}</definedName>
    <definedName name="QQ_1_2" hidden="1">{"'gráf jan00'!$A$1:$AK$41"}</definedName>
    <definedName name="QQ_2" localSheetId="21">#REF!</definedName>
    <definedName name="QQ_2">[141]!QQ_2</definedName>
    <definedName name="qq_2_" localSheetId="2">RESUMO!qq_2_</definedName>
    <definedName name="qq_2_">qq_2_</definedName>
    <definedName name="qq_2__38" localSheetId="2">RESUMO!qq_2__38</definedName>
    <definedName name="qq_2__38">qq_2__38</definedName>
    <definedName name="QQ_2_1" localSheetId="2">RESUMO!QQ_2_1</definedName>
    <definedName name="QQ_2_1">QQ_2_1</definedName>
    <definedName name="QQ_2_1_10">#N/A</definedName>
    <definedName name="QQ_2_1_12">#N/A</definedName>
    <definedName name="QQ_2_1_13">#N/A</definedName>
    <definedName name="QQ_2_1_15">#N/A</definedName>
    <definedName name="QQ_2_1_5">#N/A</definedName>
    <definedName name="QQ_2_1_6">#N/A</definedName>
    <definedName name="QQ_2_1_7">#N/A</definedName>
    <definedName name="QQ_2_1_8">#N/A</definedName>
    <definedName name="QQ_2_1_9">#N/A</definedName>
    <definedName name="QQ_2_10" localSheetId="2">RESUMO!QQ_2_10</definedName>
    <definedName name="QQ_2_10">QQ_2_10</definedName>
    <definedName name="QQ_2_11">#N/A</definedName>
    <definedName name="QQ_2_12" localSheetId="2">RESUMO!QQ_2_12</definedName>
    <definedName name="QQ_2_12">QQ_2_12</definedName>
    <definedName name="QQ_2_13" localSheetId="2">RESUMO!QQ_2_13</definedName>
    <definedName name="QQ_2_13">QQ_2_13</definedName>
    <definedName name="QQ_2_13_10">#N/A</definedName>
    <definedName name="QQ_2_13_12">#N/A</definedName>
    <definedName name="QQ_2_13_13">#N/A</definedName>
    <definedName name="QQ_2_13_15">#N/A</definedName>
    <definedName name="QQ_2_13_5">#N/A</definedName>
    <definedName name="QQ_2_13_6">#N/A</definedName>
    <definedName name="QQ_2_13_7">#N/A</definedName>
    <definedName name="QQ_2_13_8">#N/A</definedName>
    <definedName name="QQ_2_13_9">#N/A</definedName>
    <definedName name="QQ_2_14" localSheetId="2">RESUMO!QQ_2_14</definedName>
    <definedName name="QQ_2_14">QQ_2_14</definedName>
    <definedName name="QQ_2_14_10">#N/A</definedName>
    <definedName name="QQ_2_14_12">#N/A</definedName>
    <definedName name="QQ_2_14_13">#N/A</definedName>
    <definedName name="QQ_2_14_15">#N/A</definedName>
    <definedName name="QQ_2_14_5">#N/A</definedName>
    <definedName name="QQ_2_14_6">#N/A</definedName>
    <definedName name="QQ_2_14_7">#N/A</definedName>
    <definedName name="QQ_2_14_8">#N/A</definedName>
    <definedName name="QQ_2_14_9">#N/A</definedName>
    <definedName name="QQ_2_15">#N/A</definedName>
    <definedName name="QQ_2_19" localSheetId="2">RESUMO!QQ_2_19</definedName>
    <definedName name="QQ_2_19">QQ_2_19</definedName>
    <definedName name="QQ_2_2" localSheetId="2">RESUMO!QQ_2_2</definedName>
    <definedName name="QQ_2_2">QQ_2_2</definedName>
    <definedName name="QQ_2_2_10">#N/A</definedName>
    <definedName name="QQ_2_2_12">#N/A</definedName>
    <definedName name="QQ_2_2_13">#N/A</definedName>
    <definedName name="QQ_2_2_15">#N/A</definedName>
    <definedName name="QQ_2_2_5">#N/A</definedName>
    <definedName name="QQ_2_2_6">#N/A</definedName>
    <definedName name="QQ_2_2_7">#N/A</definedName>
    <definedName name="QQ_2_2_8">#N/A</definedName>
    <definedName name="QQ_2_2_9">#N/A</definedName>
    <definedName name="QQ_2_20" localSheetId="2">RESUMO!QQ_2_20</definedName>
    <definedName name="QQ_2_20">QQ_2_20</definedName>
    <definedName name="QQ_2_21" localSheetId="2">RESUMO!QQ_2_21</definedName>
    <definedName name="QQ_2_21">QQ_2_21</definedName>
    <definedName name="QQ_2_22" localSheetId="2">RESUMO!QQ_2_22</definedName>
    <definedName name="QQ_2_22">QQ_2_22</definedName>
    <definedName name="QQ_2_22_10">#N/A</definedName>
    <definedName name="QQ_2_22_12">#N/A</definedName>
    <definedName name="QQ_2_22_13">#N/A</definedName>
    <definedName name="QQ_2_22_15">#N/A</definedName>
    <definedName name="QQ_2_22_5">#N/A</definedName>
    <definedName name="QQ_2_22_6">#N/A</definedName>
    <definedName name="QQ_2_22_7">#N/A</definedName>
    <definedName name="QQ_2_22_8">#N/A</definedName>
    <definedName name="QQ_2_22_9">#N/A</definedName>
    <definedName name="QQ_2_23" localSheetId="2">RESUMO!QQ_2_23</definedName>
    <definedName name="QQ_2_23">QQ_2_23</definedName>
    <definedName name="QQ_2_24" localSheetId="2">RESUMO!QQ_2_24</definedName>
    <definedName name="QQ_2_24">QQ_2_24</definedName>
    <definedName name="QQ_2_25" localSheetId="2">RESUMO!QQ_2_25</definedName>
    <definedName name="QQ_2_25">QQ_2_25</definedName>
    <definedName name="QQ_2_25_10">#N/A</definedName>
    <definedName name="QQ_2_25_12">#N/A</definedName>
    <definedName name="QQ_2_25_13">#N/A</definedName>
    <definedName name="QQ_2_25_15">#N/A</definedName>
    <definedName name="QQ_2_25_5">#N/A</definedName>
    <definedName name="QQ_2_25_6">#N/A</definedName>
    <definedName name="QQ_2_25_7">#N/A</definedName>
    <definedName name="QQ_2_25_8">#N/A</definedName>
    <definedName name="QQ_2_25_9">#N/A</definedName>
    <definedName name="QQ_2_26" localSheetId="2">RESUMO!QQ_2_26</definedName>
    <definedName name="QQ_2_26">QQ_2_26</definedName>
    <definedName name="QQ_2_26_10">#N/A</definedName>
    <definedName name="QQ_2_26_12">#N/A</definedName>
    <definedName name="QQ_2_26_13">#N/A</definedName>
    <definedName name="QQ_2_26_15">#N/A</definedName>
    <definedName name="QQ_2_26_5">#N/A</definedName>
    <definedName name="QQ_2_26_6">#N/A</definedName>
    <definedName name="QQ_2_26_7">#N/A</definedName>
    <definedName name="QQ_2_26_8">#N/A</definedName>
    <definedName name="QQ_2_26_9">#N/A</definedName>
    <definedName name="QQ_2_27" localSheetId="2">RESUMO!QQ_2_27</definedName>
    <definedName name="QQ_2_27">QQ_2_27</definedName>
    <definedName name="QQ_2_27_10">#N/A</definedName>
    <definedName name="QQ_2_27_12">#N/A</definedName>
    <definedName name="QQ_2_27_13">#N/A</definedName>
    <definedName name="QQ_2_27_15">#N/A</definedName>
    <definedName name="QQ_2_27_5">#N/A</definedName>
    <definedName name="QQ_2_27_6">#N/A</definedName>
    <definedName name="QQ_2_27_7">#N/A</definedName>
    <definedName name="QQ_2_27_8">#N/A</definedName>
    <definedName name="QQ_2_27_9">#N/A</definedName>
    <definedName name="QQ_2_28" localSheetId="2">RESUMO!QQ_2_28</definedName>
    <definedName name="QQ_2_28">QQ_2_28</definedName>
    <definedName name="QQ_2_29" localSheetId="2">RESUMO!QQ_2_29</definedName>
    <definedName name="QQ_2_29">QQ_2_29</definedName>
    <definedName name="QQ_2_29_10">#N/A</definedName>
    <definedName name="QQ_2_29_12">#N/A</definedName>
    <definedName name="QQ_2_29_13">#N/A</definedName>
    <definedName name="QQ_2_29_15">#N/A</definedName>
    <definedName name="QQ_2_29_5">#N/A</definedName>
    <definedName name="QQ_2_29_6">#N/A</definedName>
    <definedName name="QQ_2_29_7">#N/A</definedName>
    <definedName name="QQ_2_29_8">#N/A</definedName>
    <definedName name="QQ_2_29_9">#N/A</definedName>
    <definedName name="QQ_2_3" localSheetId="2">RESUMO!QQ_2_3</definedName>
    <definedName name="QQ_2_3">QQ_2_3</definedName>
    <definedName name="QQ_2_3_10">#N/A</definedName>
    <definedName name="QQ_2_3_12">#N/A</definedName>
    <definedName name="QQ_2_3_13">#N/A</definedName>
    <definedName name="QQ_2_3_15">#N/A</definedName>
    <definedName name="QQ_2_3_5">#N/A</definedName>
    <definedName name="QQ_2_3_6">#N/A</definedName>
    <definedName name="QQ_2_3_7">#N/A</definedName>
    <definedName name="QQ_2_3_8">#N/A</definedName>
    <definedName name="QQ_2_3_9">#N/A</definedName>
    <definedName name="QQ_2_30" localSheetId="2">RESUMO!QQ_2_30</definedName>
    <definedName name="QQ_2_30">QQ_2_30</definedName>
    <definedName name="QQ_2_30_10">#N/A</definedName>
    <definedName name="QQ_2_30_12">#N/A</definedName>
    <definedName name="QQ_2_30_13">#N/A</definedName>
    <definedName name="QQ_2_30_15">#N/A</definedName>
    <definedName name="QQ_2_30_5">#N/A</definedName>
    <definedName name="QQ_2_30_6">#N/A</definedName>
    <definedName name="QQ_2_30_7">#N/A</definedName>
    <definedName name="QQ_2_30_8">#N/A</definedName>
    <definedName name="QQ_2_30_9">#N/A</definedName>
    <definedName name="QQ_2_31" localSheetId="2">RESUMO!QQ_2_31</definedName>
    <definedName name="QQ_2_31">QQ_2_31</definedName>
    <definedName name="QQ_2_31_10">#N/A</definedName>
    <definedName name="QQ_2_31_12">#N/A</definedName>
    <definedName name="QQ_2_31_13">#N/A</definedName>
    <definedName name="QQ_2_31_15">#N/A</definedName>
    <definedName name="QQ_2_31_5">#N/A</definedName>
    <definedName name="QQ_2_31_6">#N/A</definedName>
    <definedName name="QQ_2_31_7">#N/A</definedName>
    <definedName name="QQ_2_31_8">#N/A</definedName>
    <definedName name="QQ_2_31_9">#N/A</definedName>
    <definedName name="QQ_2_32" localSheetId="2">RESUMO!QQ_2_32</definedName>
    <definedName name="QQ_2_32">QQ_2_32</definedName>
    <definedName name="QQ_2_33" localSheetId="2">RESUMO!QQ_2_33</definedName>
    <definedName name="QQ_2_33">QQ_2_33</definedName>
    <definedName name="QQ_2_33_10">#N/A</definedName>
    <definedName name="QQ_2_33_12">#N/A</definedName>
    <definedName name="QQ_2_33_13">#N/A</definedName>
    <definedName name="QQ_2_33_15">#N/A</definedName>
    <definedName name="QQ_2_33_5">#N/A</definedName>
    <definedName name="QQ_2_33_6">#N/A</definedName>
    <definedName name="QQ_2_33_7">#N/A</definedName>
    <definedName name="QQ_2_33_8">#N/A</definedName>
    <definedName name="QQ_2_33_9">#N/A</definedName>
    <definedName name="QQ_2_34" localSheetId="2">RESUMO!QQ_2_34</definedName>
    <definedName name="QQ_2_34">QQ_2_34</definedName>
    <definedName name="QQ_2_34_10">#N/A</definedName>
    <definedName name="QQ_2_34_12">#N/A</definedName>
    <definedName name="QQ_2_34_13">#N/A</definedName>
    <definedName name="QQ_2_34_15">#N/A</definedName>
    <definedName name="QQ_2_34_5">#N/A</definedName>
    <definedName name="QQ_2_34_6">#N/A</definedName>
    <definedName name="QQ_2_34_7">#N/A</definedName>
    <definedName name="QQ_2_34_8">#N/A</definedName>
    <definedName name="QQ_2_34_9">#N/A</definedName>
    <definedName name="QQ_2_35" localSheetId="2">RESUMO!QQ_2_35</definedName>
    <definedName name="QQ_2_35">QQ_2_35</definedName>
    <definedName name="QQ_2_35_10">#N/A</definedName>
    <definedName name="QQ_2_35_12">#N/A</definedName>
    <definedName name="QQ_2_35_13">#N/A</definedName>
    <definedName name="QQ_2_35_15">#N/A</definedName>
    <definedName name="QQ_2_35_5">#N/A</definedName>
    <definedName name="QQ_2_35_6">#N/A</definedName>
    <definedName name="QQ_2_35_7">#N/A</definedName>
    <definedName name="QQ_2_35_8">#N/A</definedName>
    <definedName name="QQ_2_35_9">#N/A</definedName>
    <definedName name="QQ_2_36" localSheetId="2">RESUMO!QQ_2_36</definedName>
    <definedName name="QQ_2_36">QQ_2_36</definedName>
    <definedName name="QQ_2_36_10">#N/A</definedName>
    <definedName name="QQ_2_36_12">#N/A</definedName>
    <definedName name="QQ_2_36_13">#N/A</definedName>
    <definedName name="QQ_2_36_15">#N/A</definedName>
    <definedName name="QQ_2_36_5">#N/A</definedName>
    <definedName name="QQ_2_36_6">#N/A</definedName>
    <definedName name="QQ_2_36_7">#N/A</definedName>
    <definedName name="QQ_2_36_8">#N/A</definedName>
    <definedName name="QQ_2_36_9">#N/A</definedName>
    <definedName name="QQ_2_37" localSheetId="2">RESUMO!QQ_2_37</definedName>
    <definedName name="QQ_2_37">QQ_2_37</definedName>
    <definedName name="QQ_2_38" localSheetId="2">RESUMO!QQ_2_38</definedName>
    <definedName name="QQ_2_38">QQ_2_38</definedName>
    <definedName name="QQ_2_39" localSheetId="2">RESUMO!QQ_2_39</definedName>
    <definedName name="QQ_2_39">QQ_2_39</definedName>
    <definedName name="QQ_2_4">#N/A</definedName>
    <definedName name="QQ_2_40" localSheetId="2">RESUMO!QQ_2_40</definedName>
    <definedName name="QQ_2_40">QQ_2_40</definedName>
    <definedName name="QQ_2_41" localSheetId="2">RESUMO!QQ_2_41</definedName>
    <definedName name="QQ_2_41">QQ_2_41</definedName>
    <definedName name="QQ_2_42" localSheetId="2">RESUMO!QQ_2_42</definedName>
    <definedName name="QQ_2_42">QQ_2_42</definedName>
    <definedName name="QQ_2_43" localSheetId="2">RESUMO!QQ_2_43</definedName>
    <definedName name="QQ_2_43">QQ_2_43</definedName>
    <definedName name="QQ_2_44" localSheetId="2">RESUMO!QQ_2_44</definedName>
    <definedName name="QQ_2_44">QQ_2_44</definedName>
    <definedName name="QQ_2_45" localSheetId="2">RESUMO!QQ_2_45</definedName>
    <definedName name="QQ_2_45">QQ_2_45</definedName>
    <definedName name="QQ_2_46" localSheetId="2">RESUMO!QQ_2_46</definedName>
    <definedName name="QQ_2_46">QQ_2_46</definedName>
    <definedName name="QQ_2_47" localSheetId="2">RESUMO!QQ_2_47</definedName>
    <definedName name="QQ_2_47">QQ_2_47</definedName>
    <definedName name="QQ_2_48" localSheetId="2">RESUMO!QQ_2_48</definedName>
    <definedName name="QQ_2_48">QQ_2_48</definedName>
    <definedName name="QQ_2_5" localSheetId="2">RESUMO!QQ_2_5</definedName>
    <definedName name="QQ_2_5">QQ_2_5</definedName>
    <definedName name="QQ_2_5_10">#N/A</definedName>
    <definedName name="QQ_2_5_12">#N/A</definedName>
    <definedName name="QQ_2_5_13">#N/A</definedName>
    <definedName name="QQ_2_5_15">#N/A</definedName>
    <definedName name="QQ_2_5_5">#N/A</definedName>
    <definedName name="QQ_2_5_6">#N/A</definedName>
    <definedName name="QQ_2_5_7">#N/A</definedName>
    <definedName name="QQ_2_5_8">#N/A</definedName>
    <definedName name="QQ_2_5_9">#N/A</definedName>
    <definedName name="QQ_2_51" localSheetId="2">RESUMO!QQ_2_51</definedName>
    <definedName name="QQ_2_51">QQ_2_51</definedName>
    <definedName name="QQ_2_52" localSheetId="2">RESUMO!QQ_2_52</definedName>
    <definedName name="QQ_2_52">QQ_2_52</definedName>
    <definedName name="QQ_2_53" localSheetId="2">RESUMO!QQ_2_53</definedName>
    <definedName name="QQ_2_53">QQ_2_53</definedName>
    <definedName name="QQ_2_54" localSheetId="2">RESUMO!QQ_2_54</definedName>
    <definedName name="QQ_2_54">QQ_2_54</definedName>
    <definedName name="QQ_2_55" localSheetId="2">RESUMO!QQ_2_55</definedName>
    <definedName name="QQ_2_55">QQ_2_55</definedName>
    <definedName name="QQ_2_56" localSheetId="2">RESUMO!QQ_2_56</definedName>
    <definedName name="QQ_2_56">QQ_2_56</definedName>
    <definedName name="QQ_2_57" localSheetId="2">RESUMO!QQ_2_57</definedName>
    <definedName name="QQ_2_57">QQ_2_57</definedName>
    <definedName name="QQ_2_58" localSheetId="2">RESUMO!QQ_2_58</definedName>
    <definedName name="QQ_2_58">QQ_2_58</definedName>
    <definedName name="QQ_2_59" localSheetId="2">RESUMO!QQ_2_59</definedName>
    <definedName name="QQ_2_59">QQ_2_59</definedName>
    <definedName name="QQ_2_6">#N/A</definedName>
    <definedName name="QQ_2_60" localSheetId="2">RESUMO!QQ_2_60</definedName>
    <definedName name="QQ_2_60">QQ_2_60</definedName>
    <definedName name="QQ_2_61" localSheetId="2">RESUMO!QQ_2_61</definedName>
    <definedName name="QQ_2_61">QQ_2_61</definedName>
    <definedName name="QQ_2_62" localSheetId="2">RESUMO!QQ_2_62</definedName>
    <definedName name="QQ_2_62">QQ_2_62</definedName>
    <definedName name="QQ_2_63" localSheetId="2">RESUMO!QQ_2_63</definedName>
    <definedName name="QQ_2_63">QQ_2_63</definedName>
    <definedName name="QQ_2_64" localSheetId="2">RESUMO!QQ_2_64</definedName>
    <definedName name="QQ_2_64">QQ_2_64</definedName>
    <definedName name="QQ_2_65" localSheetId="2">RESUMO!QQ_2_65</definedName>
    <definedName name="QQ_2_65">QQ_2_65</definedName>
    <definedName name="QQ_2_66" localSheetId="2">RESUMO!QQ_2_66</definedName>
    <definedName name="QQ_2_66">QQ_2_66</definedName>
    <definedName name="QQ_2_67" localSheetId="2">RESUMO!QQ_2_67</definedName>
    <definedName name="QQ_2_67">QQ_2_67</definedName>
    <definedName name="QQ_2_68" localSheetId="2">RESUMO!QQ_2_68</definedName>
    <definedName name="QQ_2_68">QQ_2_68</definedName>
    <definedName name="QQ_2_69" localSheetId="2">RESUMO!QQ_2_69</definedName>
    <definedName name="QQ_2_69">QQ_2_69</definedName>
    <definedName name="QQ_2_7" localSheetId="2">RESUMO!QQ_2_7</definedName>
    <definedName name="QQ_2_7">QQ_2_7</definedName>
    <definedName name="QQ_2_7_10">#N/A</definedName>
    <definedName name="QQ_2_7_12">#N/A</definedName>
    <definedName name="QQ_2_7_13">#N/A</definedName>
    <definedName name="QQ_2_7_15">#N/A</definedName>
    <definedName name="QQ_2_7_5">#N/A</definedName>
    <definedName name="QQ_2_7_6">#N/A</definedName>
    <definedName name="QQ_2_7_7">#N/A</definedName>
    <definedName name="QQ_2_7_8">#N/A</definedName>
    <definedName name="QQ_2_7_9">#N/A</definedName>
    <definedName name="QQ_2_70" localSheetId="2">RESUMO!QQ_2_70</definedName>
    <definedName name="QQ_2_70">QQ_2_70</definedName>
    <definedName name="QQ_2_71" localSheetId="2">RESUMO!QQ_2_71</definedName>
    <definedName name="QQ_2_71">QQ_2_71</definedName>
    <definedName name="QQ_2_72" localSheetId="2">RESUMO!QQ_2_72</definedName>
    <definedName name="QQ_2_72">QQ_2_72</definedName>
    <definedName name="QQ_2_8" localSheetId="2">RESUMO!QQ_2_8</definedName>
    <definedName name="QQ_2_8">QQ_2_8</definedName>
    <definedName name="QQ_2_8_10">#N/A</definedName>
    <definedName name="QQ_2_8_12">#N/A</definedName>
    <definedName name="QQ_2_8_13">#N/A</definedName>
    <definedName name="QQ_2_8_15">#N/A</definedName>
    <definedName name="QQ_2_8_5">#N/A</definedName>
    <definedName name="QQ_2_8_6">#N/A</definedName>
    <definedName name="QQ_2_8_7">#N/A</definedName>
    <definedName name="QQ_2_8_8">#N/A</definedName>
    <definedName name="QQ_2_8_9">#N/A</definedName>
    <definedName name="QQ_2_9" localSheetId="2">RESUMO!QQ_2_9</definedName>
    <definedName name="QQ_2_9">QQ_2_9</definedName>
    <definedName name="QQ_2_9_10">#N/A</definedName>
    <definedName name="QQ_2_9_12">#N/A</definedName>
    <definedName name="QQ_2_9_13">#N/A</definedName>
    <definedName name="QQ_2_9_15">#N/A</definedName>
    <definedName name="QQ_2_9_5">#N/A</definedName>
    <definedName name="QQ_2_9_6">#N/A</definedName>
    <definedName name="QQ_2_9_7">#N/A</definedName>
    <definedName name="QQ_2_9_8">#N/A</definedName>
    <definedName name="QQ_2_9_9">#N/A</definedName>
    <definedName name="QQ2_10">#N/A</definedName>
    <definedName name="QQ2_12">#N/A</definedName>
    <definedName name="QQ2_13">#N/A</definedName>
    <definedName name="QQ2_15">#N/A</definedName>
    <definedName name="QQ2_5">#N/A</definedName>
    <definedName name="QQ2_6">#N/A</definedName>
    <definedName name="QQ2_7">#N/A</definedName>
    <definedName name="QQ2_8">#N/A</definedName>
    <definedName name="QQ2_9">#N/A</definedName>
    <definedName name="QQASW" localSheetId="20" hidden="1">{"'Quadro'!$A$4:$BG$78"}</definedName>
    <definedName name="QQASW" hidden="1">{"'Quadro'!$A$4:$BG$78"}</definedName>
    <definedName name="QQASW_1" localSheetId="20" hidden="1">{"'Quadro'!$A$4:$BG$78"}</definedName>
    <definedName name="QQASW_1" hidden="1">{"'Quadro'!$A$4:$BG$78"}</definedName>
    <definedName name="QQASW_1_1" localSheetId="20" hidden="1">{"'Quadro'!$A$4:$BG$78"}</definedName>
    <definedName name="QQASW_1_1" hidden="1">{"'Quadro'!$A$4:$BG$78"}</definedName>
    <definedName name="QQASW_1_1_1" localSheetId="20" hidden="1">{"'Quadro'!$A$4:$BG$78"}</definedName>
    <definedName name="QQASW_1_1_1" hidden="1">{"'Quadro'!$A$4:$BG$78"}</definedName>
    <definedName name="QQASW_1_2" localSheetId="20" hidden="1">{"'Quadro'!$A$4:$BG$78"}</definedName>
    <definedName name="QQASW_1_2" hidden="1">{"'Quadro'!$A$4:$BG$78"}</definedName>
    <definedName name="QQASW_2" localSheetId="20" hidden="1">{"'Quadro'!$A$4:$BG$78"}</definedName>
    <definedName name="QQASW_2" hidden="1">{"'Quadro'!$A$4:$BG$78"}</definedName>
    <definedName name="qqe">[34]!qqe</definedName>
    <definedName name="QQP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q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" localSheetId="21">#REF!</definedName>
    <definedName name="qqq">[5]PLMUSEU!#REF!</definedName>
    <definedName name="QQQ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0">[5]PLMUSEU!#REF!</definedName>
    <definedName name="qqq_12">[5]PLMUSEU!#REF!</definedName>
    <definedName name="QQQ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3">[5]PLMUSEU!#REF!</definedName>
    <definedName name="qqq_9">[5]PLMUSEU!#REF!</definedName>
    <definedName name="QQQQ">#REF!</definedName>
    <definedName name="qqqq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q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20" hidden="1">{"'gráf jan00'!$A$1:$AK$41"}</definedName>
    <definedName name="qqqqqq_1" hidden="1">{"'gráf jan00'!$A$1:$AK$41"}</definedName>
    <definedName name="qqqqqq_1_1" localSheetId="20" hidden="1">{"'gráf jan00'!$A$1:$AK$41"}</definedName>
    <definedName name="qqqqqq_1_1" hidden="1">{"'gráf jan00'!$A$1:$AK$41"}</definedName>
    <definedName name="qqqqqq_1_1_1" localSheetId="20" hidden="1">{"'gráf jan00'!$A$1:$AK$41"}</definedName>
    <definedName name="qqqqqq_1_1_1" hidden="1">{"'gráf jan00'!$A$1:$AK$41"}</definedName>
    <definedName name="qqqqqq_1_2" localSheetId="20" hidden="1">{"'gráf jan00'!$A$1:$AK$41"}</definedName>
    <definedName name="qqqqqq_1_2" hidden="1">{"'gráf jan00'!$A$1:$AK$41"}</definedName>
    <definedName name="qqqqqq_2" localSheetId="20" hidden="1">{"'gráf jan00'!$A$1:$AK$41"}</definedName>
    <definedName name="qqqqqq_2" hidden="1">{"'gráf jan00'!$A$1:$AK$41"}</definedName>
    <definedName name="qqqqqqq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21">#N/A</definedName>
    <definedName name="qqqqqqq">#N/A</definedName>
    <definedName name="qqqqqqq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q" localSheetId="2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qqq" localSheetId="20" hidden="1">{"'gráf jan00'!$A$1:$AK$41"}</definedName>
    <definedName name="qqqqqqqqqqqqq" hidden="1">{"'gráf jan00'!$A$1:$AK$41"}</definedName>
    <definedName name="qqqqqqqqqqqqq_1" localSheetId="20" hidden="1">{"'gráf jan00'!$A$1:$AK$41"}</definedName>
    <definedName name="qqqqqqqqqqqqq_1" hidden="1">{"'gráf jan00'!$A$1:$AK$41"}</definedName>
    <definedName name="qqqqqqqqqqqqq_1_1" localSheetId="20" hidden="1">{"'gráf jan00'!$A$1:$AK$41"}</definedName>
    <definedName name="qqqqqqqqqqqqq_1_1" hidden="1">{"'gráf jan00'!$A$1:$AK$41"}</definedName>
    <definedName name="qqqqqqqqqqqqq_1_1_1" localSheetId="20" hidden="1">{"'gráf jan00'!$A$1:$AK$41"}</definedName>
    <definedName name="qqqqqqqqqqqqq_1_1_1" hidden="1">{"'gráf jan00'!$A$1:$AK$41"}</definedName>
    <definedName name="qqqqqqqqqqqqq_1_2" localSheetId="20" hidden="1">{"'gráf jan00'!$A$1:$AK$41"}</definedName>
    <definedName name="qqqqqqqqqqqqq_1_2" hidden="1">{"'gráf jan00'!$A$1:$AK$41"}</definedName>
    <definedName name="qqqqqqqqqqqqq_2" localSheetId="20" hidden="1">{"'gráf jan00'!$A$1:$AK$41"}</definedName>
    <definedName name="qqqqqqqqqqqqq_2" hidden="1">{"'gráf jan00'!$A$1:$AK$41"}</definedName>
    <definedName name="qqqqqqqqqqqqqqq" localSheetId="20" hidden="1">{"'Quadro'!$A$4:$BG$78"}</definedName>
    <definedName name="qqqqqqqqqqqqqqq" hidden="1">{"'Quadro'!$A$4:$BG$78"}</definedName>
    <definedName name="qqqqqqqqqqqqqqq_1" localSheetId="20" hidden="1">{"'Quadro'!$A$4:$BG$78"}</definedName>
    <definedName name="qqqqqqqqqqqqqqq_1" hidden="1">{"'Quadro'!$A$4:$BG$78"}</definedName>
    <definedName name="qqqqqqqqqqqqqqq_1_1" localSheetId="20" hidden="1">{"'Quadro'!$A$4:$BG$78"}</definedName>
    <definedName name="qqqqqqqqqqqqqqq_1_1" hidden="1">{"'Quadro'!$A$4:$BG$78"}</definedName>
    <definedName name="qqqqqqqqqqqqqqq_1_1_1" localSheetId="20" hidden="1">{"'Quadro'!$A$4:$BG$78"}</definedName>
    <definedName name="qqqqqqqqqqqqqqq_1_1_1" hidden="1">{"'Quadro'!$A$4:$BG$78"}</definedName>
    <definedName name="qqqqqqqqqqqqqqq_1_2" localSheetId="20" hidden="1">{"'Quadro'!$A$4:$BG$78"}</definedName>
    <definedName name="qqqqqqqqqqqqqqq_1_2" hidden="1">{"'Quadro'!$A$4:$BG$78"}</definedName>
    <definedName name="qqqqqqqqqqqqqqq_2" localSheetId="20" hidden="1">{"'Quadro'!$A$4:$BG$78"}</definedName>
    <definedName name="qqqqqqqqqqqqqqq_2" hidden="1">{"'Quadro'!$A$4:$BG$78"}</definedName>
    <definedName name="qqqqqqqqqqqqqqqqqqqqqqqqq" hidden="1">#REF!</definedName>
    <definedName name="qqw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w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s" localSheetId="20" hidden="1">{"'CptDifn'!$AA$32:$AG$32"}</definedName>
    <definedName name="qs" hidden="1">{"'CptDifn'!$AA$32:$AG$32"}</definedName>
    <definedName name="qs_1" localSheetId="20" hidden="1">{"'CptDifn'!$AA$32:$AG$32"}</definedName>
    <definedName name="qs_1" hidden="1">{"'CptDifn'!$AA$32:$AG$32"}</definedName>
    <definedName name="qs_1_1" localSheetId="20" hidden="1">{"'CptDifn'!$AA$32:$AG$32"}</definedName>
    <definedName name="qs_1_1" hidden="1">{"'CptDifn'!$AA$32:$AG$32"}</definedName>
    <definedName name="qs_1_1_1" localSheetId="20" hidden="1">{"'CptDifn'!$AA$32:$AG$32"}</definedName>
    <definedName name="qs_1_1_1" hidden="1">{"'CptDifn'!$AA$32:$AG$32"}</definedName>
    <definedName name="qs_1_2" localSheetId="20" hidden="1">{"'CptDifn'!$AA$32:$AG$32"}</definedName>
    <definedName name="qs_1_2" hidden="1">{"'CptDifn'!$AA$32:$AG$32"}</definedName>
    <definedName name="qs_2" localSheetId="20" hidden="1">{"'CptDifn'!$AA$32:$AG$32"}</definedName>
    <definedName name="qs_2" hidden="1">{"'CptDifn'!$AA$32:$AG$32"}</definedName>
    <definedName name="qsfd" localSheetId="20" hidden="1">{#N/A,#N/A,TRUE,"Cover sheet";#N/A,#N/A,TRUE,"INPUTS";#N/A,#N/A,TRUE,"OUTPUTS";#N/A,#N/A,TRUE,"VALUATION"}</definedName>
    <definedName name="qsfd" hidden="1">{#N/A,#N/A,TRUE,"Cover sheet";#N/A,#N/A,TRUE,"INPUTS";#N/A,#N/A,TRUE,"OUTPUTS";#N/A,#N/A,TRUE,"VALUATION"}</definedName>
    <definedName name="qsfd_1" localSheetId="20" hidden="1">{#N/A,#N/A,TRUE,"Cover sheet";#N/A,#N/A,TRUE,"INPUTS";#N/A,#N/A,TRUE,"OUTPUTS";#N/A,#N/A,TRUE,"VALUATION"}</definedName>
    <definedName name="qsfd_1" hidden="1">{#N/A,#N/A,TRUE,"Cover sheet";#N/A,#N/A,TRUE,"INPUTS";#N/A,#N/A,TRUE,"OUTPUTS";#N/A,#N/A,TRUE,"VALUATION"}</definedName>
    <definedName name="qsfd_1_1" localSheetId="20" hidden="1">{#N/A,#N/A,TRUE,"Cover sheet";#N/A,#N/A,TRUE,"INPUTS";#N/A,#N/A,TRUE,"OUTPUTS";#N/A,#N/A,TRUE,"VALUATION"}</definedName>
    <definedName name="qsfd_1_1" hidden="1">{#N/A,#N/A,TRUE,"Cover sheet";#N/A,#N/A,TRUE,"INPUTS";#N/A,#N/A,TRUE,"OUTPUTS";#N/A,#N/A,TRUE,"VALUATION"}</definedName>
    <definedName name="qsfd_1_1_1" localSheetId="20" hidden="1">{#N/A,#N/A,TRUE,"Cover sheet";#N/A,#N/A,TRUE,"INPUTS";#N/A,#N/A,TRUE,"OUTPUTS";#N/A,#N/A,TRUE,"VALUATION"}</definedName>
    <definedName name="qsfd_1_1_1" hidden="1">{#N/A,#N/A,TRUE,"Cover sheet";#N/A,#N/A,TRUE,"INPUTS";#N/A,#N/A,TRUE,"OUTPUTS";#N/A,#N/A,TRUE,"VALUATION"}</definedName>
    <definedName name="qsfd_1_2" localSheetId="20" hidden="1">{#N/A,#N/A,TRUE,"Cover sheet";#N/A,#N/A,TRUE,"INPUTS";#N/A,#N/A,TRUE,"OUTPUTS";#N/A,#N/A,TRUE,"VALUATION"}</definedName>
    <definedName name="qsfd_1_2" hidden="1">{#N/A,#N/A,TRUE,"Cover sheet";#N/A,#N/A,TRUE,"INPUTS";#N/A,#N/A,TRUE,"OUTPUTS";#N/A,#N/A,TRUE,"VALUATION"}</definedName>
    <definedName name="qsfd_2" localSheetId="20" hidden="1">{#N/A,#N/A,TRUE,"Cover sheet";#N/A,#N/A,TRUE,"INPUTS";#N/A,#N/A,TRUE,"OUTPUTS";#N/A,#N/A,TRUE,"VALUATION"}</definedName>
    <definedName name="qsfd_2" hidden="1">{#N/A,#N/A,TRUE,"Cover sheet";#N/A,#N/A,TRUE,"INPUTS";#N/A,#N/A,TRUE,"OUTPUTS";#N/A,#N/A,TRUE,"VALUATION"}</definedName>
    <definedName name="QT">[198]alphaville!#REF!</definedName>
    <definedName name="QTD" localSheetId="21" hidden="1">#REF!</definedName>
    <definedName name="QTD">[198]alphaville!#REF!</definedName>
    <definedName name="QTDE">#REF!</definedName>
    <definedName name="QTDE_8" localSheetId="21">#REF!</definedName>
    <definedName name="QTDE_8">#REF!</definedName>
    <definedName name="QTDE_9" localSheetId="21">#REF!</definedName>
    <definedName name="QTDE_9">#REF!</definedName>
    <definedName name="QtEq" localSheetId="21" hidden="1">#REF!</definedName>
    <definedName name="QtEq" hidden="1">#REF!</definedName>
    <definedName name="QtMo" localSheetId="21" hidden="1">#REF!</definedName>
    <definedName name="QtMo" hidden="1">#REF!</definedName>
    <definedName name="QtMp" localSheetId="21" hidden="1">#REF!</definedName>
    <definedName name="QtMp" hidden="1">#REF!</definedName>
    <definedName name="QTS">[198]alphaville!#REF!</definedName>
    <definedName name="QtTr" localSheetId="21" hidden="1">#REF!</definedName>
    <definedName name="QtTr" hidden="1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>#REF!</definedName>
    <definedName name="QuadroGeral">#REF!</definedName>
    <definedName name="Qualidade_050106" localSheetId="20" hidden="1">{#N/A,#N/A,FALSE,"RELATÓRIO";#N/A,#N/A,FALSE,"RELATÓRIO"}</definedName>
    <definedName name="Qualidade_050106" hidden="1">{#N/A,#N/A,FALSE,"RELATÓRIO";#N/A,#N/A,FALSE,"RELATÓRIO"}</definedName>
    <definedName name="Qualidade_050106_1" localSheetId="20" hidden="1">{#N/A,#N/A,FALSE,"RELATÓRIO";#N/A,#N/A,FALSE,"RELATÓRIO"}</definedName>
    <definedName name="Qualidade_050106_1" hidden="1">{#N/A,#N/A,FALSE,"RELATÓRIO";#N/A,#N/A,FALSE,"RELATÓRIO"}</definedName>
    <definedName name="Qualidade_050106_1_1" localSheetId="20" hidden="1">{#N/A,#N/A,FALSE,"RELATÓRIO";#N/A,#N/A,FALSE,"RELATÓRIO"}</definedName>
    <definedName name="Qualidade_050106_1_1" hidden="1">{#N/A,#N/A,FALSE,"RELATÓRIO";#N/A,#N/A,FALSE,"RELATÓRIO"}</definedName>
    <definedName name="Qualidade_050106_1_1_1" localSheetId="20" hidden="1">{#N/A,#N/A,FALSE,"RELATÓRIO";#N/A,#N/A,FALSE,"RELATÓRIO"}</definedName>
    <definedName name="Qualidade_050106_1_1_1" hidden="1">{#N/A,#N/A,FALSE,"RELATÓRIO";#N/A,#N/A,FALSE,"RELATÓRIO"}</definedName>
    <definedName name="Qualidade_050106_1_2" localSheetId="20" hidden="1">{#N/A,#N/A,FALSE,"RELATÓRIO";#N/A,#N/A,FALSE,"RELATÓRIO"}</definedName>
    <definedName name="Qualidade_050106_1_2" hidden="1">{#N/A,#N/A,FALSE,"RELATÓRIO";#N/A,#N/A,FALSE,"RELATÓRIO"}</definedName>
    <definedName name="Qualidade_050106_2" localSheetId="20" hidden="1">{#N/A,#N/A,FALSE,"RELATÓRIO";#N/A,#N/A,FALSE,"RELATÓRIO"}</definedName>
    <definedName name="Qualidade_050106_2" hidden="1">{#N/A,#N/A,FALSE,"RELATÓRIO";#N/A,#N/A,FALSE,"RELATÓRIO"}</definedName>
    <definedName name="QUANT" localSheetId="21">#REF!</definedName>
    <definedName name="QUANT" localSheetId="1">#REF!</definedName>
    <definedName name="QUANT">#REF!</definedName>
    <definedName name="Quant.">#REF!</definedName>
    <definedName name="Quant.1">#REF!</definedName>
    <definedName name="QUANT___0">[199]COMPOSIÇOES!#REF!</definedName>
    <definedName name="QUANT_1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1">#REF!</definedName>
    <definedName name="QUANTIDADES">#REF!</definedName>
    <definedName name="QUANTITATIVO">#REF!</definedName>
    <definedName name="quatro">#REF!</definedName>
    <definedName name="que" localSheetId="20" hidden="1">{#N/A,#N/A,FALSE,"PCOL"}</definedName>
    <definedName name="que" hidden="1">{#N/A,#N/A,FALSE,"PCOL"}</definedName>
    <definedName name="que_1" localSheetId="20" hidden="1">{#N/A,#N/A,FALSE,"PCOL"}</definedName>
    <definedName name="que_1" hidden="1">{#N/A,#N/A,FALSE,"PCOL"}</definedName>
    <definedName name="que_1_1" localSheetId="20" hidden="1">{#N/A,#N/A,FALSE,"PCOL"}</definedName>
    <definedName name="que_1_1" hidden="1">{#N/A,#N/A,FALSE,"PCOL"}</definedName>
    <definedName name="que_1_1_1" localSheetId="20" hidden="1">{#N/A,#N/A,FALSE,"PCOL"}</definedName>
    <definedName name="que_1_1_1" hidden="1">{#N/A,#N/A,FALSE,"PCOL"}</definedName>
    <definedName name="que_1_2" localSheetId="20" hidden="1">{#N/A,#N/A,FALSE,"PCOL"}</definedName>
    <definedName name="que_1_2" hidden="1">{#N/A,#N/A,FALSE,"PCOL"}</definedName>
    <definedName name="que_2" localSheetId="20" hidden="1">{#N/A,#N/A,FALSE,"PCOL"}</definedName>
    <definedName name="que_2" hidden="1">{#N/A,#N/A,FALSE,"PCOL"}</definedName>
    <definedName name="quilometros">#REF!</definedName>
    <definedName name="quilometros_11">#REF!</definedName>
    <definedName name="quilometros_15">#REF!</definedName>
    <definedName name="quim" localSheetId="20" hidden="1">{#N/A,#N/A,FALSE,"ET-CAPA";#N/A,#N/A,FALSE,"ET-PAG1";#N/A,#N/A,FALSE,"ET-PAG2";#N/A,#N/A,FALSE,"ET-PAG3";#N/A,#N/A,FALSE,"ET-PAG4";#N/A,#N/A,FALSE,"ET-PAG5"}</definedName>
    <definedName name="quim" hidden="1">{#N/A,#N/A,FALSE,"ET-CAPA";#N/A,#N/A,FALSE,"ET-PAG1";#N/A,#N/A,FALSE,"ET-PAG2";#N/A,#N/A,FALSE,"ET-PAG3";#N/A,#N/A,FALSE,"ET-PAG4";#N/A,#N/A,FALSE,"ET-PAG5"}</definedName>
    <definedName name="QUINHO" localSheetId="20">' 6.0 - Empréstimos '!QUINHO</definedName>
    <definedName name="QUINHO">[0]!QUINHO</definedName>
    <definedName name="QUQT" localSheetId="20" hidden="1">{"'gráf jan00'!$A$1:$AK$41"}</definedName>
    <definedName name="QUQT" hidden="1">{"'gráf jan00'!$A$1:$AK$41"}</definedName>
    <definedName name="QUQT_1" localSheetId="20" hidden="1">{"'gráf jan00'!$A$1:$AK$41"}</definedName>
    <definedName name="QUQT_1" hidden="1">{"'gráf jan00'!$A$1:$AK$41"}</definedName>
    <definedName name="QUQT_1_1" localSheetId="20" hidden="1">{"'gráf jan00'!$A$1:$AK$41"}</definedName>
    <definedName name="QUQT_1_1" hidden="1">{"'gráf jan00'!$A$1:$AK$41"}</definedName>
    <definedName name="QUQT_1_1_1" localSheetId="20" hidden="1">{"'gráf jan00'!$A$1:$AK$41"}</definedName>
    <definedName name="QUQT_1_1_1" hidden="1">{"'gráf jan00'!$A$1:$AK$41"}</definedName>
    <definedName name="QUQT_1_2" localSheetId="20" hidden="1">{"'gráf jan00'!$A$1:$AK$41"}</definedName>
    <definedName name="QUQT_1_2" hidden="1">{"'gráf jan00'!$A$1:$AK$41"}</definedName>
    <definedName name="QUQT_2" localSheetId="20" hidden="1">{"'gráf jan00'!$A$1:$AK$41"}</definedName>
    <definedName name="QUQT_2" hidden="1">{"'gráf jan00'!$A$1:$AK$41"}</definedName>
    <definedName name="qv" localSheetId="20" hidden="1">{"'CptDifn'!$AA$32:$AG$32"}</definedName>
    <definedName name="qv" hidden="1">{"'CptDifn'!$AA$32:$AG$32"}</definedName>
    <definedName name="qv_1" localSheetId="20" hidden="1">{"'CptDifn'!$AA$32:$AG$32"}</definedName>
    <definedName name="qv_1" hidden="1">{"'CptDifn'!$AA$32:$AG$32"}</definedName>
    <definedName name="qv_1_1" localSheetId="20" hidden="1">{"'CptDifn'!$AA$32:$AG$32"}</definedName>
    <definedName name="qv_1_1" hidden="1">{"'CptDifn'!$AA$32:$AG$32"}</definedName>
    <definedName name="qv_1_1_1" localSheetId="20" hidden="1">{"'CptDifn'!$AA$32:$AG$32"}</definedName>
    <definedName name="qv_1_1_1" hidden="1">{"'CptDifn'!$AA$32:$AG$32"}</definedName>
    <definedName name="qv_1_2" localSheetId="20" hidden="1">{"'CptDifn'!$AA$32:$AG$32"}</definedName>
    <definedName name="qv_1_2" hidden="1">{"'CptDifn'!$AA$32:$AG$32"}</definedName>
    <definedName name="qv_2" localSheetId="20" hidden="1">{"'CptDifn'!$AA$32:$AG$32"}</definedName>
    <definedName name="qv_2" hidden="1">{"'CptDifn'!$AA$32:$AG$32"}</definedName>
    <definedName name="QW" localSheetId="20" hidden="1">{#N/A,#N/A,TRUE,"K2 e MEIA";#N/A,#N/A,TRUE,"K3";#N/A,#N/A,TRUE,"K4";#N/A,#N/A,TRUE,"PERFIL U";#N/A,#N/A,TRUE,"BCHA"}</definedName>
    <definedName name="QW" hidden="1">{#N/A,#N/A,TRUE,"K2 e MEIA";#N/A,#N/A,TRUE,"K3";#N/A,#N/A,TRUE,"K4";#N/A,#N/A,TRUE,"PERFIL U";#N/A,#N/A,TRUE,"BCHA"}</definedName>
    <definedName name="QW_1" localSheetId="20" hidden="1">{#N/A,#N/A,TRUE,"K2 e MEIA";#N/A,#N/A,TRUE,"K3";#N/A,#N/A,TRUE,"K4";#N/A,#N/A,TRUE,"PERFIL U";#N/A,#N/A,TRUE,"BCHA"}</definedName>
    <definedName name="QW_1" hidden="1">{#N/A,#N/A,TRUE,"K2 e MEIA";#N/A,#N/A,TRUE,"K3";#N/A,#N/A,TRUE,"K4";#N/A,#N/A,TRUE,"PERFIL U";#N/A,#N/A,TRUE,"BCHA"}</definedName>
    <definedName name="QW_1_1" localSheetId="20" hidden="1">{#N/A,#N/A,TRUE,"K2 e MEIA";#N/A,#N/A,TRUE,"K3";#N/A,#N/A,TRUE,"K4";#N/A,#N/A,TRUE,"PERFIL U";#N/A,#N/A,TRUE,"BCHA"}</definedName>
    <definedName name="QW_1_1" hidden="1">{#N/A,#N/A,TRUE,"K2 e MEIA";#N/A,#N/A,TRUE,"K3";#N/A,#N/A,TRUE,"K4";#N/A,#N/A,TRUE,"PERFIL U";#N/A,#N/A,TRUE,"BCHA"}</definedName>
    <definedName name="QW_1_1_1" localSheetId="20" hidden="1">{#N/A,#N/A,TRUE,"K2 e MEIA";#N/A,#N/A,TRUE,"K3";#N/A,#N/A,TRUE,"K4";#N/A,#N/A,TRUE,"PERFIL U";#N/A,#N/A,TRUE,"BCHA"}</definedName>
    <definedName name="QW_1_1_1" hidden="1">{#N/A,#N/A,TRUE,"K2 e MEIA";#N/A,#N/A,TRUE,"K3";#N/A,#N/A,TRUE,"K4";#N/A,#N/A,TRUE,"PERFIL U";#N/A,#N/A,TRUE,"BCHA"}</definedName>
    <definedName name="QW_1_2" localSheetId="20" hidden="1">{#N/A,#N/A,TRUE,"K2 e MEIA";#N/A,#N/A,TRUE,"K3";#N/A,#N/A,TRUE,"K4";#N/A,#N/A,TRUE,"PERFIL U";#N/A,#N/A,TRUE,"BCHA"}</definedName>
    <definedName name="QW_1_2" hidden="1">{#N/A,#N/A,TRUE,"K2 e MEIA";#N/A,#N/A,TRUE,"K3";#N/A,#N/A,TRUE,"K4";#N/A,#N/A,TRUE,"PERFIL U";#N/A,#N/A,TRUE,"BCHA"}</definedName>
    <definedName name="QW_2" localSheetId="20" hidden="1">{#N/A,#N/A,TRUE,"K2 e MEIA";#N/A,#N/A,TRUE,"K3";#N/A,#N/A,TRUE,"K4";#N/A,#N/A,TRUE,"PERFIL U";#N/A,#N/A,TRUE,"BCHA"}</definedName>
    <definedName name="QW_2" hidden="1">{#N/A,#N/A,TRUE,"K2 e MEIA";#N/A,#N/A,TRUE,"K3";#N/A,#N/A,TRUE,"K4";#N/A,#N/A,TRUE,"PERFIL U";#N/A,#N/A,TRUE,"BCHA"}</definedName>
    <definedName name="QWE" localSheetId="20" hidden="1">{"'gráf jan00'!$A$1:$AK$41"}</definedName>
    <definedName name="QWE" hidden="1">{"'gráf jan00'!$A$1:$AK$41"}</definedName>
    <definedName name="qweeererr" localSheetId="20" hidden="1">{"'RR'!$A$2:$E$81"}</definedName>
    <definedName name="qweeererr" hidden="1">{"'RR'!$A$2:$E$81"}</definedName>
    <definedName name="qweeererr_1" localSheetId="20" hidden="1">{"'RR'!$A$2:$E$81"}</definedName>
    <definedName name="qweeererr_1" hidden="1">{"'RR'!$A$2:$E$81"}</definedName>
    <definedName name="qweeererr_1_1" localSheetId="20" hidden="1">{"'RR'!$A$2:$E$81"}</definedName>
    <definedName name="qweeererr_1_1" hidden="1">{"'RR'!$A$2:$E$81"}</definedName>
    <definedName name="qweeererr_1_1_1" localSheetId="20" hidden="1">{"'RR'!$A$2:$E$81"}</definedName>
    <definedName name="qweeererr_1_1_1" hidden="1">{"'RR'!$A$2:$E$81"}</definedName>
    <definedName name="qweeererr_1_2" localSheetId="20" hidden="1">{"'RR'!$A$2:$E$81"}</definedName>
    <definedName name="qweeererr_1_2" hidden="1">{"'RR'!$A$2:$E$81"}</definedName>
    <definedName name="qweeererr_2" localSheetId="20" hidden="1">{"'RR'!$A$2:$E$81"}</definedName>
    <definedName name="qweeererr_2" hidden="1">{"'RR'!$A$2:$E$81"}</definedName>
    <definedName name="QWEFR" localSheetId="20" hidden="1">{#N/A,#N/A,FALSE,"RESUMO-BB1";#N/A,#N/A,FALSE,"MOD-A01-R - BB1";#N/A,#N/A,FALSE,"URB-BB1"}</definedName>
    <definedName name="QWEFR" hidden="1">{#N/A,#N/A,FALSE,"RESUMO-BB1";#N/A,#N/A,FALSE,"MOD-A01-R - BB1";#N/A,#N/A,FALSE,"URB-BB1"}</definedName>
    <definedName name="qwerqwe" localSheetId="20" hidden="1">{"'gráf jan00'!$A$1:$AK$41"}</definedName>
    <definedName name="qwerqwe" hidden="1">{"'gráf jan00'!$A$1:$AK$41"}</definedName>
    <definedName name="qwerqwe_1" localSheetId="20" hidden="1">{"'gráf jan00'!$A$1:$AK$41"}</definedName>
    <definedName name="qwerqwe_1" hidden="1">{"'gráf jan00'!$A$1:$AK$41"}</definedName>
    <definedName name="qwerqwe_1_1" localSheetId="20" hidden="1">{"'gráf jan00'!$A$1:$AK$41"}</definedName>
    <definedName name="qwerqwe_1_1" hidden="1">{"'gráf jan00'!$A$1:$AK$41"}</definedName>
    <definedName name="qwerqwe_1_1_1" localSheetId="20" hidden="1">{"'gráf jan00'!$A$1:$AK$41"}</definedName>
    <definedName name="qwerqwe_1_1_1" hidden="1">{"'gráf jan00'!$A$1:$AK$41"}</definedName>
    <definedName name="qwerqwe_1_2" localSheetId="20" hidden="1">{"'gráf jan00'!$A$1:$AK$41"}</definedName>
    <definedName name="qwerqwe_1_2" hidden="1">{"'gráf jan00'!$A$1:$AK$41"}</definedName>
    <definedName name="qwerqwe_2" localSheetId="20" hidden="1">{"'gráf jan00'!$A$1:$AK$41"}</definedName>
    <definedName name="qwerqwe_2" hidden="1">{"'gráf jan00'!$A$1:$AK$41"}</definedName>
    <definedName name="qwewqadasfdytwyytryryrrt6hyyuiuokp0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q" localSheetId="20" hidden="1">{#N/A,#N/A,FALSE,"PCOL"}</definedName>
    <definedName name="qwqq" hidden="1">{#N/A,#N/A,FALSE,"PCOL"}</definedName>
    <definedName name="qwqq_1" localSheetId="20" hidden="1">{#N/A,#N/A,FALSE,"PCOL"}</definedName>
    <definedName name="qwqq_1" hidden="1">{#N/A,#N/A,FALSE,"PCOL"}</definedName>
    <definedName name="qwqq_1_1" localSheetId="20" hidden="1">{#N/A,#N/A,FALSE,"PCOL"}</definedName>
    <definedName name="qwqq_1_1" hidden="1">{#N/A,#N/A,FALSE,"PCOL"}</definedName>
    <definedName name="qwqq_1_1_1" localSheetId="20" hidden="1">{#N/A,#N/A,FALSE,"PCOL"}</definedName>
    <definedName name="qwqq_1_1_1" hidden="1">{#N/A,#N/A,FALSE,"PCOL"}</definedName>
    <definedName name="qwqq_1_2" localSheetId="20" hidden="1">{#N/A,#N/A,FALSE,"PCOL"}</definedName>
    <definedName name="qwqq_1_2" hidden="1">{#N/A,#N/A,FALSE,"PCOL"}</definedName>
    <definedName name="qwqq_2" localSheetId="20" hidden="1">{#N/A,#N/A,FALSE,"PCOL"}</definedName>
    <definedName name="qwqq_2" hidden="1">{#N/A,#N/A,FALSE,"PCOL"}</definedName>
    <definedName name="qwqw" localSheetId="20" hidden="1">{#N/A,#N/A,FALSE,"PCOL"}</definedName>
    <definedName name="qwqw" hidden="1">{#N/A,#N/A,FALSE,"PCOL"}</definedName>
    <definedName name="qwqw_1" localSheetId="20" hidden="1">{#N/A,#N/A,FALSE,"PCOL"}</definedName>
    <definedName name="qwqw_1" hidden="1">{#N/A,#N/A,FALSE,"PCOL"}</definedName>
    <definedName name="qwqw_1_1" localSheetId="20" hidden="1">{#N/A,#N/A,FALSE,"PCOL"}</definedName>
    <definedName name="qwqw_1_1" hidden="1">{#N/A,#N/A,FALSE,"PCOL"}</definedName>
    <definedName name="qwqw_1_1_1" localSheetId="20" hidden="1">{#N/A,#N/A,FALSE,"PCOL"}</definedName>
    <definedName name="qwqw_1_1_1" hidden="1">{#N/A,#N/A,FALSE,"PCOL"}</definedName>
    <definedName name="qwqw_1_2" localSheetId="20" hidden="1">{#N/A,#N/A,FALSE,"PCOL"}</definedName>
    <definedName name="qwqw_1_2" hidden="1">{#N/A,#N/A,FALSE,"PCOL"}</definedName>
    <definedName name="qwqw_2" localSheetId="20" hidden="1">{#N/A,#N/A,FALSE,"PCOL"}</definedName>
    <definedName name="qwqw_2" hidden="1">{#N/A,#N/A,FALSE,"PCOL"}</definedName>
    <definedName name="qwqweq" localSheetId="20" hidden="1">{#N/A,#N/A,FALSE,"PCOL"}</definedName>
    <definedName name="qwqweq" hidden="1">{#N/A,#N/A,FALSE,"PCOL"}</definedName>
    <definedName name="qwqweq_1" localSheetId="20" hidden="1">{#N/A,#N/A,FALSE,"PCOL"}</definedName>
    <definedName name="qwqweq_1" hidden="1">{#N/A,#N/A,FALSE,"PCOL"}</definedName>
    <definedName name="qwqweq_1_1" localSheetId="20" hidden="1">{#N/A,#N/A,FALSE,"PCOL"}</definedName>
    <definedName name="qwqweq_1_1" hidden="1">{#N/A,#N/A,FALSE,"PCOL"}</definedName>
    <definedName name="qwqweq_1_1_1" localSheetId="20" hidden="1">{#N/A,#N/A,FALSE,"PCOL"}</definedName>
    <definedName name="qwqweq_1_1_1" hidden="1">{#N/A,#N/A,FALSE,"PCOL"}</definedName>
    <definedName name="qwqweq_1_2" localSheetId="20" hidden="1">{#N/A,#N/A,FALSE,"PCOL"}</definedName>
    <definedName name="qwqweq_1_2" hidden="1">{#N/A,#N/A,FALSE,"PCOL"}</definedName>
    <definedName name="qwqweq_2" localSheetId="20" hidden="1">{#N/A,#N/A,FALSE,"PCOL"}</definedName>
    <definedName name="qwqweq_2" hidden="1">{#N/A,#N/A,FALSE,"PCOL"}</definedName>
    <definedName name="qwqwq" localSheetId="20" hidden="1">{#N/A,#N/A,FALSE,"PCOL"}</definedName>
    <definedName name="qwqwq" hidden="1">{#N/A,#N/A,FALSE,"PCOL"}</definedName>
    <definedName name="qwqwq_1" localSheetId="20" hidden="1">{#N/A,#N/A,FALSE,"PCOL"}</definedName>
    <definedName name="qwqwq_1" hidden="1">{#N/A,#N/A,FALSE,"PCOL"}</definedName>
    <definedName name="qwqwq_1_1" localSheetId="20" hidden="1">{#N/A,#N/A,FALSE,"PCOL"}</definedName>
    <definedName name="qwqwq_1_1" hidden="1">{#N/A,#N/A,FALSE,"PCOL"}</definedName>
    <definedName name="qwqwq_1_1_1" localSheetId="20" hidden="1">{#N/A,#N/A,FALSE,"PCOL"}</definedName>
    <definedName name="qwqwq_1_1_1" hidden="1">{#N/A,#N/A,FALSE,"PCOL"}</definedName>
    <definedName name="qwqwq_1_2" localSheetId="20" hidden="1">{#N/A,#N/A,FALSE,"PCOL"}</definedName>
    <definedName name="qwqwq_1_2" hidden="1">{#N/A,#N/A,FALSE,"PCOL"}</definedName>
    <definedName name="qwqwq_2" localSheetId="20" hidden="1">{#N/A,#N/A,FALSE,"PCOL"}</definedName>
    <definedName name="qwqwq_2" hidden="1">{#N/A,#N/A,FALSE,"PCOL"}</definedName>
    <definedName name="qwqwsq" localSheetId="20" hidden="1">{#N/A,#N/A,FALSE,"PCOL"}</definedName>
    <definedName name="qwqwsq" hidden="1">{#N/A,#N/A,FALSE,"PCOL"}</definedName>
    <definedName name="qwqwsq_1" localSheetId="20" hidden="1">{#N/A,#N/A,FALSE,"PCOL"}</definedName>
    <definedName name="qwqwsq_1" hidden="1">{#N/A,#N/A,FALSE,"PCOL"}</definedName>
    <definedName name="qwqwsq_1_1" localSheetId="20" hidden="1">{#N/A,#N/A,FALSE,"PCOL"}</definedName>
    <definedName name="qwqwsq_1_1" hidden="1">{#N/A,#N/A,FALSE,"PCOL"}</definedName>
    <definedName name="qwqwsq_1_1_1" localSheetId="20" hidden="1">{#N/A,#N/A,FALSE,"PCOL"}</definedName>
    <definedName name="qwqwsq_1_1_1" hidden="1">{#N/A,#N/A,FALSE,"PCOL"}</definedName>
    <definedName name="qwqwsq_1_2" localSheetId="20" hidden="1">{#N/A,#N/A,FALSE,"PCOL"}</definedName>
    <definedName name="qwqwsq_1_2" hidden="1">{#N/A,#N/A,FALSE,"PCOL"}</definedName>
    <definedName name="qwqwsq_2" localSheetId="20" hidden="1">{#N/A,#N/A,FALSE,"PCOL"}</definedName>
    <definedName name="qwqwsq_2" hidden="1">{#N/A,#N/A,FALSE,"PCOL"}</definedName>
    <definedName name="QWR" localSheetId="20" hidden="1">{#N/A,#N/A,FALSE,"Ocorrência OOLA";#N/A,#N/A,FALSE,"Ocorrência OOLL";#N/A,#N/A,FALSE,"Extra OOLA";#N/A,#N/A,FALSE,"Extra OOLL"}</definedName>
    <definedName name="QWR" hidden="1">{#N/A,#N/A,FALSE,"Ocorrência OOLA";#N/A,#N/A,FALSE,"Ocorrência OOLL";#N/A,#N/A,FALSE,"Extra OOLA";#N/A,#N/A,FALSE,"Extra OOLL"}</definedName>
    <definedName name="qwrqerwqer">[69]PROJETO!#REF!</definedName>
    <definedName name="qx" localSheetId="20" hidden="1">{"'CptDifn'!$AA$32:$AG$32"}</definedName>
    <definedName name="qx" hidden="1">{"'CptDifn'!$AA$32:$AG$32"}</definedName>
    <definedName name="qx_1" localSheetId="20" hidden="1">{"'CptDifn'!$AA$32:$AG$32"}</definedName>
    <definedName name="qx_1" hidden="1">{"'CptDifn'!$AA$32:$AG$32"}</definedName>
    <definedName name="qx_1_1" localSheetId="20" hidden="1">{"'CptDifn'!$AA$32:$AG$32"}</definedName>
    <definedName name="qx_1_1" hidden="1">{"'CptDifn'!$AA$32:$AG$32"}</definedName>
    <definedName name="qx_1_1_1" localSheetId="20" hidden="1">{"'CptDifn'!$AA$32:$AG$32"}</definedName>
    <definedName name="qx_1_1_1" hidden="1">{"'CptDifn'!$AA$32:$AG$32"}</definedName>
    <definedName name="qx_1_2" localSheetId="20" hidden="1">{"'CptDifn'!$AA$32:$AG$32"}</definedName>
    <definedName name="qx_1_2" hidden="1">{"'CptDifn'!$AA$32:$AG$32"}</definedName>
    <definedName name="qx_2" localSheetId="20" hidden="1">{"'CptDifn'!$AA$32:$AG$32"}</definedName>
    <definedName name="qx_2" hidden="1">{"'CptDifn'!$AA$32:$AG$32"}</definedName>
    <definedName name="qz" localSheetId="20" hidden="1">{"'CptDifn'!$AA$32:$AG$32"}</definedName>
    <definedName name="qz" hidden="1">{"'CptDifn'!$AA$32:$AG$32"}</definedName>
    <definedName name="qz_1" localSheetId="20" hidden="1">{"'CptDifn'!$AA$32:$AG$32"}</definedName>
    <definedName name="qz_1" hidden="1">{"'CptDifn'!$AA$32:$AG$32"}</definedName>
    <definedName name="qz_1_1" localSheetId="20" hidden="1">{"'CptDifn'!$AA$32:$AG$32"}</definedName>
    <definedName name="qz_1_1" hidden="1">{"'CptDifn'!$AA$32:$AG$32"}</definedName>
    <definedName name="qz_1_1_1" localSheetId="20" hidden="1">{"'CptDifn'!$AA$32:$AG$32"}</definedName>
    <definedName name="qz_1_1_1" hidden="1">{"'CptDifn'!$AA$32:$AG$32"}</definedName>
    <definedName name="qz_1_2" localSheetId="20" hidden="1">{"'CptDifn'!$AA$32:$AG$32"}</definedName>
    <definedName name="qz_1_2" hidden="1">{"'CptDifn'!$AA$32:$AG$32"}</definedName>
    <definedName name="qz_2" localSheetId="20" hidden="1">{"'CptDifn'!$AA$32:$AG$32"}</definedName>
    <definedName name="qz_2" hidden="1">{"'CptDifn'!$AA$32:$AG$32"}</definedName>
    <definedName name="R_1" localSheetId="20">NÃO.DISP()</definedName>
    <definedName name="R_1" localSheetId="21">NA()</definedName>
    <definedName name="R_1">NA()</definedName>
    <definedName name="R_2" localSheetId="20">NÃO.DISP()</definedName>
    <definedName name="R_2" localSheetId="21">NA()</definedName>
    <definedName name="R_2">NA()</definedName>
    <definedName name="RA" localSheetId="20" hidden="1">{"'Quadro'!$A$4:$BG$78"}</definedName>
    <definedName name="RA">#REF!</definedName>
    <definedName name="RA_1" localSheetId="20" hidden="1">{"'Quadro'!$A$4:$BG$78"}</definedName>
    <definedName name="RA_1" hidden="1">{"'Quadro'!$A$4:$BG$78"}</definedName>
    <definedName name="RA_1_1" localSheetId="20" hidden="1">{"'Quadro'!$A$4:$BG$78"}</definedName>
    <definedName name="RA_1_1" hidden="1">{"'Quadro'!$A$4:$BG$78"}</definedName>
    <definedName name="RA_1_1_1" localSheetId="20" hidden="1">{"'Quadro'!$A$4:$BG$78"}</definedName>
    <definedName name="RA_1_1_1" hidden="1">{"'Quadro'!$A$4:$BG$78"}</definedName>
    <definedName name="RA_1_2" localSheetId="20" hidden="1">{"'Quadro'!$A$4:$BG$78"}</definedName>
    <definedName name="RA_1_2" hidden="1">{"'Quadro'!$A$4:$BG$78"}</definedName>
    <definedName name="RA_2" localSheetId="20" hidden="1">{"'Quadro'!$A$4:$BG$78"}</definedName>
    <definedName name="RA_2" hidden="1">{"'Quadro'!$A$4:$BG$78"}</definedName>
    <definedName name="rach" localSheetId="2">RESUMO!rach</definedName>
    <definedName name="rach">rach</definedName>
    <definedName name="rach_38" localSheetId="2">RESUMO!rach_38</definedName>
    <definedName name="rach_38">rach_38</definedName>
    <definedName name="Rachão">#N/A</definedName>
    <definedName name="Rachão_10" localSheetId="2">RESUMO!Rachão_10</definedName>
    <definedName name="Rachão_10">Rachão_10</definedName>
    <definedName name="Rachão_2" localSheetId="2">RESUMO!Rachão_2</definedName>
    <definedName name="Rachão_2">Rachão_2</definedName>
    <definedName name="Rachão_23" localSheetId="2">RESUMO!Rachão_23</definedName>
    <definedName name="Rachão_23">Rachão_23</definedName>
    <definedName name="Rachão_24" localSheetId="2">RESUMO!Rachão_24</definedName>
    <definedName name="Rachão_24">Rachão_24</definedName>
    <definedName name="Rachão_26" localSheetId="2">RESUMO!Rachão_26</definedName>
    <definedName name="Rachão_26">Rachão_26</definedName>
    <definedName name="Rachão_27" localSheetId="2">RESUMO!Rachão_27</definedName>
    <definedName name="Rachão_27">Rachão_27</definedName>
    <definedName name="Rachão_29" localSheetId="2">RESUMO!Rachão_29</definedName>
    <definedName name="Rachão_29">Rachão_29</definedName>
    <definedName name="Rachão_30" localSheetId="2">RESUMO!Rachão_30</definedName>
    <definedName name="Rachão_30">Rachão_30</definedName>
    <definedName name="Rachão_36" localSheetId="2">RESUMO!Rachão_36</definedName>
    <definedName name="Rachão_36">Rachão_36</definedName>
    <definedName name="Rachão_37" localSheetId="2">RESUMO!Rachão_37</definedName>
    <definedName name="Rachão_37">Rachão_37</definedName>
    <definedName name="Rachão_38" localSheetId="2">RESUMO!Rachão_38</definedName>
    <definedName name="Rachão_38">Rachão_38</definedName>
    <definedName name="Rachão_4" localSheetId="2">RESUMO!Rachão_4</definedName>
    <definedName name="Rachão_4">Rachão_4</definedName>
    <definedName name="Rachão_48" localSheetId="2">RESUMO!Rachão_48</definedName>
    <definedName name="Rachão_48">Rachão_48</definedName>
    <definedName name="Rachão_51" localSheetId="2">RESUMO!Rachão_51</definedName>
    <definedName name="Rachão_51">Rachão_51</definedName>
    <definedName name="Rachão_52" localSheetId="2">RESUMO!Rachão_52</definedName>
    <definedName name="Rachão_52">Rachão_52</definedName>
    <definedName name="Rachão_53" localSheetId="2">RESUMO!Rachão_53</definedName>
    <definedName name="Rachão_53">Rachão_53</definedName>
    <definedName name="Rachão_55" localSheetId="2">RESUMO!Rachão_55</definedName>
    <definedName name="Rachão_55">Rachão_55</definedName>
    <definedName name="Rachão_67" localSheetId="2">RESUMO!Rachão_67</definedName>
    <definedName name="Rachão_67">Rachão_67</definedName>
    <definedName name="Rachão_68" localSheetId="2">RESUMO!Rachão_68</definedName>
    <definedName name="Rachão_68">Rachão_68</definedName>
    <definedName name="Rachão_69" localSheetId="2">RESUMO!Rachão_69</definedName>
    <definedName name="Rachão_69">Rachão_69</definedName>
    <definedName name="Rachão_70" localSheetId="2">RESUMO!Rachão_70</definedName>
    <definedName name="Rachão_70">Rachão_70</definedName>
    <definedName name="Rachão_71" localSheetId="2">RESUMO!Rachão_71</definedName>
    <definedName name="Rachão_71">Rachão_71</definedName>
    <definedName name="Rachão_72" localSheetId="2">RESUMO!Rachão_72</definedName>
    <definedName name="Rachão_72">Rachão_72</definedName>
    <definedName name="RangeChange" hidden="1">#N/A</definedName>
    <definedName name="RBQ">#REF!</definedName>
    <definedName name="RBV">'[200]Mão de Obra'!$C$3:$C$7</definedName>
    <definedName name="RBV_15">[172]Teor!$C$3:$C$7</definedName>
    <definedName name="RBV_26">[201]Teor!$C$3:$C$7</definedName>
    <definedName name="RBV_28">[201]Teor!$C$3:$C$7</definedName>
    <definedName name="RBV_29">[201]Teor!$C$3:$C$7</definedName>
    <definedName name="RBVV">'[76]Página 16'!$A$3:$A$7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d" localSheetId="20" hidden="1">{"'CptDifn'!$AA$32:$AG$32"}</definedName>
    <definedName name="rD" localSheetId="21">#REF!</definedName>
    <definedName name="rD">'[40]CROQUIS DE DIST.'!rD</definedName>
    <definedName name="rd_1" localSheetId="20" hidden="1">{"'CptDifn'!$AA$32:$AG$32"}</definedName>
    <definedName name="rd_1" hidden="1">{"'CptDifn'!$AA$32:$AG$32"}</definedName>
    <definedName name="rd_1_1" localSheetId="20" hidden="1">{"'CptDifn'!$AA$32:$AG$32"}</definedName>
    <definedName name="rd_1_1" hidden="1">{"'CptDifn'!$AA$32:$AG$32"}</definedName>
    <definedName name="rd_1_1_1" localSheetId="20" hidden="1">{"'CptDifn'!$AA$32:$AG$32"}</definedName>
    <definedName name="rd_1_1_1" hidden="1">{"'CptDifn'!$AA$32:$AG$32"}</definedName>
    <definedName name="rd_1_2" localSheetId="20" hidden="1">{"'CptDifn'!$AA$32:$AG$32"}</definedName>
    <definedName name="rd_1_2" hidden="1">{"'CptDifn'!$AA$32:$AG$32"}</definedName>
    <definedName name="rd_2" localSheetId="20" hidden="1">{"'CptDifn'!$AA$32:$AG$32"}</definedName>
    <definedName name="rd_2" hidden="1">{"'CptDifn'!$AA$32:$AG$32"}</definedName>
    <definedName name="rdff" localSheetId="20" hidden="1">{#N/A,#N/A,TRUE,"indice";#N/A,#N/A,TRUE,"indicadores";#N/A,#N/A,TRUE,"comentarios"}</definedName>
    <definedName name="rdff" hidden="1">{#N/A,#N/A,TRUE,"indice";#N/A,#N/A,TRUE,"indicadores";#N/A,#N/A,TRUE,"comentarios"}</definedName>
    <definedName name="rdff_1" localSheetId="20" hidden="1">{#N/A,#N/A,TRUE,"indice";#N/A,#N/A,TRUE,"indicadores";#N/A,#N/A,TRUE,"comentarios"}</definedName>
    <definedName name="rdff_1" hidden="1">{#N/A,#N/A,TRUE,"indice";#N/A,#N/A,TRUE,"indicadores";#N/A,#N/A,TRUE,"comentarios"}</definedName>
    <definedName name="rdff_1_1" localSheetId="20" hidden="1">{#N/A,#N/A,TRUE,"indice";#N/A,#N/A,TRUE,"indicadores";#N/A,#N/A,TRUE,"comentarios"}</definedName>
    <definedName name="rdff_1_1" hidden="1">{#N/A,#N/A,TRUE,"indice";#N/A,#N/A,TRUE,"indicadores";#N/A,#N/A,TRUE,"comentarios"}</definedName>
    <definedName name="rdff_1_1_1" localSheetId="20" hidden="1">{#N/A,#N/A,TRUE,"indice";#N/A,#N/A,TRUE,"indicadores";#N/A,#N/A,TRUE,"comentarios"}</definedName>
    <definedName name="rdff_1_1_1" hidden="1">{#N/A,#N/A,TRUE,"indice";#N/A,#N/A,TRUE,"indicadores";#N/A,#N/A,TRUE,"comentarios"}</definedName>
    <definedName name="rdff_1_2" localSheetId="20" hidden="1">{#N/A,#N/A,TRUE,"indice";#N/A,#N/A,TRUE,"indicadores";#N/A,#N/A,TRUE,"comentarios"}</definedName>
    <definedName name="rdff_1_2" hidden="1">{#N/A,#N/A,TRUE,"indice";#N/A,#N/A,TRUE,"indicadores";#N/A,#N/A,TRUE,"comentarios"}</definedName>
    <definedName name="rdff_2" localSheetId="20" hidden="1">{#N/A,#N/A,TRUE,"indice";#N/A,#N/A,TRUE,"indicadores";#N/A,#N/A,TRUE,"comentarios"}</definedName>
    <definedName name="rdff_2" hidden="1">{#N/A,#N/A,TRUE,"indice";#N/A,#N/A,TRUE,"indicadores";#N/A,#N/A,TRUE,"comentarios"}</definedName>
    <definedName name="RDM">#REF!</definedName>
    <definedName name="RDME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TEA" localSheetId="20" hidden="1">{"'Quadro'!$A$4:$BG$78"}</definedName>
    <definedName name="RDTEA" hidden="1">{"'Quadro'!$A$4:$BG$78"}</definedName>
    <definedName name="RDTEA_1" localSheetId="20" hidden="1">{"'Quadro'!$A$4:$BG$78"}</definedName>
    <definedName name="RDTEA_1" hidden="1">{"'Quadro'!$A$4:$BG$78"}</definedName>
    <definedName name="RDTEA_1_1" localSheetId="20" hidden="1">{"'Quadro'!$A$4:$BG$78"}</definedName>
    <definedName name="RDTEA_1_1" hidden="1">{"'Quadro'!$A$4:$BG$78"}</definedName>
    <definedName name="RDTEA_1_1_1" localSheetId="20" hidden="1">{"'Quadro'!$A$4:$BG$78"}</definedName>
    <definedName name="RDTEA_1_1_1" hidden="1">{"'Quadro'!$A$4:$BG$78"}</definedName>
    <definedName name="RDTEA_1_2" localSheetId="20" hidden="1">{"'Quadro'!$A$4:$BG$78"}</definedName>
    <definedName name="RDTEA_1_2" hidden="1">{"'Quadro'!$A$4:$BG$78"}</definedName>
    <definedName name="RDTEA_2" localSheetId="20" hidden="1">{"'Quadro'!$A$4:$BG$78"}</definedName>
    <definedName name="RDTEA_2" hidden="1">{"'Quadro'!$A$4:$BG$78"}</definedName>
    <definedName name="re" hidden="1">#REF!</definedName>
    <definedName name="readequação">#REF!</definedName>
    <definedName name="REAJ">#REF!</definedName>
    <definedName name="Reajuste">[202]Tabela!$A$7:$W$163</definedName>
    <definedName name="REATBUEIRO">[97]SERVIÇOS!#REF!</definedName>
    <definedName name="REBOQUE">#REF!</definedName>
    <definedName name="REBOQUE_1">#REF!</definedName>
    <definedName name="rec">#N/A</definedName>
    <definedName name="rec_10" localSheetId="2">RESUMO!rec_10</definedName>
    <definedName name="rec_10">rec_10</definedName>
    <definedName name="rec_2" localSheetId="2">RESUMO!rec_2</definedName>
    <definedName name="rec_2">rec_2</definedName>
    <definedName name="rec_23" localSheetId="2">RESUMO!rec_23</definedName>
    <definedName name="rec_23">rec_23</definedName>
    <definedName name="rec_24" localSheetId="2">RESUMO!rec_24</definedName>
    <definedName name="rec_24">rec_24</definedName>
    <definedName name="rec_26" localSheetId="2">RESUMO!rec_26</definedName>
    <definedName name="rec_26">rec_26</definedName>
    <definedName name="rec_27" localSheetId="2">RESUMO!rec_27</definedName>
    <definedName name="rec_27">rec_27</definedName>
    <definedName name="rec_29" localSheetId="2">RESUMO!rec_29</definedName>
    <definedName name="rec_29">rec_29</definedName>
    <definedName name="rec_30" localSheetId="2">RESUMO!rec_30</definedName>
    <definedName name="rec_30">rec_30</definedName>
    <definedName name="rec_36" localSheetId="2">RESUMO!rec_36</definedName>
    <definedName name="rec_36">rec_36</definedName>
    <definedName name="rec_37" localSheetId="2">RESUMO!rec_37</definedName>
    <definedName name="rec_37">rec_37</definedName>
    <definedName name="rec_38" localSheetId="2">RESUMO!rec_38</definedName>
    <definedName name="rec_38">rec_38</definedName>
    <definedName name="rec_4" localSheetId="2">RESUMO!rec_4</definedName>
    <definedName name="rec_4">rec_4</definedName>
    <definedName name="rec_48" localSheetId="2">RESUMO!rec_48</definedName>
    <definedName name="rec_48">rec_48</definedName>
    <definedName name="rec_51" localSheetId="2">RESUMO!rec_51</definedName>
    <definedName name="rec_51">rec_51</definedName>
    <definedName name="rec_52" localSheetId="2">RESUMO!rec_52</definedName>
    <definedName name="rec_52">rec_52</definedName>
    <definedName name="rec_53" localSheetId="2">RESUMO!rec_53</definedName>
    <definedName name="rec_53">rec_53</definedName>
    <definedName name="rec_55" localSheetId="2">RESUMO!rec_55</definedName>
    <definedName name="rec_55">rec_55</definedName>
    <definedName name="rec_67" localSheetId="2">RESUMO!rec_67</definedName>
    <definedName name="rec_67">rec_67</definedName>
    <definedName name="rec_68" localSheetId="2">RESUMO!rec_68</definedName>
    <definedName name="rec_68">rec_68</definedName>
    <definedName name="rec_69" localSheetId="2">RESUMO!rec_69</definedName>
    <definedName name="rec_69">rec_69</definedName>
    <definedName name="rec_70" localSheetId="2">RESUMO!rec_70</definedName>
    <definedName name="rec_70">rec_70</definedName>
    <definedName name="rec_71" localSheetId="2">RESUMO!rec_71</definedName>
    <definedName name="rec_71">rec_71</definedName>
    <definedName name="rec_72" localSheetId="2">RESUMO!rec_72</definedName>
    <definedName name="rec_72">rec_72</definedName>
    <definedName name="REC_ASFALTO_AN">#REF!</definedName>
    <definedName name="REC_ASFALTO_AT">#REF!</definedName>
    <definedName name="REC_CALÇADA_AN">#REF!</definedName>
    <definedName name="REC_CALÇADA_AT">#REF!</definedName>
    <definedName name="rec10c">[150]orçamento_global!#REF!</definedName>
    <definedName name="rec11c">[150]orçamento_global!#REF!</definedName>
    <definedName name="rec12c">[150]orçamento_global!#REF!</definedName>
    <definedName name="rec13c">[150]orçamento_global!#REF!</definedName>
    <definedName name="rec14c">[150]orçamento_global!#REF!</definedName>
    <definedName name="rec93c">[150]orçamento_global!#REF!</definedName>
    <definedName name="rec94c">[150]orçamento_global!#REF!</definedName>
    <definedName name="rec99c">[150]orçamento_global!#REF!</definedName>
    <definedName name="recc" localSheetId="2">RESUMO!recc</definedName>
    <definedName name="recc">recc</definedName>
    <definedName name="recc_38" localSheetId="2">RESUMO!recc_38</definedName>
    <definedName name="recc_38">recc_38</definedName>
    <definedName name="rech85c">[150]orçamento_global!#REF!</definedName>
    <definedName name="rech9c">[150]orçamento_global!#REF!</definedName>
    <definedName name="Recompo">[5]PLMUSEU!#REF!</definedName>
    <definedName name="Recompo_10">[5]PLMUSEU!#REF!</definedName>
    <definedName name="Recompo_12">[5]PLMUSEU!#REF!</definedName>
    <definedName name="Recompo_3">[5]PLMUSEU!#REF!</definedName>
    <definedName name="Recompo_9">[5]PLMUSEU!#REF!</definedName>
    <definedName name="RECP">#REF!</definedName>
    <definedName name="RECREV">#REF!</definedName>
    <definedName name="recrevcbuq">#REF!</definedName>
    <definedName name="reducao" localSheetId="20" hidden="1">{"'171'!$A$1:$Z$50"}</definedName>
    <definedName name="reducao" hidden="1">{"'171'!$A$1:$Z$50"}</definedName>
    <definedName name="refdt">#REF!</definedName>
    <definedName name="REFEITO" localSheetId="20" hidden="1">{#N/A,#N/A,FALSE,"Plan1"}</definedName>
    <definedName name="REFEITO" hidden="1">{#N/A,#N/A,FALSE,"Plan1"}</definedName>
    <definedName name="REG">#REF!</definedName>
    <definedName name="REG_11">#REF!</definedName>
    <definedName name="REG_12">#REF!</definedName>
    <definedName name="REG_13">#REF!</definedName>
    <definedName name="REG_15">#REF!</definedName>
    <definedName name="REG_2">#REF!</definedName>
    <definedName name="REG_4">#REF!</definedName>
    <definedName name="REG_5">#REF!</definedName>
    <definedName name="REG_6">#REF!</definedName>
    <definedName name="REG_7">#REF!</definedName>
    <definedName name="REG_8">#REF!</definedName>
    <definedName name="REG_9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_SUB_LEITO_10">#REF!</definedName>
    <definedName name="REG_SUB_LEITO_12">#REF!</definedName>
    <definedName name="REG_SUB_LEITO_9">#REF!</definedName>
    <definedName name="REGG">#REF!</definedName>
    <definedName name="REGIÃO">'[85]Comp P Unit '!$M$40</definedName>
    <definedName name="REGULA">#REF!</definedName>
    <definedName name="REGULA_11">#REF!</definedName>
    <definedName name="REGULA_12">#REF!</definedName>
    <definedName name="REGULA_13">#REF!</definedName>
    <definedName name="REGULA_15">#REF!</definedName>
    <definedName name="REGULA_2">#REF!</definedName>
    <definedName name="REGULA_24">#REF!</definedName>
    <definedName name="REGULA_26">#REF!</definedName>
    <definedName name="REGULA_27">#REF!</definedName>
    <definedName name="REGULA_27_11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_9_11">#REF!</definedName>
    <definedName name="REGULAA">#REF!</definedName>
    <definedName name="REGULARIZAÇÃO_AN" localSheetId="21">SUM(#REF!)</definedName>
    <definedName name="REGULARIZAÇÃO_AN">SUM([94]Vínculos!$H$59:$H$60)</definedName>
    <definedName name="REGULARIZAÇÃO_AT" localSheetId="21">SUM(#REF!)</definedName>
    <definedName name="REGULARIZAÇÃO_AT">SUM([94]Vínculos!$G$59:$G$60)</definedName>
    <definedName name="rei" hidden="1">#REF!</definedName>
    <definedName name="Reimbursement">"Reembolso"</definedName>
    <definedName name="REL" localSheetId="20" hidden="1">{#N/A,#N/A,TRUE,"Serviços"}</definedName>
    <definedName name="REL" localSheetId="21">{#N/A,#N/A,TRUE,"Serviços"}</definedName>
    <definedName name="REL" localSheetId="2" hidden="1">{#N/A,#N/A,TRUE,"Serviços"}</definedName>
    <definedName name="REL" hidden="1">{#N/A,#N/A,TRUE,"Serviços"}</definedName>
    <definedName name="REL_1" localSheetId="20">{#N/A,#N/A,TRUE,"Serviços"}</definedName>
    <definedName name="REL_1" localSheetId="21">{#N/A,#N/A,TRUE,"Serviços"}</definedName>
    <definedName name="REL_1">{#N/A,#N/A,TRUE,"Serviços"}</definedName>
    <definedName name="Rel_1_1" localSheetId="20" hidden="1">{"'CptDifn'!$AA$32:$AG$32"}</definedName>
    <definedName name="Rel_1_1" hidden="1">{"'CptDifn'!$AA$32:$AG$32"}</definedName>
    <definedName name="Rel_1_1_1" localSheetId="20" hidden="1">{"'CptDifn'!$AA$32:$AG$32"}</definedName>
    <definedName name="Rel_1_1_1" hidden="1">{"'CptDifn'!$AA$32:$AG$32"}</definedName>
    <definedName name="Rel_1_2" localSheetId="20" hidden="1">{"'CptDifn'!$AA$32:$AG$32"}</definedName>
    <definedName name="Rel_1_2" hidden="1">{"'CptDifn'!$AA$32:$AG$32"}</definedName>
    <definedName name="Rel_2" localSheetId="20" hidden="1">{"'CptDifn'!$AA$32:$AG$32"}</definedName>
    <definedName name="Rel_2" hidden="1">{"'CptDifn'!$AA$32:$AG$32"}</definedName>
    <definedName name="relaçã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t" localSheetId="21" hidden="1">#REF!</definedName>
    <definedName name="Relat" hidden="1">#REF!</definedName>
    <definedName name="relatorio">#N/A</definedName>
    <definedName name="relequip">#REF!</definedName>
    <definedName name="relequip_1">#REF!</definedName>
    <definedName name="RELL" localSheetId="20" hidden="1">{#N/A,#N/A,TRUE,"Serviços"}</definedName>
    <definedName name="RELL" localSheetId="2" hidden="1">{#N/A,#N/A,TRUE,"Serviços"}</definedName>
    <definedName name="RELL" hidden="1">{#N/A,#N/A,TRUE,"Serviços"}</definedName>
    <definedName name="RELMOBRA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MatBet">#REF!</definedName>
    <definedName name="RemMatGran">'[53]2.2.9.Rem Mat Granular'!$L$49</definedName>
    <definedName name="REMN">#REF!</definedName>
    <definedName name="REMOÇÃO_PAV">#REF!</definedName>
    <definedName name="REMOÇÃO_PAV_10">#REF!</definedName>
    <definedName name="REMOÇÃO_PAV_12">#REF!</definedName>
    <definedName name="REMOÇÃO_PAV_9">#REF!</definedName>
    <definedName name="REMP">#REF!</definedName>
    <definedName name="REN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 localSheetId="0">[163]!PassaExtenso</definedName>
    <definedName name="reparos" localSheetId="30">[164]!PassaExtenso</definedName>
    <definedName name="reparos">[163]!PassaExtenso</definedName>
    <definedName name="reperf">[150]orçamento_global!#REF!</definedName>
    <definedName name="rerf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SA">#REF!</definedName>
    <definedName name="RES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21">#REF!</definedName>
    <definedName name="RES">#REF!</definedName>
    <definedName name="RES_1" localSheetId="20" hidden="1">{"'Quadro'!$A$4:$BG$78"}</definedName>
    <definedName name="RES_1" hidden="1">{"'Quadro'!$A$4:$BG$78"}</definedName>
    <definedName name="RES_1_1" localSheetId="20" hidden="1">{"'Quadro'!$A$4:$BG$78"}</definedName>
    <definedName name="RES_1_1" hidden="1">{"'Quadro'!$A$4:$BG$78"}</definedName>
    <definedName name="RES_1_1_1" localSheetId="20" hidden="1">{"'Quadro'!$A$4:$BG$78"}</definedName>
    <definedName name="RES_1_1_1" hidden="1">{"'Quadro'!$A$4:$BG$78"}</definedName>
    <definedName name="RES_1_2" localSheetId="20" hidden="1">{"'Quadro'!$A$4:$BG$78"}</definedName>
    <definedName name="RES_1_2" hidden="1">{"'Quadro'!$A$4:$BG$78"}</definedName>
    <definedName name="RES_10">#N/A</definedName>
    <definedName name="RES_12">#N/A</definedName>
    <definedName name="RES_13">#N/A</definedName>
    <definedName name="RES_15">#N/A</definedName>
    <definedName name="RES_2" localSheetId="20" hidden="1">{"'Quadro'!$A$4:$BG$78"}</definedName>
    <definedName name="RES_2" hidden="1">{"'Quadro'!$A$4:$BG$78"}</definedName>
    <definedName name="res_38" localSheetId="2">RESUMO!res_38</definedName>
    <definedName name="res_38">res_38</definedName>
    <definedName name="RES_5">#N/A</definedName>
    <definedName name="RES_6">#N/A</definedName>
    <definedName name="RES_7">#N/A</definedName>
    <definedName name="RES_8">#N/A</definedName>
    <definedName name="RES_9">#N/A</definedName>
    <definedName name="resolução" localSheetId="20" hidden="1">{#N/A,#N/A,FALSE,"CPV";#N/A,#N/A,FALSE,"Pareto";#N/A,#N/A,FALSE,"Gráficos"}</definedName>
    <definedName name="resolução" hidden="1">{#N/A,#N/A,FALSE,"CPV";#N/A,#N/A,FALSE,"Pareto";#N/A,#N/A,FALSE,"Gráficos"}</definedName>
    <definedName name="resolução_1" localSheetId="20" hidden="1">{#N/A,#N/A,FALSE,"CPV";#N/A,#N/A,FALSE,"Pareto";#N/A,#N/A,FALSE,"Gráficos"}</definedName>
    <definedName name="resolução_1" hidden="1">{#N/A,#N/A,FALSE,"CPV";#N/A,#N/A,FALSE,"Pareto";#N/A,#N/A,FALSE,"Gráficos"}</definedName>
    <definedName name="RESP">[178]ORÇAMENTO!#REF!</definedName>
    <definedName name="resu" localSheetId="20" hidden="1">{#N/A,#N/A,FALSE,"MO (2)"}</definedName>
    <definedName name="resu" hidden="1">{#N/A,#N/A,FALSE,"MO (2)"}</definedName>
    <definedName name="RESULTADO">#REF!</definedName>
    <definedName name="RESUMO" localSheetId="20">#N/A</definedName>
    <definedName name="resumo" localSheetId="21" hidden="1">{#N/A,#N/A,TRUE,"Plan1"}</definedName>
    <definedName name="RESUMO">[141]!RESUMO</definedName>
    <definedName name="RESUMO_1" localSheetId="2">RESUMO!RESUMO_1</definedName>
    <definedName name="RESUMO_1">RESUMO_1</definedName>
    <definedName name="RESUMO_1_10">#N/A</definedName>
    <definedName name="RESUMO_1_12">#N/A</definedName>
    <definedName name="RESUMO_1_13">#N/A</definedName>
    <definedName name="RESUMO_1_15">#N/A</definedName>
    <definedName name="RESUMO_1_5">#N/A</definedName>
    <definedName name="RESUMO_1_6">#N/A</definedName>
    <definedName name="RESUMO_1_7">#N/A</definedName>
    <definedName name="RESUMO_1_8">#N/A</definedName>
    <definedName name="RESUMO_1_9">#N/A</definedName>
    <definedName name="RESUMO_10" localSheetId="2">RESUMO!RESUMO_10</definedName>
    <definedName name="RESUMO_10">RESUMO_10</definedName>
    <definedName name="RESUMO_11">#N/A</definedName>
    <definedName name="RESUMO_12" localSheetId="2">RESUMO!RESUMO_12</definedName>
    <definedName name="RESUMO_12">RESUMO_12</definedName>
    <definedName name="RESUMO_13" localSheetId="2">RESUMO!RESUMO_13</definedName>
    <definedName name="RESUMO_13">RESUMO_13</definedName>
    <definedName name="RESUMO_13_10">#N/A</definedName>
    <definedName name="RESUMO_13_12">#N/A</definedName>
    <definedName name="RESUMO_13_13">#N/A</definedName>
    <definedName name="RESUMO_13_15">#N/A</definedName>
    <definedName name="RESUMO_13_5">#N/A</definedName>
    <definedName name="RESUMO_13_6">#N/A</definedName>
    <definedName name="RESUMO_13_7">#N/A</definedName>
    <definedName name="RESUMO_13_8">#N/A</definedName>
    <definedName name="RESUMO_13_9">#N/A</definedName>
    <definedName name="RESUMO_14" localSheetId="2">RESUMO!RESUMO_14</definedName>
    <definedName name="RESUMO_14">RESUMO_14</definedName>
    <definedName name="RESUMO_14_10">#N/A</definedName>
    <definedName name="RESUMO_14_12">#N/A</definedName>
    <definedName name="RESUMO_14_13">#N/A</definedName>
    <definedName name="RESUMO_14_15">#N/A</definedName>
    <definedName name="RESUMO_14_5">#N/A</definedName>
    <definedName name="RESUMO_14_6">#N/A</definedName>
    <definedName name="RESUMO_14_7">#N/A</definedName>
    <definedName name="RESUMO_14_8">#N/A</definedName>
    <definedName name="RESUMO_14_9">#N/A</definedName>
    <definedName name="RESUMO_15">#N/A</definedName>
    <definedName name="RESUMO_19" localSheetId="2">RESUMO!RESUMO_19</definedName>
    <definedName name="RESUMO_19">RESUMO_19</definedName>
    <definedName name="RESUMO_2" localSheetId="2">RESUMO!RESUMO_2</definedName>
    <definedName name="RESUMO_2">RESUMO_2</definedName>
    <definedName name="RESUMO_2_10">#N/A</definedName>
    <definedName name="RESUMO_2_12">#N/A</definedName>
    <definedName name="RESUMO_2_13">#N/A</definedName>
    <definedName name="RESUMO_2_15">#N/A</definedName>
    <definedName name="RESUMO_2_5">#N/A</definedName>
    <definedName name="RESUMO_2_6">#N/A</definedName>
    <definedName name="RESUMO_2_7">#N/A</definedName>
    <definedName name="RESUMO_2_8">#N/A</definedName>
    <definedName name="RESUMO_2_9">#N/A</definedName>
    <definedName name="RESUMO_20" localSheetId="2">RESUMO!RESUMO_20</definedName>
    <definedName name="RESUMO_20">RESUMO_20</definedName>
    <definedName name="RESUMO_21" localSheetId="2">RESUMO!RESUMO_21</definedName>
    <definedName name="RESUMO_21">RESUMO_21</definedName>
    <definedName name="RESUMO_22" localSheetId="2">RESUMO!RESUMO_22</definedName>
    <definedName name="RESUMO_22">RESUMO_22</definedName>
    <definedName name="RESUMO_22_10">#N/A</definedName>
    <definedName name="RESUMO_22_12">#N/A</definedName>
    <definedName name="RESUMO_22_13">#N/A</definedName>
    <definedName name="RESUMO_22_15">#N/A</definedName>
    <definedName name="RESUMO_22_5">#N/A</definedName>
    <definedName name="RESUMO_22_6">#N/A</definedName>
    <definedName name="RESUMO_22_7">#N/A</definedName>
    <definedName name="RESUMO_22_8">#N/A</definedName>
    <definedName name="RESUMO_22_9">#N/A</definedName>
    <definedName name="RESUMO_23" localSheetId="2">RESUMO!RESUMO_23</definedName>
    <definedName name="RESUMO_23">RESUMO_23</definedName>
    <definedName name="RESUMO_24" localSheetId="2">RESUMO!RESUMO_24</definedName>
    <definedName name="RESUMO_24">RESUMO_24</definedName>
    <definedName name="RESUMO_25" localSheetId="2">RESUMO!RESUMO_25</definedName>
    <definedName name="RESUMO_25">RESUMO_25</definedName>
    <definedName name="RESUMO_25_10">#N/A</definedName>
    <definedName name="RESUMO_25_12">#N/A</definedName>
    <definedName name="RESUMO_25_13">#N/A</definedName>
    <definedName name="RESUMO_25_15">#N/A</definedName>
    <definedName name="RESUMO_25_5">#N/A</definedName>
    <definedName name="RESUMO_25_6">#N/A</definedName>
    <definedName name="RESUMO_25_7">#N/A</definedName>
    <definedName name="RESUMO_25_8">#N/A</definedName>
    <definedName name="RESUMO_25_9">#N/A</definedName>
    <definedName name="RESUMO_26" localSheetId="2">RESUMO!RESUMO_26</definedName>
    <definedName name="RESUMO_26">RESUMO_26</definedName>
    <definedName name="RESUMO_26_10">#N/A</definedName>
    <definedName name="RESUMO_26_12">#N/A</definedName>
    <definedName name="RESUMO_26_13">#N/A</definedName>
    <definedName name="RESUMO_26_15">#N/A</definedName>
    <definedName name="RESUMO_26_5">#N/A</definedName>
    <definedName name="RESUMO_26_6">#N/A</definedName>
    <definedName name="RESUMO_26_7">#N/A</definedName>
    <definedName name="RESUMO_26_8">#N/A</definedName>
    <definedName name="RESUMO_26_9">#N/A</definedName>
    <definedName name="RESUMO_27" localSheetId="2">RESUMO!RESUMO_27</definedName>
    <definedName name="RESUMO_27">RESUMO_27</definedName>
    <definedName name="RESUMO_27_10">#N/A</definedName>
    <definedName name="RESUMO_27_12">#N/A</definedName>
    <definedName name="RESUMO_27_13">#N/A</definedName>
    <definedName name="RESUMO_27_15">#N/A</definedName>
    <definedName name="RESUMO_27_5">#N/A</definedName>
    <definedName name="RESUMO_27_6">#N/A</definedName>
    <definedName name="RESUMO_27_7">#N/A</definedName>
    <definedName name="RESUMO_27_8">#N/A</definedName>
    <definedName name="RESUMO_27_9">#N/A</definedName>
    <definedName name="RESUMO_28" localSheetId="2">RESUMO!RESUMO_28</definedName>
    <definedName name="RESUMO_28">RESUMO_28</definedName>
    <definedName name="RESUMO_29" localSheetId="2">RESUMO!RESUMO_29</definedName>
    <definedName name="RESUMO_29">RESUMO_29</definedName>
    <definedName name="RESUMO_29_10">#N/A</definedName>
    <definedName name="RESUMO_29_12">#N/A</definedName>
    <definedName name="RESUMO_29_13">#N/A</definedName>
    <definedName name="RESUMO_29_15">#N/A</definedName>
    <definedName name="RESUMO_29_5">#N/A</definedName>
    <definedName name="RESUMO_29_6">#N/A</definedName>
    <definedName name="RESUMO_29_7">#N/A</definedName>
    <definedName name="RESUMO_29_8">#N/A</definedName>
    <definedName name="RESUMO_29_9">#N/A</definedName>
    <definedName name="RESUMO_3" localSheetId="2">RESUMO!RESUMO_3</definedName>
    <definedName name="RESUMO_3">RESUMO_3</definedName>
    <definedName name="RESUMO_3_10">#N/A</definedName>
    <definedName name="RESUMO_3_12">#N/A</definedName>
    <definedName name="RESUMO_3_13">#N/A</definedName>
    <definedName name="RESUMO_3_15">#N/A</definedName>
    <definedName name="RESUMO_3_5">#N/A</definedName>
    <definedName name="RESUMO_3_6">#N/A</definedName>
    <definedName name="RESUMO_3_7">#N/A</definedName>
    <definedName name="RESUMO_3_8">#N/A</definedName>
    <definedName name="RESUMO_3_9">#N/A</definedName>
    <definedName name="RESUMO_30" localSheetId="2">RESUMO!RESUMO_30</definedName>
    <definedName name="RESUMO_30">RESUMO_30</definedName>
    <definedName name="RESUMO_30_10">#N/A</definedName>
    <definedName name="RESUMO_30_12">#N/A</definedName>
    <definedName name="RESUMO_30_13">#N/A</definedName>
    <definedName name="RESUMO_30_15">#N/A</definedName>
    <definedName name="RESUMO_30_5">#N/A</definedName>
    <definedName name="RESUMO_30_6">#N/A</definedName>
    <definedName name="RESUMO_30_7">#N/A</definedName>
    <definedName name="RESUMO_30_8">#N/A</definedName>
    <definedName name="RESUMO_30_9">#N/A</definedName>
    <definedName name="RESUMO_31" localSheetId="2">RESUMO!RESUMO_31</definedName>
    <definedName name="RESUMO_31">RESUMO_31</definedName>
    <definedName name="RESUMO_31_10">#N/A</definedName>
    <definedName name="RESUMO_31_12">#N/A</definedName>
    <definedName name="RESUMO_31_13">#N/A</definedName>
    <definedName name="RESUMO_31_15">#N/A</definedName>
    <definedName name="RESUMO_31_5">#N/A</definedName>
    <definedName name="RESUMO_31_6">#N/A</definedName>
    <definedName name="RESUMO_31_7">#N/A</definedName>
    <definedName name="RESUMO_31_8">#N/A</definedName>
    <definedName name="RESUMO_31_9">#N/A</definedName>
    <definedName name="RESUMO_32" localSheetId="2">RESUMO!RESUMO_32</definedName>
    <definedName name="RESUMO_32">RESUMO_32</definedName>
    <definedName name="RESUMO_33" localSheetId="2">RESUMO!RESUMO_33</definedName>
    <definedName name="RESUMO_33">RESUMO_33</definedName>
    <definedName name="RESUMO_33_10">#N/A</definedName>
    <definedName name="RESUMO_33_12">#N/A</definedName>
    <definedName name="RESUMO_33_13">#N/A</definedName>
    <definedName name="RESUMO_33_15">#N/A</definedName>
    <definedName name="RESUMO_33_5">#N/A</definedName>
    <definedName name="RESUMO_33_6">#N/A</definedName>
    <definedName name="RESUMO_33_7">#N/A</definedName>
    <definedName name="RESUMO_33_8">#N/A</definedName>
    <definedName name="RESUMO_33_9">#N/A</definedName>
    <definedName name="RESUMO_34" localSheetId="2">RESUMO!RESUMO_34</definedName>
    <definedName name="RESUMO_34">RESUMO_34</definedName>
    <definedName name="RESUMO_34_10">#N/A</definedName>
    <definedName name="RESUMO_34_12">#N/A</definedName>
    <definedName name="RESUMO_34_13">#N/A</definedName>
    <definedName name="RESUMO_34_15">#N/A</definedName>
    <definedName name="RESUMO_34_5">#N/A</definedName>
    <definedName name="RESUMO_34_6">#N/A</definedName>
    <definedName name="RESUMO_34_7">#N/A</definedName>
    <definedName name="RESUMO_34_8">#N/A</definedName>
    <definedName name="RESUMO_34_9">#N/A</definedName>
    <definedName name="RESUMO_35" localSheetId="2">RESUMO!RESUMO_35</definedName>
    <definedName name="RESUMO_35">RESUMO_35</definedName>
    <definedName name="RESUMO_35_10">#N/A</definedName>
    <definedName name="RESUMO_35_12">#N/A</definedName>
    <definedName name="RESUMO_35_13">#N/A</definedName>
    <definedName name="RESUMO_35_15">#N/A</definedName>
    <definedName name="RESUMO_35_5">#N/A</definedName>
    <definedName name="RESUMO_35_6">#N/A</definedName>
    <definedName name="RESUMO_35_7">#N/A</definedName>
    <definedName name="RESUMO_35_8">#N/A</definedName>
    <definedName name="RESUMO_35_9">#N/A</definedName>
    <definedName name="RESUMO_36" localSheetId="2">RESUMO!RESUMO_36</definedName>
    <definedName name="RESUMO_36">RESUMO_36</definedName>
    <definedName name="RESUMO_36_10">#N/A</definedName>
    <definedName name="RESUMO_36_12">#N/A</definedName>
    <definedName name="RESUMO_36_13">#N/A</definedName>
    <definedName name="RESUMO_36_15">#N/A</definedName>
    <definedName name="RESUMO_36_5">#N/A</definedName>
    <definedName name="RESUMO_36_6">#N/A</definedName>
    <definedName name="RESUMO_36_7">#N/A</definedName>
    <definedName name="RESUMO_36_8">#N/A</definedName>
    <definedName name="RESUMO_36_9">#N/A</definedName>
    <definedName name="RESUMO_37" localSheetId="2">RESUMO!RESUMO_37</definedName>
    <definedName name="RESUMO_37">RESUMO_37</definedName>
    <definedName name="RESUMO_38" localSheetId="2">RESUMO!RESUMO_38</definedName>
    <definedName name="RESUMO_38">RESUMO_38</definedName>
    <definedName name="RESUMO_39" localSheetId="2">RESUMO!RESUMO_39</definedName>
    <definedName name="RESUMO_39">RESUMO_39</definedName>
    <definedName name="RESUMO_4">#N/A</definedName>
    <definedName name="RESUMO_40" localSheetId="2">RESUMO!RESUMO_40</definedName>
    <definedName name="RESUMO_40">RESUMO_40</definedName>
    <definedName name="RESUMO_41" localSheetId="2">RESUMO!RESUMO_41</definedName>
    <definedName name="RESUMO_41">RESUMO_41</definedName>
    <definedName name="RESUMO_42" localSheetId="2">RESUMO!RESUMO_42</definedName>
    <definedName name="RESUMO_42">RESUMO_42</definedName>
    <definedName name="RESUMO_43" localSheetId="2">RESUMO!RESUMO_43</definedName>
    <definedName name="RESUMO_43">RESUMO_43</definedName>
    <definedName name="RESUMO_44" localSheetId="2">RESUMO!RESUMO_44</definedName>
    <definedName name="RESUMO_44">RESUMO_44</definedName>
    <definedName name="RESUMO_45" localSheetId="2">RESUMO!RESUMO_45</definedName>
    <definedName name="RESUMO_45">RESUMO_45</definedName>
    <definedName name="RESUMO_46" localSheetId="2">RESUMO!RESUMO_46</definedName>
    <definedName name="RESUMO_46">RESUMO_46</definedName>
    <definedName name="RESUMO_47" localSheetId="2">RESUMO!RESUMO_47</definedName>
    <definedName name="RESUMO_47">RESUMO_47</definedName>
    <definedName name="RESUMO_48" localSheetId="2">RESUMO!RESUMO_48</definedName>
    <definedName name="RESUMO_48">RESUMO_48</definedName>
    <definedName name="RESUMO_5" localSheetId="2">RESUMO!RESUMO_5</definedName>
    <definedName name="RESUMO_5">RESUMO_5</definedName>
    <definedName name="RESUMO_5_10">#N/A</definedName>
    <definedName name="RESUMO_5_12">#N/A</definedName>
    <definedName name="RESUMO_5_13">#N/A</definedName>
    <definedName name="RESUMO_5_15">#N/A</definedName>
    <definedName name="RESUMO_5_5">#N/A</definedName>
    <definedName name="RESUMO_5_6">#N/A</definedName>
    <definedName name="RESUMO_5_7">#N/A</definedName>
    <definedName name="RESUMO_5_8">#N/A</definedName>
    <definedName name="RESUMO_5_9">#N/A</definedName>
    <definedName name="RESUMO_51" localSheetId="2">RESUMO!RESUMO_51</definedName>
    <definedName name="RESUMO_51">RESUMO_51</definedName>
    <definedName name="RESUMO_52" localSheetId="2">RESUMO!RESUMO_52</definedName>
    <definedName name="RESUMO_52">RESUMO_52</definedName>
    <definedName name="RESUMO_53" localSheetId="2">RESUMO!RESUMO_53</definedName>
    <definedName name="RESUMO_53">RESUMO_53</definedName>
    <definedName name="RESUMO_54" localSheetId="2">RESUMO!RESUMO_54</definedName>
    <definedName name="RESUMO_54">RESUMO_54</definedName>
    <definedName name="RESUMO_55" localSheetId="2">RESUMO!RESUMO_55</definedName>
    <definedName name="RESUMO_55">RESUMO_55</definedName>
    <definedName name="RESUMO_56" localSheetId="2">RESUMO!RESUMO_56</definedName>
    <definedName name="RESUMO_56">RESUMO_56</definedName>
    <definedName name="RESUMO_57" localSheetId="2">RESUMO!RESUMO_57</definedName>
    <definedName name="RESUMO_57">RESUMO_57</definedName>
    <definedName name="RESUMO_58" localSheetId="2">RESUMO!RESUMO_58</definedName>
    <definedName name="RESUMO_58">RESUMO_58</definedName>
    <definedName name="RESUMO_59" localSheetId="2">RESUMO!RESUMO_59</definedName>
    <definedName name="RESUMO_59">RESUMO_59</definedName>
    <definedName name="RESUMO_6">#N/A</definedName>
    <definedName name="RESUMO_60" localSheetId="2">RESUMO!RESUMO_60</definedName>
    <definedName name="RESUMO_60">RESUMO_60</definedName>
    <definedName name="RESUMO_61" localSheetId="2">RESUMO!RESUMO_61</definedName>
    <definedName name="RESUMO_61">RESUMO_61</definedName>
    <definedName name="RESUMO_62" localSheetId="2">RESUMO!RESUMO_62</definedName>
    <definedName name="RESUMO_62">RESUMO_62</definedName>
    <definedName name="RESUMO_63" localSheetId="2">RESUMO!RESUMO_63</definedName>
    <definedName name="RESUMO_63">RESUMO_63</definedName>
    <definedName name="RESUMO_64" localSheetId="2">RESUMO!RESUMO_64</definedName>
    <definedName name="RESUMO_64">RESUMO_64</definedName>
    <definedName name="RESUMO_65" localSheetId="2">RESUMO!RESUMO_65</definedName>
    <definedName name="RESUMO_65">RESUMO_65</definedName>
    <definedName name="RESUMO_66" localSheetId="2">RESUMO!RESUMO_66</definedName>
    <definedName name="RESUMO_66">RESUMO_66</definedName>
    <definedName name="RESUMO_67" localSheetId="2">RESUMO!RESUMO_67</definedName>
    <definedName name="RESUMO_67">RESUMO_67</definedName>
    <definedName name="RESUMO_68" localSheetId="2">RESUMO!RESUMO_68</definedName>
    <definedName name="RESUMO_68">RESUMO_68</definedName>
    <definedName name="RESUMO_69" localSheetId="2">RESUMO!RESUMO_69</definedName>
    <definedName name="RESUMO_69">RESUMO_69</definedName>
    <definedName name="RESUMO_7" localSheetId="2">RESUMO!RESUMO_7</definedName>
    <definedName name="RESUMO_7">RESUMO_7</definedName>
    <definedName name="RESUMO_7_10">#N/A</definedName>
    <definedName name="RESUMO_7_12">#N/A</definedName>
    <definedName name="RESUMO_7_13">#N/A</definedName>
    <definedName name="RESUMO_7_15">#N/A</definedName>
    <definedName name="RESUMO_7_5">#N/A</definedName>
    <definedName name="RESUMO_7_6">#N/A</definedName>
    <definedName name="RESUMO_7_7">#N/A</definedName>
    <definedName name="RESUMO_7_8">#N/A</definedName>
    <definedName name="RESUMO_7_9">#N/A</definedName>
    <definedName name="RESUMO_70" localSheetId="2">RESUMO!RESUMO_70</definedName>
    <definedName name="RESUMO_70">RESUMO_70</definedName>
    <definedName name="RESUMO_71" localSheetId="2">RESUMO!RESUMO_71</definedName>
    <definedName name="RESUMO_71">RESUMO_71</definedName>
    <definedName name="RESUMO_72" localSheetId="2">RESUMO!RESUMO_72</definedName>
    <definedName name="RESUMO_72">RESUMO_72</definedName>
    <definedName name="RESUMO_8" localSheetId="2">RESUMO!RESUMO_8</definedName>
    <definedName name="RESUMO_8">RESUMO_8</definedName>
    <definedName name="RESUMO_8_10">#N/A</definedName>
    <definedName name="RESUMO_8_12">#N/A</definedName>
    <definedName name="RESUMO_8_13">#N/A</definedName>
    <definedName name="RESUMO_8_15">#N/A</definedName>
    <definedName name="RESUMO_8_5">#N/A</definedName>
    <definedName name="RESUMO_8_6">#N/A</definedName>
    <definedName name="RESUMO_8_7">#N/A</definedName>
    <definedName name="RESUMO_8_8">#N/A</definedName>
    <definedName name="RESUMO_8_9">#N/A</definedName>
    <definedName name="RESUMO_9" localSheetId="2">RESUMO!RESUMO_9</definedName>
    <definedName name="RESUMO_9">RESUMO_9</definedName>
    <definedName name="RESUMO_9_10">#N/A</definedName>
    <definedName name="RESUMO_9_12">#N/A</definedName>
    <definedName name="RESUMO_9_13">#N/A</definedName>
    <definedName name="RESUMO_9_15">#N/A</definedName>
    <definedName name="RESUMO_9_5">#N/A</definedName>
    <definedName name="RESUMO_9_6">#N/A</definedName>
    <definedName name="RESUMO_9_7">#N/A</definedName>
    <definedName name="RESUMO_9_8">#N/A</definedName>
    <definedName name="RESUMO_9_9">#N/A</definedName>
    <definedName name="Resumo_Quantidade">#REF!</definedName>
    <definedName name="Resumo1" localSheetId="20" hidden="1">{"'teste'!$B$2:$R$49"}</definedName>
    <definedName name="RESUMO1" localSheetId="21">#REF!</definedName>
    <definedName name="RESUMO1">[34]!RESUMO1</definedName>
    <definedName name="Resumo1_1" localSheetId="20" hidden="1">{"'teste'!$B$2:$R$49"}</definedName>
    <definedName name="Resumo1_1" hidden="1">{"'teste'!$B$2:$R$49"}</definedName>
    <definedName name="Resumo1_1_1" localSheetId="20" hidden="1">{"'teste'!$B$2:$R$49"}</definedName>
    <definedName name="Resumo1_1_1" hidden="1">{"'teste'!$B$2:$R$49"}</definedName>
    <definedName name="Resumo1_1_1_1" localSheetId="20" hidden="1">{"'teste'!$B$2:$R$49"}</definedName>
    <definedName name="Resumo1_1_1_1" hidden="1">{"'teste'!$B$2:$R$49"}</definedName>
    <definedName name="Resumo1_1_2" localSheetId="20" hidden="1">{"'teste'!$B$2:$R$49"}</definedName>
    <definedName name="Resumo1_1_2" hidden="1">{"'teste'!$B$2:$R$49"}</definedName>
    <definedName name="Resumo1_2" localSheetId="20" hidden="1">{"'teste'!$B$2:$R$49"}</definedName>
    <definedName name="Resumo1_2" hidden="1">{"'teste'!$B$2:$R$49"}</definedName>
    <definedName name="resumo2">#REF!</definedName>
    <definedName name="resumo2_1">#REF!</definedName>
    <definedName name="resumoii" localSheetId="20" hidden="1">{#N/A,#N/A,FALSE,"MO (2)"}</definedName>
    <definedName name="resumoii" hidden="1">{#N/A,#N/A,FALSE,"MO (2)"}</definedName>
    <definedName name="RESUMOO" localSheetId="20" hidden="1">{#N/A,#N/A,TRUE,"Plan1"}</definedName>
    <definedName name="RESUMOO" localSheetId="21" hidden="1">{#N/A,#N/A,TRUE,"Plan1"}</definedName>
    <definedName name="RESUMOO" hidden="1">{#N/A,#N/A,TRUE,"Plan1"}</definedName>
    <definedName name="resumou" localSheetId="20" hidden="1">{#N/A,#N/A,TRUE,"Plan1"}</definedName>
    <definedName name="resumou" localSheetId="21" hidden="1">{#N/A,#N/A,TRUE,"Plan1"}</definedName>
    <definedName name="resumou" hidden="1">{#N/A,#N/A,TRUE,"Plan1"}</definedName>
    <definedName name="RESUMOUU" localSheetId="20" hidden="1">{#N/A,#N/A,TRUE,"Plan1"}</definedName>
    <definedName name="RESUMOUU" localSheetId="21" hidden="1">{#N/A,#N/A,TRUE,"Plan1"}</definedName>
    <definedName name="RESUMOUU" hidden="1">{#N/A,#N/A,TRUE,"Plan1"}</definedName>
    <definedName name="RET" localSheetId="20" hidden="1">{"'Quadro'!$A$4:$BG$78"}</definedName>
    <definedName name="RET" hidden="1">{"'Quadro'!$A$4:$BG$78"}</definedName>
    <definedName name="RET_1" localSheetId="20" hidden="1">{"'Quadro'!$A$4:$BG$78"}</definedName>
    <definedName name="RET_1" hidden="1">{"'Quadro'!$A$4:$BG$78"}</definedName>
    <definedName name="RET_1_1" localSheetId="20" hidden="1">{"'Quadro'!$A$4:$BG$78"}</definedName>
    <definedName name="RET_1_1" hidden="1">{"'Quadro'!$A$4:$BG$78"}</definedName>
    <definedName name="RET_1_1_1" localSheetId="20" hidden="1">{"'Quadro'!$A$4:$BG$78"}</definedName>
    <definedName name="RET_1_1_1" hidden="1">{"'Quadro'!$A$4:$BG$78"}</definedName>
    <definedName name="RET_1_2" localSheetId="20" hidden="1">{"'Quadro'!$A$4:$BG$78"}</definedName>
    <definedName name="RET_1_2" hidden="1">{"'Quadro'!$A$4:$BG$78"}</definedName>
    <definedName name="RET_2" localSheetId="20" hidden="1">{"'Quadro'!$A$4:$BG$78"}</definedName>
    <definedName name="RET_2" hidden="1">{"'Quadro'!$A$4:$BG$78"}</definedName>
    <definedName name="Retro">[203]Calendário!$A$15</definedName>
    <definedName name="Reuniao" localSheetId="20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20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uyre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v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">#REF!</definedName>
    <definedName name="REV.PRIMÁRIO">#REF!</definedName>
    <definedName name="rev_1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PRIMÁRIO">#REF!</definedName>
    <definedName name="RevBalSheet" hidden="1">#REF!</definedName>
    <definedName name="revisão">'[100]Dados Iniciais'!$B$4</definedName>
    <definedName name="REW">#REF!</definedName>
    <definedName name="rewtry" localSheetId="20" hidden="1">{"'gráf jan00'!$A$1:$AK$41"}</definedName>
    <definedName name="rewtry" hidden="1">{"'gráf jan00'!$A$1:$AK$41"}</definedName>
    <definedName name="rewtry_1" localSheetId="20" hidden="1">{"'gráf jan00'!$A$1:$AK$41"}</definedName>
    <definedName name="rewtry_1" hidden="1">{"'gráf jan00'!$A$1:$AK$41"}</definedName>
    <definedName name="rewtry_1_1" localSheetId="20" hidden="1">{"'gráf jan00'!$A$1:$AK$41"}</definedName>
    <definedName name="rewtry_1_1" hidden="1">{"'gráf jan00'!$A$1:$AK$41"}</definedName>
    <definedName name="rewtry_1_1_1" localSheetId="20" hidden="1">{"'gráf jan00'!$A$1:$AK$41"}</definedName>
    <definedName name="rewtry_1_1_1" hidden="1">{"'gráf jan00'!$A$1:$AK$41"}</definedName>
    <definedName name="rewtry_1_2" localSheetId="20" hidden="1">{"'gráf jan00'!$A$1:$AK$41"}</definedName>
    <definedName name="rewtry_1_2" hidden="1">{"'gráf jan00'!$A$1:$AK$41"}</definedName>
    <definedName name="rewtry_2" localSheetId="20" hidden="1">{"'gráf jan00'!$A$1:$AK$41"}</definedName>
    <definedName name="rewtry_2" hidden="1">{"'gráf jan00'!$A$1:$AK$41"}</definedName>
    <definedName name="rf" localSheetId="20" hidden="1">{"'CptDifn'!$AA$32:$AG$32"}</definedName>
    <definedName name="rf" hidden="1">{"'CptDifn'!$AA$32:$AG$32"}</definedName>
    <definedName name="rf_1" localSheetId="20" hidden="1">{"'CptDifn'!$AA$32:$AG$32"}</definedName>
    <definedName name="rf_1" hidden="1">{"'CptDifn'!$AA$32:$AG$32"}</definedName>
    <definedName name="rf_1_1" localSheetId="20" hidden="1">{"'CptDifn'!$AA$32:$AG$32"}</definedName>
    <definedName name="rf_1_1" hidden="1">{"'CptDifn'!$AA$32:$AG$32"}</definedName>
    <definedName name="rf_1_1_1" localSheetId="20" hidden="1">{"'CptDifn'!$AA$32:$AG$32"}</definedName>
    <definedName name="rf_1_1_1" hidden="1">{"'CptDifn'!$AA$32:$AG$32"}</definedName>
    <definedName name="rf_1_2" localSheetId="20" hidden="1">{"'CptDifn'!$AA$32:$AG$32"}</definedName>
    <definedName name="rf_1_2" hidden="1">{"'CptDifn'!$AA$32:$AG$32"}</definedName>
    <definedName name="rf_2" localSheetId="20" hidden="1">{"'CptDifn'!$AA$32:$AG$32"}</definedName>
    <definedName name="rf_2" hidden="1">{"'CptDifn'!$AA$32:$AG$32"}</definedName>
    <definedName name="rfiuogft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t">[69]PROJETO!#REF!</definedName>
    <definedName name="RFTY" localSheetId="20" hidden="1">{"'Quadro'!$A$4:$BG$78"}</definedName>
    <definedName name="RFTY" hidden="1">{"'Quadro'!$A$4:$BG$78"}</definedName>
    <definedName name="RFTY_1" localSheetId="20" hidden="1">{"'Quadro'!$A$4:$BG$78"}</definedName>
    <definedName name="RFTY_1" hidden="1">{"'Quadro'!$A$4:$BG$78"}</definedName>
    <definedName name="RFTY_1_1" localSheetId="20" hidden="1">{"'Quadro'!$A$4:$BG$78"}</definedName>
    <definedName name="RFTY_1_1" hidden="1">{"'Quadro'!$A$4:$BG$78"}</definedName>
    <definedName name="RFTY_1_1_1" localSheetId="20" hidden="1">{"'Quadro'!$A$4:$BG$78"}</definedName>
    <definedName name="RFTY_1_1_1" hidden="1">{"'Quadro'!$A$4:$BG$78"}</definedName>
    <definedName name="RFTY_1_2" localSheetId="20" hidden="1">{"'Quadro'!$A$4:$BG$78"}</definedName>
    <definedName name="RFTY_1_2" hidden="1">{"'Quadro'!$A$4:$BG$78"}</definedName>
    <definedName name="RFTY_2" localSheetId="20" hidden="1">{"'Quadro'!$A$4:$BG$78"}</definedName>
    <definedName name="RFTY_2" hidden="1">{"'Quadro'!$A$4:$BG$78"}</definedName>
    <definedName name="RFV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fv_1" localSheetId="20" hidden="1">{"'gráf jan00'!$A$1:$AK$41"}</definedName>
    <definedName name="rfv_1" hidden="1">{"'gráf jan00'!$A$1:$AK$41"}</definedName>
    <definedName name="rfv_1_1" localSheetId="20" hidden="1">{"'gráf jan00'!$A$1:$AK$41"}</definedName>
    <definedName name="rfv_1_1" hidden="1">{"'gráf jan00'!$A$1:$AK$41"}</definedName>
    <definedName name="rfv_1_1_1" localSheetId="20" hidden="1">{"'gráf jan00'!$A$1:$AK$41"}</definedName>
    <definedName name="rfv_1_1_1" hidden="1">{"'gráf jan00'!$A$1:$AK$41"}</definedName>
    <definedName name="rfv_1_2" localSheetId="20" hidden="1">{"'gráf jan00'!$A$1:$AK$41"}</definedName>
    <definedName name="rfv_1_2" hidden="1">{"'gráf jan00'!$A$1:$AK$41"}</definedName>
    <definedName name="rfv_2" localSheetId="20" hidden="1">{"'gráf jan00'!$A$1:$AK$41"}</definedName>
    <definedName name="rfv_2" hidden="1">{"'gráf jan00'!$A$1:$AK$41"}</definedName>
    <definedName name="RG">#REF!</definedName>
    <definedName name="RGC">#REF!</definedName>
    <definedName name="rghwert" localSheetId="20" hidden="1">{#N/A,#N/A,FALSE,"PCOL"}</definedName>
    <definedName name="rghwert" hidden="1">{#N/A,#N/A,FALSE,"PCOL"}</definedName>
    <definedName name="rghwert_1" localSheetId="20" hidden="1">{#N/A,#N/A,FALSE,"PCOL"}</definedName>
    <definedName name="rghwert_1" hidden="1">{#N/A,#N/A,FALSE,"PCOL"}</definedName>
    <definedName name="rghwert_1_1" localSheetId="20" hidden="1">{#N/A,#N/A,FALSE,"PCOL"}</definedName>
    <definedName name="rghwert_1_1" hidden="1">{#N/A,#N/A,FALSE,"PCOL"}</definedName>
    <definedName name="rghwert_1_1_1" localSheetId="20" hidden="1">{#N/A,#N/A,FALSE,"PCOL"}</definedName>
    <definedName name="rghwert_1_1_1" hidden="1">{#N/A,#N/A,FALSE,"PCOL"}</definedName>
    <definedName name="rghwert_1_2" localSheetId="20" hidden="1">{#N/A,#N/A,FALSE,"PCOL"}</definedName>
    <definedName name="rghwert_1_2" hidden="1">{#N/A,#N/A,FALSE,"PCOL"}</definedName>
    <definedName name="rghwert_2" localSheetId="20" hidden="1">{#N/A,#N/A,FALSE,"PCOL"}</definedName>
    <definedName name="rghwert_2" hidden="1">{#N/A,#N/A,FALSE,"PCOL"}</definedName>
    <definedName name="rh" localSheetId="20" hidden="1">{"'CptDifn'!$AA$32:$AG$32"}</definedName>
    <definedName name="rh" hidden="1">{"'CptDifn'!$AA$32:$AG$32"}</definedName>
    <definedName name="rh_1" localSheetId="20" hidden="1">{"'CptDifn'!$AA$32:$AG$32"}</definedName>
    <definedName name="rh_1" hidden="1">{"'CptDifn'!$AA$32:$AG$32"}</definedName>
    <definedName name="rh_1_1" localSheetId="20" hidden="1">{"'CptDifn'!$AA$32:$AG$32"}</definedName>
    <definedName name="rh_1_1" hidden="1">{"'CptDifn'!$AA$32:$AG$32"}</definedName>
    <definedName name="rh_1_1_1" localSheetId="20" hidden="1">{"'CptDifn'!$AA$32:$AG$32"}</definedName>
    <definedName name="rh_1_1_1" hidden="1">{"'CptDifn'!$AA$32:$AG$32"}</definedName>
    <definedName name="rh_1_2" localSheetId="20" hidden="1">{"'CptDifn'!$AA$32:$AG$32"}</definedName>
    <definedName name="rh_1_2" hidden="1">{"'CptDifn'!$AA$32:$AG$32"}</definedName>
    <definedName name="rh_2" localSheetId="20" hidden="1">{"'CptDifn'!$AA$32:$AG$32"}</definedName>
    <definedName name="rh_2" hidden="1">{"'CptDifn'!$AA$32:$AG$32"}</definedName>
    <definedName name="rieifr" localSheetId="20" hidden="1">{"det (May)",#N/A,FALSE,"June";"sum (MAY YTD)",#N/A,FALSE,"June YTD"}</definedName>
    <definedName name="rieifr" hidden="1">{"det (May)",#N/A,FALSE,"June";"sum (MAY YTD)",#N/A,FALSE,"June YTD"}</definedName>
    <definedName name="rieifr_1" localSheetId="20" hidden="1">{"det (May)",#N/A,FALSE,"June";"sum (MAY YTD)",#N/A,FALSE,"June YTD"}</definedName>
    <definedName name="rieifr_1" hidden="1">{"det (May)",#N/A,FALSE,"June";"sum (MAY YTD)",#N/A,FALSE,"June YTD"}</definedName>
    <definedName name="rieifr_1_1" localSheetId="20" hidden="1">{"det (May)",#N/A,FALSE,"June";"sum (MAY YTD)",#N/A,FALSE,"June YTD"}</definedName>
    <definedName name="rieifr_1_1" hidden="1">{"det (May)",#N/A,FALSE,"June";"sum (MAY YTD)",#N/A,FALSE,"June YTD"}</definedName>
    <definedName name="rieifr_1_1_1" localSheetId="20" hidden="1">{"det (May)",#N/A,FALSE,"June";"sum (MAY YTD)",#N/A,FALSE,"June YTD"}</definedName>
    <definedName name="rieifr_1_1_1" hidden="1">{"det (May)",#N/A,FALSE,"June";"sum (MAY YTD)",#N/A,FALSE,"June YTD"}</definedName>
    <definedName name="rieifr_1_2" localSheetId="20" hidden="1">{"det (May)",#N/A,FALSE,"June";"sum (MAY YTD)",#N/A,FALSE,"June YTD"}</definedName>
    <definedName name="rieifr_1_2" hidden="1">{"det (May)",#N/A,FALSE,"June";"sum (MAY YTD)",#N/A,FALSE,"June YTD"}</definedName>
    <definedName name="rieifr_2" localSheetId="20" hidden="1">{"det (May)",#N/A,FALSE,"June";"sum (MAY YTD)",#N/A,FALSE,"June YTD"}</definedName>
    <definedName name="rieifr_2" hidden="1">{"det (May)",#N/A,FALSE,"June";"sum (MAY YTD)",#N/A,FALSE,"June YTD"}</definedName>
    <definedName name="rieis" localSheetId="20" hidden="1">{"det (May)",#N/A,FALSE,"June";"sum (MAY YTD)",#N/A,FALSE,"June YTD"}</definedName>
    <definedName name="rieis" hidden="1">{"det (May)",#N/A,FALSE,"June";"sum (MAY YTD)",#N/A,FALSE,"June YTD"}</definedName>
    <definedName name="rieis_1" localSheetId="20" hidden="1">{"det (May)",#N/A,FALSE,"June";"sum (MAY YTD)",#N/A,FALSE,"June YTD"}</definedName>
    <definedName name="rieis_1" hidden="1">{"det (May)",#N/A,FALSE,"June";"sum (MAY YTD)",#N/A,FALSE,"June YTD"}</definedName>
    <definedName name="rieis_1_1" localSheetId="20" hidden="1">{"det (May)",#N/A,FALSE,"June";"sum (MAY YTD)",#N/A,FALSE,"June YTD"}</definedName>
    <definedName name="rieis_1_1" hidden="1">{"det (May)",#N/A,FALSE,"June";"sum (MAY YTD)",#N/A,FALSE,"June YTD"}</definedName>
    <definedName name="rieis_1_1_1" localSheetId="20" hidden="1">{"det (May)",#N/A,FALSE,"June";"sum (MAY YTD)",#N/A,FALSE,"June YTD"}</definedName>
    <definedName name="rieis_1_1_1" hidden="1">{"det (May)",#N/A,FALSE,"June";"sum (MAY YTD)",#N/A,FALSE,"June YTD"}</definedName>
    <definedName name="rieis_1_2" localSheetId="20" hidden="1">{"det (May)",#N/A,FALSE,"June";"sum (MAY YTD)",#N/A,FALSE,"June YTD"}</definedName>
    <definedName name="rieis_1_2" hidden="1">{"det (May)",#N/A,FALSE,"June";"sum (MAY YTD)",#N/A,FALSE,"June YTD"}</definedName>
    <definedName name="rieis_2" localSheetId="20" hidden="1">{"det (May)",#N/A,FALSE,"June";"sum (MAY YTD)",#N/A,FALSE,"June YTD"}</definedName>
    <definedName name="rieis_2" hidden="1">{"det (May)",#N/A,FALSE,"June";"sum (MAY YTD)",#N/A,FALSE,"June YTD"}</definedName>
    <definedName name="rio" localSheetId="20" hidden="1">{#N/A,#N/A,FALSE,"Cronograma";#N/A,#N/A,FALSE,"Cronogr. 2"}</definedName>
    <definedName name="rio" hidden="1">{#N/A,#N/A,FALSE,"Cronograma";#N/A,#N/A,FALSE,"Cronogr. 2"}</definedName>
    <definedName name="rio_1" localSheetId="20" hidden="1">{#N/A,#N/A,FALSE,"Cronograma";#N/A,#N/A,FALSE,"Cronogr. 2"}</definedName>
    <definedName name="rio_1" hidden="1">{#N/A,#N/A,FALSE,"Cronograma";#N/A,#N/A,FALSE,"Cronogr. 2"}</definedName>
    <definedName name="rio_1_1" localSheetId="20" hidden="1">{#N/A,#N/A,FALSE,"Cronograma";#N/A,#N/A,FALSE,"Cronogr. 2"}</definedName>
    <definedName name="rio_1_1" hidden="1">{#N/A,#N/A,FALSE,"Cronograma";#N/A,#N/A,FALSE,"Cronogr. 2"}</definedName>
    <definedName name="rio_1_1_1" localSheetId="20" hidden="1">{#N/A,#N/A,FALSE,"Cronograma";#N/A,#N/A,FALSE,"Cronogr. 2"}</definedName>
    <definedName name="rio_1_1_1" hidden="1">{#N/A,#N/A,FALSE,"Cronograma";#N/A,#N/A,FALSE,"Cronogr. 2"}</definedName>
    <definedName name="rio_1_2" localSheetId="20" hidden="1">{#N/A,#N/A,FALSE,"Cronograma";#N/A,#N/A,FALSE,"Cronogr. 2"}</definedName>
    <definedName name="rio_1_2" hidden="1">{#N/A,#N/A,FALSE,"Cronograma";#N/A,#N/A,FALSE,"Cronogr. 2"}</definedName>
    <definedName name="rio_2" localSheetId="20" hidden="1">{#N/A,#N/A,FALSE,"Cronograma";#N/A,#N/A,FALSE,"Cronogr. 2"}</definedName>
    <definedName name="rio_2" hidden="1">{#N/A,#N/A,FALSE,"Cronograma";#N/A,#N/A,FALSE,"Cronogr. 2"}</definedName>
    <definedName name="RIOMACHADO" localSheetId="1">#REF!</definedName>
    <definedName name="RIOMACHADO">#REF!</definedName>
    <definedName name="RIOMUQUI" localSheetId="1">#REF!</definedName>
    <definedName name="RIOMUQUI">#REF!</definedName>
    <definedName name="RIONOVE" localSheetId="1">#REF!</definedName>
    <definedName name="RIONOVE">#REF!</definedName>
    <definedName name="RIORIACHUELO" localSheetId="1">#REF!</definedName>
    <definedName name="RIORIACHUELO">#REF!</definedName>
    <definedName name="RIOSÃOPEDRO" localSheetId="1">#REF!</definedName>
    <definedName name="RIOSÃOPEDRO">#REF!</definedName>
    <definedName name="RIOSOLEDADE" localSheetId="1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sInput" hidden="1">FALSE</definedName>
    <definedName name="RiskIsOptimization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0" hidden="1">{"'CptDifn'!$AA$32:$AG$32"}</definedName>
    <definedName name="rj" hidden="1">{"'CptDifn'!$AA$32:$AG$32"}</definedName>
    <definedName name="rj_1" localSheetId="20" hidden="1">{"'CptDifn'!$AA$32:$AG$32"}</definedName>
    <definedName name="rj_1" hidden="1">{"'CptDifn'!$AA$32:$AG$32"}</definedName>
    <definedName name="rj_1_1" localSheetId="20" hidden="1">{"'CptDifn'!$AA$32:$AG$32"}</definedName>
    <definedName name="rj_1_1" hidden="1">{"'CptDifn'!$AA$32:$AG$32"}</definedName>
    <definedName name="rj_1_1_1" localSheetId="20" hidden="1">{"'CptDifn'!$AA$32:$AG$32"}</definedName>
    <definedName name="rj_1_1_1" hidden="1">{"'CptDifn'!$AA$32:$AG$32"}</definedName>
    <definedName name="rj_1_2" localSheetId="20" hidden="1">{"'CptDifn'!$AA$32:$AG$32"}</definedName>
    <definedName name="rj_1_2" hidden="1">{"'CptDifn'!$AA$32:$AG$32"}</definedName>
    <definedName name="rj_2" localSheetId="20" hidden="1">{"'CptDifn'!$AA$32:$AG$32"}</definedName>
    <definedName name="rj_2" hidden="1">{"'CptDifn'!$AA$32:$AG$32"}</definedName>
    <definedName name="RL_1C">'[85]CUSTO MATERIAL'!$F$27</definedName>
    <definedName name="RM">#REF!</definedName>
    <definedName name="RM_1C">'[85]CUSTO MATERIAL'!$F$26</definedName>
    <definedName name="RM1C">#REF!</definedName>
    <definedName name="RM1CROO">'[85]CALCULOS AUXILIARES'!$E$38</definedName>
    <definedName name="RM1CW">#REF!</definedName>
    <definedName name="RM1CWA">#REF!</definedName>
    <definedName name="RMA">'[47]PRO-08'!#REF!</definedName>
    <definedName name="RMA_11">[48]PRO_08!#REF!</definedName>
    <definedName name="RMA_15">[48]PRO_08!#REF!</definedName>
    <definedName name="RMA_24">'[49]PRO-08'!#REF!</definedName>
    <definedName name="RMA_26">'[50]PRO-08'!#REF!</definedName>
    <definedName name="RMA_27">'[49]PRO-08'!#REF!</definedName>
    <definedName name="RMA_27_11">[51]PRO_08!#REF!</definedName>
    <definedName name="RMA_9">'[49]PRO-08'!#REF!</definedName>
    <definedName name="RMA_9_11">[51]PRO_08!#REF!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>[97]SERVIÇOS!$G$19</definedName>
    <definedName name="RMEC">#REF!</definedName>
    <definedName name="RMECAT">[97]SERVIÇOS!$G$46</definedName>
    <definedName name="RMN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B" localSheetId="20" hidden="1">{#N/A,#N/A,FALSE,"EXPORTAC";#N/A,#N/A,FALSE,"SUPEL94"}</definedName>
    <definedName name="ROB" hidden="1">{#N/A,#N/A,FALSE,"EXPORTAC";#N/A,#N/A,FALSE,"SUPEL94"}</definedName>
    <definedName name="ROB_1" localSheetId="20" hidden="1">{#N/A,#N/A,FALSE,"EXPORTAC";#N/A,#N/A,FALSE,"SUPEL94"}</definedName>
    <definedName name="ROB_1" hidden="1">{#N/A,#N/A,FALSE,"EXPORTAC";#N/A,#N/A,FALSE,"SUPEL94"}</definedName>
    <definedName name="ROB_1_1" localSheetId="20" hidden="1">{#N/A,#N/A,FALSE,"EXPORTAC";#N/A,#N/A,FALSE,"SUPEL94"}</definedName>
    <definedName name="ROB_1_1" hidden="1">{#N/A,#N/A,FALSE,"EXPORTAC";#N/A,#N/A,FALSE,"SUPEL94"}</definedName>
    <definedName name="ROB_1_1_1" localSheetId="20" hidden="1">{#N/A,#N/A,FALSE,"EXPORTAC";#N/A,#N/A,FALSE,"SUPEL94"}</definedName>
    <definedName name="ROB_1_1_1" hidden="1">{#N/A,#N/A,FALSE,"EXPORTAC";#N/A,#N/A,FALSE,"SUPEL94"}</definedName>
    <definedName name="ROB_1_2" localSheetId="20" hidden="1">{#N/A,#N/A,FALSE,"EXPORTAC";#N/A,#N/A,FALSE,"SUPEL94"}</definedName>
    <definedName name="ROB_1_2" hidden="1">{#N/A,#N/A,FALSE,"EXPORTAC";#N/A,#N/A,FALSE,"SUPEL94"}</definedName>
    <definedName name="ROB_2" localSheetId="20" hidden="1">{#N/A,#N/A,FALSE,"EXPORTAC";#N/A,#N/A,FALSE,"SUPEL94"}</definedName>
    <definedName name="ROB_2" hidden="1">{#N/A,#N/A,FALSE,"EXPORTAC";#N/A,#N/A,FALSE,"SUPEL94"}</definedName>
    <definedName name="Rod" hidden="1">#REF!</definedName>
    <definedName name="Rodapé" localSheetId="1">#REF!</definedName>
    <definedName name="Rodapé">#REF!</definedName>
    <definedName name="rodo">#REF!</definedName>
    <definedName name="Rodovia">#REF!</definedName>
    <definedName name="Rodovia___................">#REF!</definedName>
    <definedName name="Rodovia___................_15">#REF!</definedName>
    <definedName name="Rodovia___________________">#REF!</definedName>
    <definedName name="rodovia_10">#REF!</definedName>
    <definedName name="rodovia_12">#REF!</definedName>
    <definedName name="rodovia_4">#REF!</definedName>
    <definedName name="rodovia_9">#REF!</definedName>
    <definedName name="ROMZ">#REF!</definedName>
    <definedName name="RP">#REF!</definedName>
    <definedName name="RP_1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20" hidden="1">{#N/A,#N/A,TRUE,"Serviços"}</definedName>
    <definedName name="rr" localSheetId="21">#REF!</definedName>
    <definedName name="rr">#REF!</definedName>
    <definedName name="rr_1" localSheetId="20" hidden="1">{"'CptDifn'!$AA$32:$AG$32"}</definedName>
    <definedName name="rr_1" hidden="1">{"'CptDifn'!$AA$32:$AG$32"}</definedName>
    <definedName name="rr_1_1" localSheetId="20" hidden="1">{"'CptDifn'!$AA$32:$AG$32"}</definedName>
    <definedName name="rr_1_1" hidden="1">{"'CptDifn'!$AA$32:$AG$32"}</definedName>
    <definedName name="rr_1_1_1" localSheetId="20" hidden="1">{"'CptDifn'!$AA$32:$AG$32"}</definedName>
    <definedName name="rr_1_1_1" hidden="1">{"'CptDifn'!$AA$32:$AG$32"}</definedName>
    <definedName name="rr_1_2" localSheetId="20" hidden="1">{"'CptDifn'!$AA$32:$AG$32"}</definedName>
    <definedName name="rr_1_2" hidden="1">{"'CptDifn'!$AA$32:$AG$32"}</definedName>
    <definedName name="RR_10">[5]PLMUSEU!#REF!</definedName>
    <definedName name="RR_12">[5]PLMUSEU!#REF!</definedName>
    <definedName name="RR_1C">'[85]CUSTO MATERIAL'!$F$24</definedName>
    <definedName name="rr_2" localSheetId="20" hidden="1">{"'CptDifn'!$AA$32:$AG$32"}</definedName>
    <definedName name="rr_2" hidden="1">{"'CptDifn'!$AA$32:$AG$32"}</definedName>
    <definedName name="RR_2C">'[85]CUSTO MATERIAL'!$F$25</definedName>
    <definedName name="RR_3">[5]PLMUSEU!#REF!</definedName>
    <definedName name="RR_9">[5]PLMUSEU!#REF!</definedName>
    <definedName name="RR1C">#REF!</definedName>
    <definedName name="RR1CROO">'[85]CALCULOS AUXILIARES'!$E$26</definedName>
    <definedName name="RR1CW">#REF!</definedName>
    <definedName name="RR1CWA">#REF!</definedName>
    <definedName name="RR2C" localSheetId="21">#REF!</definedName>
    <definedName name="RR2C">[15]DADOS!$C$32</definedName>
    <definedName name="RR2CCOMPRO">#REF!</definedName>
    <definedName name="RR2CFEXECUTAR">#REF!</definedName>
    <definedName name="RR2CROO">'[85]CALCULOS AUXILIARES'!$E$30</definedName>
    <definedName name="RR2CTOTAL">#REF!</definedName>
    <definedName name="rraauf">'[44]Resumo Financeiro'!#REF!</definedName>
    <definedName name="rraauq">'[44]Resumo Financeiro'!#REF!</definedName>
    <definedName name="rrff" localSheetId="20" hidden="1">{#N/A,#N/A,TRUE,"Serviços"}</definedName>
    <definedName name="rrff" localSheetId="21">{#N/A,#N/A,TRUE,"Serviços"}</definedName>
    <definedName name="rrff" localSheetId="2" hidden="1">{#N/A,#N/A,TRUE,"Serviços"}</definedName>
    <definedName name="rrff" hidden="1">{#N/A,#N/A,TRUE,"Serviços"}</definedName>
    <definedName name="rrff_1" localSheetId="20">{#N/A,#N/A,TRUE,"Serviços"}</definedName>
    <definedName name="rrff_1" localSheetId="21">{#N/A,#N/A,TRUE,"Serviços"}</definedName>
    <definedName name="rrff_1">{#N/A,#N/A,TRUE,"Serviços"}</definedName>
    <definedName name="rrfff" localSheetId="20" hidden="1">{#N/A,#N/A,TRUE,"Serviços"}</definedName>
    <definedName name="rrfff" localSheetId="2" hidden="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localSheetId="20" hidden="1">{#N/A,#N/A,TRUE,"Serviços"}</definedName>
    <definedName name="rrr" localSheetId="2" hidden="1">{#N/A,#N/A,TRUE,"Serviços"}</definedName>
    <definedName name="rrr" hidden="1">{#N/A,#N/A,TRUE,"Serviços"}</definedName>
    <definedName name="RRRP">#REF!</definedName>
    <definedName name="rrrr" localSheetId="20" hidden="1">{"'CptDifn'!$AA$32:$AG$32"}</definedName>
    <definedName name="rrrr" hidden="1">{"'CptDifn'!$AA$32:$AG$32"}</definedName>
    <definedName name="rrrr_1" localSheetId="20" hidden="1">{"'CptDifn'!$AA$32:$AG$32"}</definedName>
    <definedName name="rrrr_1" hidden="1">{"'CptDifn'!$AA$32:$AG$32"}</definedName>
    <definedName name="rrrr_1_1" localSheetId="20" hidden="1">{"'CptDifn'!$AA$32:$AG$32"}</definedName>
    <definedName name="rrrr_1_1" hidden="1">{"'CptDifn'!$AA$32:$AG$32"}</definedName>
    <definedName name="rrrr_1_1_1" localSheetId="20" hidden="1">{"'CptDifn'!$AA$32:$AG$32"}</definedName>
    <definedName name="rrrr_1_1_1" hidden="1">{"'CptDifn'!$AA$32:$AG$32"}</definedName>
    <definedName name="rrrr_1_2" localSheetId="20" hidden="1">{"'CptDifn'!$AA$32:$AG$32"}</definedName>
    <definedName name="rrrr_1_2" hidden="1">{"'CptDifn'!$AA$32:$AG$32"}</definedName>
    <definedName name="rrrr_2" localSheetId="20" hidden="1">{"'CptDifn'!$AA$32:$AG$32"}</definedName>
    <definedName name="rrrr_2" hidden="1">{"'CptDifn'!$AA$32:$AG$32"}</definedName>
    <definedName name="rrrrr" localSheetId="20" hidden="1">{"'gráf jan00'!$A$1:$AK$41"}</definedName>
    <definedName name="rrrrr" hidden="1">{"'gráf jan00'!$A$1:$AK$41"}</definedName>
    <definedName name="rrrrr_1" localSheetId="20" hidden="1">{"'gráf jan00'!$A$1:$AK$41"}</definedName>
    <definedName name="rrrrr_1" hidden="1">{"'gráf jan00'!$A$1:$AK$41"}</definedName>
    <definedName name="rrrrr_1_1" localSheetId="20" hidden="1">{"'gráf jan00'!$A$1:$AK$41"}</definedName>
    <definedName name="rrrrr_1_1" hidden="1">{"'gráf jan00'!$A$1:$AK$41"}</definedName>
    <definedName name="rrrrr_1_1_1" localSheetId="20" hidden="1">{"'gráf jan00'!$A$1:$AK$41"}</definedName>
    <definedName name="rrrrr_1_1_1" hidden="1">{"'gráf jan00'!$A$1:$AK$41"}</definedName>
    <definedName name="rrrrr_1_2" localSheetId="20" hidden="1">{"'gráf jan00'!$A$1:$AK$41"}</definedName>
    <definedName name="rrrrr_1_2" hidden="1">{"'gráf jan00'!$A$1:$AK$41"}</definedName>
    <definedName name="rrrrr_2" localSheetId="20" hidden="1">{"'gráf jan00'!$A$1:$AK$41"}</definedName>
    <definedName name="rrrrr_2" hidden="1">{"'gráf jan00'!$A$1:$AK$41"}</definedName>
    <definedName name="rrrrrr" localSheetId="20" hidden="1">{#N/A,#N/A,FALSE,"S-USGV";#N/A,#N/A,FALSE,"S-MDE";#N/A,#N/A,FALSE,"S-BELGO";#N/A,#N/A,FALSE,"CAPA"}</definedName>
    <definedName name="rrrrrr" hidden="1">{#N/A,#N/A,FALSE,"S-USGV";#N/A,#N/A,FALSE,"S-MDE";#N/A,#N/A,FALSE,"S-BELGO";#N/A,#N/A,FALSE,"CAPA"}</definedName>
    <definedName name="rrrrrr_1" localSheetId="20" hidden="1">{#N/A,#N/A,FALSE,"S-USGV";#N/A,#N/A,FALSE,"S-MDE";#N/A,#N/A,FALSE,"S-BELGO";#N/A,#N/A,FALSE,"CAPA"}</definedName>
    <definedName name="rrrrrr_1" hidden="1">{#N/A,#N/A,FALSE,"S-USGV";#N/A,#N/A,FALSE,"S-MDE";#N/A,#N/A,FALSE,"S-BELGO";#N/A,#N/A,FALSE,"CAPA"}</definedName>
    <definedName name="rrrrrr_1_1" localSheetId="20" hidden="1">{#N/A,#N/A,FALSE,"S-USGV";#N/A,#N/A,FALSE,"S-MDE";#N/A,#N/A,FALSE,"S-BELGO";#N/A,#N/A,FALSE,"CAPA"}</definedName>
    <definedName name="rrrrrr_1_1" hidden="1">{#N/A,#N/A,FALSE,"S-USGV";#N/A,#N/A,FALSE,"S-MDE";#N/A,#N/A,FALSE,"S-BELGO";#N/A,#N/A,FALSE,"CAPA"}</definedName>
    <definedName name="rrrrrr_1_1_1" localSheetId="20" hidden="1">{#N/A,#N/A,FALSE,"S-USGV";#N/A,#N/A,FALSE,"S-MDE";#N/A,#N/A,FALSE,"S-BELGO";#N/A,#N/A,FALSE,"CAPA"}</definedName>
    <definedName name="rrrrrr_1_1_1" hidden="1">{#N/A,#N/A,FALSE,"S-USGV";#N/A,#N/A,FALSE,"S-MDE";#N/A,#N/A,FALSE,"S-BELGO";#N/A,#N/A,FALSE,"CAPA"}</definedName>
    <definedName name="rrrrrr_1_2" localSheetId="20" hidden="1">{#N/A,#N/A,FALSE,"S-USGV";#N/A,#N/A,FALSE,"S-MDE";#N/A,#N/A,FALSE,"S-BELGO";#N/A,#N/A,FALSE,"CAPA"}</definedName>
    <definedName name="rrrrrr_1_2" hidden="1">{#N/A,#N/A,FALSE,"S-USGV";#N/A,#N/A,FALSE,"S-MDE";#N/A,#N/A,FALSE,"S-BELGO";#N/A,#N/A,FALSE,"CAPA"}</definedName>
    <definedName name="rrrrrr_2" localSheetId="20" hidden="1">{#N/A,#N/A,FALSE,"S-USGV";#N/A,#N/A,FALSE,"S-MDE";#N/A,#N/A,FALSE,"S-BELGO";#N/A,#N/A,FALSE,"CAPA"}</definedName>
    <definedName name="rrrrrr_2" hidden="1">{#N/A,#N/A,FALSE,"S-USGV";#N/A,#N/A,FALSE,"S-MDE";#N/A,#N/A,FALSE,"S-BELGO";#N/A,#N/A,FALSE,"CAPA"}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1" localSheetId="20" hidden="1">{"'CptDifn'!$AA$32:$AG$32"}</definedName>
    <definedName name="rs_1" hidden="1">{"'CptDifn'!$AA$32:$AG$32"}</definedName>
    <definedName name="rs_1_1" localSheetId="20" hidden="1">{"'CptDifn'!$AA$32:$AG$32"}</definedName>
    <definedName name="rs_1_1" hidden="1">{"'CptDifn'!$AA$32:$AG$32"}</definedName>
    <definedName name="rs_1_1_1" localSheetId="20" hidden="1">{"'CptDifn'!$AA$32:$AG$32"}</definedName>
    <definedName name="rs_1_1_1" hidden="1">{"'CptDifn'!$AA$32:$AG$32"}</definedName>
    <definedName name="rs_1_2" localSheetId="20" hidden="1">{"'CptDifn'!$AA$32:$AG$32"}</definedName>
    <definedName name="rs_1_2" hidden="1">{"'CptDifn'!$AA$32:$AG$32"}</definedName>
    <definedName name="RS_11">#REF!</definedName>
    <definedName name="RS_12">#REF!</definedName>
    <definedName name="RS_13">#REF!</definedName>
    <definedName name="RS_15">#REF!</definedName>
    <definedName name="rs_2" localSheetId="20" hidden="1">{"'CptDifn'!$AA$32:$AG$32"}</definedName>
    <definedName name="RS_2" localSheetId="21">#REF!</definedName>
    <definedName name="RS_2">#REF!</definedName>
    <definedName name="RS_4">#REF!</definedName>
    <definedName name="RS_5">#REF!</definedName>
    <definedName name="RS_6">#REF!</definedName>
    <definedName name="RS_7">#REF!</definedName>
    <definedName name="RS_8">#REF!</definedName>
    <definedName name="RS_9">#REF!</definedName>
    <definedName name="RSS">#REF!</definedName>
    <definedName name="rt" localSheetId="20" hidden="1">{#N/A,#N/A,FALSE,"ORC-ACKE";#N/A,#N/A,FALSE,"RESUMO"}</definedName>
    <definedName name="rt" hidden="1">{#N/A,#N/A,FALSE,"ORC-ACKE";#N/A,#N/A,FALSE,"RESUMO"}</definedName>
    <definedName name="rt_1" localSheetId="20" hidden="1">{"'CptDifn'!$AA$32:$AG$32"}</definedName>
    <definedName name="rt_1" hidden="1">{"'CptDifn'!$AA$32:$AG$32"}</definedName>
    <definedName name="rt_1_1" localSheetId="20" hidden="1">{"'CptDifn'!$AA$32:$AG$32"}</definedName>
    <definedName name="rt_1_1" hidden="1">{"'CptDifn'!$AA$32:$AG$32"}</definedName>
    <definedName name="rt_1_1_1" localSheetId="20" hidden="1">{"'CptDifn'!$AA$32:$AG$32"}</definedName>
    <definedName name="rt_1_1_1" hidden="1">{"'CptDifn'!$AA$32:$AG$32"}</definedName>
    <definedName name="rt_1_2" localSheetId="20" hidden="1">{"'CptDifn'!$AA$32:$AG$32"}</definedName>
    <definedName name="rt_1_2" hidden="1">{"'CptDifn'!$AA$32:$AG$32"}</definedName>
    <definedName name="rt_2" localSheetId="20" hidden="1">{"'CptDifn'!$AA$32:$AG$32"}</definedName>
    <definedName name="rt_2" hidden="1">{"'CptDifn'!$AA$32:$AG$32"}</definedName>
    <definedName name="rtr" hidden="1">#REF!</definedName>
    <definedName name="rtyrty" localSheetId="20" hidden="1">{"'CptDifn'!$AA$32:$AG$32"}</definedName>
    <definedName name="rtyrty" hidden="1">{"'CptDifn'!$AA$32:$AG$32"}</definedName>
    <definedName name="rtyrty_1" localSheetId="20" hidden="1">{"'CptDifn'!$AA$32:$AG$32"}</definedName>
    <definedName name="rtyrty_1" hidden="1">{"'CptDifn'!$AA$32:$AG$32"}</definedName>
    <definedName name="rtyrty_1_1" localSheetId="20" hidden="1">{"'CptDifn'!$AA$32:$AG$32"}</definedName>
    <definedName name="rtyrty_1_1" hidden="1">{"'CptDifn'!$AA$32:$AG$32"}</definedName>
    <definedName name="rtyrty_1_1_1" localSheetId="20" hidden="1">{"'CptDifn'!$AA$32:$AG$32"}</definedName>
    <definedName name="rtyrty_1_1_1" hidden="1">{"'CptDifn'!$AA$32:$AG$32"}</definedName>
    <definedName name="rtyrty_1_2" localSheetId="20" hidden="1">{"'CptDifn'!$AA$32:$AG$32"}</definedName>
    <definedName name="rtyrty_1_2" hidden="1">{"'CptDifn'!$AA$32:$AG$32"}</definedName>
    <definedName name="rtyrty_2" localSheetId="20" hidden="1">{"'CptDifn'!$AA$32:$AG$32"}</definedName>
    <definedName name="rtyrty_2" hidden="1">{"'CptDifn'!$AA$32:$AG$32"}</definedName>
    <definedName name="rtyu" localSheetId="20" hidden="1">{"'CptDifn'!$AA$32:$AG$32"}</definedName>
    <definedName name="rtyu" hidden="1">{"'CptDifn'!$AA$32:$AG$32"}</definedName>
    <definedName name="rtyu_1" localSheetId="20" hidden="1">{"'CptDifn'!$AA$32:$AG$32"}</definedName>
    <definedName name="rtyu_1" hidden="1">{"'CptDifn'!$AA$32:$AG$32"}</definedName>
    <definedName name="rtyu_1_1" localSheetId="20" hidden="1">{"'CptDifn'!$AA$32:$AG$32"}</definedName>
    <definedName name="rtyu_1_1" hidden="1">{"'CptDifn'!$AA$32:$AG$32"}</definedName>
    <definedName name="rtyu_1_1_1" localSheetId="20" hidden="1">{"'CptDifn'!$AA$32:$AG$32"}</definedName>
    <definedName name="rtyu_1_1_1" hidden="1">{"'CptDifn'!$AA$32:$AG$32"}</definedName>
    <definedName name="rtyu_1_2" localSheetId="20" hidden="1">{"'CptDifn'!$AA$32:$AG$32"}</definedName>
    <definedName name="rtyu_1_2" hidden="1">{"'CptDifn'!$AA$32:$AG$32"}</definedName>
    <definedName name="rtyu_2" localSheetId="20" hidden="1">{"'CptDifn'!$AA$32:$AG$32"}</definedName>
    <definedName name="rtyu_2" hidden="1">{"'CptDifn'!$AA$32:$AG$32"}</definedName>
    <definedName name="RUAS">#REF!</definedName>
    <definedName name="ruru" localSheetId="20" hidden="1">{"'CptDifn'!$AA$32:$AG$32"}</definedName>
    <definedName name="ruru" hidden="1">{"'CptDifn'!$AA$32:$AG$32"}</definedName>
    <definedName name="ruru_1" localSheetId="20" hidden="1">{"'CptDifn'!$AA$32:$AG$32"}</definedName>
    <definedName name="ruru_1" hidden="1">{"'CptDifn'!$AA$32:$AG$32"}</definedName>
    <definedName name="ruru_1_1" localSheetId="20" hidden="1">{"'CptDifn'!$AA$32:$AG$32"}</definedName>
    <definedName name="ruru_1_1" hidden="1">{"'CptDifn'!$AA$32:$AG$32"}</definedName>
    <definedName name="ruru_1_1_1" localSheetId="20" hidden="1">{"'CptDifn'!$AA$32:$AG$32"}</definedName>
    <definedName name="ruru_1_1_1" hidden="1">{"'CptDifn'!$AA$32:$AG$32"}</definedName>
    <definedName name="ruru_1_2" localSheetId="20" hidden="1">{"'CptDifn'!$AA$32:$AG$32"}</definedName>
    <definedName name="ruru_1_2" hidden="1">{"'CptDifn'!$AA$32:$AG$32"}</definedName>
    <definedName name="ruru_2" localSheetId="20" hidden="1">{"'CptDifn'!$AA$32:$AG$32"}</definedName>
    <definedName name="ruru_2" hidden="1">{"'CptDifn'!$AA$32:$AG$32"}</definedName>
    <definedName name="rv">#REF!</definedName>
    <definedName name="rwe" localSheetId="20" hidden="1">{"'CptDifn'!$AA$32:$AG$32"}</definedName>
    <definedName name="rwe" hidden="1">{"'CptDifn'!$AA$32:$AG$32"}</definedName>
    <definedName name="rwe_1" localSheetId="20" hidden="1">{"'CptDifn'!$AA$32:$AG$32"}</definedName>
    <definedName name="rwe_1" hidden="1">{"'CptDifn'!$AA$32:$AG$32"}</definedName>
    <definedName name="rwe_1_1" localSheetId="20" hidden="1">{"'CptDifn'!$AA$32:$AG$32"}</definedName>
    <definedName name="rwe_1_1" hidden="1">{"'CptDifn'!$AA$32:$AG$32"}</definedName>
    <definedName name="rwe_1_1_1" localSheetId="20" hidden="1">{"'CptDifn'!$AA$32:$AG$32"}</definedName>
    <definedName name="rwe_1_1_1" hidden="1">{"'CptDifn'!$AA$32:$AG$32"}</definedName>
    <definedName name="rwe_1_2" localSheetId="20" hidden="1">{"'CptDifn'!$AA$32:$AG$32"}</definedName>
    <definedName name="rwe_1_2" hidden="1">{"'CptDifn'!$AA$32:$AG$32"}</definedName>
    <definedName name="rwe_2" localSheetId="20" hidden="1">{"'CptDifn'!$AA$32:$AG$32"}</definedName>
    <definedName name="rwe_2" hidden="1">{"'CptDifn'!$AA$32:$AG$32"}</definedName>
    <definedName name="rwywy" localSheetId="20" hidden="1">{"'gráf jan00'!$A$1:$AK$41"}</definedName>
    <definedName name="rwywy" hidden="1">{"'gráf jan00'!$A$1:$AK$41"}</definedName>
    <definedName name="rwywy_1" localSheetId="20" hidden="1">{"'gráf jan00'!$A$1:$AK$41"}</definedName>
    <definedName name="rwywy_1" hidden="1">{"'gráf jan00'!$A$1:$AK$41"}</definedName>
    <definedName name="rwywy_1_1" localSheetId="20" hidden="1">{"'gráf jan00'!$A$1:$AK$41"}</definedName>
    <definedName name="rwywy_1_1" hidden="1">{"'gráf jan00'!$A$1:$AK$41"}</definedName>
    <definedName name="rwywy_1_1_1" localSheetId="20" hidden="1">{"'gráf jan00'!$A$1:$AK$41"}</definedName>
    <definedName name="rwywy_1_1_1" hidden="1">{"'gráf jan00'!$A$1:$AK$41"}</definedName>
    <definedName name="rwywy_1_2" localSheetId="20" hidden="1">{"'gráf jan00'!$A$1:$AK$41"}</definedName>
    <definedName name="rwywy_1_2" hidden="1">{"'gráf jan00'!$A$1:$AK$41"}</definedName>
    <definedName name="rwywy_2" localSheetId="20" hidden="1">{"'gráf jan00'!$A$1:$AK$41"}</definedName>
    <definedName name="rwywy_2" hidden="1">{"'gráf jan00'!$A$1:$AK$41"}</definedName>
    <definedName name="rx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i" localSheetId="20" hidden="1">{"det (May)",#N/A,FALSE,"June";"sum (MAY YTD)",#N/A,FALSE,"June YTD"}</definedName>
    <definedName name="rxi" hidden="1">{"det (May)",#N/A,FALSE,"June";"sum (MAY YTD)",#N/A,FALSE,"June YTD"}</definedName>
    <definedName name="rxi_1" localSheetId="20" hidden="1">{"det (May)",#N/A,FALSE,"June";"sum (MAY YTD)",#N/A,FALSE,"June YTD"}</definedName>
    <definedName name="rxi_1" hidden="1">{"det (May)",#N/A,FALSE,"June";"sum (MAY YTD)",#N/A,FALSE,"June YTD"}</definedName>
    <definedName name="rxi_1_1" localSheetId="20" hidden="1">{"det (May)",#N/A,FALSE,"June";"sum (MAY YTD)",#N/A,FALSE,"June YTD"}</definedName>
    <definedName name="rxi_1_1" hidden="1">{"det (May)",#N/A,FALSE,"June";"sum (MAY YTD)",#N/A,FALSE,"June YTD"}</definedName>
    <definedName name="rxi_1_1_1" localSheetId="20" hidden="1">{"det (May)",#N/A,FALSE,"June";"sum (MAY YTD)",#N/A,FALSE,"June YTD"}</definedName>
    <definedName name="rxi_1_1_1" hidden="1">{"det (May)",#N/A,FALSE,"June";"sum (MAY YTD)",#N/A,FALSE,"June YTD"}</definedName>
    <definedName name="rxi_1_2" localSheetId="20" hidden="1">{"det (May)",#N/A,FALSE,"June";"sum (MAY YTD)",#N/A,FALSE,"June YTD"}</definedName>
    <definedName name="rxi_1_2" hidden="1">{"det (May)",#N/A,FALSE,"June";"sum (MAY YTD)",#N/A,FALSE,"June YTD"}</definedName>
    <definedName name="rxi_2" localSheetId="20" hidden="1">{"det (May)",#N/A,FALSE,"June";"sum (MAY YTD)",#N/A,FALSE,"June YTD"}</definedName>
    <definedName name="rxi_2" hidden="1">{"det (May)",#N/A,FALSE,"June";"sum (MAY YTD)",#N/A,FALSE,"June YTD"}</definedName>
    <definedName name="ryey" localSheetId="20" hidden="1">{"'CptDifn'!$AA$32:$AG$32"}</definedName>
    <definedName name="ryey" hidden="1">{"'CptDifn'!$AA$32:$AG$32"}</definedName>
    <definedName name="ryey_1" localSheetId="20" hidden="1">{"'CptDifn'!$AA$32:$AG$32"}</definedName>
    <definedName name="ryey_1" hidden="1">{"'CptDifn'!$AA$32:$AG$32"}</definedName>
    <definedName name="ryey_1_1" localSheetId="20" hidden="1">{"'CptDifn'!$AA$32:$AG$32"}</definedName>
    <definedName name="ryey_1_1" hidden="1">{"'CptDifn'!$AA$32:$AG$32"}</definedName>
    <definedName name="ryey_1_1_1" localSheetId="20" hidden="1">{"'CptDifn'!$AA$32:$AG$32"}</definedName>
    <definedName name="ryey_1_1_1" hidden="1">{"'CptDifn'!$AA$32:$AG$32"}</definedName>
    <definedName name="ryey_1_2" localSheetId="20" hidden="1">{"'CptDifn'!$AA$32:$AG$32"}</definedName>
    <definedName name="ryey_1_2" hidden="1">{"'CptDifn'!$AA$32:$AG$32"}</definedName>
    <definedName name="ryey_2" localSheetId="20" hidden="1">{"'CptDifn'!$AA$32:$AG$32"}</definedName>
    <definedName name="ryey_2" hidden="1">{"'CptDifn'!$AA$32:$AG$32"}</definedName>
    <definedName name="rywrtyw" localSheetId="20" hidden="1">{"'gráf jan00'!$A$1:$AK$41"}</definedName>
    <definedName name="rywrtyw" hidden="1">{"'gráf jan00'!$A$1:$AK$41"}</definedName>
    <definedName name="rywrtyw_1" localSheetId="20" hidden="1">{"'gráf jan00'!$A$1:$AK$41"}</definedName>
    <definedName name="rywrtyw_1" hidden="1">{"'gráf jan00'!$A$1:$AK$41"}</definedName>
    <definedName name="rywrtyw_1_1" localSheetId="20" hidden="1">{"'gráf jan00'!$A$1:$AK$41"}</definedName>
    <definedName name="rywrtyw_1_1" hidden="1">{"'gráf jan00'!$A$1:$AK$41"}</definedName>
    <definedName name="rywrtyw_1_1_1" localSheetId="20" hidden="1">{"'gráf jan00'!$A$1:$AK$41"}</definedName>
    <definedName name="rywrtyw_1_1_1" hidden="1">{"'gráf jan00'!$A$1:$AK$41"}</definedName>
    <definedName name="rywrtyw_1_2" localSheetId="20" hidden="1">{"'gráf jan00'!$A$1:$AK$41"}</definedName>
    <definedName name="rywrtyw_1_2" hidden="1">{"'gráf jan00'!$A$1:$AK$41"}</definedName>
    <definedName name="rywrtyw_2" localSheetId="20" hidden="1">{"'gráf jan00'!$A$1:$AK$41"}</definedName>
    <definedName name="rywrtyw_2" hidden="1">{"'gráf jan00'!$A$1:$AK$41"}</definedName>
    <definedName name="RZ">#REF!</definedName>
    <definedName name="RZ_1">#REF!</definedName>
    <definedName name="s" localSheetId="21">#REF!</definedName>
    <definedName name="s">[4]COMPOS1!#REF!</definedName>
    <definedName name="s.hor">#NAME?</definedName>
    <definedName name="s.ver">#NAME?</definedName>
    <definedName name="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_11">[4]COMPOS1!#REF!</definedName>
    <definedName name="s_15">#N/A</definedName>
    <definedName name="s_hor">NA()</definedName>
    <definedName name="s_ver">NA()</definedName>
    <definedName name="sa">[204]COMPOS1!#REF!</definedName>
    <definedName name="sa_1" localSheetId="20" hidden="1">{"'Quadro'!$A$4:$BG$78"}</definedName>
    <definedName name="sa_1" hidden="1">{"'Quadro'!$A$4:$BG$78"}</definedName>
    <definedName name="sa_1_1" localSheetId="20" hidden="1">{"'Quadro'!$A$4:$BG$78"}</definedName>
    <definedName name="sa_1_1" hidden="1">{"'Quadro'!$A$4:$BG$78"}</definedName>
    <definedName name="sa_1_1_1" localSheetId="20" hidden="1">{"'Quadro'!$A$4:$BG$78"}</definedName>
    <definedName name="sa_1_1_1" hidden="1">{"'Quadro'!$A$4:$BG$78"}</definedName>
    <definedName name="sa_1_2" localSheetId="20" hidden="1">{"'Quadro'!$A$4:$BG$78"}</definedName>
    <definedName name="sa_1_2" hidden="1">{"'Quadro'!$A$4:$BG$78"}</definedName>
    <definedName name="sa_2" localSheetId="20" hidden="1">{"'Quadro'!$A$4:$BG$78"}</definedName>
    <definedName name="sa_2" hidden="1">{"'Quadro'!$A$4:$BG$78"}</definedName>
    <definedName name="sa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F" localSheetId="20" hidden="1">{"'Quadro'!$A$4:$BG$78"}</definedName>
    <definedName name="SAAF" hidden="1">{"'Quadro'!$A$4:$BG$78"}</definedName>
    <definedName name="SAAF_1" localSheetId="20" hidden="1">{"'Quadro'!$A$4:$BG$78"}</definedName>
    <definedName name="SAAF_1" hidden="1">{"'Quadro'!$A$4:$BG$78"}</definedName>
    <definedName name="SAAF_1_1" localSheetId="20" hidden="1">{"'Quadro'!$A$4:$BG$78"}</definedName>
    <definedName name="SAAF_1_1" hidden="1">{"'Quadro'!$A$4:$BG$78"}</definedName>
    <definedName name="SAAF_1_1_1" localSheetId="20" hidden="1">{"'Quadro'!$A$4:$BG$78"}</definedName>
    <definedName name="SAAF_1_1_1" hidden="1">{"'Quadro'!$A$4:$BG$78"}</definedName>
    <definedName name="SAAF_1_2" localSheetId="20" hidden="1">{"'Quadro'!$A$4:$BG$78"}</definedName>
    <definedName name="SAAF_1_2" hidden="1">{"'Quadro'!$A$4:$BG$78"}</definedName>
    <definedName name="SAAF_2" localSheetId="20" hidden="1">{"'Quadro'!$A$4:$BG$78"}</definedName>
    <definedName name="SAAF_2" hidden="1">{"'Quadro'!$A$4:$BG$78"}</definedName>
    <definedName name="sac" localSheetId="20" hidden="1">{#N/A,#N/A,FALSE,"PCOL"}</definedName>
    <definedName name="sac" hidden="1">{#N/A,#N/A,FALSE,"PCOL"}</definedName>
    <definedName name="sac_1" localSheetId="20" hidden="1">{#N/A,#N/A,FALSE,"PCOL"}</definedName>
    <definedName name="sac_1" hidden="1">{#N/A,#N/A,FALSE,"PCOL"}</definedName>
    <definedName name="sac_1_1" localSheetId="20" hidden="1">{#N/A,#N/A,FALSE,"PCOL"}</definedName>
    <definedName name="sac_1_1" hidden="1">{#N/A,#N/A,FALSE,"PCOL"}</definedName>
    <definedName name="sac_1_1_1" localSheetId="20" hidden="1">{#N/A,#N/A,FALSE,"PCOL"}</definedName>
    <definedName name="sac_1_1_1" hidden="1">{#N/A,#N/A,FALSE,"PCOL"}</definedName>
    <definedName name="sac_1_2" localSheetId="20" hidden="1">{#N/A,#N/A,FALSE,"PCOL"}</definedName>
    <definedName name="sac_1_2" hidden="1">{#N/A,#N/A,FALSE,"PCOL"}</definedName>
    <definedName name="sac_2" localSheetId="20" hidden="1">{#N/A,#N/A,FALSE,"PCOL"}</definedName>
    <definedName name="sac_2" hidden="1">{#N/A,#N/A,FALSE,"PCOL"}</definedName>
    <definedName name="sAço">#REF!</definedName>
    <definedName name="sadasdasdasda" hidden="1">#REF!</definedName>
    <definedName name="sad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fa" localSheetId="20" hidden="1">{"'CptDifn'!$AA$32:$AG$32"}</definedName>
    <definedName name="safa" hidden="1">{"'CptDifn'!$AA$32:$AG$32"}</definedName>
    <definedName name="safa_1" localSheetId="20" hidden="1">{"'CptDifn'!$AA$32:$AG$32"}</definedName>
    <definedName name="safa_1" hidden="1">{"'CptDifn'!$AA$32:$AG$32"}</definedName>
    <definedName name="safa_1_1" localSheetId="20" hidden="1">{"'CptDifn'!$AA$32:$AG$32"}</definedName>
    <definedName name="safa_1_1" hidden="1">{"'CptDifn'!$AA$32:$AG$32"}</definedName>
    <definedName name="safa_1_1_1" localSheetId="20" hidden="1">{"'CptDifn'!$AA$32:$AG$32"}</definedName>
    <definedName name="safa_1_1_1" hidden="1">{"'CptDifn'!$AA$32:$AG$32"}</definedName>
    <definedName name="safa_1_2" localSheetId="20" hidden="1">{"'CptDifn'!$AA$32:$AG$32"}</definedName>
    <definedName name="safa_1_2" hidden="1">{"'CptDifn'!$AA$32:$AG$32"}</definedName>
    <definedName name="safa_2" localSheetId="20" hidden="1">{"'CptDifn'!$AA$32:$AG$32"}</definedName>
    <definedName name="safa_2" hidden="1">{"'CptDifn'!$AA$32:$AG$32"}</definedName>
    <definedName name="SAFDASFD" localSheetId="20" hidden="1">{"'REL CUSTODIF'!$B$1:$H$72"}</definedName>
    <definedName name="SAFDASFD" hidden="1">{"'REL CUSTODIF'!$B$1:$H$72"}</definedName>
    <definedName name="SAFGA" hidden="1">#REF!</definedName>
    <definedName name="sal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aforno" localSheetId="20" hidden="1">{"'Plan1'!$B$10","'Plan1'!$A$1","'Plan1'!$C$2:$N$28"}</definedName>
    <definedName name="Salaforno" hidden="1">{"'Plan1'!$B$10","'Plan1'!$A$1","'Plan1'!$C$2:$N$28"}</definedName>
    <definedName name="Salaforno_1" localSheetId="20" hidden="1">{"'Plan1'!$B$10","'Plan1'!$A$1","'Plan1'!$C$2:$N$28"}</definedName>
    <definedName name="Salaforno_1" hidden="1">{"'Plan1'!$B$10","'Plan1'!$A$1","'Plan1'!$C$2:$N$28"}</definedName>
    <definedName name="Salaforno_1_1" localSheetId="20" hidden="1">{"'Plan1'!$B$10","'Plan1'!$A$1","'Plan1'!$C$2:$N$28"}</definedName>
    <definedName name="Salaforno_1_1" hidden="1">{"'Plan1'!$B$10","'Plan1'!$A$1","'Plan1'!$C$2:$N$28"}</definedName>
    <definedName name="Salaforno_1_1_1" localSheetId="20" hidden="1">{"'Plan1'!$B$10","'Plan1'!$A$1","'Plan1'!$C$2:$N$28"}</definedName>
    <definedName name="Salaforno_1_1_1" hidden="1">{"'Plan1'!$B$10","'Plan1'!$A$1","'Plan1'!$C$2:$N$28"}</definedName>
    <definedName name="Salaforno_1_2" localSheetId="20" hidden="1">{"'Plan1'!$B$10","'Plan1'!$A$1","'Plan1'!$C$2:$N$28"}</definedName>
    <definedName name="Salaforno_1_2" hidden="1">{"'Plan1'!$B$10","'Plan1'!$A$1","'Plan1'!$C$2:$N$28"}</definedName>
    <definedName name="Salaforno_2" localSheetId="20" hidden="1">{"'Plan1'!$B$10","'Plan1'!$A$1","'Plan1'!$C$2:$N$28"}</definedName>
    <definedName name="Salaforno_2" hidden="1">{"'Plan1'!$B$10","'Plan1'!$A$1","'Plan1'!$C$2:$N$28"}</definedName>
    <definedName name="SALARIO">#REF!</definedName>
    <definedName name="SALARIOS">#REF!</definedName>
    <definedName name="salete" localSheetId="20" hidden="1">{#N/A,#N/A,FALSE,"MO (2)"}</definedName>
    <definedName name="salete" hidden="1">{#N/A,#N/A,FALSE,"MO (2)"}</definedName>
    <definedName name="salete.com" localSheetId="20" hidden="1">{#N/A,#N/A,FALSE,"MO (2)"}</definedName>
    <definedName name="salete.com" hidden="1">{#N/A,#N/A,FALSE,"MO (2)"}</definedName>
    <definedName name="sAndaim">#REF!</definedName>
    <definedName name="SAPBEXdnldView" hidden="1">"45PQXFK1FNU8V8F6EX8BUJ292"</definedName>
    <definedName name="SAPBEXhrIndnt" hidden="1">1</definedName>
    <definedName name="SAPBEXrevision" hidden="1">18</definedName>
    <definedName name="SAPBEXsysID" hidden="1">"BIP"</definedName>
    <definedName name="SAPBEXwbID" hidden="1">"4ZUOE77O1HF840EF45K3PLCV5"</definedName>
    <definedName name="sApicoam">#REF!</definedName>
    <definedName name="saquinho" localSheetId="20" hidden="1">{#N/A,#N/A,FALSE,"PCOL"}</definedName>
    <definedName name="saquinho" hidden="1">{#N/A,#N/A,FALSE,"PCOL"}</definedName>
    <definedName name="saquinho_1" localSheetId="20" hidden="1">{#N/A,#N/A,FALSE,"PCOL"}</definedName>
    <definedName name="saquinho_1" hidden="1">{#N/A,#N/A,FALSE,"PCOL"}</definedName>
    <definedName name="saquinho_1_1" localSheetId="20" hidden="1">{#N/A,#N/A,FALSE,"PCOL"}</definedName>
    <definedName name="saquinho_1_1" hidden="1">{#N/A,#N/A,FALSE,"PCOL"}</definedName>
    <definedName name="saquinho_1_1_1" localSheetId="20" hidden="1">{#N/A,#N/A,FALSE,"PCOL"}</definedName>
    <definedName name="saquinho_1_1_1" hidden="1">{#N/A,#N/A,FALSE,"PCOL"}</definedName>
    <definedName name="saquinho_1_2" localSheetId="20" hidden="1">{#N/A,#N/A,FALSE,"PCOL"}</definedName>
    <definedName name="saquinho_1_2" hidden="1">{#N/A,#N/A,FALSE,"PCOL"}</definedName>
    <definedName name="saquinho_2" localSheetId="20" hidden="1">{#N/A,#N/A,FALSE,"PCOL"}</definedName>
    <definedName name="saquinho_2" hidden="1">{#N/A,#N/A,FALSE,"PCOL"}</definedName>
    <definedName name="sAquisMatBet">#REF!</definedName>
    <definedName name="SAR" localSheetId="20" hidden="1">{"'Quadro'!$A$4:$BG$78"}</definedName>
    <definedName name="SAR" hidden="1">{"'Quadro'!$A$4:$BG$78"}</definedName>
    <definedName name="SAR_1" localSheetId="20" hidden="1">{"'Quadro'!$A$4:$BG$78"}</definedName>
    <definedName name="SAR_1" hidden="1">{"'Quadro'!$A$4:$BG$78"}</definedName>
    <definedName name="SAR_1_1" localSheetId="20" hidden="1">{"'Quadro'!$A$4:$BG$78"}</definedName>
    <definedName name="SAR_1_1" hidden="1">{"'Quadro'!$A$4:$BG$78"}</definedName>
    <definedName name="SAR_1_1_1" localSheetId="20" hidden="1">{"'Quadro'!$A$4:$BG$78"}</definedName>
    <definedName name="SAR_1_1_1" hidden="1">{"'Quadro'!$A$4:$BG$78"}</definedName>
    <definedName name="SAR_1_2" localSheetId="20" hidden="1">{"'Quadro'!$A$4:$BG$78"}</definedName>
    <definedName name="SAR_1_2" hidden="1">{"'Quadro'!$A$4:$BG$78"}</definedName>
    <definedName name="SAR_2" localSheetId="20" hidden="1">{"'Quadro'!$A$4:$BG$78"}</definedName>
    <definedName name="SAR_2" hidden="1">{"'Quadro'!$A$4:$BG$78"}</definedName>
    <definedName name="sargtwregwer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jeta">#N/A</definedName>
    <definedName name="s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_1" localSheetId="20" hidden="1">{"'Quadro'!$A$4:$BG$78"}</definedName>
    <definedName name="sas_1" hidden="1">{"'Quadro'!$A$4:$BG$78"}</definedName>
    <definedName name="sas_1_1" localSheetId="20" hidden="1">{"'Quadro'!$A$4:$BG$78"}</definedName>
    <definedName name="sas_1_1" hidden="1">{"'Quadro'!$A$4:$BG$78"}</definedName>
    <definedName name="sas_1_1_1" localSheetId="20" hidden="1">{"'Quadro'!$A$4:$BG$78"}</definedName>
    <definedName name="sas_1_1_1" hidden="1">{"'Quadro'!$A$4:$BG$78"}</definedName>
    <definedName name="sas_1_2" localSheetId="20" hidden="1">{"'Quadro'!$A$4:$BG$78"}</definedName>
    <definedName name="sas_1_2" hidden="1">{"'Quadro'!$A$4:$BG$78"}</definedName>
    <definedName name="sas_2" localSheetId="20" hidden="1">{"'Quadro'!$A$4:$BG$78"}</definedName>
    <definedName name="sas_2" hidden="1">{"'Quadro'!$A$4:$BG$78"}</definedName>
    <definedName name="SASA" localSheetId="20" hidden="1">{#N/A,#N/A,FALSE,"MO (2)"}</definedName>
    <definedName name="SASA" hidden="1">{#N/A,#N/A,FALSE,"MO (2)"}</definedName>
    <definedName name="sasa.com" localSheetId="20" hidden="1">{#N/A,#N/A,FALSE,"MO (2)"}</definedName>
    <definedName name="sasa.com" hidden="1">{#N/A,#N/A,FALSE,"MO (2)"}</definedName>
    <definedName name="sasaasa" localSheetId="20" hidden="1">{#N/A,#N/A,FALSE,"MO (2)"}</definedName>
    <definedName name="sasaasa" hidden="1">{#N/A,#N/A,FALSE,"MO (2)"}</definedName>
    <definedName name="sasasa" localSheetId="20" hidden="1">{"'gráf jan00'!$A$1:$AK$41"}</definedName>
    <definedName name="sasasa" hidden="1">{"'gráf jan00'!$A$1:$AK$41"}</definedName>
    <definedName name="sasasa_1" localSheetId="20" hidden="1">{"'gráf jan00'!$A$1:$AK$41"}</definedName>
    <definedName name="sasasa_1" hidden="1">{"'gráf jan00'!$A$1:$AK$41"}</definedName>
    <definedName name="sasasa_1_1" localSheetId="20" hidden="1">{"'gráf jan00'!$A$1:$AK$41"}</definedName>
    <definedName name="sasasa_1_1" hidden="1">{"'gráf jan00'!$A$1:$AK$41"}</definedName>
    <definedName name="sasasa_1_1_1" localSheetId="20" hidden="1">{"'gráf jan00'!$A$1:$AK$41"}</definedName>
    <definedName name="sasasa_1_1_1" hidden="1">{"'gráf jan00'!$A$1:$AK$41"}</definedName>
    <definedName name="sasasa_1_2" localSheetId="20" hidden="1">{"'gráf jan00'!$A$1:$AK$41"}</definedName>
    <definedName name="sasasa_1_2" hidden="1">{"'gráf jan00'!$A$1:$AK$41"}</definedName>
    <definedName name="sasasa_2" localSheetId="20" hidden="1">{"'gráf jan00'!$A$1:$AK$41"}</definedName>
    <definedName name="sasasa_2" hidden="1">{"'gráf jan00'!$A$1:$AK$41"}</definedName>
    <definedName name="sasassasa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da" localSheetId="20" hidden="1">{#N/A,#N/A,TRUE,"Serviços"}</definedName>
    <definedName name="sasda" localSheetId="2" hidden="1">{#N/A,#N/A,TRUE,"Serviços"}</definedName>
    <definedName name="sasda" hidden="1">{#N/A,#N/A,TRUE,"Serviços"}</definedName>
    <definedName name="sasdaa" localSheetId="20" hidden="1">{#N/A,#N/A,TRUE,"Serviços"}</definedName>
    <definedName name="sasdaa" localSheetId="2" hidden="1">{#N/A,#N/A,TRUE,"Serviços"}</definedName>
    <definedName name="sasdaa" hidden="1">{#N/A,#N/A,TRUE,"Serviços"}</definedName>
    <definedName name="sat">#REF!</definedName>
    <definedName name="sat_10">#REF!</definedName>
    <definedName name="sat_12">#REF!</definedName>
    <definedName name="sat_9">#REF!</definedName>
    <definedName name="savings" localSheetId="20" hidden="1">{#N/A,#N/A,FALSE,"지침";#N/A,#N/A,FALSE,"환경분석";#N/A,#N/A,FALSE,"Sheet16"}</definedName>
    <definedName name="savings" hidden="1">{#N/A,#N/A,FALSE,"지침";#N/A,#N/A,FALSE,"환경분석";#N/A,#N/A,FALSE,"Sheet16"}</definedName>
    <definedName name="savings_1" localSheetId="20" hidden="1">{#N/A,#N/A,FALSE,"지침";#N/A,#N/A,FALSE,"환경분석";#N/A,#N/A,FALSE,"Sheet16"}</definedName>
    <definedName name="savings_1" hidden="1">{#N/A,#N/A,FALSE,"지침";#N/A,#N/A,FALSE,"환경분석";#N/A,#N/A,FALSE,"Sheet16"}</definedName>
    <definedName name="savings_1_1" localSheetId="20" hidden="1">{#N/A,#N/A,FALSE,"지침";#N/A,#N/A,FALSE,"환경분석";#N/A,#N/A,FALSE,"Sheet16"}</definedName>
    <definedName name="savings_1_1" hidden="1">{#N/A,#N/A,FALSE,"지침";#N/A,#N/A,FALSE,"환경분석";#N/A,#N/A,FALSE,"Sheet16"}</definedName>
    <definedName name="savings_1_1_1" localSheetId="20" hidden="1">{#N/A,#N/A,FALSE,"지침";#N/A,#N/A,FALSE,"환경분석";#N/A,#N/A,FALSE,"Sheet16"}</definedName>
    <definedName name="savings_1_1_1" hidden="1">{#N/A,#N/A,FALSE,"지침";#N/A,#N/A,FALSE,"환경분석";#N/A,#N/A,FALSE,"Sheet16"}</definedName>
    <definedName name="savings_1_2" localSheetId="20" hidden="1">{#N/A,#N/A,FALSE,"지침";#N/A,#N/A,FALSE,"환경분석";#N/A,#N/A,FALSE,"Sheet16"}</definedName>
    <definedName name="savings_1_2" hidden="1">{#N/A,#N/A,FALSE,"지침";#N/A,#N/A,FALSE,"환경분석";#N/A,#N/A,FALSE,"Sheet16"}</definedName>
    <definedName name="savings_2" localSheetId="20" hidden="1">{#N/A,#N/A,FALSE,"지침";#N/A,#N/A,FALSE,"환경분석";#N/A,#N/A,FALSE,"Sheet16"}</definedName>
    <definedName name="savings_2" hidden="1">{#N/A,#N/A,FALSE,"지침";#N/A,#N/A,FALSE,"환경분석";#N/A,#N/A,FALSE,"Sheet16"}</definedName>
    <definedName name="SB">#REF!</definedName>
    <definedName name="sBase">#REF!</definedName>
    <definedName name="sbg">#REF!</definedName>
    <definedName name="sbg_11">#REF!</definedName>
    <definedName name="sbg_12">#REF!</definedName>
    <definedName name="sbg_13">#REF!</definedName>
    <definedName name="sbg_15">#REF!</definedName>
    <definedName name="sbg_2">#REF!</definedName>
    <definedName name="sbg_4">#REF!</definedName>
    <definedName name="sbg_5">#REF!</definedName>
    <definedName name="sbg_6">#REF!</definedName>
    <definedName name="sbg_7">#REF!</definedName>
    <definedName name="sbg_8">#REF!</definedName>
    <definedName name="sbg_9">#REF!</definedName>
    <definedName name="sbgg">#REF!</definedName>
    <definedName name="SBRP">#REF!</definedName>
    <definedName name="SBRP_1">#REF!</definedName>
    <definedName name="SBTC">#REF!</definedName>
    <definedName name="SBTC_11">#REF!</definedName>
    <definedName name="SBTC_12">#REF!</definedName>
    <definedName name="SBTC_13">#REF!</definedName>
    <definedName name="SBTC_15">#REF!</definedName>
    <definedName name="SBTC_2">#REF!</definedName>
    <definedName name="SBTC_4">#REF!</definedName>
    <definedName name="SBTC_5">#REF!</definedName>
    <definedName name="SBTC_6">#REF!</definedName>
    <definedName name="SBTC_7">#REF!</definedName>
    <definedName name="SBTC_8">#REF!</definedName>
    <definedName name="SBTC_9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aba" localSheetId="20" hidden="1">{#N/A,#N/A,FALSE,"지침";#N/A,#N/A,FALSE,"환경분석";#N/A,#N/A,FALSE,"Sheet16"}</definedName>
    <definedName name="Scaba" hidden="1">{#N/A,#N/A,FALSE,"지침";#N/A,#N/A,FALSE,"환경분석";#N/A,#N/A,FALSE,"Sheet16"}</definedName>
    <definedName name="Scaba_1" localSheetId="20" hidden="1">{#N/A,#N/A,FALSE,"지침";#N/A,#N/A,FALSE,"환경분석";#N/A,#N/A,FALSE,"Sheet16"}</definedName>
    <definedName name="Scaba_1" hidden="1">{#N/A,#N/A,FALSE,"지침";#N/A,#N/A,FALSE,"환경분석";#N/A,#N/A,FALSE,"Sheet16"}</definedName>
    <definedName name="Scaba_1_1" localSheetId="20" hidden="1">{#N/A,#N/A,FALSE,"지침";#N/A,#N/A,FALSE,"환경분석";#N/A,#N/A,FALSE,"Sheet16"}</definedName>
    <definedName name="Scaba_1_1" hidden="1">{#N/A,#N/A,FALSE,"지침";#N/A,#N/A,FALSE,"환경분석";#N/A,#N/A,FALSE,"Sheet16"}</definedName>
    <definedName name="Scaba_1_1_1" localSheetId="20" hidden="1">{#N/A,#N/A,FALSE,"지침";#N/A,#N/A,FALSE,"환경분석";#N/A,#N/A,FALSE,"Sheet16"}</definedName>
    <definedName name="Scaba_1_1_1" hidden="1">{#N/A,#N/A,FALSE,"지침";#N/A,#N/A,FALSE,"환경분석";#N/A,#N/A,FALSE,"Sheet16"}</definedName>
    <definedName name="Scaba_1_2" localSheetId="20" hidden="1">{#N/A,#N/A,FALSE,"지침";#N/A,#N/A,FALSE,"환경분석";#N/A,#N/A,FALSE,"Sheet16"}</definedName>
    <definedName name="Scaba_1_2" hidden="1">{#N/A,#N/A,FALSE,"지침";#N/A,#N/A,FALSE,"환경분석";#N/A,#N/A,FALSE,"Sheet16"}</definedName>
    <definedName name="Scaba_2" localSheetId="20" hidden="1">{#N/A,#N/A,FALSE,"지침";#N/A,#N/A,FALSE,"환경분석";#N/A,#N/A,FALSE,"Sheet16"}</definedName>
    <definedName name="Scaba_2" hidden="1">{#N/A,#N/A,FALSE,"지침";#N/A,#N/A,FALSE,"환경분석";#N/A,#N/A,FALSE,"Sheet16"}</definedName>
    <definedName name="sCap">#REF!</definedName>
    <definedName name="SCB">#REF!</definedName>
    <definedName name="scbluq">'[205]CBUQ DRENO LONGIT RECOBRIMENTO'!#REF!</definedName>
    <definedName name="scbuq">'[205]CBUQ DRENO LONGIT RECOBRIMENTO'!#REF!</definedName>
    <definedName name="sCerca">#REF!</definedName>
    <definedName name="sCorEstCon">#REF!</definedName>
    <definedName name="scr">#NAME?</definedName>
    <definedName name="SCs" localSheetId="20" hidden="1">{"'REL CUSTODIF'!$B$1:$H$72"}</definedName>
    <definedName name="SCs" hidden="1">{"'REL CUSTODIF'!$B$1:$H$72"}</definedName>
    <definedName name="scubq">'[205]CBUQ DRENO LONGIT RECOBRIMENTO'!#REF!</definedName>
    <definedName name="SDadsd" localSheetId="20" hidden="1">{"'REL CUSTODIF'!$B$1:$H$72"}</definedName>
    <definedName name="SDadsd" hidden="1">{"'REL CUSTODIF'!$B$1:$H$72"}</definedName>
    <definedName name="sDAR">#REF!</definedName>
    <definedName name="sDAR01">'[205]DAR-01'!#REF!</definedName>
    <definedName name="sdas">'[3]Paulo de Carvalho'!#REF!</definedName>
    <definedName name="sdasd_1" localSheetId="20" hidden="1">{"'Quadro'!$A$4:$BG$78"}</definedName>
    <definedName name="sdasd_1" hidden="1">{"'Quadro'!$A$4:$BG$78"}</definedName>
    <definedName name="sdasd_1_1" localSheetId="20" hidden="1">{"'Quadro'!$A$4:$BG$78"}</definedName>
    <definedName name="sdasd_1_1" hidden="1">{"'Quadro'!$A$4:$BG$78"}</definedName>
    <definedName name="sdasd_1_1_1" localSheetId="20" hidden="1">{"'Quadro'!$A$4:$BG$78"}</definedName>
    <definedName name="sdasd_1_1_1" hidden="1">{"'Quadro'!$A$4:$BG$78"}</definedName>
    <definedName name="sdasd_1_2" localSheetId="20" hidden="1">{"'Quadro'!$A$4:$BG$78"}</definedName>
    <definedName name="sdasd_1_2" hidden="1">{"'Quadro'!$A$4:$BG$78"}</definedName>
    <definedName name="sdasd_2" localSheetId="20" hidden="1">{"'Quadro'!$A$4:$BG$78"}</definedName>
    <definedName name="sdasd_2" hidden="1">{"'Quadro'!$A$4:$BG$78"}</definedName>
    <definedName name="sdasdfasf" hidden="1">#REF!</definedName>
    <definedName name="sdb" localSheetId="20" hidden="1">{"'Quadro'!$A$4:$BG$78"}</definedName>
    <definedName name="sdb" hidden="1">{"'Quadro'!$A$4:$BG$78"}</definedName>
    <definedName name="sdb_1" localSheetId="20" hidden="1">{"'Quadro'!$A$4:$BG$78"}</definedName>
    <definedName name="sdb_1" hidden="1">{"'Quadro'!$A$4:$BG$78"}</definedName>
    <definedName name="sdb_1_1" localSheetId="20" hidden="1">{"'Quadro'!$A$4:$BG$78"}</definedName>
    <definedName name="sdb_1_1" hidden="1">{"'Quadro'!$A$4:$BG$78"}</definedName>
    <definedName name="sdb_1_1_1" localSheetId="20" hidden="1">{"'Quadro'!$A$4:$BG$78"}</definedName>
    <definedName name="sdb_1_1_1" hidden="1">{"'Quadro'!$A$4:$BG$78"}</definedName>
    <definedName name="sdb_1_2" localSheetId="20" hidden="1">{"'Quadro'!$A$4:$BG$78"}</definedName>
    <definedName name="sdb_1_2" hidden="1">{"'Quadro'!$A$4:$BG$78"}</definedName>
    <definedName name="sdb_2" localSheetId="20" hidden="1">{"'Quadro'!$A$4:$BG$78"}</definedName>
    <definedName name="sdb_2" hidden="1">{"'Quadro'!$A$4:$BG$78"}</definedName>
    <definedName name="sdcsadSD" localSheetId="20" hidden="1">{"'REL CUSTODIF'!$B$1:$H$72"}</definedName>
    <definedName name="sdcsadSD" hidden="1">{"'REL CUSTODIF'!$B$1:$H$72"}</definedName>
    <definedName name="sddfgv" hidden="1">#REF!</definedName>
    <definedName name="SDds" localSheetId="20" hidden="1">{"'REL CUSTODIF'!$B$1:$H$72"}</definedName>
    <definedName name="SDds" hidden="1">{"'REL CUSTODIF'!$B$1:$H$72"}</definedName>
    <definedName name="sd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">[206]QuQuant!#REF!</definedName>
    <definedName name="sdf_1" localSheetId="20" hidden="1">{"BELGO",#N/A,FALSE,"S-BELGO"}</definedName>
    <definedName name="sdf_1" hidden="1">{"BELGO",#N/A,FALSE,"S-BELGO"}</definedName>
    <definedName name="sdf_1_1" localSheetId="20" hidden="1">{"BELGO",#N/A,FALSE,"S-BELGO"}</definedName>
    <definedName name="sdf_1_1" hidden="1">{"BELGO",#N/A,FALSE,"S-BELGO"}</definedName>
    <definedName name="sdf_1_1_1" localSheetId="20" hidden="1">{"BELGO",#N/A,FALSE,"S-BELGO"}</definedName>
    <definedName name="sdf_1_1_1" hidden="1">{"BELGO",#N/A,FALSE,"S-BELGO"}</definedName>
    <definedName name="sdf_1_2" localSheetId="20" hidden="1">{"BELGO",#N/A,FALSE,"S-BELGO"}</definedName>
    <definedName name="sdf_1_2" hidden="1">{"BELGO",#N/A,FALSE,"S-BELGO"}</definedName>
    <definedName name="sdf_2" localSheetId="20" hidden="1">{"BELGO",#N/A,FALSE,"S-BELGO"}</definedName>
    <definedName name="sdf_2" hidden="1">{"BELGO",#N/A,FALSE,"S-BELGO"}</definedName>
    <definedName name="SDFFDFDF" localSheetId="20" hidden="1">{"'gráf jan00'!$A$1:$AK$41"}</definedName>
    <definedName name="SDFFDFDF" hidden="1">{"'gráf jan00'!$A$1:$AK$41"}</definedName>
    <definedName name="SDFFDFDF_1" localSheetId="20" hidden="1">{"'gráf jan00'!$A$1:$AK$41"}</definedName>
    <definedName name="SDFFDFDF_1" hidden="1">{"'gráf jan00'!$A$1:$AK$41"}</definedName>
    <definedName name="SDFFDFDF_1_1" localSheetId="20" hidden="1">{"'gráf jan00'!$A$1:$AK$41"}</definedName>
    <definedName name="SDFFDFDF_1_1" hidden="1">{"'gráf jan00'!$A$1:$AK$41"}</definedName>
    <definedName name="SDFFDFDF_1_1_1" localSheetId="20" hidden="1">{"'gráf jan00'!$A$1:$AK$41"}</definedName>
    <definedName name="SDFFDFDF_1_1_1" hidden="1">{"'gráf jan00'!$A$1:$AK$41"}</definedName>
    <definedName name="SDFFDFDF_1_2" localSheetId="20" hidden="1">{"'gráf jan00'!$A$1:$AK$41"}</definedName>
    <definedName name="SDFFDFDF_1_2" hidden="1">{"'gráf jan00'!$A$1:$AK$41"}</definedName>
    <definedName name="SDFFDFDF_2" localSheetId="20" hidden="1">{"'gráf jan00'!$A$1:$AK$41"}</definedName>
    <definedName name="SDFFDFDF_2" hidden="1">{"'gráf jan00'!$A$1:$AK$41"}</definedName>
    <definedName name="sdfffafsa">#REF!</definedName>
    <definedName name="sdfg" localSheetId="20" hidden="1">{"'CptDifn'!$AA$32:$AG$32"}</definedName>
    <definedName name="sdfg" hidden="1">{"'CptDifn'!$AA$32:$AG$32"}</definedName>
    <definedName name="sdfg_1" localSheetId="20" hidden="1">{"'CptDifn'!$AA$32:$AG$32"}</definedName>
    <definedName name="sdfg_1" hidden="1">{"'CptDifn'!$AA$32:$AG$32"}</definedName>
    <definedName name="sdfg_1_1" localSheetId="20" hidden="1">{"'CptDifn'!$AA$32:$AG$32"}</definedName>
    <definedName name="sdfg_1_1" hidden="1">{"'CptDifn'!$AA$32:$AG$32"}</definedName>
    <definedName name="sdfg_1_1_1" localSheetId="20" hidden="1">{"'CptDifn'!$AA$32:$AG$32"}</definedName>
    <definedName name="sdfg_1_1_1" hidden="1">{"'CptDifn'!$AA$32:$AG$32"}</definedName>
    <definedName name="sdfg_1_2" localSheetId="20" hidden="1">{"'CptDifn'!$AA$32:$AG$32"}</definedName>
    <definedName name="sdfg_1_2" hidden="1">{"'CptDifn'!$AA$32:$AG$32"}</definedName>
    <definedName name="sdfg_2" localSheetId="20" hidden="1">{"'CptDifn'!$AA$32:$AG$32"}</definedName>
    <definedName name="sdfg_2" hidden="1">{"'CptDifn'!$AA$32:$AG$32"}</definedName>
    <definedName name="sdfhgdxfjnygf" hidden="1">#REF!</definedName>
    <definedName name="sdfhgfdnhfgh" hidden="1">#REF!</definedName>
    <definedName name="sdfhlksjdf" localSheetId="20" hidden="1">{"'Quadro'!$A$4:$BG$78"}</definedName>
    <definedName name="sdfhlksjdf" hidden="1">{"'Quadro'!$A$4:$BG$78"}</definedName>
    <definedName name="sdfhlksjdf_1" localSheetId="20" hidden="1">{"'Quadro'!$A$4:$BG$78"}</definedName>
    <definedName name="sdfhlksjdf_1" hidden="1">{"'Quadro'!$A$4:$BG$78"}</definedName>
    <definedName name="sdfhlksjdf_1_1" localSheetId="20" hidden="1">{"'Quadro'!$A$4:$BG$78"}</definedName>
    <definedName name="sdfhlksjdf_1_1" hidden="1">{"'Quadro'!$A$4:$BG$78"}</definedName>
    <definedName name="sdfhlksjdf_1_1_1" localSheetId="20" hidden="1">{"'Quadro'!$A$4:$BG$78"}</definedName>
    <definedName name="sdfhlksjdf_1_1_1" hidden="1">{"'Quadro'!$A$4:$BG$78"}</definedName>
    <definedName name="sdfhlksjdf_1_2" localSheetId="20" hidden="1">{"'Quadro'!$A$4:$BG$78"}</definedName>
    <definedName name="sdfhlksjdf_1_2" hidden="1">{"'Quadro'!$A$4:$BG$78"}</definedName>
    <definedName name="sdfhlksjdf_2" localSheetId="20" hidden="1">{"'Quadro'!$A$4:$BG$78"}</definedName>
    <definedName name="sdfhlksjdf_2" hidden="1">{"'Quadro'!$A$4:$BG$78"}</definedName>
    <definedName name="sdfhsdg" localSheetId="20" hidden="1">{"'CptDifn'!$AA$32:$AG$32"}</definedName>
    <definedName name="sdfhsdg" hidden="1">{"'CptDifn'!$AA$32:$AG$32"}</definedName>
    <definedName name="sdfhsdg_1" localSheetId="20" hidden="1">{"'CptDifn'!$AA$32:$AG$32"}</definedName>
    <definedName name="sdfhsdg_1" hidden="1">{"'CptDifn'!$AA$32:$AG$32"}</definedName>
    <definedName name="sdfhsdg_1_1" localSheetId="20" hidden="1">{"'CptDifn'!$AA$32:$AG$32"}</definedName>
    <definedName name="sdfhsdg_1_1" hidden="1">{"'CptDifn'!$AA$32:$AG$32"}</definedName>
    <definedName name="sdfhsdg_1_1_1" localSheetId="20" hidden="1">{"'CptDifn'!$AA$32:$AG$32"}</definedName>
    <definedName name="sdfhsdg_1_1_1" hidden="1">{"'CptDifn'!$AA$32:$AG$32"}</definedName>
    <definedName name="sdfhsdg_1_2" localSheetId="20" hidden="1">{"'CptDifn'!$AA$32:$AG$32"}</definedName>
    <definedName name="sdfhsdg_1_2" hidden="1">{"'CptDifn'!$AA$32:$AG$32"}</definedName>
    <definedName name="sdfhsdg_2" localSheetId="20" hidden="1">{"'CptDifn'!$AA$32:$AG$32"}</definedName>
    <definedName name="sdfhsdg_2" hidden="1">{"'CptDifn'!$AA$32:$AG$32"}</definedName>
    <definedName name="sdfs">'[41]Fresagem de Pista Ago-98'!#REF!</definedName>
    <definedName name="sdfsdf">'[41]Fresagem de Pista Ago-98'!#REF!</definedName>
    <definedName name="SDFSF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S">#REF!</definedName>
    <definedName name="sdfsg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gdg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sdg" localSheetId="20" hidden="1">{"'CptDifn'!$AA$32:$AG$32"}</definedName>
    <definedName name="sdgsdg" hidden="1">{"'CptDifn'!$AA$32:$AG$32"}</definedName>
    <definedName name="sdgsdg_1" localSheetId="20" hidden="1">{"'CptDifn'!$AA$32:$AG$32"}</definedName>
    <definedName name="sdgsdg_1" hidden="1">{"'CptDifn'!$AA$32:$AG$32"}</definedName>
    <definedName name="sdgsdg_1_1" localSheetId="20" hidden="1">{"'CptDifn'!$AA$32:$AG$32"}</definedName>
    <definedName name="sdgsdg_1_1" hidden="1">{"'CptDifn'!$AA$32:$AG$32"}</definedName>
    <definedName name="sdgsdg_1_1_1" localSheetId="20" hidden="1">{"'CptDifn'!$AA$32:$AG$32"}</definedName>
    <definedName name="sdgsdg_1_1_1" hidden="1">{"'CptDifn'!$AA$32:$AG$32"}</definedName>
    <definedName name="sdgsdg_1_2" localSheetId="20" hidden="1">{"'CptDifn'!$AA$32:$AG$32"}</definedName>
    <definedName name="sdgsdg_1_2" hidden="1">{"'CptDifn'!$AA$32:$AG$32"}</definedName>
    <definedName name="sdgsdg_2" localSheetId="20" hidden="1">{"'CptDifn'!$AA$32:$AG$32"}</definedName>
    <definedName name="sdgsdg_2" hidden="1">{"'CptDifn'!$AA$32:$AG$32"}</definedName>
    <definedName name="sdifu" localSheetId="20" hidden="1">{"'gráf jan00'!$A$1:$AK$41"}</definedName>
    <definedName name="sdifu" hidden="1">{"'gráf jan00'!$A$1:$AK$41"}</definedName>
    <definedName name="sdifu_1" localSheetId="20" hidden="1">{"'gráf jan00'!$A$1:$AK$41"}</definedName>
    <definedName name="sdifu_1" hidden="1">{"'gráf jan00'!$A$1:$AK$41"}</definedName>
    <definedName name="sdifu_1_1" localSheetId="20" hidden="1">{"'gráf jan00'!$A$1:$AK$41"}</definedName>
    <definedName name="sdifu_1_1" hidden="1">{"'gráf jan00'!$A$1:$AK$41"}</definedName>
    <definedName name="sdifu_1_1_1" localSheetId="20" hidden="1">{"'gráf jan00'!$A$1:$AK$41"}</definedName>
    <definedName name="sdifu_1_1_1" hidden="1">{"'gráf jan00'!$A$1:$AK$41"}</definedName>
    <definedName name="sdifu_1_2" localSheetId="20" hidden="1">{"'gráf jan00'!$A$1:$AK$41"}</definedName>
    <definedName name="sdifu_1_2" hidden="1">{"'gráf jan00'!$A$1:$AK$41"}</definedName>
    <definedName name="sdifu_2" localSheetId="20" hidden="1">{"'gráf jan00'!$A$1:$AK$41"}</definedName>
    <definedName name="sdifu_2" hidden="1">{"'gráf jan00'!$A$1:$AK$41"}</definedName>
    <definedName name="sdivd" localSheetId="20" hidden="1">{"'gráf jan00'!$A$1:$AK$41"}</definedName>
    <definedName name="sdivd" hidden="1">{"'gráf jan00'!$A$1:$AK$41"}</definedName>
    <definedName name="sdivd_1" localSheetId="20" hidden="1">{"'gráf jan00'!$A$1:$AK$41"}</definedName>
    <definedName name="sdivd_1" hidden="1">{"'gráf jan00'!$A$1:$AK$41"}</definedName>
    <definedName name="sdivd_1_1" localSheetId="20" hidden="1">{"'gráf jan00'!$A$1:$AK$41"}</definedName>
    <definedName name="sdivd_1_1" hidden="1">{"'gráf jan00'!$A$1:$AK$41"}</definedName>
    <definedName name="sdivd_1_1_1" localSheetId="20" hidden="1">{"'gráf jan00'!$A$1:$AK$41"}</definedName>
    <definedName name="sdivd_1_1_1" hidden="1">{"'gráf jan00'!$A$1:$AK$41"}</definedName>
    <definedName name="sdivd_1_2" localSheetId="20" hidden="1">{"'gráf jan00'!$A$1:$AK$41"}</definedName>
    <definedName name="sdivd_1_2" hidden="1">{"'gráf jan00'!$A$1:$AK$41"}</definedName>
    <definedName name="sdivd_2" localSheetId="20" hidden="1">{"'gráf jan00'!$A$1:$AK$41"}</definedName>
    <definedName name="sdivd_2" hidden="1">{"'gráf jan00'!$A$1:$AK$41"}</definedName>
    <definedName name="SDKLLSKDJ">'[104]CR LOTE 02'!#REF!</definedName>
    <definedName name="sdknv" localSheetId="20" hidden="1">{"'gráf jan00'!$A$1:$AK$41"}</definedName>
    <definedName name="sdknv" hidden="1">{"'gráf jan00'!$A$1:$AK$41"}</definedName>
    <definedName name="sdknv_1" localSheetId="20" hidden="1">{"'gráf jan00'!$A$1:$AK$41"}</definedName>
    <definedName name="sdknv_1" hidden="1">{"'gráf jan00'!$A$1:$AK$41"}</definedName>
    <definedName name="sdknv_1_1" localSheetId="20" hidden="1">{"'gráf jan00'!$A$1:$AK$41"}</definedName>
    <definedName name="sdknv_1_1" hidden="1">{"'gráf jan00'!$A$1:$AK$41"}</definedName>
    <definedName name="sdknv_1_1_1" localSheetId="20" hidden="1">{"'gráf jan00'!$A$1:$AK$41"}</definedName>
    <definedName name="sdknv_1_1_1" hidden="1">{"'gráf jan00'!$A$1:$AK$41"}</definedName>
    <definedName name="sdknv_1_2" localSheetId="20" hidden="1">{"'gráf jan00'!$A$1:$AK$41"}</definedName>
    <definedName name="sdknv_1_2" hidden="1">{"'gráf jan00'!$A$1:$AK$41"}</definedName>
    <definedName name="sdknv_2" localSheetId="20" hidden="1">{"'gráf jan00'!$A$1:$AK$41"}</definedName>
    <definedName name="sdknv_2" hidden="1">{"'gráf jan00'!$A$1:$AK$41"}</definedName>
    <definedName name="sdlkfj" localSheetId="20" hidden="1">{"'gráf jan00'!$A$1:$AK$41"}</definedName>
    <definedName name="sdlkfj" hidden="1">{"'gráf jan00'!$A$1:$AK$41"}</definedName>
    <definedName name="sdlkfj_1" localSheetId="20" hidden="1">{"'gráf jan00'!$A$1:$AK$41"}</definedName>
    <definedName name="sdlkfj_1" hidden="1">{"'gráf jan00'!$A$1:$AK$41"}</definedName>
    <definedName name="sdlkfj_1_1" localSheetId="20" hidden="1">{"'gráf jan00'!$A$1:$AK$41"}</definedName>
    <definedName name="sdlkfj_1_1" hidden="1">{"'gráf jan00'!$A$1:$AK$41"}</definedName>
    <definedName name="sdlkfj_1_1_1" localSheetId="20" hidden="1">{"'gráf jan00'!$A$1:$AK$41"}</definedName>
    <definedName name="sdlkfj_1_1_1" hidden="1">{"'gráf jan00'!$A$1:$AK$41"}</definedName>
    <definedName name="sdlkfj_1_2" localSheetId="20" hidden="1">{"'gráf jan00'!$A$1:$AK$41"}</definedName>
    <definedName name="sdlkfj_1_2" hidden="1">{"'gráf jan00'!$A$1:$AK$41"}</definedName>
    <definedName name="sdlkfj_2" localSheetId="20" hidden="1">{"'gráf jan00'!$A$1:$AK$41"}</definedName>
    <definedName name="sdlkfj_2" hidden="1">{"'gráf jan00'!$A$1:$AK$41"}</definedName>
    <definedName name="sDope">#REF!</definedName>
    <definedName name="sDreno">#REF!</definedName>
    <definedName name="sds" hidden="1">#N/A</definedName>
    <definedName name="sdsdf" localSheetId="20" hidden="1">{"'Quadro'!$A$4:$BG$78"}</definedName>
    <definedName name="sdsdf" hidden="1">{"'Quadro'!$A$4:$BG$78"}</definedName>
    <definedName name="sdsdsds" localSheetId="20" hidden="1">{#N/A,#N/A,FALSE,"MO (2)"}</definedName>
    <definedName name="sdsdsds" hidden="1">{#N/A,#N/A,FALSE,"MO (2)"}</definedName>
    <definedName name="sdsdsdsx" localSheetId="20" hidden="1">{#N/A,#N/A,FALSE,"MO (2)"}</definedName>
    <definedName name="sdsdsdsx" hidden="1">{#N/A,#N/A,FALSE,"MO (2)"}</definedName>
    <definedName name="sDSS04">[207]DSS_04!#REF!</definedName>
    <definedName name="sduvhdv" localSheetId="20" hidden="1">{"'gráf jan00'!$A$1:$AK$41"}</definedName>
    <definedName name="sduvhdv" hidden="1">{"'gráf jan00'!$A$1:$AK$41"}</definedName>
    <definedName name="sduvhdv_1" localSheetId="20" hidden="1">{"'gráf jan00'!$A$1:$AK$41"}</definedName>
    <definedName name="sduvhdv_1" hidden="1">{"'gráf jan00'!$A$1:$AK$41"}</definedName>
    <definedName name="sduvhdv_1_1" localSheetId="20" hidden="1">{"'gráf jan00'!$A$1:$AK$41"}</definedName>
    <definedName name="sduvhdv_1_1" hidden="1">{"'gráf jan00'!$A$1:$AK$41"}</definedName>
    <definedName name="sduvhdv_1_1_1" localSheetId="20" hidden="1">{"'gráf jan00'!$A$1:$AK$41"}</definedName>
    <definedName name="sduvhdv_1_1_1" hidden="1">{"'gráf jan00'!$A$1:$AK$41"}</definedName>
    <definedName name="sduvhdv_1_2" localSheetId="20" hidden="1">{"'gráf jan00'!$A$1:$AK$41"}</definedName>
    <definedName name="sduvhdv_1_2" hidden="1">{"'gráf jan00'!$A$1:$AK$41"}</definedName>
    <definedName name="sduvhdv_2" localSheetId="20" hidden="1">{"'gráf jan00'!$A$1:$AK$41"}</definedName>
    <definedName name="sduvhdv_2" hidden="1">{"'gráf jan00'!$A$1:$AK$41"}</definedName>
    <definedName name="SDXsad" localSheetId="20" hidden="1">{"'REL CUSTODIF'!$B$1:$H$72"}</definedName>
    <definedName name="SDXsad" hidden="1">{"'REL CUSTODIF'!$B$1:$H$72"}</definedName>
    <definedName name="SE" localSheetId="21" hidden="1">#REF!</definedName>
    <definedName name="SE">#REF!</definedName>
    <definedName name="SEG">#REF!</definedName>
    <definedName name="SEG_1">#REF!</definedName>
    <definedName name="Seg_Carna" localSheetId="2">Dom_Páscoa-48</definedName>
    <definedName name="Seg_Carna">Dom_Páscoa-48</definedName>
    <definedName name="SEGMENTO">[111]IDENTIFICAÇÃO!$D$8</definedName>
    <definedName name="SEINFRA">#REF!</definedName>
    <definedName name="seis">#REF!</definedName>
    <definedName name="semnome">#REF!</definedName>
    <definedName name="sencount" hidden="1">1</definedName>
    <definedName name="SER" localSheetId="20" hidden="1">{"'Quadro'!$A$4:$BG$78"}</definedName>
    <definedName name="ser" localSheetId="21">#REF!</definedName>
    <definedName name="ser">'[16]Mão de Obra'!$E$27</definedName>
    <definedName name="SER_1" localSheetId="20" hidden="1">{"'Quadro'!$A$4:$BG$78"}</definedName>
    <definedName name="SER_1" hidden="1">{"'Quadro'!$A$4:$BG$78"}</definedName>
    <definedName name="SER_1_1" localSheetId="20" hidden="1">{"'Quadro'!$A$4:$BG$78"}</definedName>
    <definedName name="SER_1_1" hidden="1">{"'Quadro'!$A$4:$BG$78"}</definedName>
    <definedName name="SER_1_1_1" localSheetId="20" hidden="1">{"'Quadro'!$A$4:$BG$78"}</definedName>
    <definedName name="SER_1_1_1" hidden="1">{"'Quadro'!$A$4:$BG$78"}</definedName>
    <definedName name="SER_1_2" localSheetId="20" hidden="1">{"'Quadro'!$A$4:$BG$78"}</definedName>
    <definedName name="SER_1_2" hidden="1">{"'Quadro'!$A$4:$BG$78"}</definedName>
    <definedName name="SER_2" localSheetId="20" hidden="1">{"'Quadro'!$A$4:$BG$78"}</definedName>
    <definedName name="SER_2" hidden="1">{"'Quadro'!$A$4:$BG$78"}</definedName>
    <definedName name="SERV">#REF!</definedName>
    <definedName name="Serv_prev">#REF!</definedName>
    <definedName name="Serv_prev_4">#REF!</definedName>
    <definedName name="Serv_prevv">#REF!</definedName>
    <definedName name="serv0050">#REF!</definedName>
    <definedName name="servDNER" localSheetId="21">#REF!</definedName>
    <definedName name="servDNER">'[23]1ExecuçServiços'!$A$9:$H$1081</definedName>
    <definedName name="SERVI">[208]Serviços!$A$3:$F$1403</definedName>
    <definedName name="servico">#REF!</definedName>
    <definedName name="serviço">#REF!</definedName>
    <definedName name="servico_1">#REF!</definedName>
    <definedName name="Serviço_11">#REF!</definedName>
    <definedName name="Serviço_15">#REF!</definedName>
    <definedName name="serviço1">#REF!</definedName>
    <definedName name="SERVIÇOS" localSheetId="1">#REF!</definedName>
    <definedName name="Serviços">[209]Serviços!$A$1:$I$65536</definedName>
    <definedName name="Serviços_1">#REF!</definedName>
    <definedName name="SERVIÇOSCG">[210]CG!$B$3:$B$144</definedName>
    <definedName name="SERVIÇOSCGt">[211]CG!$B$4:$B$49</definedName>
    <definedName name="Serviçosprojeto">#NAME?</definedName>
    <definedName name="SERVIX">'[92]PLANILHA DE QUANT. E CUSTOS A'!#REF!</definedName>
    <definedName name="sEscoram">#REF!</definedName>
    <definedName name="sEscPonte">#REF!</definedName>
    <definedName name="set" localSheetId="20" hidden="1">{"'gráf jan00'!$A$1:$AK$41"}</definedName>
    <definedName name="SET">#REF!</definedName>
    <definedName name="set_1" localSheetId="20" hidden="1">{"'gráf jan00'!$A$1:$AK$41"}</definedName>
    <definedName name="set_1" hidden="1">{"'gráf jan00'!$A$1:$AK$41"}</definedName>
    <definedName name="set_1_1" localSheetId="20" hidden="1">{"'gráf jan00'!$A$1:$AK$41"}</definedName>
    <definedName name="set_1_1" hidden="1">{"'gráf jan00'!$A$1:$AK$41"}</definedName>
    <definedName name="set_1_1_1" localSheetId="20" hidden="1">{"'gráf jan00'!$A$1:$AK$41"}</definedName>
    <definedName name="set_1_1_1" hidden="1">{"'gráf jan00'!$A$1:$AK$41"}</definedName>
    <definedName name="set_1_2" localSheetId="20" hidden="1">{"'gráf jan00'!$A$1:$AK$41"}</definedName>
    <definedName name="set_1_2" hidden="1">{"'gráf jan00'!$A$1:$AK$41"}</definedName>
    <definedName name="set_2" localSheetId="20" hidden="1">{"'gráf jan00'!$A$1:$AK$41"}</definedName>
    <definedName name="set_2" hidden="1">{"'gráf jan00'!$A$1:$AK$41"}</definedName>
    <definedName name="SETA">#REF!</definedName>
    <definedName name="sete">#REF!</definedName>
    <definedName name="SETEMBRO" localSheetId="20" hidden="1">{#N/A,#N/A,TRUE,"Serviços"}</definedName>
    <definedName name="SETEMBRO" localSheetId="21">{#N/A,#N/A,TRUE,"Serviços"}</definedName>
    <definedName name="SETEMBRO" localSheetId="2" hidden="1">{#N/A,#N/A,TRUE,"Serviços"}</definedName>
    <definedName name="SETEMBRO" hidden="1">{#N/A,#N/A,TRUE,"Serviços"}</definedName>
    <definedName name="SETEMBRO_1" localSheetId="20">{#N/A,#N/A,TRUE,"Serviços"}</definedName>
    <definedName name="SETEMBRO_1" localSheetId="21">{#N/A,#N/A,TRUE,"Serviços"}</definedName>
    <definedName name="SETEMBRO_1">{#N/A,#N/A,TRUE,"Serviços"}</definedName>
    <definedName name="setembro_1_1" localSheetId="20" hidden="1">{"'gráf jan00'!$A$1:$AK$41"}</definedName>
    <definedName name="setembro_1_1" hidden="1">{"'gráf jan00'!$A$1:$AK$41"}</definedName>
    <definedName name="setembro_1_1_1" localSheetId="20" hidden="1">{"'gráf jan00'!$A$1:$AK$41"}</definedName>
    <definedName name="setembro_1_1_1" hidden="1">{"'gráf jan00'!$A$1:$AK$41"}</definedName>
    <definedName name="setembro_1_2" localSheetId="20" hidden="1">{"'gráf jan00'!$A$1:$AK$41"}</definedName>
    <definedName name="setembro_1_2" hidden="1">{"'gráf jan00'!$A$1:$AK$41"}</definedName>
    <definedName name="setembro_2" localSheetId="20" hidden="1">{"'gráf jan00'!$A$1:$AK$41"}</definedName>
    <definedName name="setembro_2" hidden="1">{"'gráf jan00'!$A$1:$AK$41"}</definedName>
    <definedName name="SETEMBROO" localSheetId="20" hidden="1">{#N/A,#N/A,TRUE,"Serviços"}</definedName>
    <definedName name="SETEMBROO" localSheetId="2" hidden="1">{#N/A,#N/A,TRUE,"Serviços"}</definedName>
    <definedName name="SETEMBROO" hidden="1">{#N/A,#N/A,TRUE,"Serviços"}</definedName>
    <definedName name="SEVE">#REF!</definedName>
    <definedName name="seven">#REF!</definedName>
    <definedName name="SF" localSheetId="20" hidden="1">{"'Quadro'!$A$4:$BG$78"}</definedName>
    <definedName name="SF" hidden="1">{"'Quadro'!$A$4:$BG$78"}</definedName>
    <definedName name="SFD" localSheetId="20" hidden="1">{"'Quadro'!$A$4:$BG$78"}</definedName>
    <definedName name="SFD" hidden="1">{"'Quadro'!$A$4:$BG$78"}</definedName>
    <definedName name="SFD_1" localSheetId="20" hidden="1">{"'Quadro'!$A$4:$BG$78"}</definedName>
    <definedName name="SFD_1" hidden="1">{"'Quadro'!$A$4:$BG$78"}</definedName>
    <definedName name="SFD_1_1" localSheetId="20" hidden="1">{"'Quadro'!$A$4:$BG$78"}</definedName>
    <definedName name="SFD_1_1" hidden="1">{"'Quadro'!$A$4:$BG$78"}</definedName>
    <definedName name="SFD_1_1_1" localSheetId="20" hidden="1">{"'Quadro'!$A$4:$BG$78"}</definedName>
    <definedName name="SFD_1_1_1" hidden="1">{"'Quadro'!$A$4:$BG$78"}</definedName>
    <definedName name="SFD_1_2" localSheetId="20" hidden="1">{"'Quadro'!$A$4:$BG$78"}</definedName>
    <definedName name="SFD_1_2" hidden="1">{"'Quadro'!$A$4:$BG$78"}</definedName>
    <definedName name="SFD_2" localSheetId="20" hidden="1">{"'Quadro'!$A$4:$BG$78"}</definedName>
    <definedName name="SFD_2" hidden="1">{"'Quadro'!$A$4:$BG$78"}</definedName>
    <definedName name="sfds">#REF!</definedName>
    <definedName name="sffghjjk" localSheetId="20" hidden="1">{"'CptDifn'!$AA$32:$AG$32"}</definedName>
    <definedName name="sffghjjk" hidden="1">{"'CptDifn'!$AA$32:$AG$32"}</definedName>
    <definedName name="sffghjjk_1" localSheetId="20" hidden="1">{"'CptDifn'!$AA$32:$AG$32"}</definedName>
    <definedName name="sffghjjk_1" hidden="1">{"'CptDifn'!$AA$32:$AG$32"}</definedName>
    <definedName name="sffghjjk_1_1" localSheetId="20" hidden="1">{"'CptDifn'!$AA$32:$AG$32"}</definedName>
    <definedName name="sffghjjk_1_1" hidden="1">{"'CptDifn'!$AA$32:$AG$32"}</definedName>
    <definedName name="sffghjjk_1_1_1" localSheetId="20" hidden="1">{"'CptDifn'!$AA$32:$AG$32"}</definedName>
    <definedName name="sffghjjk_1_1_1" hidden="1">{"'CptDifn'!$AA$32:$AG$32"}</definedName>
    <definedName name="sffghjjk_1_2" localSheetId="20" hidden="1">{"'CptDifn'!$AA$32:$AG$32"}</definedName>
    <definedName name="sffghjjk_1_2" hidden="1">{"'CptDifn'!$AA$32:$AG$32"}</definedName>
    <definedName name="sffghjjk_2" localSheetId="20" hidden="1">{"'CptDifn'!$AA$32:$AG$32"}</definedName>
    <definedName name="sffghjjk_2" hidden="1">{"'CptDifn'!$AA$32:$AG$32"}</definedName>
    <definedName name="sfghd" localSheetId="20" hidden="1">{"det (May)",#N/A,FALSE,"June";"sum (MAY YTD)",#N/A,FALSE,"June YTD"}</definedName>
    <definedName name="sfghd" hidden="1">{"det (May)",#N/A,FALSE,"June";"sum (MAY YTD)",#N/A,FALSE,"June YTD"}</definedName>
    <definedName name="sfghd_1" localSheetId="20" hidden="1">{"det (May)",#N/A,FALSE,"June";"sum (MAY YTD)",#N/A,FALSE,"June YTD"}</definedName>
    <definedName name="sfghd_1" hidden="1">{"det (May)",#N/A,FALSE,"June";"sum (MAY YTD)",#N/A,FALSE,"June YTD"}</definedName>
    <definedName name="sfghd_1_1" localSheetId="20" hidden="1">{"det (May)",#N/A,FALSE,"June";"sum (MAY YTD)",#N/A,FALSE,"June YTD"}</definedName>
    <definedName name="sfghd_1_1" hidden="1">{"det (May)",#N/A,FALSE,"June";"sum (MAY YTD)",#N/A,FALSE,"June YTD"}</definedName>
    <definedName name="sfghd_1_1_1" localSheetId="20" hidden="1">{"det (May)",#N/A,FALSE,"June";"sum (MAY YTD)",#N/A,FALSE,"June YTD"}</definedName>
    <definedName name="sfghd_1_1_1" hidden="1">{"det (May)",#N/A,FALSE,"June";"sum (MAY YTD)",#N/A,FALSE,"June YTD"}</definedName>
    <definedName name="sfghd_1_2" localSheetId="20" hidden="1">{"det (May)",#N/A,FALSE,"June";"sum (MAY YTD)",#N/A,FALSE,"June YTD"}</definedName>
    <definedName name="sfghd_1_2" hidden="1">{"det (May)",#N/A,FALSE,"June";"sum (MAY YTD)",#N/A,FALSE,"June YTD"}</definedName>
    <definedName name="sfghd_2" localSheetId="20" hidden="1">{"det (May)",#N/A,FALSE,"June";"sum (MAY YTD)",#N/A,FALSE,"June YTD"}</definedName>
    <definedName name="sfghd_2" hidden="1">{"det (May)",#N/A,FALSE,"June";"sum (MAY YTD)",#N/A,FALSE,"June YTD"}</definedName>
    <definedName name="sfh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J" localSheetId="20" hidden="1">{"'Quadro'!$A$4:$BG$78"}</definedName>
    <definedName name="SFHJ" hidden="1">{"'Quadro'!$A$4:$BG$78"}</definedName>
    <definedName name="SFHJ_1" localSheetId="20" hidden="1">{"'Quadro'!$A$4:$BG$78"}</definedName>
    <definedName name="SFHJ_1" hidden="1">{"'Quadro'!$A$4:$BG$78"}</definedName>
    <definedName name="SFHJ_1_1" localSheetId="20" hidden="1">{"'Quadro'!$A$4:$BG$78"}</definedName>
    <definedName name="SFHJ_1_1" hidden="1">{"'Quadro'!$A$4:$BG$78"}</definedName>
    <definedName name="SFHJ_1_1_1" localSheetId="20" hidden="1">{"'Quadro'!$A$4:$BG$78"}</definedName>
    <definedName name="SFHJ_1_1_1" hidden="1">{"'Quadro'!$A$4:$BG$78"}</definedName>
    <definedName name="SFHJ_1_2" localSheetId="20" hidden="1">{"'Quadro'!$A$4:$BG$78"}</definedName>
    <definedName name="SFHJ_1_2" hidden="1">{"'Quadro'!$A$4:$BG$78"}</definedName>
    <definedName name="SFHJ_2" localSheetId="20" hidden="1">{"'Quadro'!$A$4:$BG$78"}</definedName>
    <definedName name="SFHJ_2" hidden="1">{"'Quadro'!$A$4:$BG$78"}</definedName>
    <definedName name="sfhs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orma">#REF!</definedName>
    <definedName name="sfqefewfqeRW" localSheetId="20" hidden="1">{"'REL CUSTODIF'!$B$1:$H$72"}</definedName>
    <definedName name="sfqefewfqeRW" hidden="1">{"'REL CUSTODIF'!$B$1:$H$72"}</definedName>
    <definedName name="SFQET" localSheetId="20" hidden="1">{"'REL CUSTODIF'!$B$1:$H$72"}</definedName>
    <definedName name="SFQET" hidden="1">{"'REL CUSTODIF'!$B$1:$H$72"}</definedName>
    <definedName name="SFR" localSheetId="20" hidden="1">{"'Quadro'!$A$4:$BG$78"}</definedName>
    <definedName name="SFR" hidden="1">{"'Quadro'!$A$4:$BG$78"}</definedName>
    <definedName name="SFR_1" localSheetId="20" hidden="1">{"'Quadro'!$A$4:$BG$78"}</definedName>
    <definedName name="SFR_1" hidden="1">{"'Quadro'!$A$4:$BG$78"}</definedName>
    <definedName name="SFR_1_1" localSheetId="20" hidden="1">{"'Quadro'!$A$4:$BG$78"}</definedName>
    <definedName name="SFR_1_1" hidden="1">{"'Quadro'!$A$4:$BG$78"}</definedName>
    <definedName name="SFR_1_1_1" localSheetId="20" hidden="1">{"'Quadro'!$A$4:$BG$78"}</definedName>
    <definedName name="SFR_1_1_1" hidden="1">{"'Quadro'!$A$4:$BG$78"}</definedName>
    <definedName name="SFR_1_2" localSheetId="20" hidden="1">{"'Quadro'!$A$4:$BG$78"}</definedName>
    <definedName name="SFR_1_2" hidden="1">{"'Quadro'!$A$4:$BG$78"}</definedName>
    <definedName name="SFR_2" localSheetId="20" hidden="1">{"'Quadro'!$A$4:$BG$78"}</definedName>
    <definedName name="SFR_2" hidden="1">{"'Quadro'!$A$4:$BG$78"}</definedName>
    <definedName name="sfresagem">[207]Fresagem!#REF!</definedName>
    <definedName name="sFrezagem">#REF!</definedName>
    <definedName name="SFSDGFDGFGGF" localSheetId="20" hidden="1">{"'RR'!$A$2:$E$81"}</definedName>
    <definedName name="SFSDGFDGFGGF" hidden="1">{"'RR'!$A$2:$E$81"}</definedName>
    <definedName name="SFSDGFDGFGGF_1" localSheetId="20" hidden="1">{"'RR'!$A$2:$E$81"}</definedName>
    <definedName name="SFSDGFDGFGGF_1" hidden="1">{"'RR'!$A$2:$E$81"}</definedName>
    <definedName name="SFSDGFDGFGGF_1_1" localSheetId="20" hidden="1">{"'RR'!$A$2:$E$81"}</definedName>
    <definedName name="SFSDGFDGFGGF_1_1" hidden="1">{"'RR'!$A$2:$E$81"}</definedName>
    <definedName name="SFSDGFDGFGGF_1_1_1" localSheetId="20" hidden="1">{"'RR'!$A$2:$E$81"}</definedName>
    <definedName name="SFSDGFDGFGGF_1_1_1" hidden="1">{"'RR'!$A$2:$E$81"}</definedName>
    <definedName name="SFSDGFDGFGGF_1_2" localSheetId="20" hidden="1">{"'RR'!$A$2:$E$81"}</definedName>
    <definedName name="SFSDGFDGFGGF_1_2" hidden="1">{"'RR'!$A$2:$E$81"}</definedName>
    <definedName name="SFSDGFDGFGGF_2" localSheetId="20" hidden="1">{"'RR'!$A$2:$E$81"}</definedName>
    <definedName name="SFSDGFDGFGGF_2" hidden="1">{"'RR'!$A$2:$E$81"}</definedName>
    <definedName name="SFSDGSDFGDFGFG.XLS" localSheetId="20" hidden="1">{"'RR'!$A$2:$E$81"}</definedName>
    <definedName name="SFSDGSDFGDFGFG.XLS" hidden="1">{"'RR'!$A$2:$E$81"}</definedName>
    <definedName name="SFSDGSDFGDFGFG.XLS_1" localSheetId="20" hidden="1">{"'RR'!$A$2:$E$81"}</definedName>
    <definedName name="SFSDGSDFGDFGFG.XLS_1" hidden="1">{"'RR'!$A$2:$E$81"}</definedName>
    <definedName name="SFSDGSDFGDFGFG.XLS_1_1" localSheetId="20" hidden="1">{"'RR'!$A$2:$E$81"}</definedName>
    <definedName name="SFSDGSDFGDFGFG.XLS_1_1" hidden="1">{"'RR'!$A$2:$E$81"}</definedName>
    <definedName name="SFSDGSDFGDFGFG.XLS_1_1_1" localSheetId="20" hidden="1">{"'RR'!$A$2:$E$81"}</definedName>
    <definedName name="SFSDGSDFGDFGFG.XLS_1_1_1" hidden="1">{"'RR'!$A$2:$E$81"}</definedName>
    <definedName name="SFSDGSDFGDFGFG.XLS_1_2" localSheetId="20" hidden="1">{"'RR'!$A$2:$E$81"}</definedName>
    <definedName name="SFSDGSDFGDFGFG.XLS_1_2" hidden="1">{"'RR'!$A$2:$E$81"}</definedName>
    <definedName name="SFSDGSDFGDFGFG.XLS_2" localSheetId="20" hidden="1">{"'RR'!$A$2:$E$81"}</definedName>
    <definedName name="SFSDGSDFGDFGFG.XLS_2" hidden="1">{"'RR'!$A$2:$E$81"}</definedName>
    <definedName name="sfu" localSheetId="20" hidden="1">{0,0,0,0;0,0,0,0;0,0,0,0}</definedName>
    <definedName name="sfu" hidden="1">{0,0,0,0;0,0,0,0;0,0,0,0}</definedName>
    <definedName name="sg" localSheetId="20" hidden="1">{"'RR'!$A$2:$E$81"}</definedName>
    <definedName name="sg" hidden="1">{"'RR'!$A$2:$E$81"}</definedName>
    <definedName name="sg_1" localSheetId="20" hidden="1">{"'RR'!$A$2:$E$81"}</definedName>
    <definedName name="sg_1" hidden="1">{"'RR'!$A$2:$E$81"}</definedName>
    <definedName name="sg_1_1" localSheetId="20" hidden="1">{"'RR'!$A$2:$E$81"}</definedName>
    <definedName name="sg_1_1" hidden="1">{"'RR'!$A$2:$E$81"}</definedName>
    <definedName name="sg_1_1_1" localSheetId="20" hidden="1">{"'RR'!$A$2:$E$81"}</definedName>
    <definedName name="sg_1_1_1" hidden="1">{"'RR'!$A$2:$E$81"}</definedName>
    <definedName name="sg_1_2" localSheetId="20" hidden="1">{"'RR'!$A$2:$E$81"}</definedName>
    <definedName name="sg_1_2" hidden="1">{"'RR'!$A$2:$E$81"}</definedName>
    <definedName name="sg_2" localSheetId="20" hidden="1">{"'RR'!$A$2:$E$81"}</definedName>
    <definedName name="sg_2" hidden="1">{"'RR'!$A$2:$E$81"}</definedName>
    <definedName name="sgdgs" localSheetId="20" hidden="1">{"'CptDifn'!$AA$32:$AG$32"}</definedName>
    <definedName name="sgdgs" hidden="1">{"'CptDifn'!$AA$32:$AG$32"}</definedName>
    <definedName name="sgdgs_1" localSheetId="20" hidden="1">{"'CptDifn'!$AA$32:$AG$32"}</definedName>
    <definedName name="sgdgs_1" hidden="1">{"'CptDifn'!$AA$32:$AG$32"}</definedName>
    <definedName name="sgdgs_1_1" localSheetId="20" hidden="1">{"'CptDifn'!$AA$32:$AG$32"}</definedName>
    <definedName name="sgdgs_1_1" hidden="1">{"'CptDifn'!$AA$32:$AG$32"}</definedName>
    <definedName name="sgdgs_1_1_1" localSheetId="20" hidden="1">{"'CptDifn'!$AA$32:$AG$32"}</definedName>
    <definedName name="sgdgs_1_1_1" hidden="1">{"'CptDifn'!$AA$32:$AG$32"}</definedName>
    <definedName name="sgdgs_1_2" localSheetId="20" hidden="1">{"'CptDifn'!$AA$32:$AG$32"}</definedName>
    <definedName name="sgdgs_1_2" hidden="1">{"'CptDifn'!$AA$32:$AG$32"}</definedName>
    <definedName name="sgdgs_2" localSheetId="20" hidden="1">{"'CptDifn'!$AA$32:$AG$32"}</definedName>
    <definedName name="sgdgs_2" hidden="1">{"'CptDifn'!$AA$32:$AG$32"}</definedName>
    <definedName name="sgsdfgsh" localSheetId="20" hidden="1">{"'CptDifn'!$AA$32:$AG$32"}</definedName>
    <definedName name="sgsdfgsh" hidden="1">{"'CptDifn'!$AA$32:$AG$32"}</definedName>
    <definedName name="sgsdfgsh_1" localSheetId="20" hidden="1">{"'CptDifn'!$AA$32:$AG$32"}</definedName>
    <definedName name="sgsdfgsh_1" hidden="1">{"'CptDifn'!$AA$32:$AG$32"}</definedName>
    <definedName name="sgsdfgsh_1_1" localSheetId="20" hidden="1">{"'CptDifn'!$AA$32:$AG$32"}</definedName>
    <definedName name="sgsdfgsh_1_1" hidden="1">{"'CptDifn'!$AA$32:$AG$32"}</definedName>
    <definedName name="sgsdfgsh_1_1_1" localSheetId="20" hidden="1">{"'CptDifn'!$AA$32:$AG$32"}</definedName>
    <definedName name="sgsdfgsh_1_1_1" hidden="1">{"'CptDifn'!$AA$32:$AG$32"}</definedName>
    <definedName name="sgsdfgsh_1_2" localSheetId="20" hidden="1">{"'CptDifn'!$AA$32:$AG$32"}</definedName>
    <definedName name="sgsdfgsh_1_2" hidden="1">{"'CptDifn'!$AA$32:$AG$32"}</definedName>
    <definedName name="sgsdfgsh_2" localSheetId="20" hidden="1">{"'CptDifn'!$AA$32:$AG$32"}</definedName>
    <definedName name="sgsdfgsh_2" hidden="1">{"'CptDifn'!$AA$32:$AG$32"}</definedName>
    <definedName name="sgsdgs" localSheetId="20" hidden="1">{"'CptDifn'!$AA$32:$AG$32"}</definedName>
    <definedName name="sgsdgs" hidden="1">{"'CptDifn'!$AA$32:$AG$32"}</definedName>
    <definedName name="sgsdgs_1" localSheetId="20" hidden="1">{"'CptDifn'!$AA$32:$AG$32"}</definedName>
    <definedName name="sgsdgs_1" hidden="1">{"'CptDifn'!$AA$32:$AG$32"}</definedName>
    <definedName name="sgsdgs_1_1" localSheetId="20" hidden="1">{"'CptDifn'!$AA$32:$AG$32"}</definedName>
    <definedName name="sgsdgs_1_1" hidden="1">{"'CptDifn'!$AA$32:$AG$32"}</definedName>
    <definedName name="sgsdgs_1_1_1" localSheetId="20" hidden="1">{"'CptDifn'!$AA$32:$AG$32"}</definedName>
    <definedName name="sgsdgs_1_1_1" hidden="1">{"'CptDifn'!$AA$32:$AG$32"}</definedName>
    <definedName name="sgsdgs_1_2" localSheetId="20" hidden="1">{"'CptDifn'!$AA$32:$AG$32"}</definedName>
    <definedName name="sgsdgs_1_2" hidden="1">{"'CptDifn'!$AA$32:$AG$32"}</definedName>
    <definedName name="sgsdgs_2" localSheetId="20" hidden="1">{"'CptDifn'!$AA$32:$AG$32"}</definedName>
    <definedName name="sgsdgs_2" hidden="1">{"'CptDifn'!$AA$32:$AG$32"}</definedName>
    <definedName name="sgsg" localSheetId="20" hidden="1">{"'CptDifn'!$AA$32:$AG$32"}</definedName>
    <definedName name="sgsg" hidden="1">{"'CptDifn'!$AA$32:$AG$32"}</definedName>
    <definedName name="sgsg_1" localSheetId="20" hidden="1">{"'CptDifn'!$AA$32:$AG$32"}</definedName>
    <definedName name="sgsg_1" hidden="1">{"'CptDifn'!$AA$32:$AG$32"}</definedName>
    <definedName name="sgsg_1_1" localSheetId="20" hidden="1">{"'CptDifn'!$AA$32:$AG$32"}</definedName>
    <definedName name="sgsg_1_1" hidden="1">{"'CptDifn'!$AA$32:$AG$32"}</definedName>
    <definedName name="sgsg_1_1_1" localSheetId="20" hidden="1">{"'CptDifn'!$AA$32:$AG$32"}</definedName>
    <definedName name="sgsg_1_1_1" hidden="1">{"'CptDifn'!$AA$32:$AG$32"}</definedName>
    <definedName name="sgsg_1_2" localSheetId="20" hidden="1">{"'CptDifn'!$AA$32:$AG$32"}</definedName>
    <definedName name="sgsg_1_2" hidden="1">{"'CptDifn'!$AA$32:$AG$32"}</definedName>
    <definedName name="sgsg_2" localSheetId="20" hidden="1">{"'CptDifn'!$AA$32:$AG$32"}</definedName>
    <definedName name="sgsg_2" hidden="1">{"'CptDifn'!$AA$32:$AG$32"}</definedName>
    <definedName name="SH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eet1" hidden="1">#REF!-1 &amp; "." &amp; MAX(1,COUNTA(INDEX(#REF!,MATCH(#REF!-1,#REF!,FALSE)):#REF!))</definedName>
    <definedName name="sheet1_1" localSheetId="20" hidden="1">{#N/A,#N/A,FALSE,"지침";#N/A,#N/A,FALSE,"환경분석";#N/A,#N/A,FALSE,"Sheet16"}</definedName>
    <definedName name="sheet1_1" hidden="1">{#N/A,#N/A,FALSE,"지침";#N/A,#N/A,FALSE,"환경분석";#N/A,#N/A,FALSE,"Sheet16"}</definedName>
    <definedName name="sheet1_1_1" localSheetId="20" hidden="1">{#N/A,#N/A,FALSE,"지침";#N/A,#N/A,FALSE,"환경분석";#N/A,#N/A,FALSE,"Sheet16"}</definedName>
    <definedName name="sheet1_1_1" hidden="1">{#N/A,#N/A,FALSE,"지침";#N/A,#N/A,FALSE,"환경분석";#N/A,#N/A,FALSE,"Sheet16"}</definedName>
    <definedName name="sheet1_1_1_1" localSheetId="20" hidden="1">{#N/A,#N/A,FALSE,"지침";#N/A,#N/A,FALSE,"환경분석";#N/A,#N/A,FALSE,"Sheet16"}</definedName>
    <definedName name="sheet1_1_1_1" hidden="1">{#N/A,#N/A,FALSE,"지침";#N/A,#N/A,FALSE,"환경분석";#N/A,#N/A,FALSE,"Sheet16"}</definedName>
    <definedName name="sheet1_1_2" localSheetId="20" hidden="1">{#N/A,#N/A,FALSE,"지침";#N/A,#N/A,FALSE,"환경분석";#N/A,#N/A,FALSE,"Sheet16"}</definedName>
    <definedName name="sheet1_1_2" hidden="1">{#N/A,#N/A,FALSE,"지침";#N/A,#N/A,FALSE,"환경분석";#N/A,#N/A,FALSE,"Sheet16"}</definedName>
    <definedName name="sheet1_2" localSheetId="20" hidden="1">{#N/A,#N/A,FALSE,"지침";#N/A,#N/A,FALSE,"환경분석";#N/A,#N/A,FALSE,"Sheet16"}</definedName>
    <definedName name="sheet1_2" hidden="1">{#N/A,#N/A,FALSE,"지침";#N/A,#N/A,FALSE,"환경분석";#N/A,#N/A,FALSE,"Sheet16"}</definedName>
    <definedName name="Sheet5bvhjvgkghk" localSheetId="20" hidden="1">{"det (May)",#N/A,FALSE,"June";"sum (MAY YTD)",#N/A,FALSE,"June YTD"}</definedName>
    <definedName name="Sheet5bvhjvgkghk" hidden="1">{"det (May)",#N/A,FALSE,"June";"sum (MAY YTD)",#N/A,FALSE,"June YTD"}</definedName>
    <definedName name="Sheet5bvhjvgkghk_1" localSheetId="20" hidden="1">{"det (May)",#N/A,FALSE,"June";"sum (MAY YTD)",#N/A,FALSE,"June YTD"}</definedName>
    <definedName name="Sheet5bvhjvgkghk_1" hidden="1">{"det (May)",#N/A,FALSE,"June";"sum (MAY YTD)",#N/A,FALSE,"June YTD"}</definedName>
    <definedName name="Sheet5bvhjvgkghk_1_1" localSheetId="20" hidden="1">{"det (May)",#N/A,FALSE,"June";"sum (MAY YTD)",#N/A,FALSE,"June YTD"}</definedName>
    <definedName name="Sheet5bvhjvgkghk_1_1" hidden="1">{"det (May)",#N/A,FALSE,"June";"sum (MAY YTD)",#N/A,FALSE,"June YTD"}</definedName>
    <definedName name="Sheet5bvhjvgkghk_1_1_1" localSheetId="20" hidden="1">{"det (May)",#N/A,FALSE,"June";"sum (MAY YTD)",#N/A,FALSE,"June YTD"}</definedName>
    <definedName name="Sheet5bvhjvgkghk_1_1_1" hidden="1">{"det (May)",#N/A,FALSE,"June";"sum (MAY YTD)",#N/A,FALSE,"June YTD"}</definedName>
    <definedName name="Sheet5bvhjvgkghk_1_2" localSheetId="20" hidden="1">{"det (May)",#N/A,FALSE,"June";"sum (MAY YTD)",#N/A,FALSE,"June YTD"}</definedName>
    <definedName name="Sheet5bvhjvgkghk_1_2" hidden="1">{"det (May)",#N/A,FALSE,"June";"sum (MAY YTD)",#N/A,FALSE,"June YTD"}</definedName>
    <definedName name="Sheet5bvhjvgkghk_2" localSheetId="20" hidden="1">{"det (May)",#N/A,FALSE,"June";"sum (MAY YTD)",#N/A,FALSE,"June YTD"}</definedName>
    <definedName name="Sheet5bvhjvgkghk_2" hidden="1">{"det (May)",#N/A,FALSE,"June";"sum (MAY YTD)",#N/A,FALSE,"June YTD"}</definedName>
    <definedName name="SHHHHJ" localSheetId="20" hidden="1">{"'RR'!$A$2:$E$81"}</definedName>
    <definedName name="SHHHHJ" hidden="1">{"'RR'!$A$2:$E$81"}</definedName>
    <definedName name="SHHHHJ_1" localSheetId="20" hidden="1">{"'RR'!$A$2:$E$81"}</definedName>
    <definedName name="SHHHHJ_1" hidden="1">{"'RR'!$A$2:$E$81"}</definedName>
    <definedName name="SHHHHJ_1_1" localSheetId="20" hidden="1">{"'RR'!$A$2:$E$81"}</definedName>
    <definedName name="SHHHHJ_1_1" hidden="1">{"'RR'!$A$2:$E$81"}</definedName>
    <definedName name="SHHHHJ_1_1_1" localSheetId="20" hidden="1">{"'RR'!$A$2:$E$81"}</definedName>
    <definedName name="SHHHHJ_1_1_1" hidden="1">{"'RR'!$A$2:$E$81"}</definedName>
    <definedName name="SHHHHJ_1_2" localSheetId="20" hidden="1">{"'RR'!$A$2:$E$81"}</definedName>
    <definedName name="SHHHHJ_1_2" hidden="1">{"'RR'!$A$2:$E$81"}</definedName>
    <definedName name="SHHHHJ_2" localSheetId="20" hidden="1">{"'RR'!$A$2:$E$81"}</definedName>
    <definedName name="SHHHHJ_2" hidden="1">{"'RR'!$A$2:$E$81"}</definedName>
    <definedName name="S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i" localSheetId="20" hidden="1">{"det (May)",#N/A,FALSE,"June";"sum (MAY YTD)",#N/A,FALSE,"June YTD"}</definedName>
    <definedName name="sici" hidden="1">{"det (May)",#N/A,FALSE,"June";"sum (MAY YTD)",#N/A,FALSE,"June YTD"}</definedName>
    <definedName name="sici_1" localSheetId="20" hidden="1">{"det (May)",#N/A,FALSE,"June";"sum (MAY YTD)",#N/A,FALSE,"June YTD"}</definedName>
    <definedName name="sici_1" hidden="1">{"det (May)",#N/A,FALSE,"June";"sum (MAY YTD)",#N/A,FALSE,"June YTD"}</definedName>
    <definedName name="sici_1_1" localSheetId="20" hidden="1">{"det (May)",#N/A,FALSE,"June";"sum (MAY YTD)",#N/A,FALSE,"June YTD"}</definedName>
    <definedName name="sici_1_1" hidden="1">{"det (May)",#N/A,FALSE,"June";"sum (MAY YTD)",#N/A,FALSE,"June YTD"}</definedName>
    <definedName name="sici_1_1_1" localSheetId="20" hidden="1">{"det (May)",#N/A,FALSE,"June";"sum (MAY YTD)",#N/A,FALSE,"June YTD"}</definedName>
    <definedName name="sici_1_1_1" hidden="1">{"det (May)",#N/A,FALSE,"June";"sum (MAY YTD)",#N/A,FALSE,"June YTD"}</definedName>
    <definedName name="sici_1_2" localSheetId="20" hidden="1">{"det (May)",#N/A,FALSE,"June";"sum (MAY YTD)",#N/A,FALSE,"June YTD"}</definedName>
    <definedName name="sici_1_2" hidden="1">{"det (May)",#N/A,FALSE,"June";"sum (MAY YTD)",#N/A,FALSE,"June YTD"}</definedName>
    <definedName name="sici_2" localSheetId="20" hidden="1">{"det (May)",#N/A,FALSE,"June";"sum (MAY YTD)",#N/A,FALSE,"June YTD"}</definedName>
    <definedName name="sici_2" hidden="1">{"det (May)",#N/A,FALSE,"June";"sum (MAY YTD)",#N/A,FALSE,"June YTD"}</definedName>
    <definedName name="sicro">#REF!</definedName>
    <definedName name="sicro2">"$#REF!.$A$7:$G$1888"</definedName>
    <definedName name="sicro2_1">"$#REF!.$A$7:$G$2000"</definedName>
    <definedName name="sidhjvcvid" localSheetId="20" hidden="1">{"'gráf jan00'!$A$1:$AK$41"}</definedName>
    <definedName name="sidhjvcvid" hidden="1">{"'gráf jan00'!$A$1:$AK$41"}</definedName>
    <definedName name="sidhjvcvid_1" localSheetId="20" hidden="1">{"'gráf jan00'!$A$1:$AK$41"}</definedName>
    <definedName name="sidhjvcvid_1" hidden="1">{"'gráf jan00'!$A$1:$AK$41"}</definedName>
    <definedName name="sidhjvcvid_1_1" localSheetId="20" hidden="1">{"'gráf jan00'!$A$1:$AK$41"}</definedName>
    <definedName name="sidhjvcvid_1_1" hidden="1">{"'gráf jan00'!$A$1:$AK$41"}</definedName>
    <definedName name="sidhjvcvid_1_1_1" localSheetId="20" hidden="1">{"'gráf jan00'!$A$1:$AK$41"}</definedName>
    <definedName name="sidhjvcvid_1_1_1" hidden="1">{"'gráf jan00'!$A$1:$AK$41"}</definedName>
    <definedName name="sidhjvcvid_1_2" localSheetId="20" hidden="1">{"'gráf jan00'!$A$1:$AK$41"}</definedName>
    <definedName name="sidhjvcvid_1_2" hidden="1">{"'gráf jan00'!$A$1:$AK$41"}</definedName>
    <definedName name="sidhjvcvid_2" localSheetId="20" hidden="1">{"'gráf jan00'!$A$1:$AK$41"}</definedName>
    <definedName name="sidhjvcvid_2" hidden="1">{"'gráf jan00'!$A$1:$AK$41"}</definedName>
    <definedName name="SIH">#REF!</definedName>
    <definedName name="siloquente">#REF!</definedName>
    <definedName name="sim" localSheetId="20" hidden="1">{"'gráf jan00'!$A$1:$AK$41"}</definedName>
    <definedName name="SIM" localSheetId="21">#REF!</definedName>
    <definedName name="SIM">#REF!</definedName>
    <definedName name="sim_1" localSheetId="20" hidden="1">{"'gráf jan00'!$A$1:$AK$41"}</definedName>
    <definedName name="sim_1" hidden="1">{"'gráf jan00'!$A$1:$AK$41"}</definedName>
    <definedName name="sim_1_1" localSheetId="20" hidden="1">{"'gráf jan00'!$A$1:$AK$41"}</definedName>
    <definedName name="sim_1_1" hidden="1">{"'gráf jan00'!$A$1:$AK$41"}</definedName>
    <definedName name="sim_1_1_1" localSheetId="20" hidden="1">{"'gráf jan00'!$A$1:$AK$41"}</definedName>
    <definedName name="sim_1_1_1" hidden="1">{"'gráf jan00'!$A$1:$AK$41"}</definedName>
    <definedName name="sim_1_2" localSheetId="20" hidden="1">{"'gráf jan00'!$A$1:$AK$41"}</definedName>
    <definedName name="sim_1_2" hidden="1">{"'gráf jan00'!$A$1:$AK$41"}</definedName>
    <definedName name="sim_2" localSheetId="20" hidden="1">{"'gráf jan00'!$A$1:$AK$41"}</definedName>
    <definedName name="sim_2" hidden="1">{"'gráf jan00'!$A$1:$AK$41"}</definedName>
    <definedName name="sImprima">#REF!</definedName>
    <definedName name="SIN">'[101]P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10">#REF!</definedName>
    <definedName name="sinalizacao_12">#REF!</definedName>
    <definedName name="sinalizacao_2">#REF!</definedName>
    <definedName name="sinalizacao_3">#REF!</definedName>
    <definedName name="sinalizacao_4">#REF!</definedName>
    <definedName name="sinalizacao_9">#REF!</definedName>
    <definedName name="SINAPI">#REF!</definedName>
    <definedName name="SINTETICO" localSheetId="20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V">#REF!</definedName>
    <definedName name="SixSigma" localSheetId="20" hidden="1">{"'RR'!$A$2:$E$81"}</definedName>
    <definedName name="SixSigma" hidden="1">{"'RR'!$A$2:$E$81"}</definedName>
    <definedName name="SixSigma_1" localSheetId="20" hidden="1">{"'RR'!$A$2:$E$81"}</definedName>
    <definedName name="SixSigma_1" hidden="1">{"'RR'!$A$2:$E$81"}</definedName>
    <definedName name="SixSigma_1_1" localSheetId="20" hidden="1">{"'RR'!$A$2:$E$81"}</definedName>
    <definedName name="SixSigma_1_1" hidden="1">{"'RR'!$A$2:$E$81"}</definedName>
    <definedName name="SixSigma_1_1_1" localSheetId="20" hidden="1">{"'RR'!$A$2:$E$81"}</definedName>
    <definedName name="SixSigma_1_1_1" hidden="1">{"'RR'!$A$2:$E$81"}</definedName>
    <definedName name="SixSigma_1_2" localSheetId="20" hidden="1">{"'RR'!$A$2:$E$81"}</definedName>
    <definedName name="SixSigma_1_2" hidden="1">{"'RR'!$A$2:$E$81"}</definedName>
    <definedName name="SixSigma_2" localSheetId="20" hidden="1">{"'RR'!$A$2:$E$81"}</definedName>
    <definedName name="SixSigma_2" hidden="1">{"'RR'!$A$2:$E$81"}</definedName>
    <definedName name="SJ">#REF!</definedName>
    <definedName name="sJateam">#REF!</definedName>
    <definedName name="sjp">#REF!</definedName>
    <definedName name="SL" localSheetId="20" hidden="1">{"'RR'!$A$2:$E$81"}</definedName>
    <definedName name="SL" hidden="1">{"'RR'!$A$2:$E$81"}</definedName>
    <definedName name="SL_1" localSheetId="20" hidden="1">{"'RR'!$A$2:$E$81"}</definedName>
    <definedName name="SL_1" hidden="1">{"'RR'!$A$2:$E$81"}</definedName>
    <definedName name="SL_1_1" localSheetId="20" hidden="1">{"'RR'!$A$2:$E$81"}</definedName>
    <definedName name="SL_1_1" hidden="1">{"'RR'!$A$2:$E$81"}</definedName>
    <definedName name="SL_1_1_1" localSheetId="20" hidden="1">{"'RR'!$A$2:$E$81"}</definedName>
    <definedName name="SL_1_1_1" hidden="1">{"'RR'!$A$2:$E$81"}</definedName>
    <definedName name="SL_1_2" localSheetId="20" hidden="1">{"'RR'!$A$2:$E$81"}</definedName>
    <definedName name="SL_1_2" hidden="1">{"'RR'!$A$2:$E$81"}</definedName>
    <definedName name="SL_2" localSheetId="20" hidden="1">{"'RR'!$A$2:$E$81"}</definedName>
    <definedName name="SL_2" hidden="1">{"'RR'!$A$2:$E$81"}</definedName>
    <definedName name="sladkfj" localSheetId="20" hidden="1">{"'gráf jan00'!$A$1:$AK$41"}</definedName>
    <definedName name="sladkfj" hidden="1">{"'gráf jan00'!$A$1:$AK$41"}</definedName>
    <definedName name="sladkfj_1" localSheetId="20" hidden="1">{"'gráf jan00'!$A$1:$AK$41"}</definedName>
    <definedName name="sladkfj_1" hidden="1">{"'gráf jan00'!$A$1:$AK$41"}</definedName>
    <definedName name="sladkfj_1_1" localSheetId="20" hidden="1">{"'gráf jan00'!$A$1:$AK$41"}</definedName>
    <definedName name="sladkfj_1_1" hidden="1">{"'gráf jan00'!$A$1:$AK$41"}</definedName>
    <definedName name="sladkfj_1_1_1" localSheetId="20" hidden="1">{"'gráf jan00'!$A$1:$AK$41"}</definedName>
    <definedName name="sladkfj_1_1_1" hidden="1">{"'gráf jan00'!$A$1:$AK$41"}</definedName>
    <definedName name="sladkfj_1_2" localSheetId="20" hidden="1">{"'gráf jan00'!$A$1:$AK$41"}</definedName>
    <definedName name="sladkfj_1_2" hidden="1">{"'gráf jan00'!$A$1:$AK$41"}</definedName>
    <definedName name="sladkfj_2" localSheetId="20" hidden="1">{"'gráf jan00'!$A$1:$AK$41"}</definedName>
    <definedName name="sladkfj_2" hidden="1">{"'gráf jan00'!$A$1:$AK$41"}</definedName>
    <definedName name="sLaje">#REF!</definedName>
    <definedName name="sldkfj" localSheetId="20" hidden="1">{"'gráf jan00'!$A$1:$AK$41"}</definedName>
    <definedName name="sldkfj" hidden="1">{"'gráf jan00'!$A$1:$AK$41"}</definedName>
    <definedName name="sldkfj_1" localSheetId="20" hidden="1">{"'gráf jan00'!$A$1:$AK$41"}</definedName>
    <definedName name="sldkfj_1" hidden="1">{"'gráf jan00'!$A$1:$AK$41"}</definedName>
    <definedName name="sldkfj_1_1" localSheetId="20" hidden="1">{"'gráf jan00'!$A$1:$AK$41"}</definedName>
    <definedName name="sldkfj_1_1" hidden="1">{"'gráf jan00'!$A$1:$AK$41"}</definedName>
    <definedName name="sldkfj_1_1_1" localSheetId="20" hidden="1">{"'gráf jan00'!$A$1:$AK$41"}</definedName>
    <definedName name="sldkfj_1_1_1" hidden="1">{"'gráf jan00'!$A$1:$AK$41"}</definedName>
    <definedName name="sldkfj_1_2" localSheetId="20" hidden="1">{"'gráf jan00'!$A$1:$AK$41"}</definedName>
    <definedName name="sldkfj_1_2" hidden="1">{"'gráf jan00'!$A$1:$AK$41"}</definedName>
    <definedName name="sldkfj_2" localSheetId="20" hidden="1">{"'gráf jan00'!$A$1:$AK$41"}</definedName>
    <definedName name="sldkfj_2" hidden="1">{"'gráf jan00'!$A$1:$AK$41"}</definedName>
    <definedName name="SLEVIN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ov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M">#REF!</definedName>
    <definedName name="sMeioFio">'[207]Meio-fio'!#REF!</definedName>
    <definedName name="sMemEstCon">#REF!</definedName>
    <definedName name="SMW">#REF!</definedName>
    <definedName name="SMWA">#REF!</definedName>
    <definedName name="sof" localSheetId="20" hidden="1">{#N/A,#N/A,FALSE,"PCOL"}</definedName>
    <definedName name="sof" hidden="1">{#N/A,#N/A,FALSE,"PCOL"}</definedName>
    <definedName name="sof_1" localSheetId="20" hidden="1">{#N/A,#N/A,FALSE,"PCOL"}</definedName>
    <definedName name="sof_1" hidden="1">{#N/A,#N/A,FALSE,"PCOL"}</definedName>
    <definedName name="sof_1_1" localSheetId="20" hidden="1">{#N/A,#N/A,FALSE,"PCOL"}</definedName>
    <definedName name="sof_1_1" hidden="1">{#N/A,#N/A,FALSE,"PCOL"}</definedName>
    <definedName name="sof_1_1_1" localSheetId="20" hidden="1">{#N/A,#N/A,FALSE,"PCOL"}</definedName>
    <definedName name="sof_1_1_1" hidden="1">{#N/A,#N/A,FALSE,"PCOL"}</definedName>
    <definedName name="sof_1_2" localSheetId="20" hidden="1">{#N/A,#N/A,FALSE,"PCOL"}</definedName>
    <definedName name="sof_1_2" hidden="1">{#N/A,#N/A,FALSE,"PCOL"}</definedName>
    <definedName name="sof_2" localSheetId="20" hidden="1">{#N/A,#N/A,FALSE,"PCOL"}</definedName>
    <definedName name="sof_2" hidden="1">{#N/A,#N/A,FALSE,"PCOL"}</definedName>
    <definedName name="Soft" localSheetId="20" hidden="1">{"det (May)",#N/A,FALSE,"June";"sum (MAY YTD)",#N/A,FALSE,"June YTD"}</definedName>
    <definedName name="Soft" hidden="1">{"det (May)",#N/A,FALSE,"June";"sum (MAY YTD)",#N/A,FALSE,"June YTD"}</definedName>
    <definedName name="Soft_1" localSheetId="20" hidden="1">{"det (May)",#N/A,FALSE,"June";"sum (MAY YTD)",#N/A,FALSE,"June YTD"}</definedName>
    <definedName name="Soft_1" hidden="1">{"det (May)",#N/A,FALSE,"June";"sum (MAY YTD)",#N/A,FALSE,"June YTD"}</definedName>
    <definedName name="Soft_1_1" localSheetId="20" hidden="1">{"det (May)",#N/A,FALSE,"June";"sum (MAY YTD)",#N/A,FALSE,"June YTD"}</definedName>
    <definedName name="Soft_1_1" hidden="1">{"det (May)",#N/A,FALSE,"June";"sum (MAY YTD)",#N/A,FALSE,"June YTD"}</definedName>
    <definedName name="Soft_1_1_1" localSheetId="20" hidden="1">{"det (May)",#N/A,FALSE,"June";"sum (MAY YTD)",#N/A,FALSE,"June YTD"}</definedName>
    <definedName name="Soft_1_1_1" hidden="1">{"det (May)",#N/A,FALSE,"June";"sum (MAY YTD)",#N/A,FALSE,"June YTD"}</definedName>
    <definedName name="Soft_1_2" localSheetId="20" hidden="1">{"det (May)",#N/A,FALSE,"June";"sum (MAY YTD)",#N/A,FALSE,"June YTD"}</definedName>
    <definedName name="Soft_1_2" hidden="1">{"det (May)",#N/A,FALSE,"June";"sum (MAY YTD)",#N/A,FALSE,"June YTD"}</definedName>
    <definedName name="Soft_2" localSheetId="20" hidden="1">{"det (May)",#N/A,FALSE,"June";"sum (MAY YTD)",#N/A,FALSE,"June YTD"}</definedName>
    <definedName name="Soft_2" hidden="1">{"det (May)",#N/A,FALSE,"June";"sum (MAY YTD)",#N/A,FALSE,"June YTD"}</definedName>
    <definedName name="softx" localSheetId="20" hidden="1">{"det (May)",#N/A,FALSE,"June";"sum (MAY YTD)",#N/A,FALSE,"June YTD"}</definedName>
    <definedName name="softx" hidden="1">{"det (May)",#N/A,FALSE,"June";"sum (MAY YTD)",#N/A,FALSE,"June YTD"}</definedName>
    <definedName name="softx_1" localSheetId="20" hidden="1">{"det (May)",#N/A,FALSE,"June";"sum (MAY YTD)",#N/A,FALSE,"June YTD"}</definedName>
    <definedName name="softx_1" hidden="1">{"det (May)",#N/A,FALSE,"June";"sum (MAY YTD)",#N/A,FALSE,"June YTD"}</definedName>
    <definedName name="softx_1_1" localSheetId="20" hidden="1">{"det (May)",#N/A,FALSE,"June";"sum (MAY YTD)",#N/A,FALSE,"June YTD"}</definedName>
    <definedName name="softx_1_1" hidden="1">{"det (May)",#N/A,FALSE,"June";"sum (MAY YTD)",#N/A,FALSE,"June YTD"}</definedName>
    <definedName name="softx_1_1_1" localSheetId="20" hidden="1">{"det (May)",#N/A,FALSE,"June";"sum (MAY YTD)",#N/A,FALSE,"June YTD"}</definedName>
    <definedName name="softx_1_1_1" hidden="1">{"det (May)",#N/A,FALSE,"June";"sum (MAY YTD)",#N/A,FALSE,"June YTD"}</definedName>
    <definedName name="softx_1_2" localSheetId="20" hidden="1">{"det (May)",#N/A,FALSE,"June";"sum (MAY YTD)",#N/A,FALSE,"June YTD"}</definedName>
    <definedName name="softx_1_2" hidden="1">{"det (May)",#N/A,FALSE,"June";"sum (MAY YTD)",#N/A,FALSE,"June YTD"}</definedName>
    <definedName name="softx_2" localSheetId="20" hidden="1">{"det (May)",#N/A,FALSE,"June";"sum (MAY YTD)",#N/A,FALSE,"June YTD"}</definedName>
    <definedName name="softx_2" hidden="1">{"det (May)",#N/A,FALSE,"June";"sum (MAY YTD)",#N/A,FALSE,"June YTD"}</definedName>
    <definedName name="SOLO">[97]SERVIÇOS!$G$14</definedName>
    <definedName name="SOLPIR">[212]Especif!$A$26:$A$33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localSheetId="21" hidden="1">#REF!</definedName>
    <definedName name="solver_opt" hidden="1">'[213]61M-CBMI:MAT-BET'!$H$18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1">[178]ORÇAMENTO!#REF!</definedName>
    <definedName name="SOMA2">[178]ORÇAMENTO!#REF!</definedName>
    <definedName name="SOMA3">[178]ORÇAMENTO!#REF!</definedName>
    <definedName name="SOMA4">[178]ORÇAMENTO!#REF!</definedName>
    <definedName name="SOMA5">[178]ORÇAMENTO!#REF!</definedName>
    <definedName name="SomaMedAtual" localSheetId="20">SUM(IF(#REF!=#REF!,IF(#REF!=#REF!,#REF!)))</definedName>
    <definedName name="SomaMedAtual" localSheetId="21">SUM(IF(#REF!=#REF!,IF(#REF!=#REF!,#REF!)))</definedName>
    <definedName name="SomaMedAtual">SUM(IF(#REF!=#REF!,IF(#REF!=#REF!,#REF!)))</definedName>
    <definedName name="SomaMedAtual_11" localSheetId="20">SUM(IF(#REF!=#REF!,IF(#REF!=#REF!,#REF!)))</definedName>
    <definedName name="SomaMedAtual_11">SUM(IF(#REF!=#REF!,IF(#REF!=#REF!,#REF!)))</definedName>
    <definedName name="SomaMedAtual_15" localSheetId="20">SUM(IF(#REF!=#REF!,IF(#REF!=#REF!,#REF!)))</definedName>
    <definedName name="SomaMedAtual_15">SUM(IF(#REF!=#REF!,IF(#REF!=#REF!,#REF!)))</definedName>
    <definedName name="sort3" hidden="1">#REF!</definedName>
    <definedName name="souza">#REF!</definedName>
    <definedName name="sPintLig">[207]PintLigacao!#REF!</definedName>
    <definedName name="sPintLigac">#REF!</definedName>
    <definedName name="sPMQ">[207]PMQ!#REF!</definedName>
    <definedName name="sRegSLeito">#REF!</definedName>
    <definedName name="sRegular">#REF!</definedName>
    <definedName name="sRemMatBet">#REF!</definedName>
    <definedName name="sRemMatGra">#REF!</definedName>
    <definedName name="SRH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20">#NAME?</definedName>
    <definedName name="SRROO" localSheetId="21">#NAME?</definedName>
    <definedName name="SRROO">#NAME?</definedName>
    <definedName name="SRTSR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21" hidden="1">#REF!</definedName>
    <definedName name="SRV" hidden="1">#REF!</definedName>
    <definedName name="SS" hidden="1">#REF!</definedName>
    <definedName name="ss_1" localSheetId="20" hidden="1">{#N/A,#N/A,FALSE,"ET-CAPA";#N/A,#N/A,FALSE,"ET-PAG1";#N/A,#N/A,FALSE,"ET-PAG2";#N/A,#N/A,FALSE,"ET-PAG3";#N/A,#N/A,FALSE,"ET-PAG4";#N/A,#N/A,FALSE,"ET-PAG5"}</definedName>
    <definedName name="ss_1" hidden="1">{#N/A,#N/A,FALSE,"ET-CAPA";#N/A,#N/A,FALSE,"ET-PAG1";#N/A,#N/A,FALSE,"ET-PAG2";#N/A,#N/A,FALSE,"ET-PAG3";#N/A,#N/A,FALSE,"ET-PAG4";#N/A,#N/A,FALSE,"ET-PAG5"}</definedName>
    <definedName name="ss_1_1" localSheetId="20" hidden="1">{#N/A,#N/A,FALSE,"ET-CAPA";#N/A,#N/A,FALSE,"ET-PAG1";#N/A,#N/A,FALSE,"ET-PAG2";#N/A,#N/A,FALSE,"ET-PAG3";#N/A,#N/A,FALSE,"ET-PAG4";#N/A,#N/A,FALSE,"ET-PAG5"}</definedName>
    <definedName name="ss_1_1" hidden="1">{#N/A,#N/A,FALSE,"ET-CAPA";#N/A,#N/A,FALSE,"ET-PAG1";#N/A,#N/A,FALSE,"ET-PAG2";#N/A,#N/A,FALSE,"ET-PAG3";#N/A,#N/A,FALSE,"ET-PAG4";#N/A,#N/A,FALSE,"ET-PAG5"}</definedName>
    <definedName name="ss_1_1_1" localSheetId="20" hidden="1">{#N/A,#N/A,FALSE,"ET-CAPA";#N/A,#N/A,FALSE,"ET-PAG1";#N/A,#N/A,FALSE,"ET-PAG2";#N/A,#N/A,FALSE,"ET-PAG3";#N/A,#N/A,FALSE,"ET-PAG4";#N/A,#N/A,FALSE,"ET-PAG5"}</definedName>
    <definedName name="ss_1_1_1" hidden="1">{#N/A,#N/A,FALSE,"ET-CAPA";#N/A,#N/A,FALSE,"ET-PAG1";#N/A,#N/A,FALSE,"ET-PAG2";#N/A,#N/A,FALSE,"ET-PAG3";#N/A,#N/A,FALSE,"ET-PAG4";#N/A,#N/A,FALSE,"ET-PAG5"}</definedName>
    <definedName name="ss_1_2" localSheetId="20" hidden="1">{#N/A,#N/A,FALSE,"ET-CAPA";#N/A,#N/A,FALSE,"ET-PAG1";#N/A,#N/A,FALSE,"ET-PAG2";#N/A,#N/A,FALSE,"ET-PAG3";#N/A,#N/A,FALSE,"ET-PAG4";#N/A,#N/A,FALSE,"ET-PAG5"}</definedName>
    <definedName name="ss_1_2" hidden="1">{#N/A,#N/A,FALSE,"ET-CAPA";#N/A,#N/A,FALSE,"ET-PAG1";#N/A,#N/A,FALSE,"ET-PAG2";#N/A,#N/A,FALSE,"ET-PAG3";#N/A,#N/A,FALSE,"ET-PAG4";#N/A,#N/A,FALSE,"ET-PAG5"}</definedName>
    <definedName name="ss_2" localSheetId="20" hidden="1">{#N/A,#N/A,FALSE,"ET-CAPA";#N/A,#N/A,FALSE,"ET-PAG1";#N/A,#N/A,FALSE,"ET-PAG2";#N/A,#N/A,FALSE,"ET-PAG3";#N/A,#N/A,FALSE,"ET-PAG4";#N/A,#N/A,FALSE,"ET-PAG5"}</definedName>
    <definedName name="ss_2" hidden="1">{#N/A,#N/A,FALSE,"ET-CAPA";#N/A,#N/A,FALSE,"ET-PAG1";#N/A,#N/A,FALSE,"ET-PAG2";#N/A,#N/A,FALSE,"ET-PAG3";#N/A,#N/A,FALSE,"ET-PAG4";#N/A,#N/A,FALSE,"ET-PAG5"}</definedName>
    <definedName name="sSarjeta">#REF!</definedName>
    <definedName name="SSD" localSheetId="20" hidden="1">{#N/A,#N/A,FALSE,"CONSOL. 5";#N/A,#N/A,FALSE,"CONSOL. ACUM. 6";#N/A,#N/A,FALSE,"CAP. EMPREG. 7";#N/A,#N/A,FALSE,"ORIGENS E APLICAÇÕES 9"}</definedName>
    <definedName name="SSD" hidden="1">{#N/A,#N/A,FALSE,"CONSOL. 5";#N/A,#N/A,FALSE,"CONSOL. ACUM. 6";#N/A,#N/A,FALSE,"CAP. EMPREG. 7";#N/A,#N/A,FALSE,"ORIGENS E APLICAÇÕES 9"}</definedName>
    <definedName name="SSD_1" localSheetId="20" hidden="1">{#N/A,#N/A,FALSE,"CONSOL. 5";#N/A,#N/A,FALSE,"CONSOL. ACUM. 6";#N/A,#N/A,FALSE,"CAP. EMPREG. 7";#N/A,#N/A,FALSE,"ORIGENS E APLICAÇÕES 9"}</definedName>
    <definedName name="SSD_1" hidden="1">{#N/A,#N/A,FALSE,"CONSOL. 5";#N/A,#N/A,FALSE,"CONSOL. ACUM. 6";#N/A,#N/A,FALSE,"CAP. EMPREG. 7";#N/A,#N/A,FALSE,"ORIGENS E APLICAÇÕES 9"}</definedName>
    <definedName name="SSD_1_1" localSheetId="20" hidden="1">{#N/A,#N/A,FALSE,"CONSOL. 5";#N/A,#N/A,FALSE,"CONSOL. ACUM. 6";#N/A,#N/A,FALSE,"CAP. EMPREG. 7";#N/A,#N/A,FALSE,"ORIGENS E APLICAÇÕES 9"}</definedName>
    <definedName name="SSD_1_1" hidden="1">{#N/A,#N/A,FALSE,"CONSOL. 5";#N/A,#N/A,FALSE,"CONSOL. ACUM. 6";#N/A,#N/A,FALSE,"CAP. EMPREG. 7";#N/A,#N/A,FALSE,"ORIGENS E APLICAÇÕES 9"}</definedName>
    <definedName name="SSD_1_1_1" localSheetId="20" hidden="1">{#N/A,#N/A,FALSE,"CONSOL. 5";#N/A,#N/A,FALSE,"CONSOL. ACUM. 6";#N/A,#N/A,FALSE,"CAP. EMPREG. 7";#N/A,#N/A,FALSE,"ORIGENS E APLICAÇÕES 9"}</definedName>
    <definedName name="SSD_1_1_1" hidden="1">{#N/A,#N/A,FALSE,"CONSOL. 5";#N/A,#N/A,FALSE,"CONSOL. ACUM. 6";#N/A,#N/A,FALSE,"CAP. EMPREG. 7";#N/A,#N/A,FALSE,"ORIGENS E APLICAÇÕES 9"}</definedName>
    <definedName name="SSD_1_2" localSheetId="20" hidden="1">{#N/A,#N/A,FALSE,"CONSOL. 5";#N/A,#N/A,FALSE,"CONSOL. ACUM. 6";#N/A,#N/A,FALSE,"CAP. EMPREG. 7";#N/A,#N/A,FALSE,"ORIGENS E APLICAÇÕES 9"}</definedName>
    <definedName name="SSD_1_2" hidden="1">{#N/A,#N/A,FALSE,"CONSOL. 5";#N/A,#N/A,FALSE,"CONSOL. ACUM. 6";#N/A,#N/A,FALSE,"CAP. EMPREG. 7";#N/A,#N/A,FALSE,"ORIGENS E APLICAÇÕES 9"}</definedName>
    <definedName name="SSD_2" localSheetId="20" hidden="1">{#N/A,#N/A,FALSE,"CONSOL. 5";#N/A,#N/A,FALSE,"CONSOL. ACUM. 6";#N/A,#N/A,FALSE,"CAP. EMPREG. 7";#N/A,#N/A,FALSE,"ORIGENS E APLICAÇÕES 9"}</definedName>
    <definedName name="SSD_2" hidden="1">{#N/A,#N/A,FALSE,"CONSOL. 5";#N/A,#N/A,FALSE,"CONSOL. ACUM. 6";#N/A,#N/A,FALSE,"CAP. EMPREG. 7";#N/A,#N/A,FALSE,"ORIGENS E APLICAÇÕES 9"}</definedName>
    <definedName name="SSDF" localSheetId="20" hidden="1">{"'Quadro'!$A$4:$BG$78"}</definedName>
    <definedName name="SSDF" hidden="1">{"'Quadro'!$A$4:$BG$78"}</definedName>
    <definedName name="SSDF_1" localSheetId="20" hidden="1">{"'Quadro'!$A$4:$BG$78"}</definedName>
    <definedName name="SSDF_1" hidden="1">{"'Quadro'!$A$4:$BG$78"}</definedName>
    <definedName name="SSDF_1_1" localSheetId="20" hidden="1">{"'Quadro'!$A$4:$BG$78"}</definedName>
    <definedName name="SSDF_1_1" hidden="1">{"'Quadro'!$A$4:$BG$78"}</definedName>
    <definedName name="SSDF_1_1_1" localSheetId="20" hidden="1">{"'Quadro'!$A$4:$BG$78"}</definedName>
    <definedName name="SSDF_1_1_1" hidden="1">{"'Quadro'!$A$4:$BG$78"}</definedName>
    <definedName name="SSDF_1_2" localSheetId="20" hidden="1">{"'Quadro'!$A$4:$BG$78"}</definedName>
    <definedName name="SSDF_1_2" hidden="1">{"'Quadro'!$A$4:$BG$78"}</definedName>
    <definedName name="SSDF_2" localSheetId="20" hidden="1">{"'Quadro'!$A$4:$BG$78"}</definedName>
    <definedName name="SSDF_2" hidden="1">{"'Quadro'!$A$4:$BG$78"}</definedName>
    <definedName name="sSinHor">#REF!</definedName>
    <definedName name="SSS" localSheetId="20" hidden="1">{#N/A,#N/A,FALSE,"MO (2)"}</definedName>
    <definedName name="SSS" localSheetId="21">#REF!</definedName>
    <definedName name="SSS">#REF!</definedName>
    <definedName name="SS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a">#N/A</definedName>
    <definedName name="sssd">#N/A</definedName>
    <definedName name="ssss" localSheetId="20" hidden="1">{"'CptDifn'!$AA$32:$AG$32"}</definedName>
    <definedName name="ssss" localSheetId="21">#N/A</definedName>
    <definedName name="ssss">#N/A</definedName>
    <definedName name="ssss_1" localSheetId="20" hidden="1">{"'CptDifn'!$AA$32:$AG$32"}</definedName>
    <definedName name="ssss_1" hidden="1">{"'CptDifn'!$AA$32:$AG$32"}</definedName>
    <definedName name="ssss_1_1" localSheetId="20" hidden="1">{"'CptDifn'!$AA$32:$AG$32"}</definedName>
    <definedName name="ssss_1_1" hidden="1">{"'CptDifn'!$AA$32:$AG$32"}</definedName>
    <definedName name="ssss_1_1_1" localSheetId="20" hidden="1">{"'CptDifn'!$AA$32:$AG$32"}</definedName>
    <definedName name="ssss_1_1_1" hidden="1">{"'CptDifn'!$AA$32:$AG$32"}</definedName>
    <definedName name="ssss_1_2" localSheetId="20" hidden="1">{"'CptDifn'!$AA$32:$AG$32"}</definedName>
    <definedName name="ssss_1_2" hidden="1">{"'CptDifn'!$AA$32:$AG$32"}</definedName>
    <definedName name="ssss_2" localSheetId="20" hidden="1">{"'CptDifn'!$AA$32:$AG$32"}</definedName>
    <definedName name="ssss_2" hidden="1">{"'CptDifn'!$AA$32:$AG$32"}</definedName>
    <definedName name="ssssa">'[214]P A T O  D'!#REF!</definedName>
    <definedName name="sssss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S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ss" localSheetId="20" hidden="1">{"'RR'!$A$2:$E$81"}</definedName>
    <definedName name="ssssssss" hidden="1">{"'RR'!$A$2:$E$81"}</definedName>
    <definedName name="ssssssss_1" localSheetId="20" hidden="1">{"'RR'!$A$2:$E$81"}</definedName>
    <definedName name="ssssssss_1" hidden="1">{"'RR'!$A$2:$E$81"}</definedName>
    <definedName name="ssssssss_1_1" localSheetId="20" hidden="1">{"'RR'!$A$2:$E$81"}</definedName>
    <definedName name="ssssssss_1_1" hidden="1">{"'RR'!$A$2:$E$81"}</definedName>
    <definedName name="ssssssss_1_1_1" localSheetId="20" hidden="1">{"'RR'!$A$2:$E$81"}</definedName>
    <definedName name="ssssssss_1_1_1" hidden="1">{"'RR'!$A$2:$E$81"}</definedName>
    <definedName name="ssssssss_1_2" localSheetId="20" hidden="1">{"'RR'!$A$2:$E$81"}</definedName>
    <definedName name="ssssssss_1_2" hidden="1">{"'RR'!$A$2:$E$81"}</definedName>
    <definedName name="ssssssss_2" localSheetId="20" hidden="1">{"'RR'!$A$2:$E$81"}</definedName>
    <definedName name="ssssssss_2" hidden="1">{"'RR'!$A$2:$E$81"}</definedName>
    <definedName name="ssssssss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sssssssssss" localSheetId="20" hidden="1">{#N/A,#N/A,TRUE,"Plan1"}</definedName>
    <definedName name="sssssssssssssssssssss" hidden="1">{#N/A,#N/A,TRUE,"Plan1"}</definedName>
    <definedName name="sssssssssssssssssssss_1" localSheetId="20" hidden="1">{#N/A,#N/A,TRUE,"Plan1"}</definedName>
    <definedName name="sssssssssssssssssssss_1" hidden="1">{#N/A,#N/A,TRUE,"Plan1"}</definedName>
    <definedName name="sSTC01">[207]STC_01!#REF!</definedName>
    <definedName name="sSubBase">#REF!</definedName>
    <definedName name="ST">#REF!</definedName>
    <definedName name="stella" localSheetId="20" hidden="1">{"det (May)",#N/A,FALSE,"June";"sum (MAY YTD)",#N/A,FALSE,"June YTD"}</definedName>
    <definedName name="stella" hidden="1">{"det (May)",#N/A,FALSE,"June";"sum (MAY YTD)",#N/A,FALSE,"June YTD"}</definedName>
    <definedName name="stella_1" localSheetId="20" hidden="1">{"det (May)",#N/A,FALSE,"June";"sum (MAY YTD)",#N/A,FALSE,"June YTD"}</definedName>
    <definedName name="stella_1" hidden="1">{"det (May)",#N/A,FALSE,"June";"sum (MAY YTD)",#N/A,FALSE,"June YTD"}</definedName>
    <definedName name="stella_1_1" localSheetId="20" hidden="1">{"det (May)",#N/A,FALSE,"June";"sum (MAY YTD)",#N/A,FALSE,"June YTD"}</definedName>
    <definedName name="stella_1_1" hidden="1">{"det (May)",#N/A,FALSE,"June";"sum (MAY YTD)",#N/A,FALSE,"June YTD"}</definedName>
    <definedName name="stella_1_1_1" localSheetId="20" hidden="1">{"det (May)",#N/A,FALSE,"June";"sum (MAY YTD)",#N/A,FALSE,"June YTD"}</definedName>
    <definedName name="stella_1_1_1" hidden="1">{"det (May)",#N/A,FALSE,"June";"sum (MAY YTD)",#N/A,FALSE,"June YTD"}</definedName>
    <definedName name="stella_1_2" localSheetId="20" hidden="1">{"det (May)",#N/A,FALSE,"June";"sum (MAY YTD)",#N/A,FALSE,"June YTD"}</definedName>
    <definedName name="stella_1_2" hidden="1">{"det (May)",#N/A,FALSE,"June";"sum (MAY YTD)",#N/A,FALSE,"June YTD"}</definedName>
    <definedName name="stella_2" localSheetId="20" hidden="1">{"det (May)",#N/A,FALSE,"June";"sum (MAY YTD)",#N/A,FALSE,"June YTD"}</definedName>
    <definedName name="stella_2" hidden="1">{"det (May)",#N/A,FALSE,"June";"sum (MAY YTD)",#N/A,FALSE,"June YTD"}</definedName>
    <definedName name="stellax" localSheetId="20" hidden="1">{"det (May)",#N/A,FALSE,"June";"sum (MAY YTD)",#N/A,FALSE,"June YTD"}</definedName>
    <definedName name="stellax" hidden="1">{"det (May)",#N/A,FALSE,"June";"sum (MAY YTD)",#N/A,FALSE,"June YTD"}</definedName>
    <definedName name="stellax_1" localSheetId="20" hidden="1">{"det (May)",#N/A,FALSE,"June";"sum (MAY YTD)",#N/A,FALSE,"June YTD"}</definedName>
    <definedName name="stellax_1" hidden="1">{"det (May)",#N/A,FALSE,"June";"sum (MAY YTD)",#N/A,FALSE,"June YTD"}</definedName>
    <definedName name="stellax_1_1" localSheetId="20" hidden="1">{"det (May)",#N/A,FALSE,"June";"sum (MAY YTD)",#N/A,FALSE,"June YTD"}</definedName>
    <definedName name="stellax_1_1" hidden="1">{"det (May)",#N/A,FALSE,"June";"sum (MAY YTD)",#N/A,FALSE,"June YTD"}</definedName>
    <definedName name="stellax_1_1_1" localSheetId="20" hidden="1">{"det (May)",#N/A,FALSE,"June";"sum (MAY YTD)",#N/A,FALSE,"June YTD"}</definedName>
    <definedName name="stellax_1_1_1" hidden="1">{"det (May)",#N/A,FALSE,"June";"sum (MAY YTD)",#N/A,FALSE,"June YTD"}</definedName>
    <definedName name="stellax_1_2" localSheetId="20" hidden="1">{"det (May)",#N/A,FALSE,"June";"sum (MAY YTD)",#N/A,FALSE,"June YTD"}</definedName>
    <definedName name="stellax_1_2" hidden="1">{"det (May)",#N/A,FALSE,"June";"sum (MAY YTD)",#N/A,FALSE,"June YTD"}</definedName>
    <definedName name="stellax_2" localSheetId="20" hidden="1">{"det (May)",#N/A,FALSE,"June";"sum (MAY YTD)",#N/A,FALSE,"June YTD"}</definedName>
    <definedName name="stellax_2" hidden="1">{"det (May)",#N/A,FALSE,"June";"sum (MAY YTD)",#N/A,FALSE,"June YTD"}</definedName>
    <definedName name="Step2Manual" hidden="1">#REF!</definedName>
    <definedName name="Step2NumSizes" hidden="1">#REF!</definedName>
    <definedName name="Step2Ratio" hidden="1">#REF!</definedName>
    <definedName name="Step2TopSize" hidden="1">#REF!</definedName>
    <definedName name="Step3LowSG" hidden="1">#REF!</definedName>
    <definedName name="Step3Manual" hidden="1">#REF!</definedName>
    <definedName name="Step3NumSGs" hidden="1">#REF!</definedName>
    <definedName name="Step3SGInterval" hidden="1">#REF!</definedName>
    <definedName name="Step4NumItems" hidden="1">#REF!</definedName>
    <definedName name="Step5NumItems" hidden="1">#REF!</definedName>
    <definedName name="Step6NumItems" hidden="1">#REF!</definedName>
    <definedName name="STM">#REF!</definedName>
    <definedName name="STM_8" localSheetId="21">#REF!</definedName>
    <definedName name="STM_8">#REF!</definedName>
    <definedName name="STM_9" localSheetId="21">#REF!</definedName>
    <definedName name="STM_9">#REF!</definedName>
    <definedName name="STMM">#REF!</definedName>
    <definedName name="STMM_8" localSheetId="21">#REF!</definedName>
    <definedName name="STMM_8">#REF!</definedName>
    <definedName name="STMM_9" localSheetId="21">#REF!</definedName>
    <definedName name="STMM_9">#REF!</definedName>
    <definedName name="STMO">#REF!</definedName>
    <definedName name="STMO_8" localSheetId="21">#REF!</definedName>
    <definedName name="STMO_8">#REF!</definedName>
    <definedName name="STMO_9" localSheetId="21">#REF!</definedName>
    <definedName name="STMO_9">#REF!</definedName>
    <definedName name="STMO1">#REF!</definedName>
    <definedName name="STMO1_8" localSheetId="21">#REF!</definedName>
    <definedName name="STMO1_8">#REF!</definedName>
    <definedName name="STMO1_9" localSheetId="21">#REF!</definedName>
    <definedName name="STMO1_9">#REF!</definedName>
    <definedName name="STR">#REF!</definedName>
    <definedName name="stre">#REF!</definedName>
    <definedName name="sub">#REF!</definedName>
    <definedName name="Sub__trecho">#REF!</definedName>
    <definedName name="SUB_TRECHO">#REF!</definedName>
    <definedName name="SubBase">#REF!</definedName>
    <definedName name="SUBSTITUIÇÃO">'[149]RESUMO POR CÓD'!#REF!</definedName>
    <definedName name="substituição2">'[149]RESUMO POR CÓD'!#REF!</definedName>
    <definedName name="SUBT">#REF!</definedName>
    <definedName name="SUBT_1">#REF!</definedName>
    <definedName name="SUBTOT">[178]ORÇAMENTO!#REF!</definedName>
    <definedName name="SUBTRECHO">[111]IDENTIFICAÇÃO!$D$7</definedName>
    <definedName name="subtrecho_10">#REF!</definedName>
    <definedName name="subtrecho_12">#REF!</definedName>
    <definedName name="subtrecho_4">#REF!</definedName>
    <definedName name="subtrecho_9">#REF!</definedName>
    <definedName name="SUBTRECHO1">[85]Croqui!$B$6</definedName>
    <definedName name="SUCCAO">#REF!</definedName>
    <definedName name="SUGEST" localSheetId="20" hidden="1">{#N/A,#N/A,FALSE,"GQGEMPRE"}</definedName>
    <definedName name="SUGEST" hidden="1">{#N/A,#N/A,FALSE,"GQGEMPRE"}</definedName>
    <definedName name="SUGEST_1" localSheetId="20" hidden="1">{#N/A,#N/A,FALSE,"GQGEMPRE"}</definedName>
    <definedName name="SUGEST_1" hidden="1">{#N/A,#N/A,FALSE,"GQGEMPRE"}</definedName>
    <definedName name="SUGEST_1_1" localSheetId="20" hidden="1">{#N/A,#N/A,FALSE,"GQGEMPRE"}</definedName>
    <definedName name="SUGEST_1_1" hidden="1">{#N/A,#N/A,FALSE,"GQGEMPRE"}</definedName>
    <definedName name="SUGEST_1_1_1" localSheetId="20" hidden="1">{#N/A,#N/A,FALSE,"GQGEMPRE"}</definedName>
    <definedName name="SUGEST_1_1_1" hidden="1">{#N/A,#N/A,FALSE,"GQGEMPRE"}</definedName>
    <definedName name="SUGEST_1_2" localSheetId="20" hidden="1">{#N/A,#N/A,FALSE,"GQGEMPRE"}</definedName>
    <definedName name="SUGEST_1_2" hidden="1">{#N/A,#N/A,FALSE,"GQGEMPRE"}</definedName>
    <definedName name="SUGEST_2" localSheetId="20" hidden="1">{#N/A,#N/A,FALSE,"GQGEMPRE"}</definedName>
    <definedName name="SUGEST_2" hidden="1">{#N/A,#N/A,FALSE,"GQGEMPRE"}</definedName>
    <definedName name="SUMMERY">#REF!</definedName>
    <definedName name="SUMMERYY">#REF!</definedName>
    <definedName name="SUP_MAR94">#REF!</definedName>
    <definedName name="superstrutura">#REF!</definedName>
    <definedName name="superstrutura_1">#REF!</definedName>
    <definedName name="superstrutura_10">#REF!</definedName>
    <definedName name="superstrutura_12">#REF!</definedName>
    <definedName name="superstrutura_2">#REF!</definedName>
    <definedName name="superstrutura_3">#REF!</definedName>
    <definedName name="superstrutura_4">#REF!</definedName>
    <definedName name="superstrutura_9">#REF!</definedName>
    <definedName name="Supervisores" localSheetId="20" hidden="1">{"'Quadro'!$A$4:$BG$78"}</definedName>
    <definedName name="Supervisores" hidden="1">{"'Quadro'!$A$4:$BG$78"}</definedName>
    <definedName name="Supervisores_1" localSheetId="20" hidden="1">{"'Quadro'!$A$4:$BG$78"}</definedName>
    <definedName name="Supervisores_1" hidden="1">{"'Quadro'!$A$4:$BG$78"}</definedName>
    <definedName name="Supervisores_1_1" localSheetId="20" hidden="1">{"'Quadro'!$A$4:$BG$78"}</definedName>
    <definedName name="Supervisores_1_1" hidden="1">{"'Quadro'!$A$4:$BG$78"}</definedName>
    <definedName name="Supervisores_1_1_1" localSheetId="20" hidden="1">{"'Quadro'!$A$4:$BG$78"}</definedName>
    <definedName name="Supervisores_1_1_1" hidden="1">{"'Quadro'!$A$4:$BG$78"}</definedName>
    <definedName name="Supervisores_1_2" localSheetId="20" hidden="1">{"'Quadro'!$A$4:$BG$78"}</definedName>
    <definedName name="Supervisores_1_2" hidden="1">{"'Quadro'!$A$4:$BG$78"}</definedName>
    <definedName name="Supervisores_2" localSheetId="20" hidden="1">{"'Quadro'!$A$4:$BG$78"}</definedName>
    <definedName name="Supervisores_2" hidden="1">{"'Quadro'!$A$4:$BG$78"}</definedName>
    <definedName name="sv">#REF!</definedName>
    <definedName name="SWE" localSheetId="20" hidden="1">{"'Quadro'!$A$4:$BG$78"}</definedName>
    <definedName name="SWE" hidden="1">{"'Quadro'!$A$4:$BG$78"}</definedName>
    <definedName name="SWE_1" localSheetId="20" hidden="1">{"'Quadro'!$A$4:$BG$78"}</definedName>
    <definedName name="SWE_1" hidden="1">{"'Quadro'!$A$4:$BG$78"}</definedName>
    <definedName name="SWE_1_1" localSheetId="20" hidden="1">{"'Quadro'!$A$4:$BG$78"}</definedName>
    <definedName name="SWE_1_1" hidden="1">{"'Quadro'!$A$4:$BG$78"}</definedName>
    <definedName name="SWE_1_1_1" localSheetId="20" hidden="1">{"'Quadro'!$A$4:$BG$78"}</definedName>
    <definedName name="SWE_1_1_1" hidden="1">{"'Quadro'!$A$4:$BG$78"}</definedName>
    <definedName name="SWE_1_2" localSheetId="20" hidden="1">{"'Quadro'!$A$4:$BG$78"}</definedName>
    <definedName name="SWE_1_2" hidden="1">{"'Quadro'!$A$4:$BG$78"}</definedName>
    <definedName name="SWE_2" localSheetId="20" hidden="1">{"'Quadro'!$A$4:$BG$78"}</definedName>
    <definedName name="SWE_2" hidden="1">{"'Quadro'!$A$4:$BG$78"}</definedName>
    <definedName name="swee" localSheetId="20" hidden="1">{"'RR'!$A$2:$E$81"}</definedName>
    <definedName name="swee" hidden="1">{"'RR'!$A$2:$E$81"}</definedName>
    <definedName name="swee_1" localSheetId="20" hidden="1">{"'RR'!$A$2:$E$81"}</definedName>
    <definedName name="swee_1" hidden="1">{"'RR'!$A$2:$E$81"}</definedName>
    <definedName name="swee_1_1" localSheetId="20" hidden="1">{"'RR'!$A$2:$E$81"}</definedName>
    <definedName name="swee_1_1" hidden="1">{"'RR'!$A$2:$E$81"}</definedName>
    <definedName name="swee_1_1_1" localSheetId="20" hidden="1">{"'RR'!$A$2:$E$81"}</definedName>
    <definedName name="swee_1_1_1" hidden="1">{"'RR'!$A$2:$E$81"}</definedName>
    <definedName name="swee_1_2" localSheetId="20" hidden="1">{"'RR'!$A$2:$E$81"}</definedName>
    <definedName name="swee_1_2" hidden="1">{"'RR'!$A$2:$E$81"}</definedName>
    <definedName name="swee_2" localSheetId="20" hidden="1">{"'RR'!$A$2:$E$81"}</definedName>
    <definedName name="swee_2" hidden="1">{"'RR'!$A$2:$E$81"}</definedName>
    <definedName name="SWR" localSheetId="20" hidden="1">{"'Quadro'!$A$4:$BG$78"}</definedName>
    <definedName name="SWR" hidden="1">{"'Quadro'!$A$4:$BG$78"}</definedName>
    <definedName name="SWR_1" localSheetId="20" hidden="1">{"'Quadro'!$A$4:$BG$78"}</definedName>
    <definedName name="SWR_1" hidden="1">{"'Quadro'!$A$4:$BG$78"}</definedName>
    <definedName name="SWR_1_1" localSheetId="20" hidden="1">{"'Quadro'!$A$4:$BG$78"}</definedName>
    <definedName name="SWR_1_1" hidden="1">{"'Quadro'!$A$4:$BG$78"}</definedName>
    <definedName name="SWR_1_1_1" localSheetId="20" hidden="1">{"'Quadro'!$A$4:$BG$78"}</definedName>
    <definedName name="SWR_1_1_1" hidden="1">{"'Quadro'!$A$4:$BG$78"}</definedName>
    <definedName name="SWR_1_2" localSheetId="20" hidden="1">{"'Quadro'!$A$4:$BG$78"}</definedName>
    <definedName name="SWR_1_2" hidden="1">{"'Quadro'!$A$4:$BG$78"}</definedName>
    <definedName name="SWR_2" localSheetId="20" hidden="1">{"'Quadro'!$A$4:$BG$78"}</definedName>
    <definedName name="SWR_2" hidden="1">{"'Quadro'!$A$4:$BG$78"}</definedName>
    <definedName name="sxcc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xdff" localSheetId="20" hidden="1">{"'CptDifn'!$AA$32:$AG$32"}</definedName>
    <definedName name="sxxdff" hidden="1">{"'CptDifn'!$AA$32:$AG$32"}</definedName>
    <definedName name="sxxdff_1" localSheetId="20" hidden="1">{"'CptDifn'!$AA$32:$AG$32"}</definedName>
    <definedName name="sxxdff_1" hidden="1">{"'CptDifn'!$AA$32:$AG$32"}</definedName>
    <definedName name="sxxdff_1_1" localSheetId="20" hidden="1">{"'CptDifn'!$AA$32:$AG$32"}</definedName>
    <definedName name="sxxdff_1_1" hidden="1">{"'CptDifn'!$AA$32:$AG$32"}</definedName>
    <definedName name="sxxdff_1_1_1" localSheetId="20" hidden="1">{"'CptDifn'!$AA$32:$AG$32"}</definedName>
    <definedName name="sxxdff_1_1_1" hidden="1">{"'CptDifn'!$AA$32:$AG$32"}</definedName>
    <definedName name="sxxdff_1_2" localSheetId="20" hidden="1">{"'CptDifn'!$AA$32:$AG$32"}</definedName>
    <definedName name="sxxdff_1_2" hidden="1">{"'CptDifn'!$AA$32:$AG$32"}</definedName>
    <definedName name="sxxdff_2" localSheetId="20" hidden="1">{"'CptDifn'!$AA$32:$AG$32"}</definedName>
    <definedName name="sxxdff_2" hidden="1">{"'CptDifn'!$AA$32:$AG$32"}</definedName>
    <definedName name="synthese" localSheetId="20" hidden="1">{"tbl1",#N/A,FALSE,"regul";"tbl2",#N/A,FALSE,"regul"}</definedName>
    <definedName name="synthese" hidden="1">{"tbl1",#N/A,FALSE,"regul";"tbl2",#N/A,FALSE,"regul"}</definedName>
    <definedName name="T">#REF!</definedName>
    <definedName name="T.0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Basc.2018" hidden="1">#REF!</definedName>
    <definedName name="T_10">#N/A</definedName>
    <definedName name="T_12">#N/A</definedName>
    <definedName name="T_13">#N/A</definedName>
    <definedName name="T_15">#N/A</definedName>
    <definedName name="T_5">#N/A</definedName>
    <definedName name="T_501">#NAME?</definedName>
    <definedName name="T_501_1">#REF!</definedName>
    <definedName name="T_511">#NAME?</definedName>
    <definedName name="T_511_1">#REF!</definedName>
    <definedName name="T_6">#N/A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">#N/A</definedName>
    <definedName name="T_701">#NAME?</definedName>
    <definedName name="T_701_1">#REF!</definedName>
    <definedName name="T_702">#NAME?</definedName>
    <definedName name="T_702_1">#REF!</definedName>
    <definedName name="T_8">#N/A</definedName>
    <definedName name="T_9">#N/A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">#REF!</definedName>
    <definedName name="tab_equipamento" localSheetId="2">OFFSET(#REF!,0,0,Linha_equipamento,18)</definedName>
    <definedName name="tab_equipamento">OFFSET(#REF!,0,0,Linha_equipamento,18)</definedName>
    <definedName name="Tab_maodeobra" localSheetId="2">OFFSET(#REF!,0,0,Linha_maodeobra,4)</definedName>
    <definedName name="Tab_maodeobra">OFFSET(#REF!,0,0,Linha_maodeobra,4)</definedName>
    <definedName name="Tab_materiais" localSheetId="2">OFFSET(#REF!,0,0,Linha_materiais,5)</definedName>
    <definedName name="Tab_materiais">OFFSET(#REF!,0,0,Linha_materiais,5)</definedName>
    <definedName name="tab_PMF">"$#REF!.$A$4:$G$781"</definedName>
    <definedName name="Tab_Serv.">#REF!</definedName>
    <definedName name="Tab_Serv._11">#REF!</definedName>
    <definedName name="Tab_Serv._15">#REF!</definedName>
    <definedName name="Tab_Serv_">#REF!</definedName>
    <definedName name="Tab_serviço" localSheetId="2">OFFSET(#REF!,0,0,linha_serviço,5)</definedName>
    <definedName name="Tab_serviço">OFFSET(#REF!,0,0,linha_serviço,5)</definedName>
    <definedName name="Tab_Serviços">#REF!</definedName>
    <definedName name="Tab_Serviços_11">#REF!</definedName>
    <definedName name="Tab_Serviços_15">[215]Serviços!$A$4:$C$84</definedName>
    <definedName name="tab_transporte" localSheetId="2">OFFSET(#REF!,0,0,Linha_transporte,17)</definedName>
    <definedName name="tab_transporte">OFFSET(#REF!,0,0,Linha_transporte,17)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EL.OAE.COMPL.">#REF!</definedName>
    <definedName name="TABEL.PREÇOS">#REF!</definedName>
    <definedName name="TABEL_OAE_COMPL_">#REF!</definedName>
    <definedName name="TABEL_PREÇOS">#REF!</definedName>
    <definedName name="Tabela" localSheetId="1">#REF!</definedName>
    <definedName name="Tabela">#REF!</definedName>
    <definedName name="TABELA.DINAMICA">INDIRECT(#REF!)</definedName>
    <definedName name="tabela_1">0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elaConsol">#REF!</definedName>
    <definedName name="TabelaDistribuiçãoDeMassas" localSheetId="1">#REF!</definedName>
    <definedName name="TabelaDistribuiçãoDeMassas">#REF!</definedName>
    <definedName name="TABELANOVA">#REF!</definedName>
    <definedName name="TabelaSicro" localSheetId="1">#REF!</definedName>
    <definedName name="TabelaSicro">#REF!</definedName>
    <definedName name="TABMAT">#REF!</definedName>
    <definedName name="tabPMF">"$#REF!.$A$4:$G$781"</definedName>
    <definedName name="TABREC">#REF!</definedName>
    <definedName name="tabserv">#REF!</definedName>
    <definedName name="TABTUBOMM">#REF!</definedName>
    <definedName name="TABUA">[15]DADOS!$C$20</definedName>
    <definedName name="TAC">[21]Dados!#REF!</definedName>
    <definedName name="Tachas" localSheetId="20" hidden="1">{#N/A,#N/A,TRUE,"Plan1"}</definedName>
    <definedName name="Tachas" hidden="1">{#N/A,#N/A,TRUE,"Plan1"}</definedName>
    <definedName name="Tachas_1" localSheetId="20" hidden="1">{#N/A,#N/A,TRUE,"Plan1"}</definedName>
    <definedName name="Tachas_1" hidden="1">{#N/A,#N/A,TRUE,"Plan1"}</definedName>
    <definedName name="TAM">#REF!</definedName>
    <definedName name="TAPA_BURACO">#REF!</definedName>
    <definedName name="taxa">#REF!</definedName>
    <definedName name="taxa_5" localSheetId="21">#REF!</definedName>
    <definedName name="taxa_5">#REF!</definedName>
    <definedName name="taxa_8" localSheetId="21">#REF!</definedName>
    <definedName name="taxa_8">#REF!</definedName>
    <definedName name="taxa_9" localSheetId="21">#REF!</definedName>
    <definedName name="taxa_9">#REF!</definedName>
    <definedName name="TaxaJuros">#REF!</definedName>
    <definedName name="TB">#REF!</definedName>
    <definedName name="TB_1">#REF!</definedName>
    <definedName name="TB10.1">#REF!</definedName>
    <definedName name="TBA">#REF!</definedName>
    <definedName name="TbDez2000" localSheetId="1">#REF!</definedName>
    <definedName name="TbDez2000">#REF!</definedName>
    <definedName name="TbFev1994_Nov2000" localSheetId="1">#REF!</definedName>
    <definedName name="TbFev1994_Nov2000">#REF!</definedName>
    <definedName name="TBI">#REF!</definedName>
    <definedName name="TBM">#REF!</definedName>
    <definedName name="TBO">#REF!</definedName>
    <definedName name="TBT">#REF!</definedName>
    <definedName name="TBW">#REF!</definedName>
    <definedName name="TBWA">#REF!</definedName>
    <definedName name="TCAP20">#REF!</definedName>
    <definedName name="TCAR">[216]TCC4!$I$30</definedName>
    <definedName name="TCB">#REF!</definedName>
    <definedName name="TCB5M3">#REF!</definedName>
    <definedName name="TCBMBUQ">#REF!</definedName>
    <definedName name="TCBR158">[216]TCB5!$I$79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30.1">#REF!</definedName>
    <definedName name="TCMIMP">#REF!</definedName>
    <definedName name="TD">#REF!</definedName>
    <definedName name="tdd">[217]orçamento!#REF!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CNICA">#REF!</definedName>
    <definedName name="TEE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mp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21">#REF!</definedName>
    <definedName name="TEMP">#REF!</definedName>
    <definedName name="TEMP_1" localSheetId="20" hidden="1">{#N/A,#N/A,FALSE,"PCOL"}</definedName>
    <definedName name="TEMP_1" hidden="1">{#N/A,#N/A,FALSE,"PCOL"}</definedName>
    <definedName name="TEMP_1_1" localSheetId="20" hidden="1">{#N/A,#N/A,FALSE,"PCOL"}</definedName>
    <definedName name="TEMP_1_1" hidden="1">{#N/A,#N/A,FALSE,"PCOL"}</definedName>
    <definedName name="TEMP_1_1_1" localSheetId="20" hidden="1">{#N/A,#N/A,FALSE,"PCOL"}</definedName>
    <definedName name="TEMP_1_1_1" hidden="1">{#N/A,#N/A,FALSE,"PCOL"}</definedName>
    <definedName name="TEMP_1_2" localSheetId="20" hidden="1">{#N/A,#N/A,FALSE,"PCOL"}</definedName>
    <definedName name="TEMP_1_2" hidden="1">{#N/A,#N/A,FALSE,"PCOL"}</definedName>
    <definedName name="TEMP_2" localSheetId="20" hidden="1">{#N/A,#N/A,FALSE,"PCOL"}</definedName>
    <definedName name="TEMP_2" hidden="1">{#N/A,#N/A,FALSE,"PCOL"}</definedName>
    <definedName name="TEMPERATURA" localSheetId="20">' 6.0 - Empréstimos '!TEMPERATURA</definedName>
    <definedName name="TEMPERATURA">[0]!TEMPERATURA</definedName>
    <definedName name="TEMPO_CANTEIRO">#REF!</definedName>
    <definedName name="temul">#REF!</definedName>
    <definedName name="Tend" localSheetId="20" hidden="1">{"'Farol'!$A$1:$AC$49"}</definedName>
    <definedName name="Tend" hidden="1">{"'Farol'!$A$1:$AC$49"}</definedName>
    <definedName name="Teor">'[200]Mão de Obra'!$A$3:$A$7</definedName>
    <definedName name="Teor_1">#REF!</definedName>
    <definedName name="Teor_15">[172]Teor!$A$3:$A$7</definedName>
    <definedName name="Teor_26">[201]Teor!$A$3:$A$7</definedName>
    <definedName name="Teor_28">[201]Teor!$A$3:$A$7</definedName>
    <definedName name="Teor_29">[201]Teor!$A$3:$A$7</definedName>
    <definedName name="Teor1">'[8]Página 16'!$A$3:$A$7</definedName>
    <definedName name="teor2">#NAME?</definedName>
    <definedName name="teor2_1">#REF!</definedName>
    <definedName name="ter">#REF!</definedName>
    <definedName name="Ter_Carna" localSheetId="2">Dom_Páscoa-47</definedName>
    <definedName name="Ter_Carna">Dom_Páscoa-47</definedName>
    <definedName name="TER_MAR94">#REF!</definedName>
    <definedName name="terceiro">#N/A</definedName>
    <definedName name="TERFAIXALD">#REF!</definedName>
    <definedName name="TERFAIXALD_11">#REF!</definedName>
    <definedName name="TERFAIXALD_15">#REF!</definedName>
    <definedName name="TERFAIXALE">#REF!</definedName>
    <definedName name="TERFAIXALE_11">#REF!</definedName>
    <definedName name="TERFAIXALE_15">#REF!</definedName>
    <definedName name="TERP">#REF!</definedName>
    <definedName name="TERRAP">'[101]P reaj x P atual'!$N$9</definedName>
    <definedName name="TERRAPL">#REF!</definedName>
    <definedName name="TERRAPL.">#REF!</definedName>
    <definedName name="TERRAPL_">#REF!</definedName>
    <definedName name="terraplenagem">#REF!</definedName>
    <definedName name="terraplenagem_1">#REF!</definedName>
    <definedName name="terraplenagem_10">#REF!</definedName>
    <definedName name="terraplenagem_12">#REF!</definedName>
    <definedName name="terraplenagem_2">#REF!</definedName>
    <definedName name="terraplenagem_3">#REF!</definedName>
    <definedName name="terraplenagem_4">#REF!</definedName>
    <definedName name="terraplenagem_9">#REF!</definedName>
    <definedName name="TES">'[187]8ª MP_BR-459'!#REF!</definedName>
    <definedName name="TES_1">'[218]8ª MP_BR_459'!#REF!</definedName>
    <definedName name="TES_10">'[188]8ª MP_BR_459'!#REF!</definedName>
    <definedName name="TES_12">'[188]8ª MP_BR_459'!#REF!</definedName>
    <definedName name="TES_2">'[218]8ª MP_BR_459'!#REF!</definedName>
    <definedName name="TES_3">'[188]8ª MP_BR_459'!#REF!</definedName>
    <definedName name="TES_4">'[218]8ª MP_BR_459'!#REF!</definedName>
    <definedName name="TES_5">'[219]8ª MP_BR_459'!#REF!</definedName>
    <definedName name="TES_6">'[219]8ª MP_BR_459'!#REF!</definedName>
    <definedName name="TES_7">'[219]8ª MP_BR_459'!#REF!</definedName>
    <definedName name="TES_9">'[188]8ª MP_BR_459'!#REF!</definedName>
    <definedName name="TESM">#REF!</definedName>
    <definedName name="TEST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a" localSheetId="20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#REF!</definedName>
    <definedName name="teste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3" localSheetId="20" hidden="1">{"'gráf jan00'!$A$1:$AK$41"}</definedName>
    <definedName name="teste3" hidden="1">{"'gráf jan00'!$A$1:$AK$41"}</definedName>
    <definedName name="Teta_1" localSheetId="20">NÃO.DISP()</definedName>
    <definedName name="Teta_1" localSheetId="21">NA()</definedName>
    <definedName name="Teta_1">NA()</definedName>
    <definedName name="Teta_2" localSheetId="20">NÃO.DISP()</definedName>
    <definedName name="Teta_2" localSheetId="21">NA()</definedName>
    <definedName name="Teta_2">NA()</definedName>
    <definedName name="TETB">#REF!</definedName>
    <definedName name="TETB97">#REF!</definedName>
    <definedName name="TextRefCopyRangeCount" hidden="1">1</definedName>
    <definedName name="TFV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gb" localSheetId="20" hidden="1">{"'gráf jan00'!$A$1:$AK$41"}</definedName>
    <definedName name="tgb" hidden="1">{"'gráf jan00'!$A$1:$AK$41"}</definedName>
    <definedName name="tgb_1" localSheetId="20" hidden="1">{"'gráf jan00'!$A$1:$AK$41"}</definedName>
    <definedName name="tgb_1" hidden="1">{"'gráf jan00'!$A$1:$AK$41"}</definedName>
    <definedName name="tgb_1_1" localSheetId="20" hidden="1">{"'gráf jan00'!$A$1:$AK$41"}</definedName>
    <definedName name="tgb_1_1" hidden="1">{"'gráf jan00'!$A$1:$AK$41"}</definedName>
    <definedName name="tgb_1_1_1" localSheetId="20" hidden="1">{"'gráf jan00'!$A$1:$AK$41"}</definedName>
    <definedName name="tgb_1_1_1" hidden="1">{"'gráf jan00'!$A$1:$AK$41"}</definedName>
    <definedName name="tgb_1_2" localSheetId="20" hidden="1">{"'gráf jan00'!$A$1:$AK$41"}</definedName>
    <definedName name="tgb_1_2" hidden="1">{"'gráf jan00'!$A$1:$AK$41"}</definedName>
    <definedName name="tgb_2" localSheetId="20" hidden="1">{"'gráf jan00'!$A$1:$AK$41"}</definedName>
    <definedName name="tgb_2" hidden="1">{"'gráf jan00'!$A$1:$AK$41"}</definedName>
    <definedName name="TGEM">#NAME?</definedName>
    <definedName name="thguyi" localSheetId="20" hidden="1">{"'CptDifn'!$AA$32:$AG$32"}</definedName>
    <definedName name="thguyi" hidden="1">{"'CptDifn'!$AA$32:$AG$32"}</definedName>
    <definedName name="thguyi_1" localSheetId="20" hidden="1">{"'CptDifn'!$AA$32:$AG$32"}</definedName>
    <definedName name="thguyi_1" hidden="1">{"'CptDifn'!$AA$32:$AG$32"}</definedName>
    <definedName name="thguyi_1_1" localSheetId="20" hidden="1">{"'CptDifn'!$AA$32:$AG$32"}</definedName>
    <definedName name="thguyi_1_1" hidden="1">{"'CptDifn'!$AA$32:$AG$32"}</definedName>
    <definedName name="thguyi_1_1_1" localSheetId="20" hidden="1">{"'CptDifn'!$AA$32:$AG$32"}</definedName>
    <definedName name="thguyi_1_1_1" hidden="1">{"'CptDifn'!$AA$32:$AG$32"}</definedName>
    <definedName name="thguyi_1_2" localSheetId="20" hidden="1">{"'CptDifn'!$AA$32:$AG$32"}</definedName>
    <definedName name="thguyi_1_2" hidden="1">{"'CptDifn'!$AA$32:$AG$32"}</definedName>
    <definedName name="thguyi_2" localSheetId="20" hidden="1">{"'CptDifn'!$AA$32:$AG$32"}</definedName>
    <definedName name="thguyi_2" hidden="1">{"'CptDifn'!$AA$32:$AG$32"}</definedName>
    <definedName name="thi" localSheetId="20" hidden="1">{#N/A,#N/A,FALSE,"ROTINA";#N/A,#N/A,FALSE,"ITENS";#N/A,#N/A,FALSE,"ACOMP"}</definedName>
    <definedName name="thi" hidden="1">{#N/A,#N/A,FALSE,"ROTINA";#N/A,#N/A,FALSE,"ITENS";#N/A,#N/A,FALSE,"ACOMP"}</definedName>
    <definedName name="thi_1" localSheetId="20" hidden="1">{#N/A,#N/A,FALSE,"ROTINA";#N/A,#N/A,FALSE,"ITENS";#N/A,#N/A,FALSE,"ACOMP"}</definedName>
    <definedName name="thi_1" hidden="1">{#N/A,#N/A,FALSE,"ROTINA";#N/A,#N/A,FALSE,"ITENS";#N/A,#N/A,FALSE,"ACOMP"}</definedName>
    <definedName name="thi_1_1" localSheetId="20" hidden="1">{#N/A,#N/A,FALSE,"ROTINA";#N/A,#N/A,FALSE,"ITENS";#N/A,#N/A,FALSE,"ACOMP"}</definedName>
    <definedName name="thi_1_1" hidden="1">{#N/A,#N/A,FALSE,"ROTINA";#N/A,#N/A,FALSE,"ITENS";#N/A,#N/A,FALSE,"ACOMP"}</definedName>
    <definedName name="thi_1_1_1" localSheetId="20" hidden="1">{#N/A,#N/A,FALSE,"ROTINA";#N/A,#N/A,FALSE,"ITENS";#N/A,#N/A,FALSE,"ACOMP"}</definedName>
    <definedName name="thi_1_1_1" hidden="1">{#N/A,#N/A,FALSE,"ROTINA";#N/A,#N/A,FALSE,"ITENS";#N/A,#N/A,FALSE,"ACOMP"}</definedName>
    <definedName name="thi_1_2" localSheetId="20" hidden="1">{#N/A,#N/A,FALSE,"ROTINA";#N/A,#N/A,FALSE,"ITENS";#N/A,#N/A,FALSE,"ACOMP"}</definedName>
    <definedName name="thi_1_2" hidden="1">{#N/A,#N/A,FALSE,"ROTINA";#N/A,#N/A,FALSE,"ITENS";#N/A,#N/A,FALSE,"ACOMP"}</definedName>
    <definedName name="thi_2" localSheetId="20" hidden="1">{#N/A,#N/A,FALSE,"ROTINA";#N/A,#N/A,FALSE,"ITENS";#N/A,#N/A,FALSE,"ACOMP"}</definedName>
    <definedName name="thi_2" hidden="1">{#N/A,#N/A,FALSE,"ROTINA";#N/A,#N/A,FALSE,"ITENS";#N/A,#N/A,FALSE,"ACOMP"}</definedName>
    <definedName name="thisFlowsheet">#REF!</definedName>
    <definedName name="thisUnit">"Uthis Unit"</definedName>
    <definedName name="THR" localSheetId="20" hidden="1">{"'gráf jan00'!$A$1:$AK$41"}</definedName>
    <definedName name="THR" hidden="1">{"'gráf jan00'!$A$1:$AK$41"}</definedName>
    <definedName name="THR_1" localSheetId="20" hidden="1">{"'gráf jan00'!$A$1:$AK$41"}</definedName>
    <definedName name="THR_1" hidden="1">{"'gráf jan00'!$A$1:$AK$41"}</definedName>
    <definedName name="THR_1_1" localSheetId="20" hidden="1">{"'gráf jan00'!$A$1:$AK$41"}</definedName>
    <definedName name="THR_1_1" hidden="1">{"'gráf jan00'!$A$1:$AK$41"}</definedName>
    <definedName name="THR_1_1_1" localSheetId="20" hidden="1">{"'gráf jan00'!$A$1:$AK$41"}</definedName>
    <definedName name="THR_1_1_1" hidden="1">{"'gráf jan00'!$A$1:$AK$41"}</definedName>
    <definedName name="THR_1_2" localSheetId="20" hidden="1">{"'gráf jan00'!$A$1:$AK$41"}</definedName>
    <definedName name="THR_1_2" hidden="1">{"'gráf jan00'!$A$1:$AK$41"}</definedName>
    <definedName name="THR_2" localSheetId="20" hidden="1">{"'gráf jan00'!$A$1:$AK$41"}</definedName>
    <definedName name="THR_2" hidden="1">{"'gráf jan00'!$A$1:$AK$41"}</definedName>
    <definedName name="THTRHT" localSheetId="20" hidden="1">{"'gráf jan00'!$A$1:$AK$41"}</definedName>
    <definedName name="THTRHT" hidden="1">{"'gráf jan00'!$A$1:$AK$41"}</definedName>
    <definedName name="THTRHT_1" localSheetId="20" hidden="1">{"'gráf jan00'!$A$1:$AK$41"}</definedName>
    <definedName name="THTRHT_1" hidden="1">{"'gráf jan00'!$A$1:$AK$41"}</definedName>
    <definedName name="THTRHT_1_1" localSheetId="20" hidden="1">{"'gráf jan00'!$A$1:$AK$41"}</definedName>
    <definedName name="THTRHT_1_1" hidden="1">{"'gráf jan00'!$A$1:$AK$41"}</definedName>
    <definedName name="THTRHT_1_1_1" localSheetId="20" hidden="1">{"'gráf jan00'!$A$1:$AK$41"}</definedName>
    <definedName name="THTRHT_1_1_1" hidden="1">{"'gráf jan00'!$A$1:$AK$41"}</definedName>
    <definedName name="THTRHT_1_2" localSheetId="20" hidden="1">{"'gráf jan00'!$A$1:$AK$41"}</definedName>
    <definedName name="THTRHT_1_2" hidden="1">{"'gráf jan00'!$A$1:$AK$41"}</definedName>
    <definedName name="THTRHT_2" localSheetId="20" hidden="1">{"'gráf jan00'!$A$1:$AK$41"}</definedName>
    <definedName name="THTRHT_2" hidden="1">{"'gráf jan00'!$A$1:$AK$41"}</definedName>
    <definedName name="tiago">#REF!</definedName>
    <definedName name="tiago_10">#REF!</definedName>
    <definedName name="tiago_12">#REF!</definedName>
    <definedName name="tiago_4">#REF!</definedName>
    <definedName name="tiago_9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PO">#REF!</definedName>
    <definedName name="TIPO_SAPO_AN">#REF!</definedName>
    <definedName name="TIPO_SAPO_AT">#REF!</definedName>
    <definedName name="TipoDeCompactação" localSheetId="1">#REF!</definedName>
    <definedName name="TipoDeCompactação">#REF!</definedName>
    <definedName name="TipoDeEscavação" localSheetId="1">#REF!</definedName>
    <definedName name="TipoDeEscavação">#REF!</definedName>
    <definedName name="TipoDeTransporte" localSheetId="1">#REF!</definedName>
    <definedName name="TipoDeTransporte">#REF!</definedName>
    <definedName name="Tiradentes">#N/A</definedName>
    <definedName name="_xlnm.Print_Titles" localSheetId="24">'2 OAC ESCAV. E REATERRO'!$2:$4</definedName>
    <definedName name="_xlnm.Print_Titles">#N/A</definedName>
    <definedName name="tjtrj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LC4T">#REF!</definedName>
    <definedName name="TLCB5">[220]TCB5!$I$43</definedName>
    <definedName name="TLCC4">#REF!</definedName>
    <definedName name="TLMB">#REF!</definedName>
    <definedName name="TLMR">#REF!</definedName>
    <definedName name="TMR">#REF!</definedName>
    <definedName name="to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T" localSheetId="21" hidden="1">#REF!</definedName>
    <definedName name="TOT">[178]ORÇAMENTO!#REF!</definedName>
    <definedName name="TOT.P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'[221]PLANILHA CONTRATUAL'!#REF!</definedName>
    <definedName name="TOT_07">'[221]PLANILHA CONTRATUAL'!#REF!</definedName>
    <definedName name="TOT_1">'[221]PLANILHA CONTRATUAL'!#REF!</definedName>
    <definedName name="TOT_ACUM_MED">#REF!</definedName>
    <definedName name="TOT_DRE">#REF!</definedName>
    <definedName name="TOT_LIQ_MED">#REF!</definedName>
    <definedName name="Tot_Líquido">'[144]Medição (2'!$K$144</definedName>
    <definedName name="TOT_OAE">#REF!</definedName>
    <definedName name="TOT_OC">#REF!</definedName>
    <definedName name="TOT_OPA">#REF!</definedName>
    <definedName name="Tot_param" localSheetId="20">NÃO.DISP()</definedName>
    <definedName name="Tot_param" localSheetId="21">NA()</definedName>
    <definedName name="Tot_param">NA()</definedName>
    <definedName name="TOT_PAV">#REF!</definedName>
    <definedName name="TOT_SIN">#REF!</definedName>
    <definedName name="TOT_TER">#REF!</definedName>
    <definedName name="TOT1.1">[16]PATO!#REF!</definedName>
    <definedName name="TOT1.P">#REF!</definedName>
    <definedName name="TOT2.1">[16]PATO!#REF!</definedName>
    <definedName name="TOT3.1">[16]PATO!#REF!</definedName>
    <definedName name="TOT4.1">[16]PATO!#REF!</definedName>
    <definedName name="TOT5.1">[16]PATO!#REF!</definedName>
    <definedName name="TOT6.1">[16]PATO!#REF!</definedName>
    <definedName name="TOT7.1">[16]PATO!#REF!</definedName>
    <definedName name="tota">'[222]Quadro de qntd'!$J$60</definedName>
    <definedName name="totac">#REF!</definedName>
    <definedName name="TOTAL" localSheetId="1">#REF!</definedName>
    <definedName name="TOTAL">#REF!</definedName>
    <definedName name="TOTAL_1">#REF!</definedName>
    <definedName name="total_19">#REF!</definedName>
    <definedName name="total_8" localSheetId="21">#REF!</definedName>
    <definedName name="total_8">#REF!</definedName>
    <definedName name="total_9" localSheetId="21">#REF!</definedName>
    <definedName name="total_9">#REF!</definedName>
    <definedName name="total1">'[222]CURVA ABC'!$M$48</definedName>
    <definedName name="TOTAL1_1">#REF!</definedName>
    <definedName name="TOTAL10">#REF!</definedName>
    <definedName name="TOTAL10_1">#REF!</definedName>
    <definedName name="TOTAL10_14" localSheetId="21">#REF!</definedName>
    <definedName name="TOTAL10_14">#REF!</definedName>
    <definedName name="TOTAL10_7">#REF!</definedName>
    <definedName name="TOTAL10_7_1">#REF!</definedName>
    <definedName name="TOTAL10_7_14" localSheetId="21">#REF!</definedName>
    <definedName name="TOTAL10_7_14">#REF!</definedName>
    <definedName name="TOTAL11">#REF!</definedName>
    <definedName name="TOTAL11_1">#REF!</definedName>
    <definedName name="TOTAL11_14" localSheetId="21">#REF!</definedName>
    <definedName name="TOTAL11_14">#REF!</definedName>
    <definedName name="TOTAL11_7">#REF!</definedName>
    <definedName name="TOTAL11_7_1">#REF!</definedName>
    <definedName name="TOTAL11_7_14" localSheetId="21">#REF!</definedName>
    <definedName name="TOTAL11_7_14">#REF!</definedName>
    <definedName name="TOTAL12">#REF!</definedName>
    <definedName name="TOTAL12_1">#REF!</definedName>
    <definedName name="TOTAL12_14" localSheetId="21">#REF!</definedName>
    <definedName name="TOTAL12_14">#REF!</definedName>
    <definedName name="TOTAL12_7">#REF!</definedName>
    <definedName name="TOTAL12_7_1">#REF!</definedName>
    <definedName name="TOTAL12_7_14" localSheetId="21">#REF!</definedName>
    <definedName name="TOTAL12_7_14">#REF!</definedName>
    <definedName name="TOTAL13">#REF!</definedName>
    <definedName name="TOTAL13_1">#REF!</definedName>
    <definedName name="TOTAL13_14" localSheetId="21">#REF!</definedName>
    <definedName name="TOTAL13_14">#REF!</definedName>
    <definedName name="TOTAL13_7">#REF!</definedName>
    <definedName name="TOTAL13_7_1">#REF!</definedName>
    <definedName name="TOTAL13_7_14" localSheetId="21">#REF!</definedName>
    <definedName name="TOTAL13_7_14">#REF!</definedName>
    <definedName name="TOTAL14">#REF!</definedName>
    <definedName name="TOTAL14_1">#REF!</definedName>
    <definedName name="TOTAL14_14" localSheetId="21">#REF!</definedName>
    <definedName name="TOTAL14_14">#REF!</definedName>
    <definedName name="TOTAL14_7">#REF!</definedName>
    <definedName name="TOTAL14_7_1">#REF!</definedName>
    <definedName name="TOTAL14_7_14" localSheetId="21">#REF!</definedName>
    <definedName name="TOTAL14_7_14">#REF!</definedName>
    <definedName name="TOTAL15">#REF!</definedName>
    <definedName name="TOTAL15_1">#REF!</definedName>
    <definedName name="TOTAL15_14" localSheetId="21">#REF!</definedName>
    <definedName name="TOTAL15_14">#REF!</definedName>
    <definedName name="TOTAL15_7">#REF!</definedName>
    <definedName name="TOTAL15_7_1">#REF!</definedName>
    <definedName name="TOTAL15_7_14" localSheetId="21">#REF!</definedName>
    <definedName name="TOTAL15_7_14">#REF!</definedName>
    <definedName name="TOTAL16">#REF!</definedName>
    <definedName name="TOTAL16_1">#REF!</definedName>
    <definedName name="TOTAL16_14" localSheetId="21">#REF!</definedName>
    <definedName name="TOTAL16_14">#REF!</definedName>
    <definedName name="TOTAL16_7">#REF!</definedName>
    <definedName name="TOTAL16_7_1">#REF!</definedName>
    <definedName name="TOTAL16_7_14" localSheetId="21">#REF!</definedName>
    <definedName name="TOTAL16_7_14">#REF!</definedName>
    <definedName name="TOTAL17">#REF!</definedName>
    <definedName name="TOTAL17_1">#REF!</definedName>
    <definedName name="TOTAL17_14" localSheetId="21">#REF!</definedName>
    <definedName name="TOTAL17_14">#REF!</definedName>
    <definedName name="TOTAL17_7">#REF!</definedName>
    <definedName name="TOTAL17_7_1">#REF!</definedName>
    <definedName name="TOTAL17_7_14" localSheetId="21">#REF!</definedName>
    <definedName name="TOTAL17_7_14">#REF!</definedName>
    <definedName name="TOTAL18">#REF!</definedName>
    <definedName name="TOTAL18_1">#REF!</definedName>
    <definedName name="TOTAL18_14" localSheetId="21">#REF!</definedName>
    <definedName name="TOTAL18_14">#REF!</definedName>
    <definedName name="TOTAL18_7">#REF!</definedName>
    <definedName name="TOTAL18_7_1">#REF!</definedName>
    <definedName name="TOTAL18_7_14" localSheetId="21">#REF!</definedName>
    <definedName name="TOTAL18_7_14">#REF!</definedName>
    <definedName name="TOTAL19">#REF!</definedName>
    <definedName name="TOTAL19_1">#REF!</definedName>
    <definedName name="TOTAL19_14" localSheetId="21">#REF!</definedName>
    <definedName name="TOTAL19_14">#REF!</definedName>
    <definedName name="TOTAL19_7">#REF!</definedName>
    <definedName name="TOTAL19_7_1">#REF!</definedName>
    <definedName name="TOTAL19_7_14" localSheetId="21">#REF!</definedName>
    <definedName name="TOTAL19_7_14">#REF!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 localSheetId="21">#REF!</definedName>
    <definedName name="TOTAL6_14">#REF!</definedName>
    <definedName name="TOTAL6_7">#REF!</definedName>
    <definedName name="TOTAL6_7_1">#REF!</definedName>
    <definedName name="TOTAL6_7_14" localSheetId="21">#REF!</definedName>
    <definedName name="TOTAL6_7_14">#REF!</definedName>
    <definedName name="TOTAL6A">#REF!</definedName>
    <definedName name="TOTAL6A_1">#REF!</definedName>
    <definedName name="TOTAL6A_14" localSheetId="21">#REF!</definedName>
    <definedName name="TOTAL6A_14">#REF!</definedName>
    <definedName name="TOTAL6A_7">#REF!</definedName>
    <definedName name="TOTAL6A_7_1">#REF!</definedName>
    <definedName name="TOTAL6A_7_14" localSheetId="21">#REF!</definedName>
    <definedName name="TOTAL6A_7_14">#REF!</definedName>
    <definedName name="TOTAL7">#REF!</definedName>
    <definedName name="TOTAL7_1">#REF!</definedName>
    <definedName name="TOTAL7_14" localSheetId="21">#REF!</definedName>
    <definedName name="TOTAL7_14">#REF!</definedName>
    <definedName name="TOTAL7_7">#REF!</definedName>
    <definedName name="TOTAL7_7_1">#REF!</definedName>
    <definedName name="TOTAL7_7_14" localSheetId="21">#REF!</definedName>
    <definedName name="TOTAL7_7_14">#REF!</definedName>
    <definedName name="TOTAL7A">#REF!</definedName>
    <definedName name="TOTAL7A_1">#REF!</definedName>
    <definedName name="TOTAL7A_14" localSheetId="21">#REF!</definedName>
    <definedName name="TOTAL7A_14">#REF!</definedName>
    <definedName name="TOTAL7A_7">#REF!</definedName>
    <definedName name="TOTAL7A_7_1">#REF!</definedName>
    <definedName name="TOTAL7A_7_14" localSheetId="21">#REF!</definedName>
    <definedName name="TOTAL7A_7_14">#REF!</definedName>
    <definedName name="TOTAL7B">#REF!</definedName>
    <definedName name="TOTAL7B_1">#REF!</definedName>
    <definedName name="TOTAL7B_14" localSheetId="21">#REF!</definedName>
    <definedName name="TOTAL7B_14">#REF!</definedName>
    <definedName name="TOTAL7B_7">#REF!</definedName>
    <definedName name="TOTAL7B_7_1">#REF!</definedName>
    <definedName name="TOTAL7B_7_14" localSheetId="21">#REF!</definedName>
    <definedName name="TOTAL7B_7_14">#REF!</definedName>
    <definedName name="TOTAL7C">#REF!</definedName>
    <definedName name="TOTAL7C_1">#REF!</definedName>
    <definedName name="TOTAL7C_14" localSheetId="21">#REF!</definedName>
    <definedName name="TOTAL7C_14">#REF!</definedName>
    <definedName name="TOTAL7C_7">#REF!</definedName>
    <definedName name="TOTAL7C_7_1">#REF!</definedName>
    <definedName name="TOTAL7C_7_14" localSheetId="21">#REF!</definedName>
    <definedName name="TOTAL7C_7_14">#REF!</definedName>
    <definedName name="TOTAL7D">#REF!</definedName>
    <definedName name="TOTAL7D_1">#REF!</definedName>
    <definedName name="TOTAL7D_14" localSheetId="21">#REF!</definedName>
    <definedName name="TOTAL7D_14">#REF!</definedName>
    <definedName name="TOTAL7D_7">#REF!</definedName>
    <definedName name="TOTAL7D_7_1">#REF!</definedName>
    <definedName name="TOTAL7D_7_14" localSheetId="21">#REF!</definedName>
    <definedName name="TOTAL7D_7_14">#REF!</definedName>
    <definedName name="TOTAL7E">#REF!</definedName>
    <definedName name="TOTAL7E_1">#REF!</definedName>
    <definedName name="TOTAL7E_14" localSheetId="21">#REF!</definedName>
    <definedName name="TOTAL7E_14">#REF!</definedName>
    <definedName name="TOTAL7E_7">#REF!</definedName>
    <definedName name="TOTAL7E_7_1">#REF!</definedName>
    <definedName name="TOTAL7E_7_14" localSheetId="21">#REF!</definedName>
    <definedName name="TOTAL7E_7_14">#REF!</definedName>
    <definedName name="TOTAL7F">#REF!</definedName>
    <definedName name="TOTAL7F_1">#REF!</definedName>
    <definedName name="TOTAL7F_14" localSheetId="21">#REF!</definedName>
    <definedName name="TOTAL7F_14">#REF!</definedName>
    <definedName name="TOTAL7F_7">#REF!</definedName>
    <definedName name="TOTAL7F_7_1">#REF!</definedName>
    <definedName name="TOTAL7F_7_14" localSheetId="21">#REF!</definedName>
    <definedName name="TOTAL7F_7_14">#REF!</definedName>
    <definedName name="TOTAL7G">#REF!</definedName>
    <definedName name="TOTAL7G_1">#REF!</definedName>
    <definedName name="TOTAL7G_14" localSheetId="21">#REF!</definedName>
    <definedName name="TOTAL7G_14">#REF!</definedName>
    <definedName name="TOTAL7G_7">#REF!</definedName>
    <definedName name="TOTAL7G_7_1">#REF!</definedName>
    <definedName name="TOTAL7G_7_14" localSheetId="21">#REF!</definedName>
    <definedName name="TOTAL7G_7_14">#REF!</definedName>
    <definedName name="TOTAL7H">#REF!</definedName>
    <definedName name="TOTAL7H_1">#REF!</definedName>
    <definedName name="TOTAL7H_14" localSheetId="21">#REF!</definedName>
    <definedName name="TOTAL7H_14">#REF!</definedName>
    <definedName name="TOTAL7H_7">#REF!</definedName>
    <definedName name="TOTAL7H_7_1">#REF!</definedName>
    <definedName name="TOTAL7H_7_14" localSheetId="21">#REF!</definedName>
    <definedName name="TOTAL7H_7_14">#REF!</definedName>
    <definedName name="TOTAL7I">#REF!</definedName>
    <definedName name="TOTAL7I_1">#REF!</definedName>
    <definedName name="TOTAL7I_14" localSheetId="21">#REF!</definedName>
    <definedName name="TOTAL7I_14">#REF!</definedName>
    <definedName name="TOTAL7I_7">#REF!</definedName>
    <definedName name="TOTAL7I_7_1">#REF!</definedName>
    <definedName name="TOTAL7I_7_14" localSheetId="21">#REF!</definedName>
    <definedName name="TOTAL7I_7_14">#REF!</definedName>
    <definedName name="TOTAL7J">#REF!</definedName>
    <definedName name="TOTAL7J_1">#REF!</definedName>
    <definedName name="TOTAL7J_14" localSheetId="21">#REF!</definedName>
    <definedName name="TOTAL7J_14">#REF!</definedName>
    <definedName name="TOTAL7J_7">#REF!</definedName>
    <definedName name="TOTAL7J_7_1">#REF!</definedName>
    <definedName name="TOTAL7J_7_14" localSheetId="21">#REF!</definedName>
    <definedName name="TOTAL7J_7_14">#REF!</definedName>
    <definedName name="TOTAL7K">#REF!</definedName>
    <definedName name="TOTAL7K_1">#REF!</definedName>
    <definedName name="TOTAL7K_14" localSheetId="21">#REF!</definedName>
    <definedName name="TOTAL7K_14">#REF!</definedName>
    <definedName name="TOTAL7K_7">#REF!</definedName>
    <definedName name="TOTAL7K_7_1">#REF!</definedName>
    <definedName name="TOTAL7K_7_14" localSheetId="21">#REF!</definedName>
    <definedName name="TOTAL7K_7_14">#REF!</definedName>
    <definedName name="TOTAL7L">#REF!</definedName>
    <definedName name="TOTAL7L_1">#REF!</definedName>
    <definedName name="TOTAL7L_14" localSheetId="21">#REF!</definedName>
    <definedName name="TOTAL7L_14">#REF!</definedName>
    <definedName name="TOTAL7L_7">#REF!</definedName>
    <definedName name="TOTAL7L_7_1">#REF!</definedName>
    <definedName name="TOTAL7L_7_14" localSheetId="21">#REF!</definedName>
    <definedName name="TOTAL7L_7_14">#REF!</definedName>
    <definedName name="TOTAL7O">#REF!</definedName>
    <definedName name="TOTAL7O_1">#REF!</definedName>
    <definedName name="TOTAL7O_14" localSheetId="21">#REF!</definedName>
    <definedName name="TOTAL7O_14">#REF!</definedName>
    <definedName name="TOTAL7O_7">#REF!</definedName>
    <definedName name="TOTAL7O_7_1">#REF!</definedName>
    <definedName name="TOTAL7O_7_14" localSheetId="21">#REF!</definedName>
    <definedName name="TOTAL7O_7_14">#REF!</definedName>
    <definedName name="TOTAL7P">#REF!</definedName>
    <definedName name="TOTAL7P_1">#REF!</definedName>
    <definedName name="TOTAL7P_14" localSheetId="21">#REF!</definedName>
    <definedName name="TOTAL7P_14">#REF!</definedName>
    <definedName name="TOTAL7P_7">#REF!</definedName>
    <definedName name="TOTAL7P_7_1">#REF!</definedName>
    <definedName name="TOTAL7P_7_14" localSheetId="21">#REF!</definedName>
    <definedName name="TOTAL7P_7_14">#REF!</definedName>
    <definedName name="TOTAL7Q">#REF!</definedName>
    <definedName name="TOTAL7Q_1">#REF!</definedName>
    <definedName name="TOTAL7Q_14" localSheetId="21">#REF!</definedName>
    <definedName name="TOTAL7Q_14">#REF!</definedName>
    <definedName name="TOTAL7Q_7">#REF!</definedName>
    <definedName name="TOTAL7Q_7_1">#REF!</definedName>
    <definedName name="TOTAL7Q_7_14" localSheetId="21">#REF!</definedName>
    <definedName name="TOTAL7Q_7_14">#REF!</definedName>
    <definedName name="TOTAL7R">#REF!</definedName>
    <definedName name="TOTAL7R_1">#REF!</definedName>
    <definedName name="TOTAL7R_14" localSheetId="21">#REF!</definedName>
    <definedName name="TOTAL7R_14">#REF!</definedName>
    <definedName name="TOTAL7R_7">#REF!</definedName>
    <definedName name="TOTAL7R_7_1">#REF!</definedName>
    <definedName name="TOTAL7R_7_14" localSheetId="21">#REF!</definedName>
    <definedName name="TOTAL7R_7_14">#REF!</definedName>
    <definedName name="TOTAL8">#REF!</definedName>
    <definedName name="TOTAL8_1">#REF!</definedName>
    <definedName name="TOTAL8_14" localSheetId="21">#REF!</definedName>
    <definedName name="TOTAL8_14">#REF!</definedName>
    <definedName name="TOTAL8_7">#REF!</definedName>
    <definedName name="TOTAL8_7_1">#REF!</definedName>
    <definedName name="TOTAL8_7_14" localSheetId="21">#REF!</definedName>
    <definedName name="TOTAL8_7_14">#REF!</definedName>
    <definedName name="TOTAL8A">#REF!</definedName>
    <definedName name="TOTAL8A_1">#REF!</definedName>
    <definedName name="TOTAL8A_14" localSheetId="21">#REF!</definedName>
    <definedName name="TOTAL8A_14">#REF!</definedName>
    <definedName name="TOTAL8A_7">#REF!</definedName>
    <definedName name="TOTAL8A_7_1">#REF!</definedName>
    <definedName name="TOTAL8A_7_14" localSheetId="21">#REF!</definedName>
    <definedName name="TOTAL8A_7_14">#REF!</definedName>
    <definedName name="TOTAL8B">#REF!</definedName>
    <definedName name="TOTAL8B_1">#REF!</definedName>
    <definedName name="TOTAL8B_14" localSheetId="21">#REF!</definedName>
    <definedName name="TOTAL8B_14">#REF!</definedName>
    <definedName name="TOTAL8B_7">#REF!</definedName>
    <definedName name="TOTAL8B_7_1">#REF!</definedName>
    <definedName name="TOTAL8B_7_14" localSheetId="21">#REF!</definedName>
    <definedName name="TOTAL8B_7_14">#REF!</definedName>
    <definedName name="TOTAL8C">#REF!</definedName>
    <definedName name="TOTAL8C_1">#REF!</definedName>
    <definedName name="TOTAL8C_14" localSheetId="21">#REF!</definedName>
    <definedName name="TOTAL8C_14">#REF!</definedName>
    <definedName name="TOTAL8C_7">#REF!</definedName>
    <definedName name="TOTAL8C_7_1">#REF!</definedName>
    <definedName name="TOTAL8C_7_14" localSheetId="21">#REF!</definedName>
    <definedName name="TOTAL8C_7_14">#REF!</definedName>
    <definedName name="TOTAL8D">#REF!</definedName>
    <definedName name="TOTAL8D_1">#REF!</definedName>
    <definedName name="TOTAL8D_14" localSheetId="21">#REF!</definedName>
    <definedName name="TOTAL8D_14">#REF!</definedName>
    <definedName name="TOTAL8D_7">#REF!</definedName>
    <definedName name="TOTAL8D_7_1">#REF!</definedName>
    <definedName name="TOTAL8D_7_14" localSheetId="21">#REF!</definedName>
    <definedName name="TOTAL8D_7_14">#REF!</definedName>
    <definedName name="TOTAL8E">#REF!</definedName>
    <definedName name="TOTAL8E_1">#REF!</definedName>
    <definedName name="TOTAL8E_14" localSheetId="21">#REF!</definedName>
    <definedName name="TOTAL8E_14">#REF!</definedName>
    <definedName name="TOTAL8E_7">#REF!</definedName>
    <definedName name="TOTAL8E_7_1">#REF!</definedName>
    <definedName name="TOTAL8E_7_14" localSheetId="21">#REF!</definedName>
    <definedName name="TOTAL8E_7_14">#REF!</definedName>
    <definedName name="TOTAL8F">#REF!</definedName>
    <definedName name="TOTAL8F_1">#REF!</definedName>
    <definedName name="TOTAL8F_14" localSheetId="21">#REF!</definedName>
    <definedName name="TOTAL8F_14">#REF!</definedName>
    <definedName name="TOTAL8F_7">#REF!</definedName>
    <definedName name="TOTAL8F_7_1">#REF!</definedName>
    <definedName name="TOTAL8F_7_14" localSheetId="21">#REF!</definedName>
    <definedName name="TOTAL8F_7_14">#REF!</definedName>
    <definedName name="TOTAL8G">#REF!</definedName>
    <definedName name="TOTAL8G_1">#REF!</definedName>
    <definedName name="TOTAL8G_14" localSheetId="21">#REF!</definedName>
    <definedName name="TOTAL8G_14">#REF!</definedName>
    <definedName name="TOTAL8G_7">#REF!</definedName>
    <definedName name="TOTAL8G_7_1">#REF!</definedName>
    <definedName name="TOTAL8G_7_14" localSheetId="21">#REF!</definedName>
    <definedName name="TOTAL8G_7_14">#REF!</definedName>
    <definedName name="TOTAL8H">#REF!</definedName>
    <definedName name="TOTAL8H_1">#REF!</definedName>
    <definedName name="TOTAL8H_14" localSheetId="21">#REF!</definedName>
    <definedName name="TOTAL8H_14">#REF!</definedName>
    <definedName name="TOTAL8H_7">#REF!</definedName>
    <definedName name="TOTAL8H_7_1">#REF!</definedName>
    <definedName name="TOTAL8H_7_14" localSheetId="21">#REF!</definedName>
    <definedName name="TOTAL8H_7_14">#REF!</definedName>
    <definedName name="TOTAL8I">#REF!</definedName>
    <definedName name="TOTAL8I_1">#REF!</definedName>
    <definedName name="TOTAL8I_14" localSheetId="21">#REF!</definedName>
    <definedName name="TOTAL8I_14">#REF!</definedName>
    <definedName name="TOTAL8I_7">#REF!</definedName>
    <definedName name="TOTAL8I_7_1">#REF!</definedName>
    <definedName name="TOTAL8I_7_14" localSheetId="21">#REF!</definedName>
    <definedName name="TOTAL8I_7_14">#REF!</definedName>
    <definedName name="TOTAL8J">#REF!</definedName>
    <definedName name="TOTAL8J_1">#REF!</definedName>
    <definedName name="TOTAL8J_14" localSheetId="21">#REF!</definedName>
    <definedName name="TOTAL8J_14">#REF!</definedName>
    <definedName name="TOTAL8J_7">#REF!</definedName>
    <definedName name="TOTAL8J_7_1">#REF!</definedName>
    <definedName name="TOTAL8J_7_14" localSheetId="21">#REF!</definedName>
    <definedName name="TOTAL8J_7_14">#REF!</definedName>
    <definedName name="TOTAL8K">#REF!</definedName>
    <definedName name="TOTAL8K_1">#REF!</definedName>
    <definedName name="TOTAL8K_14" localSheetId="21">#REF!</definedName>
    <definedName name="TOTAL8K_14">#REF!</definedName>
    <definedName name="TOTAL8K_7">#REF!</definedName>
    <definedName name="TOTAL8K_7_1">#REF!</definedName>
    <definedName name="TOTAL8K_7_14" localSheetId="21">#REF!</definedName>
    <definedName name="TOTAL8K_7_14">#REF!</definedName>
    <definedName name="TOTAL8L">#REF!</definedName>
    <definedName name="TOTAL8L_1">#REF!</definedName>
    <definedName name="TOTAL8L_14" localSheetId="21">#REF!</definedName>
    <definedName name="TOTAL8L_14">#REF!</definedName>
    <definedName name="TOTAL8L_7">#REF!</definedName>
    <definedName name="TOTAL8L_7_1">#REF!</definedName>
    <definedName name="TOTAL8L_7_14" localSheetId="21">#REF!</definedName>
    <definedName name="TOTAL8L_7_14">#REF!</definedName>
    <definedName name="TOTAL8O">#REF!</definedName>
    <definedName name="TOTAL8O_1">#REF!</definedName>
    <definedName name="TOTAL8O_14" localSheetId="21">#REF!</definedName>
    <definedName name="TOTAL8O_14">#REF!</definedName>
    <definedName name="TOTAL8O_7">#REF!</definedName>
    <definedName name="TOTAL8O_7_1">#REF!</definedName>
    <definedName name="TOTAL8O_7_14" localSheetId="21">#REF!</definedName>
    <definedName name="TOTAL8O_7_14">#REF!</definedName>
    <definedName name="TOTAL8P">#REF!</definedName>
    <definedName name="TOTAL8P_1">#REF!</definedName>
    <definedName name="TOTAL8P_14" localSheetId="21">#REF!</definedName>
    <definedName name="TOTAL8P_14">#REF!</definedName>
    <definedName name="TOTAL8P_7">#REF!</definedName>
    <definedName name="TOTAL8P_7_1">#REF!</definedName>
    <definedName name="TOTAL8P_7_14" localSheetId="21">#REF!</definedName>
    <definedName name="TOTAL8P_7_14">#REF!</definedName>
    <definedName name="TOTAL8Q">#REF!</definedName>
    <definedName name="TOTAL8Q_1">#REF!</definedName>
    <definedName name="TOTAL8Q_14" localSheetId="21">#REF!</definedName>
    <definedName name="TOTAL8Q_14">#REF!</definedName>
    <definedName name="TOTAL8Q_7">#REF!</definedName>
    <definedName name="TOTAL8Q_7_1">#REF!</definedName>
    <definedName name="TOTAL8Q_7_14" localSheetId="21">#REF!</definedName>
    <definedName name="TOTAL8Q_7_14">#REF!</definedName>
    <definedName name="TOTAL8R">#REF!</definedName>
    <definedName name="TOTAL8R_1">#REF!</definedName>
    <definedName name="TOTAL8R_14" localSheetId="21">#REF!</definedName>
    <definedName name="TOTAL8R_14">#REF!</definedName>
    <definedName name="TOTAL8R_7">#REF!</definedName>
    <definedName name="TOTAL8R_7_1">#REF!</definedName>
    <definedName name="TOTAL8R_7_14" localSheetId="21">#REF!</definedName>
    <definedName name="TOTAL8R_7_14">#REF!</definedName>
    <definedName name="TOTAL9">#REF!</definedName>
    <definedName name="TOTAL9_1">#REF!</definedName>
    <definedName name="TOTAL9_14" localSheetId="21">#REF!</definedName>
    <definedName name="TOTAL9_14">#REF!</definedName>
    <definedName name="TOTAL9_7">#REF!</definedName>
    <definedName name="TOTAL9_7_1">#REF!</definedName>
    <definedName name="TOTAL9_7_14" localSheetId="21">#REF!</definedName>
    <definedName name="TOTAL9_7_14">#REF!</definedName>
    <definedName name="TOTALA">#REF!</definedName>
    <definedName name="TOTALA_1">#REF!</definedName>
    <definedName name="TOTALA_14" localSheetId="21">#REF!</definedName>
    <definedName name="TOTALA_14">#REF!</definedName>
    <definedName name="TOTALA_7">#REF!</definedName>
    <definedName name="TOTALA_7_1">#REF!</definedName>
    <definedName name="TOTALA_7_14" localSheetId="21">#REF!</definedName>
    <definedName name="TOTALA_7_14">#REF!</definedName>
    <definedName name="TOTALB">#REF!</definedName>
    <definedName name="TOTALB_1">#REF!</definedName>
    <definedName name="TOTALB_14" localSheetId="21">#REF!</definedName>
    <definedName name="TOTALB_14">#REF!</definedName>
    <definedName name="TOTALB_7">#REF!</definedName>
    <definedName name="TOTALB_7_1">#REF!</definedName>
    <definedName name="TOTALB_7_14" localSheetId="21">#REF!</definedName>
    <definedName name="TOTALB_7_14">#REF!</definedName>
    <definedName name="TOTALC">#REF!</definedName>
    <definedName name="TOTALC_1">#REF!</definedName>
    <definedName name="TOTALC_14" localSheetId="21">#REF!</definedName>
    <definedName name="TOTALC_14">#REF!</definedName>
    <definedName name="TOTALC_7">#REF!</definedName>
    <definedName name="TOTALC_7_1">#REF!</definedName>
    <definedName name="TOTALC_7_14" localSheetId="21">#REF!</definedName>
    <definedName name="TOTALC_7_14">#REF!</definedName>
    <definedName name="TOTALD">#REF!</definedName>
    <definedName name="TOTALD_1">#REF!</definedName>
    <definedName name="TOTALD_14" localSheetId="21">#REF!</definedName>
    <definedName name="TOTALD_14">#REF!</definedName>
    <definedName name="TOTALD_7">#REF!</definedName>
    <definedName name="TOTALD_7_1">#REF!</definedName>
    <definedName name="TOTALD_7_14" localSheetId="21">#REF!</definedName>
    <definedName name="TOTALD_7_14">#REF!</definedName>
    <definedName name="TOTALE">#REF!</definedName>
    <definedName name="TOTALE_1">#REF!</definedName>
    <definedName name="TOTALE_14" localSheetId="21">#REF!</definedName>
    <definedName name="TOTALE_14">#REF!</definedName>
    <definedName name="TOTALE_7">#REF!</definedName>
    <definedName name="TOTALE_7_1">#REF!</definedName>
    <definedName name="TOTALE_7_14" localSheetId="21">#REF!</definedName>
    <definedName name="TOTALE_7_14">#REF!</definedName>
    <definedName name="TOTALF">#REF!</definedName>
    <definedName name="TOTALF_1">#REF!</definedName>
    <definedName name="TOTALF_14" localSheetId="21">#REF!</definedName>
    <definedName name="TOTALF_14">#REF!</definedName>
    <definedName name="TOTALF_7">#REF!</definedName>
    <definedName name="TOTALF_7_1">#REF!</definedName>
    <definedName name="TOTALF_7_14" localSheetId="21">#REF!</definedName>
    <definedName name="TOTALF_7_14">#REF!</definedName>
    <definedName name="TOTALG">#REF!</definedName>
    <definedName name="TOTALG_1">#REF!</definedName>
    <definedName name="TOTALG_14" localSheetId="21">#REF!</definedName>
    <definedName name="TOTALG_14">#REF!</definedName>
    <definedName name="TOTALG_7">#REF!</definedName>
    <definedName name="TOTALG_7_1">#REF!</definedName>
    <definedName name="TOTALG_7_14" localSheetId="21">#REF!</definedName>
    <definedName name="TOTALG_7_14">#REF!</definedName>
    <definedName name="TOTALH">#REF!</definedName>
    <definedName name="TOTALH_1">#REF!</definedName>
    <definedName name="TOTALH_14" localSheetId="21">#REF!</definedName>
    <definedName name="TOTALH_14">#REF!</definedName>
    <definedName name="TOTALH_7">#REF!</definedName>
    <definedName name="TOTALH_7_1">#REF!</definedName>
    <definedName name="TOTALH_7_14" localSheetId="21">#REF!</definedName>
    <definedName name="TOTALH_7_14">#REF!</definedName>
    <definedName name="TOTALI">#REF!</definedName>
    <definedName name="TOTALI_1">#REF!</definedName>
    <definedName name="TOTALI_14" localSheetId="21">#REF!</definedName>
    <definedName name="TOTALI_14">#REF!</definedName>
    <definedName name="TOTALI_7">#REF!</definedName>
    <definedName name="TOTALI_7_1">#REF!</definedName>
    <definedName name="TOTALI_7_14" localSheetId="21">#REF!</definedName>
    <definedName name="TOTALI_7_14">#REF!</definedName>
    <definedName name="TOTALJ">#REF!</definedName>
    <definedName name="TOTALJ_1">#REF!</definedName>
    <definedName name="TOTALJ_14" localSheetId="21">#REF!</definedName>
    <definedName name="TOTALJ_14">#REF!</definedName>
    <definedName name="TOTALJ_7">#REF!</definedName>
    <definedName name="TOTALJ_7_1">#REF!</definedName>
    <definedName name="TOTALJ_7_14" localSheetId="21">#REF!</definedName>
    <definedName name="TOTALJ_7_14">#REF!</definedName>
    <definedName name="TOTALK">#REF!</definedName>
    <definedName name="TOTALK_1">#REF!</definedName>
    <definedName name="TOTALK_14" localSheetId="21">#REF!</definedName>
    <definedName name="TOTALK_14">#REF!</definedName>
    <definedName name="TOTALK_7">#REF!</definedName>
    <definedName name="TOTALK_7_1">#REF!</definedName>
    <definedName name="TOTALK_7_14" localSheetId="21">#REF!</definedName>
    <definedName name="TOTALK_7_14">#REF!</definedName>
    <definedName name="TOTALL">#REF!</definedName>
    <definedName name="TOTALL_1">#REF!</definedName>
    <definedName name="TOTALL_14" localSheetId="21">#REF!</definedName>
    <definedName name="TOTALL_14">#REF!</definedName>
    <definedName name="TOTALL_7">#REF!</definedName>
    <definedName name="TOTALL_7_1">#REF!</definedName>
    <definedName name="TOTALL_7_14" localSheetId="21">#REF!</definedName>
    <definedName name="TOTALL_7_14">#REF!</definedName>
    <definedName name="TOTALO">#REF!</definedName>
    <definedName name="TOTALO_1">#REF!</definedName>
    <definedName name="TOTALO_14" localSheetId="21">#REF!</definedName>
    <definedName name="TOTALO_14">#REF!</definedName>
    <definedName name="TOTALO_7">#REF!</definedName>
    <definedName name="TOTALO_7_1">#REF!</definedName>
    <definedName name="TOTALO_7_14" localSheetId="21">#REF!</definedName>
    <definedName name="TOTALO_7_14">#REF!</definedName>
    <definedName name="totalob">'[223]Quadro de qntd'!$J$61</definedName>
    <definedName name="TOTALP">#REF!</definedName>
    <definedName name="TOTALP_1">#REF!</definedName>
    <definedName name="TOTALP_14" localSheetId="21">#REF!</definedName>
    <definedName name="TOTALP_14">#REF!</definedName>
    <definedName name="TOTALP_7">#REF!</definedName>
    <definedName name="TOTALP_7_1">#REF!</definedName>
    <definedName name="TOTALP_7_14" localSheetId="21">#REF!</definedName>
    <definedName name="TOTALP_7_14">#REF!</definedName>
    <definedName name="TOTALQ">#REF!</definedName>
    <definedName name="TOTALQ_1">#REF!</definedName>
    <definedName name="TOTALQ_14" localSheetId="21">#REF!</definedName>
    <definedName name="TOTALQ_14">#REF!</definedName>
    <definedName name="TOTALQ_7">#REF!</definedName>
    <definedName name="TOTALQ_7_1">#REF!</definedName>
    <definedName name="TOTALQ_7_14" localSheetId="21">#REF!</definedName>
    <definedName name="TOTALQ_7_14">#REF!</definedName>
    <definedName name="TOTALSAIBRO">#REF!</definedName>
    <definedName name="TOTALSAIBRO_11">#REF!</definedName>
    <definedName name="TOTALSAIBRO_15">#REF!</definedName>
    <definedName name="totcro">'[222]Cronograma FIS FINANC'!$K$20</definedName>
    <definedName name="totmsa">#REF!</definedName>
    <definedName name="totmsa_1">#REF!</definedName>
    <definedName name="totmsa_10">#REF!</definedName>
    <definedName name="totmsa_12">#REF!</definedName>
    <definedName name="totmsa_2">#REF!</definedName>
    <definedName name="totmsa_3">#REF!</definedName>
    <definedName name="totmsa_4">#REF!</definedName>
    <definedName name="totmsa_5">#REF!</definedName>
    <definedName name="totmsa_6">#REF!</definedName>
    <definedName name="totmsa_7">#REF!</definedName>
    <definedName name="totmsa_9">#REF!</definedName>
    <definedName name="totmsa2">#REF!</definedName>
    <definedName name="totmsa2_1">#REF!</definedName>
    <definedName name="totmsa2_10">#REF!</definedName>
    <definedName name="totmsa2_12">#REF!</definedName>
    <definedName name="totmsa2_2">#REF!</definedName>
    <definedName name="totmsa2_3">#REF!</definedName>
    <definedName name="totmsa2_4">#REF!</definedName>
    <definedName name="totmsa2_5">#REF!</definedName>
    <definedName name="totmsa2_6">#REF!</definedName>
    <definedName name="totmsa2_7">#REF!</definedName>
    <definedName name="totmsa2_9">#REF!</definedName>
    <definedName name="toto" localSheetId="20" hidden="1">{"'Database'!$A$1:$F$130"}</definedName>
    <definedName name="toto" hidden="1">{"'Database'!$A$1:$F$130"}</definedName>
    <definedName name="TOTSERV">#REF!</definedName>
    <definedName name="totsma">#REF!</definedName>
    <definedName name="totsma_1">#REF!</definedName>
    <definedName name="totsma_10">#REF!</definedName>
    <definedName name="totsma_12">#REF!</definedName>
    <definedName name="totsma_2">#REF!</definedName>
    <definedName name="totsma_3">#REF!</definedName>
    <definedName name="totsma_4">#REF!</definedName>
    <definedName name="totsma_5">#REF!</definedName>
    <definedName name="totsma_6">#REF!</definedName>
    <definedName name="totsma_7">#REF!</definedName>
    <definedName name="totsma_9">#REF!</definedName>
    <definedName name="tøv" localSheetId="20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11">#REF!</definedName>
    <definedName name="TPM_12">#REF!</definedName>
    <definedName name="TPM_13">#REF!</definedName>
    <definedName name="TPM_15">#REF!</definedName>
    <definedName name="TPM_2">#REF!</definedName>
    <definedName name="TPM_4">#REF!</definedName>
    <definedName name="TPM_5">#REF!</definedName>
    <definedName name="TPM_6">#REF!</definedName>
    <definedName name="TPM_7">#REF!</definedName>
    <definedName name="TPM_8">#REF!</definedName>
    <definedName name="TPM_9">#REF!</definedName>
    <definedName name="TPMM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5C">#REF!</definedName>
    <definedName name="TRABALHO">#REF!</definedName>
    <definedName name="TrabAnual">#REF!</definedName>
    <definedName name="TRAF" localSheetId="21">#REF!</definedName>
    <definedName name="TRAF">[215]RESUMO_AUT1!#REF!</definedName>
    <definedName name="TRAF_11">[183]RESUMO_AUT1!#REF!</definedName>
    <definedName name="tran" localSheetId="20" hidden="1">{"'Quadro'!$A$4:$BG$78"}</definedName>
    <definedName name="tran" hidden="1">{"'Quadro'!$A$4:$BG$78"}</definedName>
    <definedName name="tran_1" localSheetId="20" hidden="1">{"'Quadro'!$A$4:$BG$78"}</definedName>
    <definedName name="tran_1" hidden="1">{"'Quadro'!$A$4:$BG$78"}</definedName>
    <definedName name="tran_1_1" localSheetId="20" hidden="1">{"'Quadro'!$A$4:$BG$78"}</definedName>
    <definedName name="tran_1_1" hidden="1">{"'Quadro'!$A$4:$BG$78"}</definedName>
    <definedName name="tran_1_1_1" localSheetId="20" hidden="1">{"'Quadro'!$A$4:$BG$78"}</definedName>
    <definedName name="tran_1_1_1" hidden="1">{"'Quadro'!$A$4:$BG$78"}</definedName>
    <definedName name="tran_1_2" localSheetId="20" hidden="1">{"'Quadro'!$A$4:$BG$78"}</definedName>
    <definedName name="tran_1_2" hidden="1">{"'Quadro'!$A$4:$BG$78"}</definedName>
    <definedName name="tran_2" localSheetId="20" hidden="1">{"'Quadro'!$A$4:$BG$78"}</definedName>
    <definedName name="tran_2" hidden="1">{"'Quadro'!$A$4:$BG$78"}</definedName>
    <definedName name="TRANS">'[224]P A T O  B'!#REF!</definedName>
    <definedName name="transp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CARROC_PAV_10">#REF!</definedName>
    <definedName name="TRANSP_LOC_CARROC_PAV_12">#REF!</definedName>
    <definedName name="TRANSP_LOC_CARROC_PAV_9">#REF!</definedName>
    <definedName name="TRANSP_LOC_EQUIP">#REF!</definedName>
    <definedName name="TRANSP_LOC_EQUIP_10">#REF!</definedName>
    <definedName name="TRANSP_LOC_EQUIP_12">#REF!</definedName>
    <definedName name="TRANSP_LOC_EQUIP_9">#REF!</definedName>
    <definedName name="TRANSP_LOC_PAV">#REF!</definedName>
    <definedName name="TRANSP_LOC_PAV_10">#REF!</definedName>
    <definedName name="TRANSP_LOC_PAV_12">#REF!</definedName>
    <definedName name="TRANSP_LOC_PAV_9">#REF!</definedName>
    <definedName name="transp36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BETF">'[85]CALCULOS AUXILIARES'!$E$50</definedName>
    <definedName name="TRANSPBETQ">'[85]CALCULOS AUXILIARES'!$E$54</definedName>
    <definedName name="transporte">#REF!</definedName>
    <definedName name="transporte_1">#REF!</definedName>
    <definedName name="transporte_11">#REF!</definedName>
    <definedName name="transporte_15">#REF!</definedName>
    <definedName name="Transporte_Brita_TSD" localSheetId="20" hidden="1">{#N/A,#N/A,TRUE,"Plan1"}</definedName>
    <definedName name="Transporte_Brita_TSD" hidden="1">{#N/A,#N/A,TRUE,"Plan1"}</definedName>
    <definedName name="TRANSPORTES">#REF!</definedName>
    <definedName name="Transportes_10">#N/A</definedName>
    <definedName name="Transportes_12">#N/A</definedName>
    <definedName name="Transportes_3">#N/A</definedName>
    <definedName name="Transportes_9">#N/A</definedName>
    <definedName name="TRAVESSIA_AN">#REF!</definedName>
    <definedName name="TRAVESSIA_AT">#REF!</definedName>
    <definedName name="TRBET">'[52]Q-01'!#REF!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HO">[111]IDENTIFICAÇÃO!$D$6</definedName>
    <definedName name="trecho_10">#REF!</definedName>
    <definedName name="trecho_12">#REF!</definedName>
    <definedName name="trecho_4">#REF!</definedName>
    <definedName name="trecho_9">#REF!</definedName>
    <definedName name="TRECHO1">[85]Croqui!$B$5</definedName>
    <definedName name="TREINAMENTOS" hidden="1">#REF!</definedName>
    <definedName name="trem" localSheetId="20" hidden="1">{"'gráf jan00'!$A$1:$AK$41"}</definedName>
    <definedName name="trem" hidden="1">{"'gráf jan00'!$A$1:$AK$41"}</definedName>
    <definedName name="trem_1" localSheetId="20" hidden="1">{"'gráf jan00'!$A$1:$AK$41"}</definedName>
    <definedName name="trem_1" hidden="1">{"'gráf jan00'!$A$1:$AK$41"}</definedName>
    <definedName name="trem_1_1" localSheetId="20" hidden="1">{"'gráf jan00'!$A$1:$AK$41"}</definedName>
    <definedName name="trem_1_1" hidden="1">{"'gráf jan00'!$A$1:$AK$41"}</definedName>
    <definedName name="trem_1_1_1" localSheetId="20" hidden="1">{"'gráf jan00'!$A$1:$AK$41"}</definedName>
    <definedName name="trem_1_1_1" hidden="1">{"'gráf jan00'!$A$1:$AK$41"}</definedName>
    <definedName name="trem_1_2" localSheetId="20" hidden="1">{"'gráf jan00'!$A$1:$AK$41"}</definedName>
    <definedName name="trem_1_2" hidden="1">{"'gráf jan00'!$A$1:$AK$41"}</definedName>
    <definedName name="trem_2" localSheetId="20" hidden="1">{"'gráf jan00'!$A$1:$AK$41"}</definedName>
    <definedName name="trem_2" hidden="1">{"'gráf jan00'!$A$1:$AK$41"}</definedName>
    <definedName name="tres">#REF!</definedName>
    <definedName name="treu" hidden="1">#REF!</definedName>
    <definedName name="Trev">#REF!</definedName>
    <definedName name="treze">#REF!</definedName>
    <definedName name="trezeabril" localSheetId="20" hidden="1">{"'gráf jan00'!$A$1:$AK$41"}</definedName>
    <definedName name="trezeabril" hidden="1">{"'gráf jan00'!$A$1:$AK$41"}</definedName>
    <definedName name="trezeabril_1" localSheetId="20" hidden="1">{"'gráf jan00'!$A$1:$AK$41"}</definedName>
    <definedName name="trezeabril_1" hidden="1">{"'gráf jan00'!$A$1:$AK$41"}</definedName>
    <definedName name="trezeabril_1_1" localSheetId="20" hidden="1">{"'gráf jan00'!$A$1:$AK$41"}</definedName>
    <definedName name="trezeabril_1_1" hidden="1">{"'gráf jan00'!$A$1:$AK$41"}</definedName>
    <definedName name="trezeabril_1_1_1" localSheetId="20" hidden="1">{"'gráf jan00'!$A$1:$AK$41"}</definedName>
    <definedName name="trezeabril_1_1_1" hidden="1">{"'gráf jan00'!$A$1:$AK$41"}</definedName>
    <definedName name="trezeabril_1_2" localSheetId="20" hidden="1">{"'gráf jan00'!$A$1:$AK$41"}</definedName>
    <definedName name="trezeabril_1_2" hidden="1">{"'gráf jan00'!$A$1:$AK$41"}</definedName>
    <definedName name="trezeabril_2" localSheetId="20" hidden="1">{"'gráf jan00'!$A$1:$AK$41"}</definedName>
    <definedName name="trezeabril_2" hidden="1">{"'gráf jan00'!$A$1:$AK$41"}</definedName>
    <definedName name="TREZEABRILL" localSheetId="20" hidden="1">{"'gráf jan00'!$A$1:$AK$41"}</definedName>
    <definedName name="TREZEABRILL" hidden="1">{"'gráf jan00'!$A$1:$AK$41"}</definedName>
    <definedName name="TREZEABRILL_1" localSheetId="20" hidden="1">{"'gráf jan00'!$A$1:$AK$41"}</definedName>
    <definedName name="TREZEABRILL_1" hidden="1">{"'gráf jan00'!$A$1:$AK$41"}</definedName>
    <definedName name="TREZEABRILL_1_1" localSheetId="20" hidden="1">{"'gráf jan00'!$A$1:$AK$41"}</definedName>
    <definedName name="TREZEABRILL_1_1" hidden="1">{"'gráf jan00'!$A$1:$AK$41"}</definedName>
    <definedName name="TREZEABRILL_1_1_1" localSheetId="20" hidden="1">{"'gráf jan00'!$A$1:$AK$41"}</definedName>
    <definedName name="TREZEABRILL_1_1_1" hidden="1">{"'gráf jan00'!$A$1:$AK$41"}</definedName>
    <definedName name="TREZEABRILL_1_2" localSheetId="20" hidden="1">{"'gráf jan00'!$A$1:$AK$41"}</definedName>
    <definedName name="TREZEABRILL_1_2" hidden="1">{"'gráf jan00'!$A$1:$AK$41"}</definedName>
    <definedName name="TREZEABRILL_2" localSheetId="20" hidden="1">{"'gráf jan00'!$A$1:$AK$41"}</definedName>
    <definedName name="TREZEABRILL_2" hidden="1">{"'gráf jan00'!$A$1:$AK$41"}</definedName>
    <definedName name="trezeagosto" localSheetId="20" hidden="1">{"'gráf jan00'!$A$1:$AK$41"}</definedName>
    <definedName name="trezeagosto" hidden="1">{"'gráf jan00'!$A$1:$AK$41"}</definedName>
    <definedName name="trezeagosto_1" localSheetId="20" hidden="1">{"'gráf jan00'!$A$1:$AK$41"}</definedName>
    <definedName name="trezeagosto_1" hidden="1">{"'gráf jan00'!$A$1:$AK$41"}</definedName>
    <definedName name="trezeagosto_1_1" localSheetId="20" hidden="1">{"'gráf jan00'!$A$1:$AK$41"}</definedName>
    <definedName name="trezeagosto_1_1" hidden="1">{"'gráf jan00'!$A$1:$AK$41"}</definedName>
    <definedName name="trezeagosto_1_1_1" localSheetId="20" hidden="1">{"'gráf jan00'!$A$1:$AK$41"}</definedName>
    <definedName name="trezeagosto_1_1_1" hidden="1">{"'gráf jan00'!$A$1:$AK$41"}</definedName>
    <definedName name="trezeagosto_1_2" localSheetId="20" hidden="1">{"'gráf jan00'!$A$1:$AK$41"}</definedName>
    <definedName name="trezeagosto_1_2" hidden="1">{"'gráf jan00'!$A$1:$AK$41"}</definedName>
    <definedName name="trezeagosto_2" localSheetId="20" hidden="1">{"'gráf jan00'!$A$1:$AK$41"}</definedName>
    <definedName name="trezeagosto_2" hidden="1">{"'gráf jan00'!$A$1:$AK$41"}</definedName>
    <definedName name="trezeagosto2" localSheetId="20" hidden="1">{"'gráf jan00'!$A$1:$AK$41"}</definedName>
    <definedName name="trezeagosto2" hidden="1">{"'gráf jan00'!$A$1:$AK$41"}</definedName>
    <definedName name="trezeagosto2_1" localSheetId="20" hidden="1">{"'gráf jan00'!$A$1:$AK$41"}</definedName>
    <definedName name="trezeagosto2_1" hidden="1">{"'gráf jan00'!$A$1:$AK$41"}</definedName>
    <definedName name="trezeagosto2_1_1" localSheetId="20" hidden="1">{"'gráf jan00'!$A$1:$AK$41"}</definedName>
    <definedName name="trezeagosto2_1_1" hidden="1">{"'gráf jan00'!$A$1:$AK$41"}</definedName>
    <definedName name="trezeagosto2_1_1_1" localSheetId="20" hidden="1">{"'gráf jan00'!$A$1:$AK$41"}</definedName>
    <definedName name="trezeagosto2_1_1_1" hidden="1">{"'gráf jan00'!$A$1:$AK$41"}</definedName>
    <definedName name="trezeagosto2_1_2" localSheetId="20" hidden="1">{"'gráf jan00'!$A$1:$AK$41"}</definedName>
    <definedName name="trezeagosto2_1_2" hidden="1">{"'gráf jan00'!$A$1:$AK$41"}</definedName>
    <definedName name="trezeagosto2_2" localSheetId="20" hidden="1">{"'gráf jan00'!$A$1:$AK$41"}</definedName>
    <definedName name="trezeagosto2_2" hidden="1">{"'gráf jan00'!$A$1:$AK$41"}</definedName>
    <definedName name="trezeagosto3" localSheetId="20" hidden="1">{"'gráf jan00'!$A$1:$AK$41"}</definedName>
    <definedName name="trezeagosto3" hidden="1">{"'gráf jan00'!$A$1:$AK$41"}</definedName>
    <definedName name="trezeagosto3_1" localSheetId="20" hidden="1">{"'gráf jan00'!$A$1:$AK$41"}</definedName>
    <definedName name="trezeagosto3_1" hidden="1">{"'gráf jan00'!$A$1:$AK$41"}</definedName>
    <definedName name="trezeagosto3_1_1" localSheetId="20" hidden="1">{"'gráf jan00'!$A$1:$AK$41"}</definedName>
    <definedName name="trezeagosto3_1_1" hidden="1">{"'gráf jan00'!$A$1:$AK$41"}</definedName>
    <definedName name="trezeagosto3_1_1_1" localSheetId="20" hidden="1">{"'gráf jan00'!$A$1:$AK$41"}</definedName>
    <definedName name="trezeagosto3_1_1_1" hidden="1">{"'gráf jan00'!$A$1:$AK$41"}</definedName>
    <definedName name="trezeagosto3_1_2" localSheetId="20" hidden="1">{"'gráf jan00'!$A$1:$AK$41"}</definedName>
    <definedName name="trezeagosto3_1_2" hidden="1">{"'gráf jan00'!$A$1:$AK$41"}</definedName>
    <definedName name="trezeagosto3_2" localSheetId="20" hidden="1">{"'gráf jan00'!$A$1:$AK$41"}</definedName>
    <definedName name="trezeagosto3_2" hidden="1">{"'gráf jan00'!$A$1:$AK$41"}</definedName>
    <definedName name="trezeagosto4" localSheetId="20" hidden="1">{"'gráf jan00'!$A$1:$AK$41"}</definedName>
    <definedName name="trezeagosto4" hidden="1">{"'gráf jan00'!$A$1:$AK$41"}</definedName>
    <definedName name="trezeagosto4_1" localSheetId="20" hidden="1">{"'gráf jan00'!$A$1:$AK$41"}</definedName>
    <definedName name="trezeagosto4_1" hidden="1">{"'gráf jan00'!$A$1:$AK$41"}</definedName>
    <definedName name="trezeagosto4_1_1" localSheetId="20" hidden="1">{"'gráf jan00'!$A$1:$AK$41"}</definedName>
    <definedName name="trezeagosto4_1_1" hidden="1">{"'gráf jan00'!$A$1:$AK$41"}</definedName>
    <definedName name="trezeagosto4_1_1_1" localSheetId="20" hidden="1">{"'gráf jan00'!$A$1:$AK$41"}</definedName>
    <definedName name="trezeagosto4_1_1_1" hidden="1">{"'gráf jan00'!$A$1:$AK$41"}</definedName>
    <definedName name="trezeagosto4_1_2" localSheetId="20" hidden="1">{"'gráf jan00'!$A$1:$AK$41"}</definedName>
    <definedName name="trezeagosto4_1_2" hidden="1">{"'gráf jan00'!$A$1:$AK$41"}</definedName>
    <definedName name="trezeagosto4_2" localSheetId="20" hidden="1">{"'gráf jan00'!$A$1:$AK$41"}</definedName>
    <definedName name="trezeagosto4_2" hidden="1">{"'gráf jan00'!$A$1:$AK$41"}</definedName>
    <definedName name="trezeagosto5" localSheetId="20" hidden="1">{"'gráf jan00'!$A$1:$AK$41"}</definedName>
    <definedName name="trezeagosto5" hidden="1">{"'gráf jan00'!$A$1:$AK$41"}</definedName>
    <definedName name="trezeagosto5_1" localSheetId="20" hidden="1">{"'gráf jan00'!$A$1:$AK$41"}</definedName>
    <definedName name="trezeagosto5_1" hidden="1">{"'gráf jan00'!$A$1:$AK$41"}</definedName>
    <definedName name="trezeagosto5_1_1" localSheetId="20" hidden="1">{"'gráf jan00'!$A$1:$AK$41"}</definedName>
    <definedName name="trezeagosto5_1_1" hidden="1">{"'gráf jan00'!$A$1:$AK$41"}</definedName>
    <definedName name="trezeagosto5_1_1_1" localSheetId="20" hidden="1">{"'gráf jan00'!$A$1:$AK$41"}</definedName>
    <definedName name="trezeagosto5_1_1_1" hidden="1">{"'gráf jan00'!$A$1:$AK$41"}</definedName>
    <definedName name="trezeagosto5_1_2" localSheetId="20" hidden="1">{"'gráf jan00'!$A$1:$AK$41"}</definedName>
    <definedName name="trezeagosto5_1_2" hidden="1">{"'gráf jan00'!$A$1:$AK$41"}</definedName>
    <definedName name="trezeagosto5_2" localSheetId="20" hidden="1">{"'gráf jan00'!$A$1:$AK$41"}</definedName>
    <definedName name="trezeagosto5_2" hidden="1">{"'gráf jan00'!$A$1:$AK$41"}</definedName>
    <definedName name="trezeagosto6" localSheetId="20" hidden="1">{"'gráf jan00'!$A$1:$AK$41"}</definedName>
    <definedName name="trezeagosto6" hidden="1">{"'gráf jan00'!$A$1:$AK$41"}</definedName>
    <definedName name="trezeagosto6_1" localSheetId="20" hidden="1">{"'gráf jan00'!$A$1:$AK$41"}</definedName>
    <definedName name="trezeagosto6_1" hidden="1">{"'gráf jan00'!$A$1:$AK$41"}</definedName>
    <definedName name="trezeagosto6_1_1" localSheetId="20" hidden="1">{"'gráf jan00'!$A$1:$AK$41"}</definedName>
    <definedName name="trezeagosto6_1_1" hidden="1">{"'gráf jan00'!$A$1:$AK$41"}</definedName>
    <definedName name="trezeagosto6_1_1_1" localSheetId="20" hidden="1">{"'gráf jan00'!$A$1:$AK$41"}</definedName>
    <definedName name="trezeagosto6_1_1_1" hidden="1">{"'gráf jan00'!$A$1:$AK$41"}</definedName>
    <definedName name="trezeagosto6_1_2" localSheetId="20" hidden="1">{"'gráf jan00'!$A$1:$AK$41"}</definedName>
    <definedName name="trezeagosto6_1_2" hidden="1">{"'gráf jan00'!$A$1:$AK$41"}</definedName>
    <definedName name="trezeagosto6_2" localSheetId="20" hidden="1">{"'gráf jan00'!$A$1:$AK$41"}</definedName>
    <definedName name="trezeagosto6_2" hidden="1">{"'gráf jan00'!$A$1:$AK$41"}</definedName>
    <definedName name="trezeagosto7" localSheetId="20" hidden="1">{"'gráf jan00'!$A$1:$AK$41"}</definedName>
    <definedName name="trezeagosto7" hidden="1">{"'gráf jan00'!$A$1:$AK$41"}</definedName>
    <definedName name="trezeagosto7_1" localSheetId="20" hidden="1">{"'gráf jan00'!$A$1:$AK$41"}</definedName>
    <definedName name="trezeagosto7_1" hidden="1">{"'gráf jan00'!$A$1:$AK$41"}</definedName>
    <definedName name="trezeagosto7_1_1" localSheetId="20" hidden="1">{"'gráf jan00'!$A$1:$AK$41"}</definedName>
    <definedName name="trezeagosto7_1_1" hidden="1">{"'gráf jan00'!$A$1:$AK$41"}</definedName>
    <definedName name="trezeagosto7_1_1_1" localSheetId="20" hidden="1">{"'gráf jan00'!$A$1:$AK$41"}</definedName>
    <definedName name="trezeagosto7_1_1_1" hidden="1">{"'gráf jan00'!$A$1:$AK$41"}</definedName>
    <definedName name="trezeagosto7_1_2" localSheetId="20" hidden="1">{"'gráf jan00'!$A$1:$AK$41"}</definedName>
    <definedName name="trezeagosto7_1_2" hidden="1">{"'gráf jan00'!$A$1:$AK$41"}</definedName>
    <definedName name="trezeagosto7_2" localSheetId="20" hidden="1">{"'gráf jan00'!$A$1:$AK$41"}</definedName>
    <definedName name="trezeagosto7_2" hidden="1">{"'gráf jan00'!$A$1:$AK$41"}</definedName>
    <definedName name="trezeagosto8" localSheetId="20" hidden="1">{"'gráf jan00'!$A$1:$AK$41"}</definedName>
    <definedName name="trezeagosto8" hidden="1">{"'gráf jan00'!$A$1:$AK$41"}</definedName>
    <definedName name="trezeagosto8_1" localSheetId="20" hidden="1">{"'gráf jan00'!$A$1:$AK$41"}</definedName>
    <definedName name="trezeagosto8_1" hidden="1">{"'gráf jan00'!$A$1:$AK$41"}</definedName>
    <definedName name="trezeagosto8_1_1" localSheetId="20" hidden="1">{"'gráf jan00'!$A$1:$AK$41"}</definedName>
    <definedName name="trezeagosto8_1_1" hidden="1">{"'gráf jan00'!$A$1:$AK$41"}</definedName>
    <definedName name="trezeagosto8_1_1_1" localSheetId="20" hidden="1">{"'gráf jan00'!$A$1:$AK$41"}</definedName>
    <definedName name="trezeagosto8_1_1_1" hidden="1">{"'gráf jan00'!$A$1:$AK$41"}</definedName>
    <definedName name="trezeagosto8_1_2" localSheetId="20" hidden="1">{"'gráf jan00'!$A$1:$AK$41"}</definedName>
    <definedName name="trezeagosto8_1_2" hidden="1">{"'gráf jan00'!$A$1:$AK$41"}</definedName>
    <definedName name="trezeagosto8_2" localSheetId="20" hidden="1">{"'gráf jan00'!$A$1:$AK$41"}</definedName>
    <definedName name="trezeagosto8_2" hidden="1">{"'gráf jan00'!$A$1:$AK$41"}</definedName>
    <definedName name="trezejulho" localSheetId="20" hidden="1">{"'gráf jan00'!$A$1:$AK$41"}</definedName>
    <definedName name="trezejulho" hidden="1">{"'gráf jan00'!$A$1:$AK$41"}</definedName>
    <definedName name="trezejulho_1" localSheetId="20" hidden="1">{"'gráf jan00'!$A$1:$AK$41"}</definedName>
    <definedName name="trezejulho_1" hidden="1">{"'gráf jan00'!$A$1:$AK$41"}</definedName>
    <definedName name="trezejulho_1_1" localSheetId="20" hidden="1">{"'gráf jan00'!$A$1:$AK$41"}</definedName>
    <definedName name="trezejulho_1_1" hidden="1">{"'gráf jan00'!$A$1:$AK$41"}</definedName>
    <definedName name="trezejulho_1_1_1" localSheetId="20" hidden="1">{"'gráf jan00'!$A$1:$AK$41"}</definedName>
    <definedName name="trezejulho_1_1_1" hidden="1">{"'gráf jan00'!$A$1:$AK$41"}</definedName>
    <definedName name="trezejulho_1_2" localSheetId="20" hidden="1">{"'gráf jan00'!$A$1:$AK$41"}</definedName>
    <definedName name="trezejulho_1_2" hidden="1">{"'gráf jan00'!$A$1:$AK$41"}</definedName>
    <definedName name="trezejulho_2" localSheetId="20" hidden="1">{"'gráf jan00'!$A$1:$AK$41"}</definedName>
    <definedName name="trezejulho_2" hidden="1">{"'gráf jan00'!$A$1:$AK$41"}</definedName>
    <definedName name="trezejulho2" localSheetId="20" hidden="1">{"'gráf jan00'!$A$1:$AK$41"}</definedName>
    <definedName name="trezejulho2" hidden="1">{"'gráf jan00'!$A$1:$AK$41"}</definedName>
    <definedName name="trezejulho2_1" localSheetId="20" hidden="1">{"'gráf jan00'!$A$1:$AK$41"}</definedName>
    <definedName name="trezejulho2_1" hidden="1">{"'gráf jan00'!$A$1:$AK$41"}</definedName>
    <definedName name="trezejulho2_1_1" localSheetId="20" hidden="1">{"'gráf jan00'!$A$1:$AK$41"}</definedName>
    <definedName name="trezejulho2_1_1" hidden="1">{"'gráf jan00'!$A$1:$AK$41"}</definedName>
    <definedName name="trezejulho2_1_1_1" localSheetId="20" hidden="1">{"'gráf jan00'!$A$1:$AK$41"}</definedName>
    <definedName name="trezejulho2_1_1_1" hidden="1">{"'gráf jan00'!$A$1:$AK$41"}</definedName>
    <definedName name="trezejulho2_1_2" localSheetId="20" hidden="1">{"'gráf jan00'!$A$1:$AK$41"}</definedName>
    <definedName name="trezejulho2_1_2" hidden="1">{"'gráf jan00'!$A$1:$AK$41"}</definedName>
    <definedName name="trezejulho2_2" localSheetId="20" hidden="1">{"'gráf jan00'!$A$1:$AK$41"}</definedName>
    <definedName name="trezejulho2_2" hidden="1">{"'gráf jan00'!$A$1:$AK$41"}</definedName>
    <definedName name="trezejulho3" localSheetId="20" hidden="1">{"'gráf jan00'!$A$1:$AK$41"}</definedName>
    <definedName name="trezejulho3" hidden="1">{"'gráf jan00'!$A$1:$AK$41"}</definedName>
    <definedName name="trezejulho3_1" localSheetId="20" hidden="1">{"'gráf jan00'!$A$1:$AK$41"}</definedName>
    <definedName name="trezejulho3_1" hidden="1">{"'gráf jan00'!$A$1:$AK$41"}</definedName>
    <definedName name="trezejulho3_1_1" localSheetId="20" hidden="1">{"'gráf jan00'!$A$1:$AK$41"}</definedName>
    <definedName name="trezejulho3_1_1" hidden="1">{"'gráf jan00'!$A$1:$AK$41"}</definedName>
    <definedName name="trezejulho3_1_1_1" localSheetId="20" hidden="1">{"'gráf jan00'!$A$1:$AK$41"}</definedName>
    <definedName name="trezejulho3_1_1_1" hidden="1">{"'gráf jan00'!$A$1:$AK$41"}</definedName>
    <definedName name="trezejulho3_1_2" localSheetId="20" hidden="1">{"'gráf jan00'!$A$1:$AK$41"}</definedName>
    <definedName name="trezejulho3_1_2" hidden="1">{"'gráf jan00'!$A$1:$AK$41"}</definedName>
    <definedName name="trezejulho3_2" localSheetId="20" hidden="1">{"'gráf jan00'!$A$1:$AK$41"}</definedName>
    <definedName name="trezejulho3_2" hidden="1">{"'gráf jan00'!$A$1:$AK$41"}</definedName>
    <definedName name="trezejun" localSheetId="20" hidden="1">{"'gráf jan00'!$A$1:$AK$41"}</definedName>
    <definedName name="trezejun" hidden="1">{"'gráf jan00'!$A$1:$AK$41"}</definedName>
    <definedName name="trezejun_1" localSheetId="20" hidden="1">{"'gráf jan00'!$A$1:$AK$41"}</definedName>
    <definedName name="trezejun_1" hidden="1">{"'gráf jan00'!$A$1:$AK$41"}</definedName>
    <definedName name="trezejun_1_1" localSheetId="20" hidden="1">{"'gráf jan00'!$A$1:$AK$41"}</definedName>
    <definedName name="trezejun_1_1" hidden="1">{"'gráf jan00'!$A$1:$AK$41"}</definedName>
    <definedName name="trezejun_1_1_1" localSheetId="20" hidden="1">{"'gráf jan00'!$A$1:$AK$41"}</definedName>
    <definedName name="trezejun_1_1_1" hidden="1">{"'gráf jan00'!$A$1:$AK$41"}</definedName>
    <definedName name="trezejun_1_2" localSheetId="20" hidden="1">{"'gráf jan00'!$A$1:$AK$41"}</definedName>
    <definedName name="trezejun_1_2" hidden="1">{"'gráf jan00'!$A$1:$AK$41"}</definedName>
    <definedName name="trezejun_2" localSheetId="20" hidden="1">{"'gráf jan00'!$A$1:$AK$41"}</definedName>
    <definedName name="trezejun_2" hidden="1">{"'gráf jan00'!$A$1:$AK$41"}</definedName>
    <definedName name="trezejunho" localSheetId="20" hidden="1">{"'gráf jan00'!$A$1:$AK$41"}</definedName>
    <definedName name="trezejunho" hidden="1">{"'gráf jan00'!$A$1:$AK$41"}</definedName>
    <definedName name="trezejunho_1" localSheetId="20" hidden="1">{"'gráf jan00'!$A$1:$AK$41"}</definedName>
    <definedName name="trezejunho_1" hidden="1">{"'gráf jan00'!$A$1:$AK$41"}</definedName>
    <definedName name="trezejunho_1_1" localSheetId="20" hidden="1">{"'gráf jan00'!$A$1:$AK$41"}</definedName>
    <definedName name="trezejunho_1_1" hidden="1">{"'gráf jan00'!$A$1:$AK$41"}</definedName>
    <definedName name="trezejunho_1_1_1" localSheetId="20" hidden="1">{"'gráf jan00'!$A$1:$AK$41"}</definedName>
    <definedName name="trezejunho_1_1_1" hidden="1">{"'gráf jan00'!$A$1:$AK$41"}</definedName>
    <definedName name="trezejunho_1_2" localSheetId="20" hidden="1">{"'gráf jan00'!$A$1:$AK$41"}</definedName>
    <definedName name="trezejunho_1_2" hidden="1">{"'gráf jan00'!$A$1:$AK$41"}</definedName>
    <definedName name="trezejunho_2" localSheetId="20" hidden="1">{"'gráf jan00'!$A$1:$AK$41"}</definedName>
    <definedName name="trezejunho_2" hidden="1">{"'gráf jan00'!$A$1:$AK$41"}</definedName>
    <definedName name="trezejunnho" localSheetId="20" hidden="1">{"'gráf jan00'!$A$1:$AK$41"}</definedName>
    <definedName name="trezejunnho" hidden="1">{"'gráf jan00'!$A$1:$AK$41"}</definedName>
    <definedName name="trezejunnho_1" localSheetId="20" hidden="1">{"'gráf jan00'!$A$1:$AK$41"}</definedName>
    <definedName name="trezejunnho_1" hidden="1">{"'gráf jan00'!$A$1:$AK$41"}</definedName>
    <definedName name="trezejunnho_1_1" localSheetId="20" hidden="1">{"'gráf jan00'!$A$1:$AK$41"}</definedName>
    <definedName name="trezejunnho_1_1" hidden="1">{"'gráf jan00'!$A$1:$AK$41"}</definedName>
    <definedName name="trezejunnho_1_1_1" localSheetId="20" hidden="1">{"'gráf jan00'!$A$1:$AK$41"}</definedName>
    <definedName name="trezejunnho_1_1_1" hidden="1">{"'gráf jan00'!$A$1:$AK$41"}</definedName>
    <definedName name="trezejunnho_1_2" localSheetId="20" hidden="1">{"'gráf jan00'!$A$1:$AK$41"}</definedName>
    <definedName name="trezejunnho_1_2" hidden="1">{"'gráf jan00'!$A$1:$AK$41"}</definedName>
    <definedName name="trezejunnho_2" localSheetId="20" hidden="1">{"'gráf jan00'!$A$1:$AK$41"}</definedName>
    <definedName name="trezejunnho_2" hidden="1">{"'gráf jan00'!$A$1:$AK$41"}</definedName>
    <definedName name="trezemarço" localSheetId="20" hidden="1">{"'gráf jan00'!$A$1:$AK$41"}</definedName>
    <definedName name="trezemarço" hidden="1">{"'gráf jan00'!$A$1:$AK$41"}</definedName>
    <definedName name="trezemarço_1" localSheetId="20" hidden="1">{"'gráf jan00'!$A$1:$AK$41"}</definedName>
    <definedName name="trezemarço_1" hidden="1">{"'gráf jan00'!$A$1:$AK$41"}</definedName>
    <definedName name="trezemarço_1_1" localSheetId="20" hidden="1">{"'gráf jan00'!$A$1:$AK$41"}</definedName>
    <definedName name="trezemarço_1_1" hidden="1">{"'gráf jan00'!$A$1:$AK$41"}</definedName>
    <definedName name="trezemarço_1_1_1" localSheetId="20" hidden="1">{"'gráf jan00'!$A$1:$AK$41"}</definedName>
    <definedName name="trezemarço_1_1_1" hidden="1">{"'gráf jan00'!$A$1:$AK$41"}</definedName>
    <definedName name="trezemarço_1_2" localSheetId="20" hidden="1">{"'gráf jan00'!$A$1:$AK$41"}</definedName>
    <definedName name="trezemarço_1_2" hidden="1">{"'gráf jan00'!$A$1:$AK$41"}</definedName>
    <definedName name="trezemarço_2" localSheetId="20" hidden="1">{"'gráf jan00'!$A$1:$AK$41"}</definedName>
    <definedName name="trezemarço_2" hidden="1">{"'gráf jan00'!$A$1:$AK$41"}</definedName>
    <definedName name="trian" localSheetId="20" hidden="1">{"'gráf jan00'!$A$1:$AK$41"}</definedName>
    <definedName name="trian" hidden="1">{"'gráf jan00'!$A$1:$AK$41"}</definedName>
    <definedName name="trian_1" localSheetId="20" hidden="1">{"'gráf jan00'!$A$1:$AK$41"}</definedName>
    <definedName name="trian_1" hidden="1">{"'gráf jan00'!$A$1:$AK$41"}</definedName>
    <definedName name="trian_1_1" localSheetId="20" hidden="1">{"'gráf jan00'!$A$1:$AK$41"}</definedName>
    <definedName name="trian_1_1" hidden="1">{"'gráf jan00'!$A$1:$AK$41"}</definedName>
    <definedName name="trian_1_1_1" localSheetId="20" hidden="1">{"'gráf jan00'!$A$1:$AK$41"}</definedName>
    <definedName name="trian_1_1_1" hidden="1">{"'gráf jan00'!$A$1:$AK$41"}</definedName>
    <definedName name="trian_1_2" localSheetId="20" hidden="1">{"'gráf jan00'!$A$1:$AK$41"}</definedName>
    <definedName name="trian_1_2" hidden="1">{"'gráf jan00'!$A$1:$AK$41"}</definedName>
    <definedName name="trian_2" localSheetId="20" hidden="1">{"'gráf jan00'!$A$1:$AK$41"}</definedName>
    <definedName name="trian_2" hidden="1">{"'gráf jan00'!$A$1:$AK$41"}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 localSheetId="20" hidden="1">{"'gráf jan00'!$A$1:$AK$41"}</definedName>
    <definedName name="TRT" localSheetId="21">#REF!</definedName>
    <definedName name="TRT">#REF!</definedName>
    <definedName name="trt_1" localSheetId="20" hidden="1">{"'gráf jan00'!$A$1:$AK$41"}</definedName>
    <definedName name="trt_1" hidden="1">{"'gráf jan00'!$A$1:$AK$41"}</definedName>
    <definedName name="trt_1_1" localSheetId="20" hidden="1">{"'gráf jan00'!$A$1:$AK$41"}</definedName>
    <definedName name="trt_1_1" hidden="1">{"'gráf jan00'!$A$1:$AK$41"}</definedName>
    <definedName name="trt_1_1_1" localSheetId="20" hidden="1">{"'gráf jan00'!$A$1:$AK$41"}</definedName>
    <definedName name="trt_1_1_1" hidden="1">{"'gráf jan00'!$A$1:$AK$41"}</definedName>
    <definedName name="trt_1_2" localSheetId="20" hidden="1">{"'gráf jan00'!$A$1:$AK$41"}</definedName>
    <definedName name="trt_1_2" hidden="1">{"'gráf jan00'!$A$1:$AK$41"}</definedName>
    <definedName name="TRT_10">#REF!</definedName>
    <definedName name="TRT_12">#REF!</definedName>
    <definedName name="trt_2" localSheetId="20" hidden="1">{"'gráf jan00'!$A$1:$AK$41"}</definedName>
    <definedName name="trt_2" hidden="1">{"'gráf jan00'!$A$1:$AK$41"}</definedName>
    <definedName name="TRT_3">#REF!</definedName>
    <definedName name="TRT_9">#REF!</definedName>
    <definedName name="TRYU" localSheetId="20" hidden="1">{"'Quadro'!$A$4:$BG$78"}</definedName>
    <definedName name="TRYU" hidden="1">{"'Quadro'!$A$4:$BG$78"}</definedName>
    <definedName name="TRYU_1" localSheetId="20" hidden="1">{"'Quadro'!$A$4:$BG$78"}</definedName>
    <definedName name="TRYU_1" hidden="1">{"'Quadro'!$A$4:$BG$78"}</definedName>
    <definedName name="TRYU_1_1" localSheetId="20" hidden="1">{"'Quadro'!$A$4:$BG$78"}</definedName>
    <definedName name="TRYU_1_1" hidden="1">{"'Quadro'!$A$4:$BG$78"}</definedName>
    <definedName name="TRYU_1_1_1" localSheetId="20" hidden="1">{"'Quadro'!$A$4:$BG$78"}</definedName>
    <definedName name="TRYU_1_1_1" hidden="1">{"'Quadro'!$A$4:$BG$78"}</definedName>
    <definedName name="TRYU_1_2" localSheetId="20" hidden="1">{"'Quadro'!$A$4:$BG$78"}</definedName>
    <definedName name="TRYU_1_2" hidden="1">{"'Quadro'!$A$4:$BG$78"}</definedName>
    <definedName name="TRYU_2" localSheetId="20" hidden="1">{"'Quadro'!$A$4:$BG$78"}</definedName>
    <definedName name="TRYU_2" hidden="1">{"'Quadro'!$A$4:$BG$78"}</definedName>
    <definedName name="TS">#REF!</definedName>
    <definedName name="TSD">#REF!</definedName>
    <definedName name="TSD2.1">[16]PATO!#REF!</definedName>
    <definedName name="TSDB">#REF!</definedName>
    <definedName name="TSS">#REF!</definedName>
    <definedName name="TSSB">#REF!</definedName>
    <definedName name="tssd" localSheetId="21">#REF!</definedName>
    <definedName name="tssd">[86]COMPOS1!#REF!</definedName>
    <definedName name="tssd_1">#REF!</definedName>
    <definedName name="tssd_14" localSheetId="21">#REF!</definedName>
    <definedName name="tssd_14">#REF!</definedName>
    <definedName name="tt" localSheetId="0">'[40]CROQUIS DE DIST.'!tt</definedName>
    <definedName name="tt">'[40]CROQUIS DE DIST.'!tt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10">#N/A</definedName>
    <definedName name="tt_12">#N/A</definedName>
    <definedName name="tt_13">#N/A</definedName>
    <definedName name="tt_15">#N/A</definedName>
    <definedName name="tt_5">#N/A</definedName>
    <definedName name="tt_6">#N/A</definedName>
    <definedName name="tt_7">#N/A</definedName>
    <definedName name="tt_8">#N/A</definedName>
    <definedName name="tt_9">#N/A</definedName>
    <definedName name="TT_ORÇADA">#REF!</definedName>
    <definedName name="TT_ORÇADA3">2750000</definedName>
    <definedName name="TT_ORÇADA4">1320000</definedName>
    <definedName name="tt1_10">#N/A</definedName>
    <definedName name="tt1_12">#N/A</definedName>
    <definedName name="tt1_13">#N/A</definedName>
    <definedName name="tt1_15">#N/A</definedName>
    <definedName name="tt1_5">#N/A</definedName>
    <definedName name="tt1_6">#N/A</definedName>
    <definedName name="tt1_7">#N/A</definedName>
    <definedName name="tt1_8">#N/A</definedName>
    <definedName name="tt1_9">#N/A</definedName>
    <definedName name="TTER" localSheetId="20" hidden="1">{"'Quadro'!$A$4:$BG$78"}</definedName>
    <definedName name="TTER" hidden="1">{"'Quadro'!$A$4:$BG$78"}</definedName>
    <definedName name="TTER_1" localSheetId="20" hidden="1">{"'Quadro'!$A$4:$BG$78"}</definedName>
    <definedName name="TTER_1" hidden="1">{"'Quadro'!$A$4:$BG$78"}</definedName>
    <definedName name="TTER_1_1" localSheetId="20" hidden="1">{"'Quadro'!$A$4:$BG$78"}</definedName>
    <definedName name="TTER_1_1" hidden="1">{"'Quadro'!$A$4:$BG$78"}</definedName>
    <definedName name="TTER_1_1_1" localSheetId="20" hidden="1">{"'Quadro'!$A$4:$BG$78"}</definedName>
    <definedName name="TTER_1_1_1" hidden="1">{"'Quadro'!$A$4:$BG$78"}</definedName>
    <definedName name="TTER_1_2" localSheetId="20" hidden="1">{"'Quadro'!$A$4:$BG$78"}</definedName>
    <definedName name="TTER_1_2" hidden="1">{"'Quadro'!$A$4:$BG$78"}</definedName>
    <definedName name="TTER_2" localSheetId="20" hidden="1">{"'Quadro'!$A$4:$BG$78"}</definedName>
    <definedName name="TTER_2" hidden="1">{"'Quadro'!$A$4:$BG$78"}</definedName>
    <definedName name="ttrete" localSheetId="20" hidden="1">{"'CptDifn'!$AA$32:$AG$32"}</definedName>
    <definedName name="ttrete" hidden="1">{"'CptDifn'!$AA$32:$AG$32"}</definedName>
    <definedName name="ttrete_1" localSheetId="20" hidden="1">{"'CptDifn'!$AA$32:$AG$32"}</definedName>
    <definedName name="ttrete_1" hidden="1">{"'CptDifn'!$AA$32:$AG$32"}</definedName>
    <definedName name="ttrete_1_1" localSheetId="20" hidden="1">{"'CptDifn'!$AA$32:$AG$32"}</definedName>
    <definedName name="ttrete_1_1" hidden="1">{"'CptDifn'!$AA$32:$AG$32"}</definedName>
    <definedName name="ttrete_1_1_1" localSheetId="20" hidden="1">{"'CptDifn'!$AA$32:$AG$32"}</definedName>
    <definedName name="ttrete_1_1_1" hidden="1">{"'CptDifn'!$AA$32:$AG$32"}</definedName>
    <definedName name="ttrete_1_2" localSheetId="20" hidden="1">{"'CptDifn'!$AA$32:$AG$32"}</definedName>
    <definedName name="ttrete_1_2" hidden="1">{"'CptDifn'!$AA$32:$AG$32"}</definedName>
    <definedName name="ttrete_2" localSheetId="20" hidden="1">{"'CptDifn'!$AA$32:$AG$32"}</definedName>
    <definedName name="ttrete_2" hidden="1">{"'CptDifn'!$AA$32:$AG$32"}</definedName>
    <definedName name="TTT" localSheetId="20" hidden="1">{"'gráf jan00'!$A$1:$AK$41"}</definedName>
    <definedName name="TTT" localSheetId="21">#REF!</definedName>
    <definedName name="TTT">#REF!</definedName>
    <definedName name="TTT_10">#REF!</definedName>
    <definedName name="TTT_12">#REF!</definedName>
    <definedName name="TTT_3">#REF!</definedName>
    <definedName name="TTT_9">#REF!</definedName>
    <definedName name="TTTT" localSheetId="20" hidden="1">{"'gráf jan00'!$A$1:$AK$41"}</definedName>
    <definedName name="TTTT" hidden="1">{"'gráf jan00'!$A$1:$AK$41"}</definedName>
    <definedName name="TTTT_1" localSheetId="20" hidden="1">{"'gráf jan00'!$A$1:$AK$41"}</definedName>
    <definedName name="TTTT_1" hidden="1">{"'gráf jan00'!$A$1:$AK$41"}</definedName>
    <definedName name="TTTT_1_1" localSheetId="20" hidden="1">{"'gráf jan00'!$A$1:$AK$41"}</definedName>
    <definedName name="TTTT_1_1" hidden="1">{"'gráf jan00'!$A$1:$AK$41"}</definedName>
    <definedName name="TTTT_1_1_1" localSheetId="20" hidden="1">{"'gráf jan00'!$A$1:$AK$41"}</definedName>
    <definedName name="TTTT_1_1_1" hidden="1">{"'gráf jan00'!$A$1:$AK$41"}</definedName>
    <definedName name="TTTT_1_2" localSheetId="20" hidden="1">{"'gráf jan00'!$A$1:$AK$41"}</definedName>
    <definedName name="TTTT_1_2" hidden="1">{"'gráf jan00'!$A$1:$AK$41"}</definedName>
    <definedName name="TTTT_2" localSheetId="20" hidden="1">{"'gráf jan00'!$A$1:$AK$41"}</definedName>
    <definedName name="TTTT_2" hidden="1">{"'gráf jan00'!$A$1:$AK$41"}</definedName>
    <definedName name="ttttt">#N/A</definedName>
    <definedName name="tttttttttttt" localSheetId="20" hidden="1">{"'CptDifn'!$AA$32:$AG$32"}</definedName>
    <definedName name="tttttttttttt" hidden="1">{"'CptDifn'!$AA$32:$AG$32"}</definedName>
    <definedName name="tttttttttttt_1" localSheetId="20" hidden="1">{"'CptDifn'!$AA$32:$AG$32"}</definedName>
    <definedName name="tttttttttttt_1" hidden="1">{"'CptDifn'!$AA$32:$AG$32"}</definedName>
    <definedName name="tttttttttttt_1_1" localSheetId="20" hidden="1">{"'CptDifn'!$AA$32:$AG$32"}</definedName>
    <definedName name="tttttttttttt_1_1" hidden="1">{"'CptDifn'!$AA$32:$AG$32"}</definedName>
    <definedName name="tttttttttttt_1_1_1" localSheetId="20" hidden="1">{"'CptDifn'!$AA$32:$AG$32"}</definedName>
    <definedName name="tttttttttttt_1_1_1" hidden="1">{"'CptDifn'!$AA$32:$AG$32"}</definedName>
    <definedName name="tttttttttttt_1_2" localSheetId="20" hidden="1">{"'CptDifn'!$AA$32:$AG$32"}</definedName>
    <definedName name="tttttttttttt_1_2" hidden="1">{"'CptDifn'!$AA$32:$AG$32"}</definedName>
    <definedName name="tttttttttttt_2" localSheetId="20" hidden="1">{"'CptDifn'!$AA$32:$AG$32"}</definedName>
    <definedName name="tttttttttttt_2" hidden="1">{"'CptDifn'!$AA$32:$AG$32"}</definedName>
    <definedName name="ttttttttttttttttttttttttttttttttt">'[144]Medição Completa'!#REF!</definedName>
    <definedName name="ttu">#REF!</definedName>
    <definedName name="TTY" localSheetId="20" hidden="1">{"'CptDifn'!$AA$32:$AG$32"}</definedName>
    <definedName name="TTY" hidden="1">{"'CptDifn'!$AA$32:$AG$32"}</definedName>
    <definedName name="TTY_1" localSheetId="20" hidden="1">{"'CptDifn'!$AA$32:$AG$32"}</definedName>
    <definedName name="TTY_1" hidden="1">{"'CptDifn'!$AA$32:$AG$32"}</definedName>
    <definedName name="TTY_1_1" localSheetId="20" hidden="1">{"'CptDifn'!$AA$32:$AG$32"}</definedName>
    <definedName name="TTY_1_1" hidden="1">{"'CptDifn'!$AA$32:$AG$32"}</definedName>
    <definedName name="TTY_1_1_1" localSheetId="20" hidden="1">{"'CptDifn'!$AA$32:$AG$32"}</definedName>
    <definedName name="TTY_1_1_1" hidden="1">{"'CptDifn'!$AA$32:$AG$32"}</definedName>
    <definedName name="TTY_1_2" localSheetId="20" hidden="1">{"'CptDifn'!$AA$32:$AG$32"}</definedName>
    <definedName name="TTY_1_2" hidden="1">{"'CptDifn'!$AA$32:$AG$32"}</definedName>
    <definedName name="TTY_2" localSheetId="20" hidden="1">{"'CptDifn'!$AA$32:$AG$32"}</definedName>
    <definedName name="TTY_2" hidden="1">{"'CptDifn'!$AA$32:$AG$32"}</definedName>
    <definedName name="TU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bo">'[53]3.4.9.TUBO O 40'!$I$52</definedName>
    <definedName name="TuboD40">#REF!</definedName>
    <definedName name="Tubos_PRFV">#REF!</definedName>
    <definedName name="Tubulacao">#REF!</definedName>
    <definedName name="tudo" localSheetId="1">#REF!</definedName>
    <definedName name="tudo">#REF!</definedName>
    <definedName name="tuui" localSheetId="20" hidden="1">{"'CptDifn'!$AA$32:$AG$32"}</definedName>
    <definedName name="tuui" hidden="1">{"'CptDifn'!$AA$32:$AG$32"}</definedName>
    <definedName name="tuui_1" localSheetId="20" hidden="1">{"'CptDifn'!$AA$32:$AG$32"}</definedName>
    <definedName name="tuui_1" hidden="1">{"'CptDifn'!$AA$32:$AG$32"}</definedName>
    <definedName name="tuui_1_1" localSheetId="20" hidden="1">{"'CptDifn'!$AA$32:$AG$32"}</definedName>
    <definedName name="tuui_1_1" hidden="1">{"'CptDifn'!$AA$32:$AG$32"}</definedName>
    <definedName name="tuui_1_1_1" localSheetId="20" hidden="1">{"'CptDifn'!$AA$32:$AG$32"}</definedName>
    <definedName name="tuui_1_1_1" hidden="1">{"'CptDifn'!$AA$32:$AG$32"}</definedName>
    <definedName name="tuui_1_2" localSheetId="20" hidden="1">{"'CptDifn'!$AA$32:$AG$32"}</definedName>
    <definedName name="tuui_1_2" hidden="1">{"'CptDifn'!$AA$32:$AG$32"}</definedName>
    <definedName name="tuui_2" localSheetId="20" hidden="1">{"'CptDifn'!$AA$32:$AG$32"}</definedName>
    <definedName name="tuui_2" hidden="1">{"'CptDifn'!$AA$32:$AG$32"}</definedName>
    <definedName name="tuy" localSheetId="20" hidden="1">{"'CptDifn'!$AA$32:$AG$32"}</definedName>
    <definedName name="tuy" hidden="1">{"'CptDifn'!$AA$32:$AG$32"}</definedName>
    <definedName name="tuy_1" localSheetId="20" hidden="1">{"'CptDifn'!$AA$32:$AG$32"}</definedName>
    <definedName name="tuy_1" hidden="1">{"'CptDifn'!$AA$32:$AG$32"}</definedName>
    <definedName name="tuy_1_1" localSheetId="20" hidden="1">{"'CptDifn'!$AA$32:$AG$32"}</definedName>
    <definedName name="tuy_1_1" hidden="1">{"'CptDifn'!$AA$32:$AG$32"}</definedName>
    <definedName name="tuy_1_1_1" localSheetId="20" hidden="1">{"'CptDifn'!$AA$32:$AG$32"}</definedName>
    <definedName name="tuy_1_1_1" hidden="1">{"'CptDifn'!$AA$32:$AG$32"}</definedName>
    <definedName name="tuy_1_2" localSheetId="20" hidden="1">{"'CptDifn'!$AA$32:$AG$32"}</definedName>
    <definedName name="tuy_1_2" hidden="1">{"'CptDifn'!$AA$32:$AG$32"}</definedName>
    <definedName name="tuy_2" localSheetId="20" hidden="1">{"'CptDifn'!$AA$32:$AG$32"}</definedName>
    <definedName name="tuy_2" hidden="1">{"'CptDifn'!$AA$32:$AG$32"}</definedName>
    <definedName name="twe" localSheetId="20" hidden="1">{"'CptDifn'!$AA$32:$AG$32"}</definedName>
    <definedName name="twe" hidden="1">{"'CptDifn'!$AA$32:$AG$32"}</definedName>
    <definedName name="twe_1" localSheetId="20" hidden="1">{"'CptDifn'!$AA$32:$AG$32"}</definedName>
    <definedName name="twe_1" hidden="1">{"'CptDifn'!$AA$32:$AG$32"}</definedName>
    <definedName name="twe_1_1" localSheetId="20" hidden="1">{"'CptDifn'!$AA$32:$AG$32"}</definedName>
    <definedName name="twe_1_1" hidden="1">{"'CptDifn'!$AA$32:$AG$32"}</definedName>
    <definedName name="twe_1_1_1" localSheetId="20" hidden="1">{"'CptDifn'!$AA$32:$AG$32"}</definedName>
    <definedName name="twe_1_1_1" hidden="1">{"'CptDifn'!$AA$32:$AG$32"}</definedName>
    <definedName name="twe_1_2" localSheetId="20" hidden="1">{"'CptDifn'!$AA$32:$AG$32"}</definedName>
    <definedName name="twe_1_2" hidden="1">{"'CptDifn'!$AA$32:$AG$32"}</definedName>
    <definedName name="twe_2" localSheetId="20" hidden="1">{"'CptDifn'!$AA$32:$AG$32"}</definedName>
    <definedName name="twe_2" hidden="1">{"'CptDifn'!$AA$32:$AG$32"}</definedName>
    <definedName name="tyityuio" localSheetId="20" hidden="1">{"'CptDifn'!$AA$32:$AG$32"}</definedName>
    <definedName name="tyityuio" hidden="1">{"'CptDifn'!$AA$32:$AG$32"}</definedName>
    <definedName name="tyityuio_1" localSheetId="20" hidden="1">{"'CptDifn'!$AA$32:$AG$32"}</definedName>
    <definedName name="tyityuio_1" hidden="1">{"'CptDifn'!$AA$32:$AG$32"}</definedName>
    <definedName name="tyityuio_1_1" localSheetId="20" hidden="1">{"'CptDifn'!$AA$32:$AG$32"}</definedName>
    <definedName name="tyityuio_1_1" hidden="1">{"'CptDifn'!$AA$32:$AG$32"}</definedName>
    <definedName name="tyityuio_1_1_1" localSheetId="20" hidden="1">{"'CptDifn'!$AA$32:$AG$32"}</definedName>
    <definedName name="tyityuio_1_1_1" hidden="1">{"'CptDifn'!$AA$32:$AG$32"}</definedName>
    <definedName name="tyityuio_1_2" localSheetId="20" hidden="1">{"'CptDifn'!$AA$32:$AG$32"}</definedName>
    <definedName name="tyityuio_1_2" hidden="1">{"'CptDifn'!$AA$32:$AG$32"}</definedName>
    <definedName name="tyityuio_2" localSheetId="20" hidden="1">{"'CptDifn'!$AA$32:$AG$32"}</definedName>
    <definedName name="tyityuio_2" hidden="1">{"'CptDifn'!$AA$32:$AG$32"}</definedName>
    <definedName name="tyjtykj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rt" localSheetId="20" hidden="1">{"'CptDifn'!$AA$32:$AG$32"}</definedName>
    <definedName name="tyrt" hidden="1">{"'CptDifn'!$AA$32:$AG$32"}</definedName>
    <definedName name="tyrt_1" localSheetId="20" hidden="1">{"'CptDifn'!$AA$32:$AG$32"}</definedName>
    <definedName name="tyrt_1" hidden="1">{"'CptDifn'!$AA$32:$AG$32"}</definedName>
    <definedName name="tyrt_1_1" localSheetId="20" hidden="1">{"'CptDifn'!$AA$32:$AG$32"}</definedName>
    <definedName name="tyrt_1_1" hidden="1">{"'CptDifn'!$AA$32:$AG$32"}</definedName>
    <definedName name="tyrt_1_1_1" localSheetId="20" hidden="1">{"'CptDifn'!$AA$32:$AG$32"}</definedName>
    <definedName name="tyrt_1_1_1" hidden="1">{"'CptDifn'!$AA$32:$AG$32"}</definedName>
    <definedName name="tyrt_1_2" localSheetId="20" hidden="1">{"'CptDifn'!$AA$32:$AG$32"}</definedName>
    <definedName name="tyrt_1_2" hidden="1">{"'CptDifn'!$AA$32:$AG$32"}</definedName>
    <definedName name="tyrt_2" localSheetId="20" hidden="1">{"'CptDifn'!$AA$32:$AG$32"}</definedName>
    <definedName name="tyrt_2" hidden="1">{"'CptDifn'!$AA$32:$AG$32"}</definedName>
    <definedName name="tyrtu" localSheetId="20" hidden="1">{"'CptDifn'!$AA$32:$AG$32"}</definedName>
    <definedName name="tyrtu" hidden="1">{"'CptDifn'!$AA$32:$AG$32"}</definedName>
    <definedName name="tyrtu_1" localSheetId="20" hidden="1">{"'CptDifn'!$AA$32:$AG$32"}</definedName>
    <definedName name="tyrtu_1" hidden="1">{"'CptDifn'!$AA$32:$AG$32"}</definedName>
    <definedName name="tyrtu_1_1" localSheetId="20" hidden="1">{"'CptDifn'!$AA$32:$AG$32"}</definedName>
    <definedName name="tyrtu_1_1" hidden="1">{"'CptDifn'!$AA$32:$AG$32"}</definedName>
    <definedName name="tyrtu_1_1_1" localSheetId="20" hidden="1">{"'CptDifn'!$AA$32:$AG$32"}</definedName>
    <definedName name="tyrtu_1_1_1" hidden="1">{"'CptDifn'!$AA$32:$AG$32"}</definedName>
    <definedName name="tyrtu_1_2" localSheetId="20" hidden="1">{"'CptDifn'!$AA$32:$AG$32"}</definedName>
    <definedName name="tyrtu_1_2" hidden="1">{"'CptDifn'!$AA$32:$AG$32"}</definedName>
    <definedName name="tyrtu_2" localSheetId="20" hidden="1">{"'CptDifn'!$AA$32:$AG$32"}</definedName>
    <definedName name="tyrtu_2" hidden="1">{"'CptDifn'!$AA$32:$AG$32"}</definedName>
    <definedName name="TYU" localSheetId="20" hidden="1">{"'Quadro'!$A$4:$BG$78"}</definedName>
    <definedName name="TYU" hidden="1">{"'Quadro'!$A$4:$BG$78"}</definedName>
    <definedName name="TYU_1" localSheetId="20" hidden="1">{"'Quadro'!$A$4:$BG$78"}</definedName>
    <definedName name="TYU_1" hidden="1">{"'Quadro'!$A$4:$BG$78"}</definedName>
    <definedName name="TYU_1_1" localSheetId="20" hidden="1">{"'Quadro'!$A$4:$BG$78"}</definedName>
    <definedName name="TYU_1_1" hidden="1">{"'Quadro'!$A$4:$BG$78"}</definedName>
    <definedName name="TYU_1_1_1" localSheetId="20" hidden="1">{"'Quadro'!$A$4:$BG$78"}</definedName>
    <definedName name="TYU_1_1_1" hidden="1">{"'Quadro'!$A$4:$BG$78"}</definedName>
    <definedName name="TYU_1_2" localSheetId="20" hidden="1">{"'Quadro'!$A$4:$BG$78"}</definedName>
    <definedName name="TYU_1_2" hidden="1">{"'Quadro'!$A$4:$BG$78"}</definedName>
    <definedName name="TYU_2" localSheetId="20" hidden="1">{"'Quadro'!$A$4:$BG$78"}</definedName>
    <definedName name="TYU_2" hidden="1">{"'Quadro'!$A$4:$BG$78"}</definedName>
    <definedName name="TYUIO" localSheetId="20" hidden="1">{#N/A,#N/A,TRUE,"Serviços"}</definedName>
    <definedName name="TYUIO" localSheetId="21">{#N/A,#N/A,TRUE,"Serviços"}</definedName>
    <definedName name="TYUIO" localSheetId="2" hidden="1">{#N/A,#N/A,TRUE,"Serviços"}</definedName>
    <definedName name="TYUIO" hidden="1">{#N/A,#N/A,TRUE,"Serviços"}</definedName>
    <definedName name="TYUIO_1" localSheetId="20">{#N/A,#N/A,TRUE,"Serviços"}</definedName>
    <definedName name="TYUIO_1" localSheetId="21">{#N/A,#N/A,TRUE,"Serviços"}</definedName>
    <definedName name="TYUIO_1">{#N/A,#N/A,TRUE,"Serviços"}</definedName>
    <definedName name="TYUIOO" localSheetId="20" hidden="1">{#N/A,#N/A,TRUE,"Serviços"}</definedName>
    <definedName name="TYUIOO" localSheetId="2" hidden="1">{#N/A,#N/A,TRUE,"Serviços"}</definedName>
    <definedName name="TYUIOO" hidden="1">{#N/A,#N/A,TRUE,"Serviços"}</definedName>
    <definedName name="tyuru" localSheetId="20" hidden="1">{"'CptDifn'!$AA$32:$AG$32"}</definedName>
    <definedName name="tyuru" hidden="1">{"'CptDifn'!$AA$32:$AG$32"}</definedName>
    <definedName name="tyuru_1" localSheetId="20" hidden="1">{"'CptDifn'!$AA$32:$AG$32"}</definedName>
    <definedName name="tyuru_1" hidden="1">{"'CptDifn'!$AA$32:$AG$32"}</definedName>
    <definedName name="tyuru_1_1" localSheetId="20" hidden="1">{"'CptDifn'!$AA$32:$AG$32"}</definedName>
    <definedName name="tyuru_1_1" hidden="1">{"'CptDifn'!$AA$32:$AG$32"}</definedName>
    <definedName name="tyuru_1_1_1" localSheetId="20" hidden="1">{"'CptDifn'!$AA$32:$AG$32"}</definedName>
    <definedName name="tyuru_1_1_1" hidden="1">{"'CptDifn'!$AA$32:$AG$32"}</definedName>
    <definedName name="tyuru_1_2" localSheetId="20" hidden="1">{"'CptDifn'!$AA$32:$AG$32"}</definedName>
    <definedName name="tyuru_1_2" hidden="1">{"'CptDifn'!$AA$32:$AG$32"}</definedName>
    <definedName name="tyuru_2" localSheetId="20" hidden="1">{"'CptDifn'!$AA$32:$AG$32"}</definedName>
    <definedName name="tyuru_2" hidden="1">{"'CptDifn'!$AA$32:$AG$32"}</definedName>
    <definedName name="tyutyui" localSheetId="20" hidden="1">{"'CptDifn'!$AA$32:$AG$32"}</definedName>
    <definedName name="tyutyui" hidden="1">{"'CptDifn'!$AA$32:$AG$32"}</definedName>
    <definedName name="tyutyui_1" localSheetId="20" hidden="1">{"'CptDifn'!$AA$32:$AG$32"}</definedName>
    <definedName name="tyutyui_1" hidden="1">{"'CptDifn'!$AA$32:$AG$32"}</definedName>
    <definedName name="tyutyui_1_1" localSheetId="20" hidden="1">{"'CptDifn'!$AA$32:$AG$32"}</definedName>
    <definedName name="tyutyui_1_1" hidden="1">{"'CptDifn'!$AA$32:$AG$32"}</definedName>
    <definedName name="tyutyui_1_1_1" localSheetId="20" hidden="1">{"'CptDifn'!$AA$32:$AG$32"}</definedName>
    <definedName name="tyutyui_1_1_1" hidden="1">{"'CptDifn'!$AA$32:$AG$32"}</definedName>
    <definedName name="tyutyui_1_2" localSheetId="20" hidden="1">{"'CptDifn'!$AA$32:$AG$32"}</definedName>
    <definedName name="tyutyui_1_2" hidden="1">{"'CptDifn'!$AA$32:$AG$32"}</definedName>
    <definedName name="tyutyui_2" localSheetId="20" hidden="1">{"'CptDifn'!$AA$32:$AG$32"}</definedName>
    <definedName name="tyutyui_2" hidden="1">{"'CptDifn'!$AA$32:$AG$32"}</definedName>
    <definedName name="tyuu" hidden="1">[126]Poço!#REF!</definedName>
    <definedName name="u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" localSheetId="21">#REF!</definedName>
    <definedName name="U">#REF!</definedName>
    <definedName name="UBB_UTEJF" localSheetId="20" hidden="1">{#N/A,#N/A,FALSE,"ANEXO3 99 ERA";#N/A,#N/A,FALSE,"ANEXO3 99 UBÁ2";#N/A,#N/A,FALSE,"ANEXO3 99 DTU";#N/A,#N/A,FALSE,"ANEXO3 99 RDR";#N/A,#N/A,FALSE,"ANEXO3 99 UBÁ4";#N/A,#N/A,FALSE,"ANEXO3 99 UBÁ6"}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'[127]P A T O 98 D'!#REF!</definedName>
    <definedName name="UFGNVOTITV" hidden="1">#REF!</definedName>
    <definedName name="U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 localSheetId="20" hidden="1">{"'CptDifn'!$AA$32:$AG$32"}</definedName>
    <definedName name="UIO">#REF!</definedName>
    <definedName name="uio_1" localSheetId="20" hidden="1">{"'CptDifn'!$AA$32:$AG$32"}</definedName>
    <definedName name="uio_1" hidden="1">{"'CptDifn'!$AA$32:$AG$32"}</definedName>
    <definedName name="uio_1_1" localSheetId="20" hidden="1">{"'CptDifn'!$AA$32:$AG$32"}</definedName>
    <definedName name="uio_1_1" hidden="1">{"'CptDifn'!$AA$32:$AG$32"}</definedName>
    <definedName name="uio_1_1_1" localSheetId="20" hidden="1">{"'CptDifn'!$AA$32:$AG$32"}</definedName>
    <definedName name="uio_1_1_1" hidden="1">{"'CptDifn'!$AA$32:$AG$32"}</definedName>
    <definedName name="uio_1_2" localSheetId="20" hidden="1">{"'CptDifn'!$AA$32:$AG$32"}</definedName>
    <definedName name="uio_1_2" hidden="1">{"'CptDifn'!$AA$32:$AG$32"}</definedName>
    <definedName name="UIO_10">#REF!</definedName>
    <definedName name="UIO_12">#REF!</definedName>
    <definedName name="uio_2" localSheetId="20" hidden="1">{"'CptDifn'!$AA$32:$AG$32"}</definedName>
    <definedName name="uio_2" hidden="1">{"'CptDifn'!$AA$32:$AG$32"}</definedName>
    <definedName name="UIO_3">#REF!</definedName>
    <definedName name="UIO_9">#REF!</definedName>
    <definedName name="uioo" localSheetId="20" hidden="1">{"'CptDifn'!$AA$32:$AG$32"}</definedName>
    <definedName name="uioo" hidden="1">{"'CptDifn'!$AA$32:$AG$32"}</definedName>
    <definedName name="uioo_1" localSheetId="20" hidden="1">{"'CptDifn'!$AA$32:$AG$32"}</definedName>
    <definedName name="uioo_1" hidden="1">{"'CptDifn'!$AA$32:$AG$32"}</definedName>
    <definedName name="uioo_1_1" localSheetId="20" hidden="1">{"'CptDifn'!$AA$32:$AG$32"}</definedName>
    <definedName name="uioo_1_1" hidden="1">{"'CptDifn'!$AA$32:$AG$32"}</definedName>
    <definedName name="uioo_1_1_1" localSheetId="20" hidden="1">{"'CptDifn'!$AA$32:$AG$32"}</definedName>
    <definedName name="uioo_1_1_1" hidden="1">{"'CptDifn'!$AA$32:$AG$32"}</definedName>
    <definedName name="uioo_1_2" localSheetId="20" hidden="1">{"'CptDifn'!$AA$32:$AG$32"}</definedName>
    <definedName name="uioo_1_2" hidden="1">{"'CptDifn'!$AA$32:$AG$32"}</definedName>
    <definedName name="uioo_2" localSheetId="20" hidden="1">{"'CptDifn'!$AA$32:$AG$32"}</definedName>
    <definedName name="uioo_2" hidden="1">{"'CptDifn'!$AA$32:$AG$32"}</definedName>
    <definedName name="ujm" localSheetId="20" hidden="1">{"'gráf jan00'!$A$1:$AK$41"}</definedName>
    <definedName name="ujm" hidden="1">{"'gráf jan00'!$A$1:$AK$41"}</definedName>
    <definedName name="ujm_1" localSheetId="20" hidden="1">{"'gráf jan00'!$A$1:$AK$41"}</definedName>
    <definedName name="ujm_1" hidden="1">{"'gráf jan00'!$A$1:$AK$41"}</definedName>
    <definedName name="ujm_1_1" localSheetId="20" hidden="1">{"'gráf jan00'!$A$1:$AK$41"}</definedName>
    <definedName name="ujm_1_1" hidden="1">{"'gráf jan00'!$A$1:$AK$41"}</definedName>
    <definedName name="ujm_1_1_1" localSheetId="20" hidden="1">{"'gráf jan00'!$A$1:$AK$41"}</definedName>
    <definedName name="ujm_1_1_1" hidden="1">{"'gráf jan00'!$A$1:$AK$41"}</definedName>
    <definedName name="ujm_1_2" localSheetId="20" hidden="1">{"'gráf jan00'!$A$1:$AK$41"}</definedName>
    <definedName name="ujm_1_2" hidden="1">{"'gráf jan00'!$A$1:$AK$41"}</definedName>
    <definedName name="ujm_2" localSheetId="20" hidden="1">{"'gráf jan00'!$A$1:$AK$41"}</definedName>
    <definedName name="ujm_2" hidden="1">{"'gráf jan00'!$A$1:$AK$41"}</definedName>
    <definedName name="UL">#REF!</definedName>
    <definedName name="UL_1">#REF!</definedName>
    <definedName name="um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IDECIMENTO_AN">#REF!</definedName>
    <definedName name="UMIDECIMENTO_AT">#REF!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ade">'[99]TPU-MARÇO_2002'!$F$2:$F$1965</definedName>
    <definedName name="Unidade1">#REF!</definedName>
    <definedName name="UnidAux" hidden="1">#N/A</definedName>
    <definedName name="UNIT" localSheetId="1">#REF!</definedName>
    <definedName name="UNIT">#REF!</definedName>
    <definedName name="UNIT_1">#REF!</definedName>
    <definedName name="unit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Anexo">#REF!</definedName>
    <definedName name="UNITÁRIO">#REF!</definedName>
    <definedName name="UnitNome">#REF!</definedName>
    <definedName name="uoluyk" localSheetId="20" hidden="1">{#N/A,#N/A,TRUE,"indice";#N/A,#N/A,TRUE,"indicadores";#N/A,#N/A,TRUE,"comentarios"}</definedName>
    <definedName name="uoluyk" hidden="1">{#N/A,#N/A,TRUE,"indice";#N/A,#N/A,TRUE,"indicadores";#N/A,#N/A,TRUE,"comentarios"}</definedName>
    <definedName name="uoluyk_1" localSheetId="20" hidden="1">{#N/A,#N/A,TRUE,"indice";#N/A,#N/A,TRUE,"indicadores";#N/A,#N/A,TRUE,"comentarios"}</definedName>
    <definedName name="uoluyk_1" hidden="1">{#N/A,#N/A,TRUE,"indice";#N/A,#N/A,TRUE,"indicadores";#N/A,#N/A,TRUE,"comentarios"}</definedName>
    <definedName name="uoluyk_1_1" localSheetId="20" hidden="1">{#N/A,#N/A,TRUE,"indice";#N/A,#N/A,TRUE,"indicadores";#N/A,#N/A,TRUE,"comentarios"}</definedName>
    <definedName name="uoluyk_1_1" hidden="1">{#N/A,#N/A,TRUE,"indice";#N/A,#N/A,TRUE,"indicadores";#N/A,#N/A,TRUE,"comentarios"}</definedName>
    <definedName name="uoluyk_1_1_1" localSheetId="20" hidden="1">{#N/A,#N/A,TRUE,"indice";#N/A,#N/A,TRUE,"indicadores";#N/A,#N/A,TRUE,"comentarios"}</definedName>
    <definedName name="uoluyk_1_1_1" hidden="1">{#N/A,#N/A,TRUE,"indice";#N/A,#N/A,TRUE,"indicadores";#N/A,#N/A,TRUE,"comentarios"}</definedName>
    <definedName name="uoluyk_1_2" localSheetId="20" hidden="1">{#N/A,#N/A,TRUE,"indice";#N/A,#N/A,TRUE,"indicadores";#N/A,#N/A,TRUE,"comentarios"}</definedName>
    <definedName name="uoluyk_1_2" hidden="1">{#N/A,#N/A,TRUE,"indice";#N/A,#N/A,TRUE,"indicadores";#N/A,#N/A,TRUE,"comentarios"}</definedName>
    <definedName name="uoluyk_2" localSheetId="20" hidden="1">{#N/A,#N/A,TRUE,"indice";#N/A,#N/A,TRUE,"indicadores";#N/A,#N/A,TRUE,"comentarios"}</definedName>
    <definedName name="uoluyk_2" hidden="1">{#N/A,#N/A,TRUE,"indice";#N/A,#N/A,TRUE,"indicadores";#N/A,#N/A,TRUE,"comentarios"}</definedName>
    <definedName name="uoya" localSheetId="20" hidden="1">{"'RR'!$A$2:$E$81"}</definedName>
    <definedName name="uoya" hidden="1">{"'RR'!$A$2:$E$81"}</definedName>
    <definedName name="uoya_1" localSheetId="20" hidden="1">{"'RR'!$A$2:$E$81"}</definedName>
    <definedName name="uoya_1" hidden="1">{"'RR'!$A$2:$E$81"}</definedName>
    <definedName name="uoya_1_1" localSheetId="20" hidden="1">{"'RR'!$A$2:$E$81"}</definedName>
    <definedName name="uoya_1_1" hidden="1">{"'RR'!$A$2:$E$81"}</definedName>
    <definedName name="uoya_1_1_1" localSheetId="20" hidden="1">{"'RR'!$A$2:$E$81"}</definedName>
    <definedName name="uoya_1_1_1" hidden="1">{"'RR'!$A$2:$E$81"}</definedName>
    <definedName name="uoya_1_2" localSheetId="20" hidden="1">{"'RR'!$A$2:$E$81"}</definedName>
    <definedName name="uoya_1_2" hidden="1">{"'RR'!$A$2:$E$81"}</definedName>
    <definedName name="uoya_2" localSheetId="20" hidden="1">{"'RR'!$A$2:$E$81"}</definedName>
    <definedName name="uoya_2" hidden="1">{"'RR'!$A$2:$E$81"}</definedName>
    <definedName name="up" localSheetId="20" hidden="1">{"'CptDifn'!$AA$32:$AG$32"}</definedName>
    <definedName name="up" hidden="1">{"'CptDifn'!$AA$32:$AG$32"}</definedName>
    <definedName name="up_1" localSheetId="20" hidden="1">{"'CptDifn'!$AA$32:$AG$32"}</definedName>
    <definedName name="up_1" hidden="1">{"'CptDifn'!$AA$32:$AG$32"}</definedName>
    <definedName name="up_1_1" localSheetId="20" hidden="1">{"'CptDifn'!$AA$32:$AG$32"}</definedName>
    <definedName name="up_1_1" hidden="1">{"'CptDifn'!$AA$32:$AG$32"}</definedName>
    <definedName name="up_1_1_1" localSheetId="20" hidden="1">{"'CptDifn'!$AA$32:$AG$32"}</definedName>
    <definedName name="up_1_1_1" hidden="1">{"'CptDifn'!$AA$32:$AG$32"}</definedName>
    <definedName name="up_1_2" localSheetId="20" hidden="1">{"'CptDifn'!$AA$32:$AG$32"}</definedName>
    <definedName name="up_1_2" hidden="1">{"'CptDifn'!$AA$32:$AG$32"}</definedName>
    <definedName name="up_2" localSheetId="20" hidden="1">{"'CptDifn'!$AA$32:$AG$32"}</definedName>
    <definedName name="up_2" hidden="1">{"'CptDifn'!$AA$32:$AG$32"}</definedName>
    <definedName name="URV_MAR94">#REF!</definedName>
    <definedName name="USA">[22]Feriados!$B$27:$B$34</definedName>
    <definedName name="usimin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MTeste2" localSheetId="20" hidden="1">{"'RATEIO RECEITA BRUTA'!$B$77:$C$106"}</definedName>
    <definedName name="USMTeste2" hidden="1">{"'RATEIO RECEITA BRUTA'!$B$77:$C$106"}</definedName>
    <definedName name="USMTeste3" localSheetId="20" hidden="1">{"'RATEIO RECEITA BRUTA'!$B$77:$C$106"}</definedName>
    <definedName name="USMTeste3" hidden="1">{"'RATEIO RECEITA BRUTA'!$B$77:$C$106"}</definedName>
    <definedName name="uu" localSheetId="20" hidden="1">{"'REL CUSTODIF'!$B$1:$H$72"}</definedName>
    <definedName name="uu" hidden="1">{"'REL CUSTODIF'!$B$1:$H$72"}</definedName>
    <definedName name="uu_1" localSheetId="20" hidden="1">{"'REL CUSTODIF'!$B$1:$H$72"}</definedName>
    <definedName name="uu_1" hidden="1">{"'REL CUSTODIF'!$B$1:$H$72"}</definedName>
    <definedName name="uu_1_1" localSheetId="20" hidden="1">{"'REL CUSTODIF'!$B$1:$H$72"}</definedName>
    <definedName name="uu_1_1" hidden="1">{"'REL CUSTODIF'!$B$1:$H$72"}</definedName>
    <definedName name="uu_1_1_1" localSheetId="20" hidden="1">{"'REL CUSTODIF'!$B$1:$H$72"}</definedName>
    <definedName name="uu_1_1_1" hidden="1">{"'REL CUSTODIF'!$B$1:$H$72"}</definedName>
    <definedName name="uu_1_2" localSheetId="20" hidden="1">{"'REL CUSTODIF'!$B$1:$H$72"}</definedName>
    <definedName name="uu_1_2" hidden="1">{"'REL CUSTODIF'!$B$1:$H$72"}</definedName>
    <definedName name="uu_2" localSheetId="20" hidden="1">{"'REL CUSTODIF'!$B$1:$H$72"}</definedName>
    <definedName name="uu_2" hidden="1">{"'REL CUSTODIF'!$B$1:$H$72"}</definedName>
    <definedName name="uuu" localSheetId="20" hidden="1">{#N/A,#N/A,TRUE,"Serviços"}</definedName>
    <definedName name="uuu" hidden="1">{#N/A,#N/A,TRUE,"Serviços"}</definedName>
    <definedName name="uuuu" localSheetId="20" hidden="1">{"'CptDifn'!$AA$32:$AG$32"}</definedName>
    <definedName name="uuuu" hidden="1">{"'CptDifn'!$AA$32:$AG$32"}</definedName>
    <definedName name="uuuu_1" localSheetId="20" hidden="1">{"'CptDifn'!$AA$32:$AG$32"}</definedName>
    <definedName name="uuuu_1" hidden="1">{"'CptDifn'!$AA$32:$AG$32"}</definedName>
    <definedName name="uuuu_1_1" localSheetId="20" hidden="1">{"'CptDifn'!$AA$32:$AG$32"}</definedName>
    <definedName name="uuuu_1_1" hidden="1">{"'CptDifn'!$AA$32:$AG$32"}</definedName>
    <definedName name="uuuu_1_1_1" localSheetId="20" hidden="1">{"'CptDifn'!$AA$32:$AG$32"}</definedName>
    <definedName name="uuuu_1_1_1" hidden="1">{"'CptDifn'!$AA$32:$AG$32"}</definedName>
    <definedName name="uuuu_1_2" localSheetId="20" hidden="1">{"'CptDifn'!$AA$32:$AG$32"}</definedName>
    <definedName name="uuuu_1_2" hidden="1">{"'CptDifn'!$AA$32:$AG$32"}</definedName>
    <definedName name="uuuu_2" localSheetId="20" hidden="1">{"'CptDifn'!$AA$32:$AG$32"}</definedName>
    <definedName name="uuuu_2" hidden="1">{"'CptDifn'!$AA$32:$AG$32"}</definedName>
    <definedName name="UUUUU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UUUU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uuuu_1" localSheetId="20" hidden="1">{"'CptDifn'!$AA$32:$AG$32"}</definedName>
    <definedName name="uuuuu_1" hidden="1">{"'CptDifn'!$AA$32:$AG$32"}</definedName>
    <definedName name="uuuuu_1_1" localSheetId="20" hidden="1">{"'CptDifn'!$AA$32:$AG$32"}</definedName>
    <definedName name="uuuuu_1_1" hidden="1">{"'CptDifn'!$AA$32:$AG$32"}</definedName>
    <definedName name="uuuuu_1_1_1" localSheetId="20" hidden="1">{"'CptDifn'!$AA$32:$AG$32"}</definedName>
    <definedName name="uuuuu_1_1_1" hidden="1">{"'CptDifn'!$AA$32:$AG$32"}</definedName>
    <definedName name="uuuuu_1_2" localSheetId="20" hidden="1">{"'CptDifn'!$AA$32:$AG$32"}</definedName>
    <definedName name="uuuuu_1_2" hidden="1">{"'CptDifn'!$AA$32:$AG$32"}</definedName>
    <definedName name="uuuuu_2" localSheetId="20" hidden="1">{"'CptDifn'!$AA$32:$AG$32"}</definedName>
    <definedName name="uuuuu_2" hidden="1">{"'CptDifn'!$AA$32:$AG$32"}</definedName>
    <definedName name="uuuuuty">#N/A</definedName>
    <definedName name="UUUUUUU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UUUUU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y" localSheetId="20" hidden="1">{"'CptDifn'!$AA$32:$AG$32"}</definedName>
    <definedName name="uy" hidden="1">{"'CptDifn'!$AA$32:$AG$32"}</definedName>
    <definedName name="uy_1" localSheetId="20" hidden="1">{"'CptDifn'!$AA$32:$AG$32"}</definedName>
    <definedName name="uy_1" hidden="1">{"'CptDifn'!$AA$32:$AG$32"}</definedName>
    <definedName name="uy_1_1" localSheetId="20" hidden="1">{"'CptDifn'!$AA$32:$AG$32"}</definedName>
    <definedName name="uy_1_1" hidden="1">{"'CptDifn'!$AA$32:$AG$32"}</definedName>
    <definedName name="uy_1_1_1" localSheetId="20" hidden="1">{"'CptDifn'!$AA$32:$AG$32"}</definedName>
    <definedName name="uy_1_1_1" hidden="1">{"'CptDifn'!$AA$32:$AG$32"}</definedName>
    <definedName name="uy_1_2" localSheetId="20" hidden="1">{"'CptDifn'!$AA$32:$AG$32"}</definedName>
    <definedName name="uy_1_2" hidden="1">{"'CptDifn'!$AA$32:$AG$32"}</definedName>
    <definedName name="uy_2" localSheetId="20" hidden="1">{"'CptDifn'!$AA$32:$AG$32"}</definedName>
    <definedName name="uy_2" hidden="1">{"'CptDifn'!$AA$32:$AG$32"}</definedName>
    <definedName name="uyt" hidden="1">#REF!</definedName>
    <definedName name="uyt_1" localSheetId="20" hidden="1">{"'CptDifn'!$AA$32:$AG$32"}</definedName>
    <definedName name="uyt_1" hidden="1">{"'CptDifn'!$AA$32:$AG$32"}</definedName>
    <definedName name="uyt_1_1" localSheetId="20" hidden="1">{"'CptDifn'!$AA$32:$AG$32"}</definedName>
    <definedName name="uyt_1_1" hidden="1">{"'CptDifn'!$AA$32:$AG$32"}</definedName>
    <definedName name="uyt_1_1_1" localSheetId="20" hidden="1">{"'CptDifn'!$AA$32:$AG$32"}</definedName>
    <definedName name="uyt_1_1_1" hidden="1">{"'CptDifn'!$AA$32:$AG$32"}</definedName>
    <definedName name="uyt_1_2" localSheetId="20" hidden="1">{"'CptDifn'!$AA$32:$AG$32"}</definedName>
    <definedName name="uyt_1_2" hidden="1">{"'CptDifn'!$AA$32:$AG$32"}</definedName>
    <definedName name="uyt_2" localSheetId="20" hidden="1">{"'CptDifn'!$AA$32:$AG$32"}</definedName>
    <definedName name="uyt_2" hidden="1">{"'CptDifn'!$AA$32:$AG$32"}</definedName>
    <definedName name="uyuye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yuy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" localSheetId="21">#REF!</definedName>
    <definedName name="v">[225]Equipamentos!#REF!</definedName>
    <definedName name="VACAP">#REF!</definedName>
    <definedName name="VACM">#REF!</definedName>
    <definedName name="VADSV" localSheetId="20" hidden="1">{"'REL CUSTODIF'!$B$1:$H$72"}</definedName>
    <definedName name="VADSV" hidden="1">{"'REL CUSTODIF'!$B$1:$H$72"}</definedName>
    <definedName name="vagabundo">'[47]PRO-08'!#REF!</definedName>
    <definedName name="Vagner" localSheetId="20" hidden="1">{#N/A,#N/A,FALSE,"ET-CAPA";#N/A,#N/A,FALSE,"ET-PAG1";#N/A,#N/A,FALSE,"ET-PAG2";#N/A,#N/A,FALSE,"ET-PAG3";#N/A,#N/A,FALSE,"ET-PAG4";#N/A,#N/A,FALSE,"ET-PAG5"}</definedName>
    <definedName name="Vagner" hidden="1">{#N/A,#N/A,FALSE,"ET-CAPA";#N/A,#N/A,FALSE,"ET-PAG1";#N/A,#N/A,FALSE,"ET-PAG2";#N/A,#N/A,FALSE,"ET-PAG3";#N/A,#N/A,FALSE,"ET-PAG4";#N/A,#N/A,FALSE,"ET-PAG5"}</definedName>
    <definedName name="Vagner_1" localSheetId="20" hidden="1">{#N/A,#N/A,FALSE,"ET-CAPA";#N/A,#N/A,FALSE,"ET-PAG1";#N/A,#N/A,FALSE,"ET-PAG2";#N/A,#N/A,FALSE,"ET-PAG3";#N/A,#N/A,FALSE,"ET-PAG4";#N/A,#N/A,FALSE,"ET-PAG5"}</definedName>
    <definedName name="Vagner_1" hidden="1">{#N/A,#N/A,FALSE,"ET-CAPA";#N/A,#N/A,FALSE,"ET-PAG1";#N/A,#N/A,FALSE,"ET-PAG2";#N/A,#N/A,FALSE,"ET-PAG3";#N/A,#N/A,FALSE,"ET-PAG4";#N/A,#N/A,FALSE,"ET-PAG5"}</definedName>
    <definedName name="Vagner_1_1" localSheetId="20" hidden="1">{#N/A,#N/A,FALSE,"ET-CAPA";#N/A,#N/A,FALSE,"ET-PAG1";#N/A,#N/A,FALSE,"ET-PAG2";#N/A,#N/A,FALSE,"ET-PAG3";#N/A,#N/A,FALSE,"ET-PAG4";#N/A,#N/A,FALSE,"ET-PAG5"}</definedName>
    <definedName name="Vagner_1_1" hidden="1">{#N/A,#N/A,FALSE,"ET-CAPA";#N/A,#N/A,FALSE,"ET-PAG1";#N/A,#N/A,FALSE,"ET-PAG2";#N/A,#N/A,FALSE,"ET-PAG3";#N/A,#N/A,FALSE,"ET-PAG4";#N/A,#N/A,FALSE,"ET-PAG5"}</definedName>
    <definedName name="Vagner_2" localSheetId="20" hidden="1">{#N/A,#N/A,FALSE,"ET-CAPA";#N/A,#N/A,FALSE,"ET-PAG1";#N/A,#N/A,FALSE,"ET-PAG2";#N/A,#N/A,FALSE,"ET-PAG3";#N/A,#N/A,FALSE,"ET-PAG4";#N/A,#N/A,FALSE,"ET-PAG5"}</definedName>
    <definedName name="Vagner_2" hidden="1">{#N/A,#N/A,FALSE,"ET-CAPA";#N/A,#N/A,FALSE,"ET-PAG1";#N/A,#N/A,FALSE,"ET-PAG2";#N/A,#N/A,FALSE,"ET-PAG3";#N/A,#N/A,FALSE,"ET-PAG4";#N/A,#N/A,FALSE,"ET-PAG5"}</definedName>
    <definedName name="vagoes" localSheetId="20" hidden="1">{"'gráf jan00'!$A$1:$AK$41"}</definedName>
    <definedName name="vagoes" hidden="1">{"'gráf jan00'!$A$1:$AK$41"}</definedName>
    <definedName name="vagoes_1" localSheetId="20" hidden="1">{"'gráf jan00'!$A$1:$AK$41"}</definedName>
    <definedName name="vagoes_1" hidden="1">{"'gráf jan00'!$A$1:$AK$41"}</definedName>
    <definedName name="vagoes_1_1" localSheetId="20" hidden="1">{"'gráf jan00'!$A$1:$AK$41"}</definedName>
    <definedName name="vagoes_1_1" hidden="1">{"'gráf jan00'!$A$1:$AK$41"}</definedName>
    <definedName name="vagoes_1_1_1" localSheetId="20" hidden="1">{"'gráf jan00'!$A$1:$AK$41"}</definedName>
    <definedName name="vagoes_1_1_1" hidden="1">{"'gráf jan00'!$A$1:$AK$41"}</definedName>
    <definedName name="vagoes_1_2" localSheetId="20" hidden="1">{"'gráf jan00'!$A$1:$AK$41"}</definedName>
    <definedName name="vagoes_1_2" hidden="1">{"'gráf jan00'!$A$1:$AK$41"}</definedName>
    <definedName name="vagoes_2" localSheetId="20" hidden="1">{"'gráf jan00'!$A$1:$AK$41"}</definedName>
    <definedName name="vagoes_2" hidden="1">{"'gráf jan00'!$A$1:$AK$41"}</definedName>
    <definedName name="vair">[4]COMPOS1!#REF!</definedName>
    <definedName name="valor_1">"$#REF!.$A$4:$D$256"</definedName>
    <definedName name="VALOR_ADITIVO">#REF!</definedName>
    <definedName name="VALOR_CONTRATO">#REF!</definedName>
    <definedName name="valormob">#REF!</definedName>
    <definedName name="valter" localSheetId="20" hidden="1">{"'gráf jan00'!$A$1:$AK$41"}</definedName>
    <definedName name="valter" hidden="1">{"'gráf jan00'!$A$1:$AK$41"}</definedName>
    <definedName name="valter_1" localSheetId="20" hidden="1">{"'gráf jan00'!$A$1:$AK$41"}</definedName>
    <definedName name="valter_1" hidden="1">{"'gráf jan00'!$A$1:$AK$41"}</definedName>
    <definedName name="valter_1_1" localSheetId="20" hidden="1">{"'gráf jan00'!$A$1:$AK$41"}</definedName>
    <definedName name="valter_1_1" hidden="1">{"'gráf jan00'!$A$1:$AK$41"}</definedName>
    <definedName name="valter_1_1_1" localSheetId="20" hidden="1">{"'gráf jan00'!$A$1:$AK$41"}</definedName>
    <definedName name="valter_1_1_1" hidden="1">{"'gráf jan00'!$A$1:$AK$41"}</definedName>
    <definedName name="valter_1_2" localSheetId="20" hidden="1">{"'gráf jan00'!$A$1:$AK$41"}</definedName>
    <definedName name="valter_1_2" hidden="1">{"'gráf jan00'!$A$1:$AK$41"}</definedName>
    <definedName name="valter_2" localSheetId="20" hidden="1">{"'gráf jan00'!$A$1:$AK$41"}</definedName>
    <definedName name="valter_2" hidden="1">{"'gráf jan00'!$A$1:$AK$41"}</definedName>
    <definedName name="VAM">#REF!</definedName>
    <definedName name="VAMM">#REF!</definedName>
    <definedName name="VAMM_11">#REF!</definedName>
    <definedName name="VAMM_15">#REF!</definedName>
    <definedName name="VARI" localSheetId="20" hidden="1">{#N/A,#N/A,FALSE,"지침";#N/A,#N/A,FALSE,"환경분석";#N/A,#N/A,FALSE,"Sheet16"}</definedName>
    <definedName name="VARI" hidden="1">{#N/A,#N/A,FALSE,"지침";#N/A,#N/A,FALSE,"환경분석";#N/A,#N/A,FALSE,"Sheet16"}</definedName>
    <definedName name="VARI_1" localSheetId="20" hidden="1">{#N/A,#N/A,FALSE,"지침";#N/A,#N/A,FALSE,"환경분석";#N/A,#N/A,FALSE,"Sheet16"}</definedName>
    <definedName name="VARI_1" hidden="1">{#N/A,#N/A,FALSE,"지침";#N/A,#N/A,FALSE,"환경분석";#N/A,#N/A,FALSE,"Sheet16"}</definedName>
    <definedName name="VARI_1_1" localSheetId="20" hidden="1">{#N/A,#N/A,FALSE,"지침";#N/A,#N/A,FALSE,"환경분석";#N/A,#N/A,FALSE,"Sheet16"}</definedName>
    <definedName name="VARI_1_1" hidden="1">{#N/A,#N/A,FALSE,"지침";#N/A,#N/A,FALSE,"환경분석";#N/A,#N/A,FALSE,"Sheet16"}</definedName>
    <definedName name="VARI_1_1_1" localSheetId="20" hidden="1">{#N/A,#N/A,FALSE,"지침";#N/A,#N/A,FALSE,"환경분석";#N/A,#N/A,FALSE,"Sheet16"}</definedName>
    <definedName name="VARI_1_1_1" hidden="1">{#N/A,#N/A,FALSE,"지침";#N/A,#N/A,FALSE,"환경분석";#N/A,#N/A,FALSE,"Sheet16"}</definedName>
    <definedName name="VARI_1_2" localSheetId="20" hidden="1">{#N/A,#N/A,FALSE,"지침";#N/A,#N/A,FALSE,"환경분석";#N/A,#N/A,FALSE,"Sheet16"}</definedName>
    <definedName name="VARI_1_2" hidden="1">{#N/A,#N/A,FALSE,"지침";#N/A,#N/A,FALSE,"환경분석";#N/A,#N/A,FALSE,"Sheet16"}</definedName>
    <definedName name="VARI_2" localSheetId="20" hidden="1">{#N/A,#N/A,FALSE,"지침";#N/A,#N/A,FALSE,"환경분석";#N/A,#N/A,FALSE,"Sheet16"}</definedName>
    <definedName name="VARI_2" hidden="1">{#N/A,#N/A,FALSE,"지침";#N/A,#N/A,FALSE,"환경분석";#N/A,#N/A,FALSE,"Sheet16"}</definedName>
    <definedName name="VARIA" localSheetId="20" hidden="1">{#N/A,#N/A,FALSE,"지침";#N/A,#N/A,FALSE,"환경분석";#N/A,#N/A,FALSE,"Sheet16"}</definedName>
    <definedName name="VARIA" hidden="1">{#N/A,#N/A,FALSE,"지침";#N/A,#N/A,FALSE,"환경분석";#N/A,#N/A,FALSE,"Sheet16"}</definedName>
    <definedName name="VARIA_1" localSheetId="20" hidden="1">{#N/A,#N/A,FALSE,"지침";#N/A,#N/A,FALSE,"환경분석";#N/A,#N/A,FALSE,"Sheet16"}</definedName>
    <definedName name="VARIA_1" hidden="1">{#N/A,#N/A,FALSE,"지침";#N/A,#N/A,FALSE,"환경분석";#N/A,#N/A,FALSE,"Sheet16"}</definedName>
    <definedName name="VARIA_1_1" localSheetId="20" hidden="1">{#N/A,#N/A,FALSE,"지침";#N/A,#N/A,FALSE,"환경분석";#N/A,#N/A,FALSE,"Sheet16"}</definedName>
    <definedName name="VARIA_1_1" hidden="1">{#N/A,#N/A,FALSE,"지침";#N/A,#N/A,FALSE,"환경분석";#N/A,#N/A,FALSE,"Sheet16"}</definedName>
    <definedName name="VARIA_1_1_1" localSheetId="20" hidden="1">{#N/A,#N/A,FALSE,"지침";#N/A,#N/A,FALSE,"환경분석";#N/A,#N/A,FALSE,"Sheet16"}</definedName>
    <definedName name="VARIA_1_1_1" hidden="1">{#N/A,#N/A,FALSE,"지침";#N/A,#N/A,FALSE,"환경분석";#N/A,#N/A,FALSE,"Sheet16"}</definedName>
    <definedName name="VARIA_1_2" localSheetId="20" hidden="1">{#N/A,#N/A,FALSE,"지침";#N/A,#N/A,FALSE,"환경분석";#N/A,#N/A,FALSE,"Sheet16"}</definedName>
    <definedName name="VARIA_1_2" hidden="1">{#N/A,#N/A,FALSE,"지침";#N/A,#N/A,FALSE,"환경분석";#N/A,#N/A,FALSE,"Sheet16"}</definedName>
    <definedName name="VARIA_2" localSheetId="20" hidden="1">{#N/A,#N/A,FALSE,"지침";#N/A,#N/A,FALSE,"환경분석";#N/A,#N/A,FALSE,"Sheet16"}</definedName>
    <definedName name="VARIA_2" hidden="1">{#N/A,#N/A,FALSE,"지침";#N/A,#N/A,FALSE,"환경분석";#N/A,#N/A,FALSE,"Sheet16"}</definedName>
    <definedName name="VARM">#REF!</definedName>
    <definedName name="VARR">#REF!</definedName>
    <definedName name="VAZAO">#REF!</definedName>
    <definedName name="Vazio">#REF!</definedName>
    <definedName name="Vazio1">'[8]Página 16'!$B$3:$B$7</definedName>
    <definedName name="VAZIO2">'[76]Página 16'!$B$3:$B$7</definedName>
    <definedName name="Vazios">'[200]Mão de Obra'!$B$3:$B$7</definedName>
    <definedName name="Vazios_15">[172]Teor!$B$3:$B$7</definedName>
    <definedName name="Vazios_26">[201]Teor!$B$3:$B$7</definedName>
    <definedName name="Vazios_28">[201]Teor!$B$3:$B$7</definedName>
    <definedName name="Vazios_29">[201]Teor!$B$3:$B$7</definedName>
    <definedName name="VBNM">#REF!</definedName>
    <definedName name="VCANT">#REF!</definedName>
    <definedName name="VD" localSheetId="20" hidden="1">{"'Quadro'!$A$4:$BG$78"}</definedName>
    <definedName name="VD" localSheetId="21">#REF!</definedName>
    <definedName name="VD">[121]motors!$A$15:$A$19</definedName>
    <definedName name="VD_1" localSheetId="20" hidden="1">{"'Quadro'!$A$4:$BG$78"}</definedName>
    <definedName name="VD_1" hidden="1">{"'Quadro'!$A$4:$BG$78"}</definedName>
    <definedName name="VD_1_1" localSheetId="20" hidden="1">{"'Quadro'!$A$4:$BG$78"}</definedName>
    <definedName name="VD_1_1" hidden="1">{"'Quadro'!$A$4:$BG$78"}</definedName>
    <definedName name="VD_1_1_1" localSheetId="20" hidden="1">{"'Quadro'!$A$4:$BG$78"}</definedName>
    <definedName name="VD_1_1_1" hidden="1">{"'Quadro'!$A$4:$BG$78"}</definedName>
    <definedName name="VD_1_2" localSheetId="20" hidden="1">{"'Quadro'!$A$4:$BG$78"}</definedName>
    <definedName name="VD_1_2" hidden="1">{"'Quadro'!$A$4:$BG$78"}</definedName>
    <definedName name="VD_2" localSheetId="20" hidden="1">{"'Quadro'!$A$4:$BG$78"}</definedName>
    <definedName name="VD_2" hidden="1">{"'Quadro'!$A$4:$BG$78"}</definedName>
    <definedName name="vdlkn" localSheetId="20" hidden="1">{"'gráf jan00'!$A$1:$AK$41"}</definedName>
    <definedName name="vdlkn" hidden="1">{"'gráf jan00'!$A$1:$AK$41"}</definedName>
    <definedName name="vdlkn_1" localSheetId="20" hidden="1">{"'gráf jan00'!$A$1:$AK$41"}</definedName>
    <definedName name="vdlkn_1" hidden="1">{"'gráf jan00'!$A$1:$AK$41"}</definedName>
    <definedName name="vdlkn_1_1" localSheetId="20" hidden="1">{"'gráf jan00'!$A$1:$AK$41"}</definedName>
    <definedName name="vdlkn_1_1" hidden="1">{"'gráf jan00'!$A$1:$AK$41"}</definedName>
    <definedName name="vdlkn_1_1_1" localSheetId="20" hidden="1">{"'gráf jan00'!$A$1:$AK$41"}</definedName>
    <definedName name="vdlkn_1_1_1" hidden="1">{"'gráf jan00'!$A$1:$AK$41"}</definedName>
    <definedName name="vdlkn_1_2" localSheetId="20" hidden="1">{"'gráf jan00'!$A$1:$AK$41"}</definedName>
    <definedName name="vdlkn_1_2" hidden="1">{"'gráf jan00'!$A$1:$AK$41"}</definedName>
    <definedName name="vdlkn_2" localSheetId="20" hidden="1">{"'gráf jan00'!$A$1:$AK$41"}</definedName>
    <definedName name="vdlkn_2" hidden="1">{"'gráf jan00'!$A$1:$AK$41"}</definedName>
    <definedName name="vdnkldv" localSheetId="20" hidden="1">{"'gráf jan00'!$A$1:$AK$41"}</definedName>
    <definedName name="vdnkldv" hidden="1">{"'gráf jan00'!$A$1:$AK$41"}</definedName>
    <definedName name="vdnkldv_1" localSheetId="20" hidden="1">{"'gráf jan00'!$A$1:$AK$41"}</definedName>
    <definedName name="vdnkldv_1" hidden="1">{"'gráf jan00'!$A$1:$AK$41"}</definedName>
    <definedName name="vdnkldv_1_1" localSheetId="20" hidden="1">{"'gráf jan00'!$A$1:$AK$41"}</definedName>
    <definedName name="vdnkldv_1_1" hidden="1">{"'gráf jan00'!$A$1:$AK$41"}</definedName>
    <definedName name="vdnkldv_1_1_1" localSheetId="20" hidden="1">{"'gráf jan00'!$A$1:$AK$41"}</definedName>
    <definedName name="vdnkldv_1_1_1" hidden="1">{"'gráf jan00'!$A$1:$AK$41"}</definedName>
    <definedName name="vdnkldv_1_2" localSheetId="20" hidden="1">{"'gráf jan00'!$A$1:$AK$41"}</definedName>
    <definedName name="vdnkldv_1_2" hidden="1">{"'gráf jan00'!$A$1:$AK$41"}</definedName>
    <definedName name="vdnkldv_2" localSheetId="20" hidden="1">{"'gráf jan00'!$A$1:$AK$41"}</definedName>
    <definedName name="vdnkldv_2" hidden="1">{"'gráf jan00'!$A$1:$AK$41"}</definedName>
    <definedName name="vdnlke" localSheetId="20" hidden="1">{"'gráf jan00'!$A$1:$AK$41"}</definedName>
    <definedName name="vdnlke" hidden="1">{"'gráf jan00'!$A$1:$AK$41"}</definedName>
    <definedName name="vdnlke_1" localSheetId="20" hidden="1">{"'gráf jan00'!$A$1:$AK$41"}</definedName>
    <definedName name="vdnlke_1" hidden="1">{"'gráf jan00'!$A$1:$AK$41"}</definedName>
    <definedName name="vdnlke_1_1" localSheetId="20" hidden="1">{"'gráf jan00'!$A$1:$AK$41"}</definedName>
    <definedName name="vdnlke_1_1" hidden="1">{"'gráf jan00'!$A$1:$AK$41"}</definedName>
    <definedName name="vdnlke_1_1_1" localSheetId="20" hidden="1">{"'gráf jan00'!$A$1:$AK$41"}</definedName>
    <definedName name="vdnlke_1_1_1" hidden="1">{"'gráf jan00'!$A$1:$AK$41"}</definedName>
    <definedName name="vdnlke_1_2" localSheetId="20" hidden="1">{"'gráf jan00'!$A$1:$AK$41"}</definedName>
    <definedName name="vdnlke_1_2" hidden="1">{"'gráf jan00'!$A$1:$AK$41"}</definedName>
    <definedName name="vdnlke_2" localSheetId="20" hidden="1">{"'gráf jan00'!$A$1:$AK$41"}</definedName>
    <definedName name="vdnlke_2" hidden="1">{"'gráf jan00'!$A$1:$AK$41"}</definedName>
    <definedName name="veiculo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R_DT">#REF!&lt;&gt;"N"</definedName>
    <definedName name="VERBA_CANTEIRO">#REF!="S"</definedName>
    <definedName name="verde">#REF!</definedName>
    <definedName name="verde_11">#REF!</definedName>
    <definedName name="verde_12">#REF!</definedName>
    <definedName name="verde_13">#REF!</definedName>
    <definedName name="verde_15">#REF!</definedName>
    <definedName name="verde_2">#REF!</definedName>
    <definedName name="verde_4">#REF!</definedName>
    <definedName name="verde_5">#REF!</definedName>
    <definedName name="verde_6">#REF!</definedName>
    <definedName name="verde_7">#REF!</definedName>
    <definedName name="verde_8">#REF!</definedName>
    <definedName name="verde_9">#REF!</definedName>
    <definedName name="verdee">#REF!</definedName>
    <definedName name="verdepav">#REF!</definedName>
    <definedName name="verdepav_11">#REF!</definedName>
    <definedName name="verdepav_12">#REF!</definedName>
    <definedName name="verdepav_13">#REF!</definedName>
    <definedName name="verdepav_15">#REF!</definedName>
    <definedName name="verdepav_2">#REF!</definedName>
    <definedName name="verdepav_4">#REF!</definedName>
    <definedName name="verdepav_5">#REF!</definedName>
    <definedName name="verdepav_6">#REF!</definedName>
    <definedName name="verdepav_7">#REF!</definedName>
    <definedName name="verdepav_8">#REF!</definedName>
    <definedName name="verdepav_9">#REF!</definedName>
    <definedName name="verdepavv">#REF!</definedName>
    <definedName name="vert">#REF!</definedName>
    <definedName name="vfdasf" localSheetId="20" hidden="1">{"'gráf jan00'!$A$1:$AK$41"}</definedName>
    <definedName name="vfdasf" hidden="1">{"'gráf jan00'!$A$1:$AK$41"}</definedName>
    <definedName name="vfdasf_1" localSheetId="20" hidden="1">{"'gráf jan00'!$A$1:$AK$41"}</definedName>
    <definedName name="vfdasf_1" hidden="1">{"'gráf jan00'!$A$1:$AK$41"}</definedName>
    <definedName name="vfdasf_1_1" localSheetId="20" hidden="1">{"'gráf jan00'!$A$1:$AK$41"}</definedName>
    <definedName name="vfdasf_1_1" hidden="1">{"'gráf jan00'!$A$1:$AK$41"}</definedName>
    <definedName name="vfdasf_1_1_1" localSheetId="20" hidden="1">{"'gráf jan00'!$A$1:$AK$41"}</definedName>
    <definedName name="vfdasf_1_1_1" hidden="1">{"'gráf jan00'!$A$1:$AK$41"}</definedName>
    <definedName name="vfdasf_1_2" localSheetId="20" hidden="1">{"'gráf jan00'!$A$1:$AK$41"}</definedName>
    <definedName name="vfdasf_1_2" hidden="1">{"'gráf jan00'!$A$1:$AK$41"}</definedName>
    <definedName name="vfdasf_2" localSheetId="20" hidden="1">{"'gráf jan00'!$A$1:$AK$41"}</definedName>
    <definedName name="vfdasf_2" hidden="1">{"'gráf jan00'!$A$1:$AK$41"}</definedName>
    <definedName name="vfvr">#N/A</definedName>
    <definedName name="VI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21">#REF!</definedName>
    <definedName name="vi">#REF!</definedName>
    <definedName name="VI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ctor">'[49]PRO-08'!#REF!</definedName>
    <definedName name="VidaAnos">#REF!</definedName>
    <definedName name="Vidahoras">#REF!</definedName>
    <definedName name="vir">#REF!</definedName>
    <definedName name="visc" localSheetId="20">' 6.0 - Empréstimos '!visc</definedName>
    <definedName name="visc">[0]!visc</definedName>
    <definedName name="VISCOSIDADE" localSheetId="20">' 6.0 - Empréstimos '!VISCOSIDADE</definedName>
    <definedName name="VISCOSIDADE">[0]!VISCOSIDADE</definedName>
    <definedName name="viscozidade" localSheetId="20">' 6.0 - Empréstimos '!viscozidade</definedName>
    <definedName name="viscozidade">[0]!viscozidade</definedName>
    <definedName name="VLM">#REF!</definedName>
    <definedName name="VLPI">#REF!</definedName>
    <definedName name="VLREAJ">#REF!</definedName>
    <definedName name="vm" localSheetId="20" hidden="1">{#N/A,#N/A,FALSE,"MO (2)"}</definedName>
    <definedName name="vm" hidden="1">{#N/A,#N/A,FALSE,"MO (2)"}</definedName>
    <definedName name="VMOB">#REF!</definedName>
    <definedName name="vndkl" localSheetId="20" hidden="1">{"'gráf jan00'!$A$1:$AK$41"}</definedName>
    <definedName name="vndkl" hidden="1">{"'gráf jan00'!$A$1:$AK$41"}</definedName>
    <definedName name="vndkl_1" localSheetId="20" hidden="1">{"'gráf jan00'!$A$1:$AK$41"}</definedName>
    <definedName name="vndkl_1" hidden="1">{"'gráf jan00'!$A$1:$AK$41"}</definedName>
    <definedName name="vndkl_1_1" localSheetId="20" hidden="1">{"'gráf jan00'!$A$1:$AK$41"}</definedName>
    <definedName name="vndkl_1_1" hidden="1">{"'gráf jan00'!$A$1:$AK$41"}</definedName>
    <definedName name="vndkl_1_1_1" localSheetId="20" hidden="1">{"'gráf jan00'!$A$1:$AK$41"}</definedName>
    <definedName name="vndkl_1_1_1" hidden="1">{"'gráf jan00'!$A$1:$AK$41"}</definedName>
    <definedName name="vndkl_1_2" localSheetId="20" hidden="1">{"'gráf jan00'!$A$1:$AK$41"}</definedName>
    <definedName name="vndkl_1_2" hidden="1">{"'gráf jan00'!$A$1:$AK$41"}</definedName>
    <definedName name="vndkl_2" localSheetId="20" hidden="1">{"'gráf jan00'!$A$1:$AK$41"}</definedName>
    <definedName name="vndkl_2" hidden="1">{"'gráf jan00'!$A$1:$AK$41"}</definedName>
    <definedName name="vndlk" localSheetId="20" hidden="1">{"'gráf jan00'!$A$1:$AK$41"}</definedName>
    <definedName name="vndlk" hidden="1">{"'gráf jan00'!$A$1:$AK$41"}</definedName>
    <definedName name="vndlk_1" localSheetId="20" hidden="1">{"'gráf jan00'!$A$1:$AK$41"}</definedName>
    <definedName name="vndlk_1" hidden="1">{"'gráf jan00'!$A$1:$AK$41"}</definedName>
    <definedName name="vndlk_1_1" localSheetId="20" hidden="1">{"'gráf jan00'!$A$1:$AK$41"}</definedName>
    <definedName name="vndlk_1_1" hidden="1">{"'gráf jan00'!$A$1:$AK$41"}</definedName>
    <definedName name="vndlk_1_1_1" localSheetId="20" hidden="1">{"'gráf jan00'!$A$1:$AK$41"}</definedName>
    <definedName name="vndlk_1_1_1" hidden="1">{"'gráf jan00'!$A$1:$AK$41"}</definedName>
    <definedName name="vndlk_1_2" localSheetId="20" hidden="1">{"'gráf jan00'!$A$1:$AK$41"}</definedName>
    <definedName name="vndlk_1_2" hidden="1">{"'gráf jan00'!$A$1:$AK$41"}</definedName>
    <definedName name="vndlk_2" localSheetId="20" hidden="1">{"'gráf jan00'!$A$1:$AK$41"}</definedName>
    <definedName name="vndlk_2" hidden="1">{"'gráf jan00'!$A$1:$AK$41"}</definedName>
    <definedName name="vndnkl" localSheetId="20" hidden="1">{"'gráf jan00'!$A$1:$AK$41"}</definedName>
    <definedName name="vndnkl" hidden="1">{"'gráf jan00'!$A$1:$AK$41"}</definedName>
    <definedName name="vndnkl_1" localSheetId="20" hidden="1">{"'gráf jan00'!$A$1:$AK$41"}</definedName>
    <definedName name="vndnkl_1" hidden="1">{"'gráf jan00'!$A$1:$AK$41"}</definedName>
    <definedName name="vndnkl_1_1" localSheetId="20" hidden="1">{"'gráf jan00'!$A$1:$AK$41"}</definedName>
    <definedName name="vndnkl_1_1" hidden="1">{"'gráf jan00'!$A$1:$AK$41"}</definedName>
    <definedName name="vndnkl_1_1_1" localSheetId="20" hidden="1">{"'gráf jan00'!$A$1:$AK$41"}</definedName>
    <definedName name="vndnkl_1_1_1" hidden="1">{"'gráf jan00'!$A$1:$AK$41"}</definedName>
    <definedName name="vndnkl_1_2" localSheetId="20" hidden="1">{"'gráf jan00'!$A$1:$AK$41"}</definedName>
    <definedName name="vndnkl_1_2" hidden="1">{"'gráf jan00'!$A$1:$AK$41"}</definedName>
    <definedName name="vndnkl_2" localSheetId="20" hidden="1">{"'gráf jan00'!$A$1:$AK$41"}</definedName>
    <definedName name="vndnkl_2" hidden="1">{"'gráf jan00'!$A$1:$AK$41"}</definedName>
    <definedName name="vnmd" localSheetId="20" hidden="1">{"'gráf jan00'!$A$1:$AK$41"}</definedName>
    <definedName name="vnmd" hidden="1">{"'gráf jan00'!$A$1:$AK$41"}</definedName>
    <definedName name="vnmd_1" localSheetId="20" hidden="1">{"'gráf jan00'!$A$1:$AK$41"}</definedName>
    <definedName name="vnmd_1" hidden="1">{"'gráf jan00'!$A$1:$AK$41"}</definedName>
    <definedName name="vnmd_1_1" localSheetId="20" hidden="1">{"'gráf jan00'!$A$1:$AK$41"}</definedName>
    <definedName name="vnmd_1_1" hidden="1">{"'gráf jan00'!$A$1:$AK$41"}</definedName>
    <definedName name="vnmd_1_1_1" localSheetId="20" hidden="1">{"'gráf jan00'!$A$1:$AK$41"}</definedName>
    <definedName name="vnmd_1_1_1" hidden="1">{"'gráf jan00'!$A$1:$AK$41"}</definedName>
    <definedName name="vnmd_1_2" localSheetId="20" hidden="1">{"'gráf jan00'!$A$1:$AK$41"}</definedName>
    <definedName name="vnmd_1_2" hidden="1">{"'gráf jan00'!$A$1:$AK$41"}</definedName>
    <definedName name="vnmd_2" localSheetId="20" hidden="1">{"'gráf jan00'!$A$1:$AK$41"}</definedName>
    <definedName name="vnmd_2" hidden="1">{"'gráf jan00'!$A$1:$AK$41"}</definedName>
    <definedName name="VOL">#REF!</definedName>
    <definedName name="VOL_ACUM">'[41]Fresagem de Pista Ago-98'!#REF!</definedName>
    <definedName name="VOLAVA">#NAME?</definedName>
    <definedName name="VOLUME">'[41]Fresagem de Pista Ago-98'!#REF!</definedName>
    <definedName name="Volume_8" localSheetId="21">#REF!</definedName>
    <definedName name="Volume_8">#REF!</definedName>
    <definedName name="Volume_9" localSheetId="21">#REF!</definedName>
    <definedName name="Volume_9">#REF!</definedName>
    <definedName name="vp" localSheetId="20" hidden="1">{"'Quadro'!$A$4:$BG$78"}</definedName>
    <definedName name="vp" hidden="1">{"'Quadro'!$A$4:$BG$78"}</definedName>
    <definedName name="vp_1" localSheetId="20" hidden="1">{"'Quadro'!$A$4:$BG$78"}</definedName>
    <definedName name="vp_1" hidden="1">{"'Quadro'!$A$4:$BG$78"}</definedName>
    <definedName name="vp_1_1" localSheetId="20" hidden="1">{"'Quadro'!$A$4:$BG$78"}</definedName>
    <definedName name="vp_1_1" hidden="1">{"'Quadro'!$A$4:$BG$78"}</definedName>
    <definedName name="vp_1_1_1" localSheetId="20" hidden="1">{"'Quadro'!$A$4:$BG$78"}</definedName>
    <definedName name="vp_1_1_1" hidden="1">{"'Quadro'!$A$4:$BG$78"}</definedName>
    <definedName name="vp_1_2" localSheetId="20" hidden="1">{"'Quadro'!$A$4:$BG$78"}</definedName>
    <definedName name="vp_1_2" hidden="1">{"'Quadro'!$A$4:$BG$78"}</definedName>
    <definedName name="vp_2" localSheetId="20" hidden="1">{"'Quadro'!$A$4:$BG$78"}</definedName>
    <definedName name="vp_2" hidden="1">{"'Quadro'!$A$4:$BG$78"}</definedName>
    <definedName name="vpf">#REF!</definedName>
    <definedName name="vpf_8" localSheetId="21">#REF!</definedName>
    <definedName name="vpf_8">#REF!</definedName>
    <definedName name="vpf_9" localSheetId="21">#REF!</definedName>
    <definedName name="vpf_9">#REF!</definedName>
    <definedName name="vpi">#REF!</definedName>
    <definedName name="vpi_5" localSheetId="21">#REF!</definedName>
    <definedName name="vpi_5">#REF!</definedName>
    <definedName name="vpi_7" localSheetId="21">#REF!</definedName>
    <definedName name="vpi_7">#REF!</definedName>
    <definedName name="vpi_9" localSheetId="21">#REF!</definedName>
    <definedName name="vpi_9">#REF!</definedName>
    <definedName name="VR">#REF!</definedName>
    <definedName name="VR_CONTRATO" localSheetId="21">#REF!</definedName>
    <definedName name="VR_CONTRATO">'[94]Vínculos (Não Mexer)'!$G$39</definedName>
    <definedName name="VSR">#REF!</definedName>
    <definedName name="vt">'[101]P reaj x P atual'!#REF!</definedName>
    <definedName name="vv" localSheetId="0">[34]!vv</definedName>
    <definedName name="vv">[34]!vv</definedName>
    <definedName name="vv_1" localSheetId="20" hidden="1">{"'CptDifn'!$AA$32:$AG$32"}</definedName>
    <definedName name="vv_1" hidden="1">{"'CptDifn'!$AA$32:$AG$32"}</definedName>
    <definedName name="vv_1_1" localSheetId="20" hidden="1">{"'CptDifn'!$AA$32:$AG$32"}</definedName>
    <definedName name="vv_1_1" hidden="1">{"'CptDifn'!$AA$32:$AG$32"}</definedName>
    <definedName name="vv_1_1_1" localSheetId="20" hidden="1">{"'CptDifn'!$AA$32:$AG$32"}</definedName>
    <definedName name="vv_1_1_1" hidden="1">{"'CptDifn'!$AA$32:$AG$32"}</definedName>
    <definedName name="vv_1_2" localSheetId="20" hidden="1">{"'CptDifn'!$AA$32:$AG$32"}</definedName>
    <definedName name="vv_1_2" hidden="1">{"'CptDifn'!$AA$32:$AG$32"}</definedName>
    <definedName name="vv_2" localSheetId="20" hidden="1">{"'CptDifn'!$AA$32:$AG$32"}</definedName>
    <definedName name="vv_2" hidden="1">{"'CptDifn'!$AA$32:$AG$32"}</definedName>
    <definedName name="vvv" localSheetId="20" hidden="1">{#N/A,#N/A,FALSE,"MO (2)"}</definedName>
    <definedName name="vvv" hidden="1">{#N/A,#N/A,FALSE,"MO (2)"}</definedName>
    <definedName name="vvv_1" localSheetId="20" hidden="1">{"'teste'!$B$2:$R$49"}</definedName>
    <definedName name="vvv_1" hidden="1">{"'teste'!$B$2:$R$49"}</definedName>
    <definedName name="vvv_1_1" localSheetId="20" hidden="1">{"'teste'!$B$2:$R$49"}</definedName>
    <definedName name="vvv_1_1" hidden="1">{"'teste'!$B$2:$R$49"}</definedName>
    <definedName name="vvv_1_1_1" localSheetId="20" hidden="1">{"'teste'!$B$2:$R$49"}</definedName>
    <definedName name="vvv_1_1_1" hidden="1">{"'teste'!$B$2:$R$49"}</definedName>
    <definedName name="vvv_1_2" localSheetId="20" hidden="1">{"'teste'!$B$2:$R$49"}</definedName>
    <definedName name="vvv_1_2" hidden="1">{"'teste'!$B$2:$R$49"}</definedName>
    <definedName name="vvv_2" localSheetId="20" hidden="1">{"'teste'!$B$2:$R$49"}</definedName>
    <definedName name="vvv_2" hidden="1">{"'teste'!$B$2:$R$49"}</definedName>
    <definedName name="VVVV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xs" localSheetId="20" hidden="1">{"'RR'!$A$2:$E$81"}</definedName>
    <definedName name="vxs" hidden="1">{"'RR'!$A$2:$E$81"}</definedName>
    <definedName name="vxs_1" localSheetId="20" hidden="1">{"'RR'!$A$2:$E$81"}</definedName>
    <definedName name="vxs_1" hidden="1">{"'RR'!$A$2:$E$81"}</definedName>
    <definedName name="vxs_1_1" localSheetId="20" hidden="1">{"'RR'!$A$2:$E$81"}</definedName>
    <definedName name="vxs_1_1" hidden="1">{"'RR'!$A$2:$E$81"}</definedName>
    <definedName name="vxs_1_1_1" localSheetId="20" hidden="1">{"'RR'!$A$2:$E$81"}</definedName>
    <definedName name="vxs_1_1_1" hidden="1">{"'RR'!$A$2:$E$81"}</definedName>
    <definedName name="vxs_1_2" localSheetId="20" hidden="1">{"'RR'!$A$2:$E$81"}</definedName>
    <definedName name="vxs_1_2" hidden="1">{"'RR'!$A$2:$E$81"}</definedName>
    <definedName name="vxs_2" localSheetId="20" hidden="1">{"'RR'!$A$2:$E$81"}</definedName>
    <definedName name="vxs_2" hidden="1">{"'RR'!$A$2:$E$81"}</definedName>
    <definedName name="w" localSheetId="20">#REF!</definedName>
    <definedName name="w" localSheetId="21" hidden="1">{#N/A,#N/A,TRUE,"Plan1"}</definedName>
    <definedName name="w">[36]PROJETO!#REF!</definedName>
    <definedName name="w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1">[226]PROJETO!#REF!</definedName>
    <definedName name="wa" localSheetId="20" hidden="1">{"'CptDifn'!$AA$32:$AG$32"}</definedName>
    <definedName name="wa" hidden="1">{"'CptDifn'!$AA$32:$AG$32"}</definedName>
    <definedName name="wa_1" localSheetId="20" hidden="1">{"'CptDifn'!$AA$32:$AG$32"}</definedName>
    <definedName name="wa_1" hidden="1">{"'CptDifn'!$AA$32:$AG$32"}</definedName>
    <definedName name="wa_1_1" localSheetId="20" hidden="1">{"'CptDifn'!$AA$32:$AG$32"}</definedName>
    <definedName name="wa_1_1" hidden="1">{"'CptDifn'!$AA$32:$AG$32"}</definedName>
    <definedName name="wa_1_1_1" localSheetId="20" hidden="1">{"'CptDifn'!$AA$32:$AG$32"}</definedName>
    <definedName name="wa_1_1_1" hidden="1">{"'CptDifn'!$AA$32:$AG$32"}</definedName>
    <definedName name="wa_1_2" localSheetId="20" hidden="1">{"'CptDifn'!$AA$32:$AG$32"}</definedName>
    <definedName name="wa_1_2" hidden="1">{"'CptDifn'!$AA$32:$AG$32"}</definedName>
    <definedName name="wa_2" localSheetId="20" hidden="1">{"'CptDifn'!$AA$32:$AG$32"}</definedName>
    <definedName name="wa_2" hidden="1">{"'CptDifn'!$AA$32:$AG$32"}</definedName>
    <definedName name="waas" localSheetId="20" hidden="1">{"'Quadro'!$A$4:$BG$78"}</definedName>
    <definedName name="waas" hidden="1">{"'Quadro'!$A$4:$BG$78"}</definedName>
    <definedName name="waas_1" localSheetId="20" hidden="1">{"'Quadro'!$A$4:$BG$78"}</definedName>
    <definedName name="waas_1" hidden="1">{"'Quadro'!$A$4:$BG$78"}</definedName>
    <definedName name="waas_1_1" localSheetId="20" hidden="1">{"'Quadro'!$A$4:$BG$78"}</definedName>
    <definedName name="waas_1_1" hidden="1">{"'Quadro'!$A$4:$BG$78"}</definedName>
    <definedName name="waas_1_1_1" localSheetId="20" hidden="1">{"'Quadro'!$A$4:$BG$78"}</definedName>
    <definedName name="waas_1_1_1" hidden="1">{"'Quadro'!$A$4:$BG$78"}</definedName>
    <definedName name="waas_1_2" localSheetId="20" hidden="1">{"'Quadro'!$A$4:$BG$78"}</definedName>
    <definedName name="waas_1_2" hidden="1">{"'Quadro'!$A$4:$BG$78"}</definedName>
    <definedName name="waas_2" localSheetId="20" hidden="1">{"'Quadro'!$A$4:$BG$78"}</definedName>
    <definedName name="waas_2" hidden="1">{"'Quadro'!$A$4:$BG$78"}</definedName>
    <definedName name="wadfaw" localSheetId="20" hidden="1">{#N/A,#N/A,TRUE,"indice";#N/A,#N/A,TRUE,"indicadores";#N/A,#N/A,TRUE,"comentarios"}</definedName>
    <definedName name="wadfaw" hidden="1">{#N/A,#N/A,TRUE,"indice";#N/A,#N/A,TRUE,"indicadores";#N/A,#N/A,TRUE,"comentarios"}</definedName>
    <definedName name="wadfaw_1" localSheetId="20" hidden="1">{#N/A,#N/A,TRUE,"indice";#N/A,#N/A,TRUE,"indicadores";#N/A,#N/A,TRUE,"comentarios"}</definedName>
    <definedName name="wadfaw_1" hidden="1">{#N/A,#N/A,TRUE,"indice";#N/A,#N/A,TRUE,"indicadores";#N/A,#N/A,TRUE,"comentarios"}</definedName>
    <definedName name="wadfaw_1_1" localSheetId="20" hidden="1">{#N/A,#N/A,TRUE,"indice";#N/A,#N/A,TRUE,"indicadores";#N/A,#N/A,TRUE,"comentarios"}</definedName>
    <definedName name="wadfaw_1_1" hidden="1">{#N/A,#N/A,TRUE,"indice";#N/A,#N/A,TRUE,"indicadores";#N/A,#N/A,TRUE,"comentarios"}</definedName>
    <definedName name="wadfaw_1_1_1" localSheetId="20" hidden="1">{#N/A,#N/A,TRUE,"indice";#N/A,#N/A,TRUE,"indicadores";#N/A,#N/A,TRUE,"comentarios"}</definedName>
    <definedName name="wadfaw_1_1_1" hidden="1">{#N/A,#N/A,TRUE,"indice";#N/A,#N/A,TRUE,"indicadores";#N/A,#N/A,TRUE,"comentarios"}</definedName>
    <definedName name="wadfaw_1_2" localSheetId="20" hidden="1">{#N/A,#N/A,TRUE,"indice";#N/A,#N/A,TRUE,"indicadores";#N/A,#N/A,TRUE,"comentarios"}</definedName>
    <definedName name="wadfaw_1_2" hidden="1">{#N/A,#N/A,TRUE,"indice";#N/A,#N/A,TRUE,"indicadores";#N/A,#N/A,TRUE,"comentarios"}</definedName>
    <definedName name="wadfaw_2" localSheetId="20" hidden="1">{#N/A,#N/A,TRUE,"indice";#N/A,#N/A,TRUE,"indicadores";#N/A,#N/A,TRUE,"comentarios"}</definedName>
    <definedName name="wadfaw_2" hidden="1">{#N/A,#N/A,TRUE,"indice";#N/A,#N/A,TRUE,"indicadores";#N/A,#N/A,TRUE,"comentarios"}</definedName>
    <definedName name="WAESDE">#REF!</definedName>
    <definedName name="WAESDE_1">#REF!</definedName>
    <definedName name="WAESDE_14" localSheetId="21">#REF!</definedName>
    <definedName name="WAESDE_14">#REF!</definedName>
    <definedName name="WAESDE_7">#REF!</definedName>
    <definedName name="WAESDE_7_1">#REF!</definedName>
    <definedName name="WAESDE_7_14" localSheetId="21">#REF!</definedName>
    <definedName name="WAESDE_7_14">#REF!</definedName>
    <definedName name="was" localSheetId="20" hidden="1">{#N/A,#N/A,FALSE,"Aging Summary";#N/A,#N/A,FALSE,"Ratio Analysis";#N/A,#N/A,FALSE,"Test 120 Day Accts";#N/A,#N/A,FALSE,"Tickmarks"}</definedName>
    <definedName name="was" hidden="1">{#N/A,#N/A,FALSE,"Aging Summary";#N/A,#N/A,FALSE,"Ratio Analysis";#N/A,#N/A,FALSE,"Test 120 Day Accts";#N/A,#N/A,FALSE,"Tickmarks"}</definedName>
    <definedName name="was_1" localSheetId="20" hidden="1">{#N/A,#N/A,FALSE,"Aging Summary";#N/A,#N/A,FALSE,"Ratio Analysis";#N/A,#N/A,FALSE,"Test 120 Day Accts";#N/A,#N/A,FALSE,"Tickmarks"}</definedName>
    <definedName name="was_1" hidden="1">{#N/A,#N/A,FALSE,"Aging Summary";#N/A,#N/A,FALSE,"Ratio Analysis";#N/A,#N/A,FALSE,"Test 120 Day Accts";#N/A,#N/A,FALSE,"Tickmarks"}</definedName>
    <definedName name="was_1_1" localSheetId="20" hidden="1">{#N/A,#N/A,FALSE,"Aging Summary";#N/A,#N/A,FALSE,"Ratio Analysis";#N/A,#N/A,FALSE,"Test 120 Day Accts";#N/A,#N/A,FALSE,"Tickmarks"}</definedName>
    <definedName name="was_1_1" hidden="1">{#N/A,#N/A,FALSE,"Aging Summary";#N/A,#N/A,FALSE,"Ratio Analysis";#N/A,#N/A,FALSE,"Test 120 Day Accts";#N/A,#N/A,FALSE,"Tickmarks"}</definedName>
    <definedName name="was_1_1_1" localSheetId="20" hidden="1">{#N/A,#N/A,FALSE,"Aging Summary";#N/A,#N/A,FALSE,"Ratio Analysis";#N/A,#N/A,FALSE,"Test 120 Day Accts";#N/A,#N/A,FALSE,"Tickmarks"}</definedName>
    <definedName name="was_1_1_1" hidden="1">{#N/A,#N/A,FALSE,"Aging Summary";#N/A,#N/A,FALSE,"Ratio Analysis";#N/A,#N/A,FALSE,"Test 120 Day Accts";#N/A,#N/A,FALSE,"Tickmarks"}</definedName>
    <definedName name="was_1_2" localSheetId="20" hidden="1">{#N/A,#N/A,FALSE,"Aging Summary";#N/A,#N/A,FALSE,"Ratio Analysis";#N/A,#N/A,FALSE,"Test 120 Day Accts";#N/A,#N/A,FALSE,"Tickmarks"}</definedName>
    <definedName name="was_1_2" hidden="1">{#N/A,#N/A,FALSE,"Aging Summary";#N/A,#N/A,FALSE,"Ratio Analysis";#N/A,#N/A,FALSE,"Test 120 Day Accts";#N/A,#N/A,FALSE,"Tickmarks"}</definedName>
    <definedName name="was_2" localSheetId="20" hidden="1">{#N/A,#N/A,FALSE,"Aging Summary";#N/A,#N/A,FALSE,"Ratio Analysis";#N/A,#N/A,FALSE,"Test 120 Day Accts";#N/A,#N/A,FALSE,"Tickmarks"}</definedName>
    <definedName name="was_2" hidden="1">{#N/A,#N/A,FALSE,"Aging Summary";#N/A,#N/A,FALSE,"Ratio Analysis";#N/A,#N/A,FALSE,"Test 120 Day Accts";#N/A,#N/A,FALSE,"Tickmarks"}</definedName>
    <definedName name="wd" localSheetId="20" hidden="1">{"'CptDifn'!$AA$32:$AG$32"}</definedName>
    <definedName name="wd" hidden="1">{"'CptDifn'!$AA$32:$AG$32"}</definedName>
    <definedName name="wd_1" localSheetId="20" hidden="1">{"'CptDifn'!$AA$32:$AG$32"}</definedName>
    <definedName name="wd_1" hidden="1">{"'CptDifn'!$AA$32:$AG$32"}</definedName>
    <definedName name="wd_1_1" localSheetId="20" hidden="1">{"'CptDifn'!$AA$32:$AG$32"}</definedName>
    <definedName name="wd_1_1" hidden="1">{"'CptDifn'!$AA$32:$AG$32"}</definedName>
    <definedName name="wd_1_1_1" localSheetId="20" hidden="1">{"'CptDifn'!$AA$32:$AG$32"}</definedName>
    <definedName name="wd_1_1_1" hidden="1">{"'CptDifn'!$AA$32:$AG$32"}</definedName>
    <definedName name="wd_1_2" localSheetId="20" hidden="1">{"'CptDifn'!$AA$32:$AG$32"}</definedName>
    <definedName name="wd_1_2" hidden="1">{"'CptDifn'!$AA$32:$AG$32"}</definedName>
    <definedName name="wd_2" localSheetId="20" hidden="1">{"'CptDifn'!$AA$32:$AG$32"}</definedName>
    <definedName name="wd_2" hidden="1">{"'CptDifn'!$AA$32:$AG$32"}</definedName>
    <definedName name="wdewdwd" localSheetId="20" hidden="1">{#N/A,#N/A,FALSE,"PCOL"}</definedName>
    <definedName name="wdewdwd" hidden="1">{#N/A,#N/A,FALSE,"PCOL"}</definedName>
    <definedName name="wdewdwd_1" localSheetId="20" hidden="1">{#N/A,#N/A,FALSE,"PCOL"}</definedName>
    <definedName name="wdewdwd_1" hidden="1">{#N/A,#N/A,FALSE,"PCOL"}</definedName>
    <definedName name="wdewdwd_1_1" localSheetId="20" hidden="1">{#N/A,#N/A,FALSE,"PCOL"}</definedName>
    <definedName name="wdewdwd_1_1" hidden="1">{#N/A,#N/A,FALSE,"PCOL"}</definedName>
    <definedName name="wdewdwd_1_1_1" localSheetId="20" hidden="1">{#N/A,#N/A,FALSE,"PCOL"}</definedName>
    <definedName name="wdewdwd_1_1_1" hidden="1">{#N/A,#N/A,FALSE,"PCOL"}</definedName>
    <definedName name="wdewdwd_1_2" localSheetId="20" hidden="1">{#N/A,#N/A,FALSE,"PCOL"}</definedName>
    <definedName name="wdewdwd_1_2" hidden="1">{#N/A,#N/A,FALSE,"PCOL"}</definedName>
    <definedName name="wdewdwd_2" localSheetId="20" hidden="1">{#N/A,#N/A,FALSE,"PCOL"}</definedName>
    <definedName name="wdewdwd_2" hidden="1">{#N/A,#N/A,FALSE,"PCOL"}</definedName>
    <definedName name="wdwd_1" localSheetId="20" hidden="1">{#N/A,#N/A,FALSE,"PCOL"}</definedName>
    <definedName name="wdwd_1" hidden="1">{#N/A,#N/A,FALSE,"PCOL"}</definedName>
    <definedName name="wdwd_1_1" localSheetId="20" hidden="1">{#N/A,#N/A,FALSE,"PCOL"}</definedName>
    <definedName name="wdwd_1_1" hidden="1">{#N/A,#N/A,FALSE,"PCOL"}</definedName>
    <definedName name="wdwd_1_1_1" localSheetId="20" hidden="1">{#N/A,#N/A,FALSE,"PCOL"}</definedName>
    <definedName name="wdwd_1_1_1" hidden="1">{#N/A,#N/A,FALSE,"PCOL"}</definedName>
    <definedName name="wdwd_1_2" localSheetId="20" hidden="1">{#N/A,#N/A,FALSE,"PCOL"}</definedName>
    <definedName name="wdwd_1_2" hidden="1">{#N/A,#N/A,FALSE,"PCOL"}</definedName>
    <definedName name="wdwd_2" localSheetId="20" hidden="1">{#N/A,#N/A,FALSE,"PCOL"}</definedName>
    <definedName name="wdwd_2" hidden="1">{#N/A,#N/A,FALSE,"PCOL"}</definedName>
    <definedName name="wdwqdq" hidden="1">#REF!</definedName>
    <definedName name="we" localSheetId="20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edwedw" localSheetId="20" hidden="1">{#N/A,#N/A,FALSE,"PCOL"}</definedName>
    <definedName name="wedwedw" hidden="1">{#N/A,#N/A,FALSE,"PCOL"}</definedName>
    <definedName name="wedwedw_1" localSheetId="20" hidden="1">{#N/A,#N/A,FALSE,"PCOL"}</definedName>
    <definedName name="wedwedw_1" hidden="1">{#N/A,#N/A,FALSE,"PCOL"}</definedName>
    <definedName name="wedwedw_1_1" localSheetId="20" hidden="1">{#N/A,#N/A,FALSE,"PCOL"}</definedName>
    <definedName name="wedwedw_1_1" hidden="1">{#N/A,#N/A,FALSE,"PCOL"}</definedName>
    <definedName name="wedwedw_1_1_1" localSheetId="20" hidden="1">{#N/A,#N/A,FALSE,"PCOL"}</definedName>
    <definedName name="wedwedw_1_1_1" hidden="1">{#N/A,#N/A,FALSE,"PCOL"}</definedName>
    <definedName name="wedwedw_1_2" localSheetId="20" hidden="1">{#N/A,#N/A,FALSE,"PCOL"}</definedName>
    <definedName name="wedwedw_1_2" hidden="1">{#N/A,#N/A,FALSE,"PCOL"}</definedName>
    <definedName name="wedwedw_2" localSheetId="20" hidden="1">{#N/A,#N/A,FALSE,"PCOL"}</definedName>
    <definedName name="wedwedw_2" hidden="1">{#N/A,#N/A,FALSE,"PCOL"}</definedName>
    <definedName name="wedwew" localSheetId="20" hidden="1">{#N/A,#N/A,FALSE,"PCOL"}</definedName>
    <definedName name="wedwew" hidden="1">{#N/A,#N/A,FALSE,"PCOL"}</definedName>
    <definedName name="wedwew_1" localSheetId="20" hidden="1">{#N/A,#N/A,FALSE,"PCOL"}</definedName>
    <definedName name="wedwew_1" hidden="1">{#N/A,#N/A,FALSE,"PCOL"}</definedName>
    <definedName name="wedwew_1_1" localSheetId="20" hidden="1">{#N/A,#N/A,FALSE,"PCOL"}</definedName>
    <definedName name="wedwew_1_1" hidden="1">{#N/A,#N/A,FALSE,"PCOL"}</definedName>
    <definedName name="wedwew_1_1_1" localSheetId="20" hidden="1">{#N/A,#N/A,FALSE,"PCOL"}</definedName>
    <definedName name="wedwew_1_1_1" hidden="1">{#N/A,#N/A,FALSE,"PCOL"}</definedName>
    <definedName name="wedwew_1_2" localSheetId="20" hidden="1">{#N/A,#N/A,FALSE,"PCOL"}</definedName>
    <definedName name="wedwew_1_2" hidden="1">{#N/A,#N/A,FALSE,"PCOL"}</definedName>
    <definedName name="wedwew_2" localSheetId="20" hidden="1">{#N/A,#N/A,FALSE,"PCOL"}</definedName>
    <definedName name="wedwew_2" hidden="1">{#N/A,#N/A,FALSE,"PCOL"}</definedName>
    <definedName name="weet" localSheetId="20" hidden="1">{"'CptDifn'!$AA$32:$AG$32"}</definedName>
    <definedName name="weet" hidden="1">{"'CptDifn'!$AA$32:$AG$32"}</definedName>
    <definedName name="weet_1" localSheetId="20" hidden="1">{"'CptDifn'!$AA$32:$AG$32"}</definedName>
    <definedName name="weet_1" hidden="1">{"'CptDifn'!$AA$32:$AG$32"}</definedName>
    <definedName name="weet_1_1" localSheetId="20" hidden="1">{"'CptDifn'!$AA$32:$AG$32"}</definedName>
    <definedName name="weet_1_1" hidden="1">{"'CptDifn'!$AA$32:$AG$32"}</definedName>
    <definedName name="weet_1_1_1" localSheetId="20" hidden="1">{"'CptDifn'!$AA$32:$AG$32"}</definedName>
    <definedName name="weet_1_1_1" hidden="1">{"'CptDifn'!$AA$32:$AG$32"}</definedName>
    <definedName name="weet_1_2" localSheetId="20" hidden="1">{"'CptDifn'!$AA$32:$AG$32"}</definedName>
    <definedName name="weet_1_2" hidden="1">{"'CptDifn'!$AA$32:$AG$32"}</definedName>
    <definedName name="weet_2" localSheetId="20" hidden="1">{"'CptDifn'!$AA$32:$AG$32"}</definedName>
    <definedName name="weet_2" hidden="1">{"'CptDifn'!$AA$32:$AG$32"}</definedName>
    <definedName name="wef" localSheetId="20" hidden="1">{"'gráf jan00'!$A$1:$AK$41"}</definedName>
    <definedName name="wef" hidden="1">{"'gráf jan00'!$A$1:$AK$41"}</definedName>
    <definedName name="wef_1" localSheetId="20" hidden="1">{"'gráf jan00'!$A$1:$AK$41"}</definedName>
    <definedName name="wef_1" hidden="1">{"'gráf jan00'!$A$1:$AK$41"}</definedName>
    <definedName name="wef_1_1" localSheetId="20" hidden="1">{"'gráf jan00'!$A$1:$AK$41"}</definedName>
    <definedName name="wef_1_1" hidden="1">{"'gráf jan00'!$A$1:$AK$41"}</definedName>
    <definedName name="wef_1_1_1" localSheetId="20" hidden="1">{"'gráf jan00'!$A$1:$AK$41"}</definedName>
    <definedName name="wef_1_1_1" hidden="1">{"'gráf jan00'!$A$1:$AK$41"}</definedName>
    <definedName name="wef_1_2" localSheetId="20" hidden="1">{"'gráf jan00'!$A$1:$AK$41"}</definedName>
    <definedName name="wef_1_2" hidden="1">{"'gráf jan00'!$A$1:$AK$41"}</definedName>
    <definedName name="wef_2" localSheetId="20" hidden="1">{"'gráf jan00'!$A$1:$AK$41"}</definedName>
    <definedName name="wef_2" hidden="1">{"'gráf jan00'!$A$1:$AK$41"}</definedName>
    <definedName name="WELLINGTON_MENDES">#N/A</definedName>
    <definedName name="wer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er" localSheetId="21">#N/A</definedName>
    <definedName name="wer">#N/A</definedName>
    <definedName name="wer_1" localSheetId="20" hidden="1">{#N/A,#N/A,FALSE,"지침";#N/A,#N/A,FALSE,"환경분석";#N/A,#N/A,FALSE,"Sheet16"}</definedName>
    <definedName name="wer_1" hidden="1">{#N/A,#N/A,FALSE,"지침";#N/A,#N/A,FALSE,"환경분석";#N/A,#N/A,FALSE,"Sheet16"}</definedName>
    <definedName name="wer_1_1" localSheetId="20" hidden="1">{#N/A,#N/A,FALSE,"지침";#N/A,#N/A,FALSE,"환경분석";#N/A,#N/A,FALSE,"Sheet16"}</definedName>
    <definedName name="wer_1_1" hidden="1">{#N/A,#N/A,FALSE,"지침";#N/A,#N/A,FALSE,"환경분석";#N/A,#N/A,FALSE,"Sheet16"}</definedName>
    <definedName name="wer_1_1_1" localSheetId="20" hidden="1">{#N/A,#N/A,FALSE,"지침";#N/A,#N/A,FALSE,"환경분석";#N/A,#N/A,FALSE,"Sheet16"}</definedName>
    <definedName name="wer_1_1_1" hidden="1">{#N/A,#N/A,FALSE,"지침";#N/A,#N/A,FALSE,"환경분석";#N/A,#N/A,FALSE,"Sheet16"}</definedName>
    <definedName name="wer_1_2" localSheetId="20" hidden="1">{#N/A,#N/A,FALSE,"지침";#N/A,#N/A,FALSE,"환경분석";#N/A,#N/A,FALSE,"Sheet16"}</definedName>
    <definedName name="wer_1_2" hidden="1">{#N/A,#N/A,FALSE,"지침";#N/A,#N/A,FALSE,"환경분석";#N/A,#N/A,FALSE,"Sheet16"}</definedName>
    <definedName name="wer_2" localSheetId="20" hidden="1">{#N/A,#N/A,FALSE,"지침";#N/A,#N/A,FALSE,"환경분석";#N/A,#N/A,FALSE,"Sheet16"}</definedName>
    <definedName name="wer_2" hidden="1">{#N/A,#N/A,FALSE,"지침";#N/A,#N/A,FALSE,"환경분석";#N/A,#N/A,FALSE,"Sheet16"}</definedName>
    <definedName name="werd" localSheetId="20" hidden="1">{"'Quadro'!$A$4:$BG$78"}</definedName>
    <definedName name="werd" hidden="1">{"'Quadro'!$A$4:$BG$78"}</definedName>
    <definedName name="werd_1" localSheetId="20" hidden="1">{"'Quadro'!$A$4:$BG$78"}</definedName>
    <definedName name="werd_1" hidden="1">{"'Quadro'!$A$4:$BG$78"}</definedName>
    <definedName name="werd_1_1" localSheetId="20" hidden="1">{"'Quadro'!$A$4:$BG$78"}</definedName>
    <definedName name="werd_1_1" hidden="1">{"'Quadro'!$A$4:$BG$78"}</definedName>
    <definedName name="werd_1_1_1" localSheetId="20" hidden="1">{"'Quadro'!$A$4:$BG$78"}</definedName>
    <definedName name="werd_1_1_1" hidden="1">{"'Quadro'!$A$4:$BG$78"}</definedName>
    <definedName name="werd_1_2" localSheetId="20" hidden="1">{"'Quadro'!$A$4:$BG$78"}</definedName>
    <definedName name="werd_1_2" hidden="1">{"'Quadro'!$A$4:$BG$78"}</definedName>
    <definedName name="werd_2" localSheetId="20" hidden="1">{"'Quadro'!$A$4:$BG$78"}</definedName>
    <definedName name="werd_2" hidden="1">{"'Quadro'!$A$4:$BG$78"}</definedName>
    <definedName name="werftdsfgdfg" localSheetId="20" hidden="1">{"det (May)",#N/A,FALSE,"June";"sum (MAY YTD)",#N/A,FALSE,"June YTD"}</definedName>
    <definedName name="werftdsfgdfg" hidden="1">{"det (May)",#N/A,FALSE,"June";"sum (MAY YTD)",#N/A,FALSE,"June YTD"}</definedName>
    <definedName name="werftdsfgdfg_1" localSheetId="20" hidden="1">{"det (May)",#N/A,FALSE,"June";"sum (MAY YTD)",#N/A,FALSE,"June YTD"}</definedName>
    <definedName name="werftdsfgdfg_1" hidden="1">{"det (May)",#N/A,FALSE,"June";"sum (MAY YTD)",#N/A,FALSE,"June YTD"}</definedName>
    <definedName name="werftdsfgdfg_1_1" localSheetId="20" hidden="1">{"det (May)",#N/A,FALSE,"June";"sum (MAY YTD)",#N/A,FALSE,"June YTD"}</definedName>
    <definedName name="werftdsfgdfg_1_1" hidden="1">{"det (May)",#N/A,FALSE,"June";"sum (MAY YTD)",#N/A,FALSE,"June YTD"}</definedName>
    <definedName name="werftdsfgdfg_1_1_1" localSheetId="20" hidden="1">{"det (May)",#N/A,FALSE,"June";"sum (MAY YTD)",#N/A,FALSE,"June YTD"}</definedName>
    <definedName name="werftdsfgdfg_1_1_1" hidden="1">{"det (May)",#N/A,FALSE,"June";"sum (MAY YTD)",#N/A,FALSE,"June YTD"}</definedName>
    <definedName name="werftdsfgdfg_1_2" localSheetId="20" hidden="1">{"det (May)",#N/A,FALSE,"June";"sum (MAY YTD)",#N/A,FALSE,"June YTD"}</definedName>
    <definedName name="werftdsfgdfg_1_2" hidden="1">{"det (May)",#N/A,FALSE,"June";"sum (MAY YTD)",#N/A,FALSE,"June YTD"}</definedName>
    <definedName name="werftdsfgdfg_2" localSheetId="20" hidden="1">{"det (May)",#N/A,FALSE,"June";"sum (MAY YTD)",#N/A,FALSE,"June YTD"}</definedName>
    <definedName name="werftdsfgdfg_2" hidden="1">{"det (May)",#N/A,FALSE,"June";"sum (MAY YTD)",#N/A,FALSE,"June YTD"}</definedName>
    <definedName name="werqtwert" localSheetId="20" hidden="1">{"'Quadro'!$A$4:$BG$78"}</definedName>
    <definedName name="werqtwert" hidden="1">{"'Quadro'!$A$4:$BG$78"}</definedName>
    <definedName name="werqtwert_1" localSheetId="20" hidden="1">{"'Quadro'!$A$4:$BG$78"}</definedName>
    <definedName name="werqtwert_1" hidden="1">{"'Quadro'!$A$4:$BG$78"}</definedName>
    <definedName name="werqtwert_1_1" localSheetId="20" hidden="1">{"'Quadro'!$A$4:$BG$78"}</definedName>
    <definedName name="werqtwert_1_1" hidden="1">{"'Quadro'!$A$4:$BG$78"}</definedName>
    <definedName name="werqtwert_1_1_1" localSheetId="20" hidden="1">{"'Quadro'!$A$4:$BG$78"}</definedName>
    <definedName name="werqtwert_1_1_1" hidden="1">{"'Quadro'!$A$4:$BG$78"}</definedName>
    <definedName name="werqtwert_1_2" localSheetId="20" hidden="1">{"'Quadro'!$A$4:$BG$78"}</definedName>
    <definedName name="werqtwert_1_2" hidden="1">{"'Quadro'!$A$4:$BG$78"}</definedName>
    <definedName name="werqtwert_2" localSheetId="20" hidden="1">{"'Quadro'!$A$4:$BG$78"}</definedName>
    <definedName name="werqtwert_2" hidden="1">{"'Quadro'!$A$4:$BG$78"}</definedName>
    <definedName name="wew" localSheetId="2">RESUMO!wew</definedName>
    <definedName name="wew">wew</definedName>
    <definedName name="wew_38" localSheetId="2">RESUMO!wew_38</definedName>
    <definedName name="wew_38">wew_38</definedName>
    <definedName name="wewe" localSheetId="20" hidden="1">{#N/A,#N/A,FALSE,"PCOL"}</definedName>
    <definedName name="wewe" hidden="1">{#N/A,#N/A,FALSE,"PCOL"}</definedName>
    <definedName name="wewe_1" localSheetId="20" hidden="1">{#N/A,#N/A,FALSE,"PCOL"}</definedName>
    <definedName name="wewe_1" hidden="1">{#N/A,#N/A,FALSE,"PCOL"}</definedName>
    <definedName name="wewe_1_1" localSheetId="20" hidden="1">{#N/A,#N/A,FALSE,"PCOL"}</definedName>
    <definedName name="wewe_1_1" hidden="1">{#N/A,#N/A,FALSE,"PCOL"}</definedName>
    <definedName name="wewe_1_1_1" localSheetId="20" hidden="1">{#N/A,#N/A,FALSE,"PCOL"}</definedName>
    <definedName name="wewe_1_1_1" hidden="1">{#N/A,#N/A,FALSE,"PCOL"}</definedName>
    <definedName name="wewe_1_2" localSheetId="20" hidden="1">{#N/A,#N/A,FALSE,"PCOL"}</definedName>
    <definedName name="wewe_1_2" hidden="1">{#N/A,#N/A,FALSE,"PCOL"}</definedName>
    <definedName name="wewe_2" localSheetId="20" hidden="1">{#N/A,#N/A,FALSE,"PCOL"}</definedName>
    <definedName name="wewe_2" hidden="1">{#N/A,#N/A,FALSE,"PCOL"}</definedName>
    <definedName name="wewedwedw" localSheetId="20" hidden="1">{#N/A,#N/A,FALSE,"PCOL"}</definedName>
    <definedName name="wewedwedw" hidden="1">{#N/A,#N/A,FALSE,"PCOL"}</definedName>
    <definedName name="wewedwedw_1" localSheetId="20" hidden="1">{#N/A,#N/A,FALSE,"PCOL"}</definedName>
    <definedName name="wewedwedw_1" hidden="1">{#N/A,#N/A,FALSE,"PCOL"}</definedName>
    <definedName name="wewedwedw_1_1" localSheetId="20" hidden="1">{#N/A,#N/A,FALSE,"PCOL"}</definedName>
    <definedName name="wewedwedw_1_1" hidden="1">{#N/A,#N/A,FALSE,"PCOL"}</definedName>
    <definedName name="wewedwedw_1_1_1" localSheetId="20" hidden="1">{#N/A,#N/A,FALSE,"PCOL"}</definedName>
    <definedName name="wewedwedw_1_1_1" hidden="1">{#N/A,#N/A,FALSE,"PCOL"}</definedName>
    <definedName name="wewedwedw_1_2" localSheetId="20" hidden="1">{#N/A,#N/A,FALSE,"PCOL"}</definedName>
    <definedName name="wewedwedw_1_2" hidden="1">{#N/A,#N/A,FALSE,"PCOL"}</definedName>
    <definedName name="wewedwedw_2" localSheetId="20" hidden="1">{#N/A,#N/A,FALSE,"PCOL"}</definedName>
    <definedName name="wewedwedw_2" hidden="1">{#N/A,#N/A,FALSE,"PCOL"}</definedName>
    <definedName name="wewew" localSheetId="20" hidden="1">{#N/A,#N/A,FALSE,"PCOL"}</definedName>
    <definedName name="wewew" hidden="1">{#N/A,#N/A,FALSE,"PCOL"}</definedName>
    <definedName name="wewew_1" localSheetId="20" hidden="1">{#N/A,#N/A,FALSE,"PCOL"}</definedName>
    <definedName name="wewew_1" hidden="1">{#N/A,#N/A,FALSE,"PCOL"}</definedName>
    <definedName name="wewew_1_1" localSheetId="20" hidden="1">{#N/A,#N/A,FALSE,"PCOL"}</definedName>
    <definedName name="wewew_1_1" hidden="1">{#N/A,#N/A,FALSE,"PCOL"}</definedName>
    <definedName name="wewew_1_1_1" localSheetId="20" hidden="1">{#N/A,#N/A,FALSE,"PCOL"}</definedName>
    <definedName name="wewew_1_1_1" hidden="1">{#N/A,#N/A,FALSE,"PCOL"}</definedName>
    <definedName name="wewew_1_2" localSheetId="20" hidden="1">{#N/A,#N/A,FALSE,"PCOL"}</definedName>
    <definedName name="wewew_1_2" hidden="1">{#N/A,#N/A,FALSE,"PCOL"}</definedName>
    <definedName name="wewew_2" localSheetId="20" hidden="1">{#N/A,#N/A,FALSE,"PCOL"}</definedName>
    <definedName name="wewew_2" hidden="1">{#N/A,#N/A,FALSE,"PCOL"}</definedName>
    <definedName name="wewewew" localSheetId="20" hidden="1">{#N/A,#N/A,FALSE,"MO (2)"}</definedName>
    <definedName name="wewewew" hidden="1">{#N/A,#N/A,FALSE,"MO (2)"}</definedName>
    <definedName name="WEWR" localSheetId="21">#REF!</definedName>
    <definedName name="WEWR">#N/A</definedName>
    <definedName name="WEWR_10">#N/A</definedName>
    <definedName name="WEWR_12">#N/A</definedName>
    <definedName name="WEWR_13">#N/A</definedName>
    <definedName name="WEWR_15">#N/A</definedName>
    <definedName name="WEWR_5">#N/A</definedName>
    <definedName name="WEWR_6">#N/A</definedName>
    <definedName name="WEWR_7">#N/A</definedName>
    <definedName name="WEWR_8">#N/A</definedName>
    <definedName name="WEWR_9">#N/A</definedName>
    <definedName name="WEWRWR" localSheetId="21">#REF!</definedName>
    <definedName name="WEWRWR">[141]!WEWRWR</definedName>
    <definedName name="WEWRWR_1" localSheetId="2">RESUMO!WEWRWR_1</definedName>
    <definedName name="WEWRWR_1">WEWRWR_1</definedName>
    <definedName name="WEWRWR_1_10">#N/A</definedName>
    <definedName name="WEWRWR_1_12">#N/A</definedName>
    <definedName name="WEWRWR_1_13">#N/A</definedName>
    <definedName name="WEWRWR_1_15">#N/A</definedName>
    <definedName name="WEWRWR_1_5">#N/A</definedName>
    <definedName name="WEWRWR_1_6">#N/A</definedName>
    <definedName name="WEWRWR_1_7">#N/A</definedName>
    <definedName name="WEWRWR_1_8">#N/A</definedName>
    <definedName name="WEWRWR_1_9">#N/A</definedName>
    <definedName name="WEWRWR_10" localSheetId="2">RESUMO!WEWRWR_10</definedName>
    <definedName name="WEWRWR_10">WEWRWR_10</definedName>
    <definedName name="WEWRWR_11">#N/A</definedName>
    <definedName name="WEWRWR_12" localSheetId="2">RESUMO!WEWRWR_12</definedName>
    <definedName name="WEWRWR_12">WEWRWR_12</definedName>
    <definedName name="WEWRWR_13" localSheetId="2">RESUMO!WEWRWR_13</definedName>
    <definedName name="WEWRWR_13">WEWRWR_13</definedName>
    <definedName name="WEWRWR_13_10">#N/A</definedName>
    <definedName name="WEWRWR_13_12">#N/A</definedName>
    <definedName name="WEWRWR_13_13">#N/A</definedName>
    <definedName name="WEWRWR_13_15">#N/A</definedName>
    <definedName name="WEWRWR_13_5">#N/A</definedName>
    <definedName name="WEWRWR_13_6">#N/A</definedName>
    <definedName name="WEWRWR_13_7">#N/A</definedName>
    <definedName name="WEWRWR_13_8">#N/A</definedName>
    <definedName name="WEWRWR_13_9">#N/A</definedName>
    <definedName name="WEWRWR_14" localSheetId="2">RESUMO!WEWRWR_14</definedName>
    <definedName name="WEWRWR_14">WEWRWR_14</definedName>
    <definedName name="WEWRWR_14_10">#N/A</definedName>
    <definedName name="WEWRWR_14_12">#N/A</definedName>
    <definedName name="WEWRWR_14_13">#N/A</definedName>
    <definedName name="WEWRWR_14_15">#N/A</definedName>
    <definedName name="WEWRWR_14_5">#N/A</definedName>
    <definedName name="WEWRWR_14_6">#N/A</definedName>
    <definedName name="WEWRWR_14_7">#N/A</definedName>
    <definedName name="WEWRWR_14_8">#N/A</definedName>
    <definedName name="WEWRWR_14_9">#N/A</definedName>
    <definedName name="WEWRWR_15">#N/A</definedName>
    <definedName name="WEWRWR_19" localSheetId="2">RESUMO!WEWRWR_19</definedName>
    <definedName name="WEWRWR_19">WEWRWR_19</definedName>
    <definedName name="WEWRWR_2" localSheetId="2">RESUMO!WEWRWR_2</definedName>
    <definedName name="WEWRWR_2">WEWRWR_2</definedName>
    <definedName name="WEWRWR_2_10">#N/A</definedName>
    <definedName name="WEWRWR_2_12">#N/A</definedName>
    <definedName name="WEWRWR_2_13">#N/A</definedName>
    <definedName name="WEWRWR_2_15">#N/A</definedName>
    <definedName name="WEWRWR_2_5">#N/A</definedName>
    <definedName name="WEWRWR_2_6">#N/A</definedName>
    <definedName name="WEWRWR_2_7">#N/A</definedName>
    <definedName name="WEWRWR_2_8">#N/A</definedName>
    <definedName name="WEWRWR_2_9">#N/A</definedName>
    <definedName name="WEWRWR_20" localSheetId="2">RESUMO!WEWRWR_20</definedName>
    <definedName name="WEWRWR_20">WEWRWR_20</definedName>
    <definedName name="WEWRWR_21" localSheetId="2">RESUMO!WEWRWR_21</definedName>
    <definedName name="WEWRWR_21">WEWRWR_21</definedName>
    <definedName name="WEWRWR_22" localSheetId="2">RESUMO!WEWRWR_22</definedName>
    <definedName name="WEWRWR_22">WEWRWR_22</definedName>
    <definedName name="WEWRWR_22_10">#N/A</definedName>
    <definedName name="WEWRWR_22_12">#N/A</definedName>
    <definedName name="WEWRWR_22_13">#N/A</definedName>
    <definedName name="WEWRWR_22_15">#N/A</definedName>
    <definedName name="WEWRWR_22_5">#N/A</definedName>
    <definedName name="WEWRWR_22_6">#N/A</definedName>
    <definedName name="WEWRWR_22_7">#N/A</definedName>
    <definedName name="WEWRWR_22_8">#N/A</definedName>
    <definedName name="WEWRWR_22_9">#N/A</definedName>
    <definedName name="WEWRWR_23" localSheetId="2">RESUMO!WEWRWR_23</definedName>
    <definedName name="WEWRWR_23">WEWRWR_23</definedName>
    <definedName name="WEWRWR_24" localSheetId="2">RESUMO!WEWRWR_24</definedName>
    <definedName name="WEWRWR_24">WEWRWR_24</definedName>
    <definedName name="WEWRWR_25" localSheetId="2">RESUMO!WEWRWR_25</definedName>
    <definedName name="WEWRWR_25">WEWRWR_25</definedName>
    <definedName name="WEWRWR_25_10">#N/A</definedName>
    <definedName name="WEWRWR_25_12">#N/A</definedName>
    <definedName name="WEWRWR_25_13">#N/A</definedName>
    <definedName name="WEWRWR_25_15">#N/A</definedName>
    <definedName name="WEWRWR_25_5">#N/A</definedName>
    <definedName name="WEWRWR_25_6">#N/A</definedName>
    <definedName name="WEWRWR_25_7">#N/A</definedName>
    <definedName name="WEWRWR_25_8">#N/A</definedName>
    <definedName name="WEWRWR_25_9">#N/A</definedName>
    <definedName name="WEWRWR_26" localSheetId="2">RESUMO!WEWRWR_26</definedName>
    <definedName name="WEWRWR_26">WEWRWR_26</definedName>
    <definedName name="WEWRWR_26_10">#N/A</definedName>
    <definedName name="WEWRWR_26_12">#N/A</definedName>
    <definedName name="WEWRWR_26_13">#N/A</definedName>
    <definedName name="WEWRWR_26_15">#N/A</definedName>
    <definedName name="WEWRWR_26_5">#N/A</definedName>
    <definedName name="WEWRWR_26_6">#N/A</definedName>
    <definedName name="WEWRWR_26_7">#N/A</definedName>
    <definedName name="WEWRWR_26_8">#N/A</definedName>
    <definedName name="WEWRWR_26_9">#N/A</definedName>
    <definedName name="WEWRWR_27" localSheetId="2">RESUMO!WEWRWR_27</definedName>
    <definedName name="WEWRWR_27">WEWRWR_27</definedName>
    <definedName name="WEWRWR_27_10">#N/A</definedName>
    <definedName name="WEWRWR_27_12">#N/A</definedName>
    <definedName name="WEWRWR_27_13">#N/A</definedName>
    <definedName name="WEWRWR_27_15">#N/A</definedName>
    <definedName name="WEWRWR_27_5">#N/A</definedName>
    <definedName name="WEWRWR_27_6">#N/A</definedName>
    <definedName name="WEWRWR_27_7">#N/A</definedName>
    <definedName name="WEWRWR_27_8">#N/A</definedName>
    <definedName name="WEWRWR_27_9">#N/A</definedName>
    <definedName name="WEWRWR_28" localSheetId="2">RESUMO!WEWRWR_28</definedName>
    <definedName name="WEWRWR_28">WEWRWR_28</definedName>
    <definedName name="WEWRWR_29" localSheetId="2">RESUMO!WEWRWR_29</definedName>
    <definedName name="WEWRWR_29">WEWRWR_29</definedName>
    <definedName name="WEWRWR_29_10">#N/A</definedName>
    <definedName name="WEWRWR_29_12">#N/A</definedName>
    <definedName name="WEWRWR_29_13">#N/A</definedName>
    <definedName name="WEWRWR_29_15">#N/A</definedName>
    <definedName name="WEWRWR_29_5">#N/A</definedName>
    <definedName name="WEWRWR_29_6">#N/A</definedName>
    <definedName name="WEWRWR_29_7">#N/A</definedName>
    <definedName name="WEWRWR_29_8">#N/A</definedName>
    <definedName name="WEWRWR_29_9">#N/A</definedName>
    <definedName name="WEWRWR_3" localSheetId="2">RESUMO!WEWRWR_3</definedName>
    <definedName name="WEWRWR_3">WEWRWR_3</definedName>
    <definedName name="WEWRWR_3_10">#N/A</definedName>
    <definedName name="WEWRWR_3_12">#N/A</definedName>
    <definedName name="WEWRWR_3_13">#N/A</definedName>
    <definedName name="WEWRWR_3_15">#N/A</definedName>
    <definedName name="WEWRWR_3_5">#N/A</definedName>
    <definedName name="WEWRWR_3_6">#N/A</definedName>
    <definedName name="WEWRWR_3_7">#N/A</definedName>
    <definedName name="WEWRWR_3_8">#N/A</definedName>
    <definedName name="WEWRWR_3_9">#N/A</definedName>
    <definedName name="WEWRWR_30" localSheetId="2">RESUMO!WEWRWR_30</definedName>
    <definedName name="WEWRWR_30">WEWRWR_30</definedName>
    <definedName name="WEWRWR_30_10">#N/A</definedName>
    <definedName name="WEWRWR_30_12">#N/A</definedName>
    <definedName name="WEWRWR_30_13">#N/A</definedName>
    <definedName name="WEWRWR_30_15">#N/A</definedName>
    <definedName name="WEWRWR_30_5">#N/A</definedName>
    <definedName name="WEWRWR_30_6">#N/A</definedName>
    <definedName name="WEWRWR_30_7">#N/A</definedName>
    <definedName name="WEWRWR_30_8">#N/A</definedName>
    <definedName name="WEWRWR_30_9">#N/A</definedName>
    <definedName name="WEWRWR_31" localSheetId="2">RESUMO!WEWRWR_31</definedName>
    <definedName name="WEWRWR_31">WEWRWR_31</definedName>
    <definedName name="WEWRWR_31_10">#N/A</definedName>
    <definedName name="WEWRWR_31_12">#N/A</definedName>
    <definedName name="WEWRWR_31_13">#N/A</definedName>
    <definedName name="WEWRWR_31_15">#N/A</definedName>
    <definedName name="WEWRWR_31_5">#N/A</definedName>
    <definedName name="WEWRWR_31_6">#N/A</definedName>
    <definedName name="WEWRWR_31_7">#N/A</definedName>
    <definedName name="WEWRWR_31_8">#N/A</definedName>
    <definedName name="WEWRWR_31_9">#N/A</definedName>
    <definedName name="WEWRWR_32" localSheetId="2">RESUMO!WEWRWR_32</definedName>
    <definedName name="WEWRWR_32">WEWRWR_32</definedName>
    <definedName name="WEWRWR_33" localSheetId="2">RESUMO!WEWRWR_33</definedName>
    <definedName name="WEWRWR_33">WEWRWR_33</definedName>
    <definedName name="WEWRWR_33_10">#N/A</definedName>
    <definedName name="WEWRWR_33_12">#N/A</definedName>
    <definedName name="WEWRWR_33_13">#N/A</definedName>
    <definedName name="WEWRWR_33_15">#N/A</definedName>
    <definedName name="WEWRWR_33_5">#N/A</definedName>
    <definedName name="WEWRWR_33_6">#N/A</definedName>
    <definedName name="WEWRWR_33_7">#N/A</definedName>
    <definedName name="WEWRWR_33_8">#N/A</definedName>
    <definedName name="WEWRWR_33_9">#N/A</definedName>
    <definedName name="WEWRWR_34" localSheetId="2">RESUMO!WEWRWR_34</definedName>
    <definedName name="WEWRWR_34">WEWRWR_34</definedName>
    <definedName name="WEWRWR_34_10">#N/A</definedName>
    <definedName name="WEWRWR_34_12">#N/A</definedName>
    <definedName name="WEWRWR_34_13">#N/A</definedName>
    <definedName name="WEWRWR_34_15">#N/A</definedName>
    <definedName name="WEWRWR_34_5">#N/A</definedName>
    <definedName name="WEWRWR_34_6">#N/A</definedName>
    <definedName name="WEWRWR_34_7">#N/A</definedName>
    <definedName name="WEWRWR_34_8">#N/A</definedName>
    <definedName name="WEWRWR_34_9">#N/A</definedName>
    <definedName name="WEWRWR_35" localSheetId="2">RESUMO!WEWRWR_35</definedName>
    <definedName name="WEWRWR_35">WEWRWR_35</definedName>
    <definedName name="WEWRWR_35_10">#N/A</definedName>
    <definedName name="WEWRWR_35_12">#N/A</definedName>
    <definedName name="WEWRWR_35_13">#N/A</definedName>
    <definedName name="WEWRWR_35_15">#N/A</definedName>
    <definedName name="WEWRWR_35_5">#N/A</definedName>
    <definedName name="WEWRWR_35_6">#N/A</definedName>
    <definedName name="WEWRWR_35_7">#N/A</definedName>
    <definedName name="WEWRWR_35_8">#N/A</definedName>
    <definedName name="WEWRWR_35_9">#N/A</definedName>
    <definedName name="WEWRWR_36" localSheetId="2">RESUMO!WEWRWR_36</definedName>
    <definedName name="WEWRWR_36">WEWRWR_36</definedName>
    <definedName name="WEWRWR_36_10">#N/A</definedName>
    <definedName name="WEWRWR_36_12">#N/A</definedName>
    <definedName name="WEWRWR_36_13">#N/A</definedName>
    <definedName name="WEWRWR_36_15">#N/A</definedName>
    <definedName name="WEWRWR_36_5">#N/A</definedName>
    <definedName name="WEWRWR_36_6">#N/A</definedName>
    <definedName name="WEWRWR_36_7">#N/A</definedName>
    <definedName name="WEWRWR_36_8">#N/A</definedName>
    <definedName name="WEWRWR_36_9">#N/A</definedName>
    <definedName name="WEWRWR_37" localSheetId="2">RESUMO!WEWRWR_37</definedName>
    <definedName name="WEWRWR_37">WEWRWR_37</definedName>
    <definedName name="WEWRWR_38" localSheetId="2">RESUMO!WEWRWR_38</definedName>
    <definedName name="WEWRWR_38">WEWRWR_38</definedName>
    <definedName name="WEWRWR_39" localSheetId="2">RESUMO!WEWRWR_39</definedName>
    <definedName name="WEWRWR_39">WEWRWR_39</definedName>
    <definedName name="WEWRWR_4">#N/A</definedName>
    <definedName name="WEWRWR_40" localSheetId="2">RESUMO!WEWRWR_40</definedName>
    <definedName name="WEWRWR_40">WEWRWR_40</definedName>
    <definedName name="WEWRWR_41" localSheetId="2">RESUMO!WEWRWR_41</definedName>
    <definedName name="WEWRWR_41">WEWRWR_41</definedName>
    <definedName name="WEWRWR_42" localSheetId="2">RESUMO!WEWRWR_42</definedName>
    <definedName name="WEWRWR_42">WEWRWR_42</definedName>
    <definedName name="WEWRWR_43" localSheetId="2">RESUMO!WEWRWR_43</definedName>
    <definedName name="WEWRWR_43">WEWRWR_43</definedName>
    <definedName name="WEWRWR_44" localSheetId="2">RESUMO!WEWRWR_44</definedName>
    <definedName name="WEWRWR_44">WEWRWR_44</definedName>
    <definedName name="WEWRWR_45" localSheetId="2">RESUMO!WEWRWR_45</definedName>
    <definedName name="WEWRWR_45">WEWRWR_45</definedName>
    <definedName name="WEWRWR_46" localSheetId="2">RESUMO!WEWRWR_46</definedName>
    <definedName name="WEWRWR_46">WEWRWR_46</definedName>
    <definedName name="WEWRWR_47" localSheetId="2">RESUMO!WEWRWR_47</definedName>
    <definedName name="WEWRWR_47">WEWRWR_47</definedName>
    <definedName name="WEWRWR_48" localSheetId="2">RESUMO!WEWRWR_48</definedName>
    <definedName name="WEWRWR_48">WEWRWR_48</definedName>
    <definedName name="WEWRWR_5" localSheetId="2">RESUMO!WEWRWR_5</definedName>
    <definedName name="WEWRWR_5">WEWRWR_5</definedName>
    <definedName name="WEWRWR_5_10">#N/A</definedName>
    <definedName name="WEWRWR_5_12">#N/A</definedName>
    <definedName name="WEWRWR_5_13">#N/A</definedName>
    <definedName name="WEWRWR_5_15">#N/A</definedName>
    <definedName name="WEWRWR_5_5">#N/A</definedName>
    <definedName name="WEWRWR_5_6">#N/A</definedName>
    <definedName name="WEWRWR_5_7">#N/A</definedName>
    <definedName name="WEWRWR_5_8">#N/A</definedName>
    <definedName name="WEWRWR_5_9">#N/A</definedName>
    <definedName name="WEWRWR_51" localSheetId="2">RESUMO!WEWRWR_51</definedName>
    <definedName name="WEWRWR_51">WEWRWR_51</definedName>
    <definedName name="WEWRWR_52" localSheetId="2">RESUMO!WEWRWR_52</definedName>
    <definedName name="WEWRWR_52">WEWRWR_52</definedName>
    <definedName name="WEWRWR_53" localSheetId="2">RESUMO!WEWRWR_53</definedName>
    <definedName name="WEWRWR_53">WEWRWR_53</definedName>
    <definedName name="WEWRWR_54" localSheetId="2">RESUMO!WEWRWR_54</definedName>
    <definedName name="WEWRWR_54">WEWRWR_54</definedName>
    <definedName name="WEWRWR_55" localSheetId="2">RESUMO!WEWRWR_55</definedName>
    <definedName name="WEWRWR_55">WEWRWR_55</definedName>
    <definedName name="WEWRWR_56" localSheetId="2">RESUMO!WEWRWR_56</definedName>
    <definedName name="WEWRWR_56">WEWRWR_56</definedName>
    <definedName name="WEWRWR_57" localSheetId="2">RESUMO!WEWRWR_57</definedName>
    <definedName name="WEWRWR_57">WEWRWR_57</definedName>
    <definedName name="WEWRWR_58" localSheetId="2">RESUMO!WEWRWR_58</definedName>
    <definedName name="WEWRWR_58">WEWRWR_58</definedName>
    <definedName name="WEWRWR_59" localSheetId="2">RESUMO!WEWRWR_59</definedName>
    <definedName name="WEWRWR_59">WEWRWR_59</definedName>
    <definedName name="WEWRWR_6">#N/A</definedName>
    <definedName name="WEWRWR_60" localSheetId="2">RESUMO!WEWRWR_60</definedName>
    <definedName name="WEWRWR_60">WEWRWR_60</definedName>
    <definedName name="WEWRWR_61" localSheetId="2">RESUMO!WEWRWR_61</definedName>
    <definedName name="WEWRWR_61">WEWRWR_61</definedName>
    <definedName name="WEWRWR_62" localSheetId="2">RESUMO!WEWRWR_62</definedName>
    <definedName name="WEWRWR_62">WEWRWR_62</definedName>
    <definedName name="WEWRWR_63" localSheetId="2">RESUMO!WEWRWR_63</definedName>
    <definedName name="WEWRWR_63">WEWRWR_63</definedName>
    <definedName name="WEWRWR_64" localSheetId="2">RESUMO!WEWRWR_64</definedName>
    <definedName name="WEWRWR_64">WEWRWR_64</definedName>
    <definedName name="WEWRWR_65" localSheetId="2">RESUMO!WEWRWR_65</definedName>
    <definedName name="WEWRWR_65">WEWRWR_65</definedName>
    <definedName name="WEWRWR_66" localSheetId="2">RESUMO!WEWRWR_66</definedName>
    <definedName name="WEWRWR_66">WEWRWR_66</definedName>
    <definedName name="WEWRWR_67" localSheetId="2">RESUMO!WEWRWR_67</definedName>
    <definedName name="WEWRWR_67">WEWRWR_67</definedName>
    <definedName name="WEWRWR_68" localSheetId="2">RESUMO!WEWRWR_68</definedName>
    <definedName name="WEWRWR_68">WEWRWR_68</definedName>
    <definedName name="WEWRWR_69" localSheetId="2">RESUMO!WEWRWR_69</definedName>
    <definedName name="WEWRWR_69">WEWRWR_69</definedName>
    <definedName name="WEWRWR_7" localSheetId="2">RESUMO!WEWRWR_7</definedName>
    <definedName name="WEWRWR_7">WEWRWR_7</definedName>
    <definedName name="WEWRWR_7_10">#N/A</definedName>
    <definedName name="WEWRWR_7_12">#N/A</definedName>
    <definedName name="WEWRWR_7_13">#N/A</definedName>
    <definedName name="WEWRWR_7_15">#N/A</definedName>
    <definedName name="WEWRWR_7_5">#N/A</definedName>
    <definedName name="WEWRWR_7_6">#N/A</definedName>
    <definedName name="WEWRWR_7_7">#N/A</definedName>
    <definedName name="WEWRWR_7_8">#N/A</definedName>
    <definedName name="WEWRWR_7_9">#N/A</definedName>
    <definedName name="WEWRWR_70" localSheetId="2">RESUMO!WEWRWR_70</definedName>
    <definedName name="WEWRWR_70">WEWRWR_70</definedName>
    <definedName name="WEWRWR_71" localSheetId="2">RESUMO!WEWRWR_71</definedName>
    <definedName name="WEWRWR_71">WEWRWR_71</definedName>
    <definedName name="WEWRWR_72" localSheetId="2">RESUMO!WEWRWR_72</definedName>
    <definedName name="WEWRWR_72">WEWRWR_72</definedName>
    <definedName name="WEWRWR_8" localSheetId="2">RESUMO!WEWRWR_8</definedName>
    <definedName name="WEWRWR_8">WEWRWR_8</definedName>
    <definedName name="WEWRWR_8_10">#N/A</definedName>
    <definedName name="WEWRWR_8_12">#N/A</definedName>
    <definedName name="WEWRWR_8_13">#N/A</definedName>
    <definedName name="WEWRWR_8_15">#N/A</definedName>
    <definedName name="WEWRWR_8_5">#N/A</definedName>
    <definedName name="WEWRWR_8_6">#N/A</definedName>
    <definedName name="WEWRWR_8_7">#N/A</definedName>
    <definedName name="WEWRWR_8_8">#N/A</definedName>
    <definedName name="WEWRWR_8_9">#N/A</definedName>
    <definedName name="WEWRWR_9" localSheetId="2">RESUMO!WEWRWR_9</definedName>
    <definedName name="WEWRWR_9">WEWRWR_9</definedName>
    <definedName name="WEWRWR_9_10">#N/A</definedName>
    <definedName name="WEWRWR_9_12">#N/A</definedName>
    <definedName name="WEWRWR_9_13">#N/A</definedName>
    <definedName name="WEWRWR_9_15">#N/A</definedName>
    <definedName name="WEWRWR_9_5">#N/A</definedName>
    <definedName name="WEWRWR_9_6">#N/A</definedName>
    <definedName name="WEWRWR_9_7">#N/A</definedName>
    <definedName name="WEWRWR_9_8">#N/A</definedName>
    <definedName name="WEWRWR_9_9">#N/A</definedName>
    <definedName name="WEWRWRE">[34]!WEWRWRE</definedName>
    <definedName name="wewwq" localSheetId="20" hidden="1">{"'RR'!$A$2:$E$81"}</definedName>
    <definedName name="wewwq" hidden="1">{"'RR'!$A$2:$E$81"}</definedName>
    <definedName name="wewwq_1" localSheetId="20" hidden="1">{"'RR'!$A$2:$E$81"}</definedName>
    <definedName name="wewwq_1" hidden="1">{"'RR'!$A$2:$E$81"}</definedName>
    <definedName name="wewwq_1_1" localSheetId="20" hidden="1">{"'RR'!$A$2:$E$81"}</definedName>
    <definedName name="wewwq_1_1" hidden="1">{"'RR'!$A$2:$E$81"}</definedName>
    <definedName name="wewwq_1_1_1" localSheetId="20" hidden="1">{"'RR'!$A$2:$E$81"}</definedName>
    <definedName name="wewwq_1_1_1" hidden="1">{"'RR'!$A$2:$E$81"}</definedName>
    <definedName name="wewwq_1_2" localSheetId="20" hidden="1">{"'RR'!$A$2:$E$81"}</definedName>
    <definedName name="wewwq_1_2" hidden="1">{"'RR'!$A$2:$E$81"}</definedName>
    <definedName name="wewwq_2" localSheetId="20" hidden="1">{"'RR'!$A$2:$E$81"}</definedName>
    <definedName name="wewwq_2" hidden="1">{"'RR'!$A$2:$E$81"}</definedName>
    <definedName name="weywrty" localSheetId="20" hidden="1">{"'gráf jan00'!$A$1:$AK$41"}</definedName>
    <definedName name="weywrty" hidden="1">{"'gráf jan00'!$A$1:$AK$41"}</definedName>
    <definedName name="weywrty_1" localSheetId="20" hidden="1">{"'gráf jan00'!$A$1:$AK$41"}</definedName>
    <definedName name="weywrty_1" hidden="1">{"'gráf jan00'!$A$1:$AK$41"}</definedName>
    <definedName name="weywrty_1_1" localSheetId="20" hidden="1">{"'gráf jan00'!$A$1:$AK$41"}</definedName>
    <definedName name="weywrty_1_1" hidden="1">{"'gráf jan00'!$A$1:$AK$41"}</definedName>
    <definedName name="weywrty_1_1_1" localSheetId="20" hidden="1">{"'gráf jan00'!$A$1:$AK$41"}</definedName>
    <definedName name="weywrty_1_1_1" hidden="1">{"'gráf jan00'!$A$1:$AK$41"}</definedName>
    <definedName name="weywrty_1_2" localSheetId="20" hidden="1">{"'gráf jan00'!$A$1:$AK$41"}</definedName>
    <definedName name="weywrty_1_2" hidden="1">{"'gráf jan00'!$A$1:$AK$41"}</definedName>
    <definedName name="weywrty_2" localSheetId="20" hidden="1">{"'gráf jan00'!$A$1:$AK$41"}</definedName>
    <definedName name="weywrty_2" hidden="1">{"'gráf jan00'!$A$1:$AK$41"}</definedName>
    <definedName name="wf" localSheetId="20" hidden="1">{"'CptDifn'!$AA$32:$AG$32"}</definedName>
    <definedName name="wf" hidden="1">{"'CptDifn'!$AA$32:$AG$32"}</definedName>
    <definedName name="wf_1" localSheetId="20" hidden="1">{"'CptDifn'!$AA$32:$AG$32"}</definedName>
    <definedName name="wf_1" hidden="1">{"'CptDifn'!$AA$32:$AG$32"}</definedName>
    <definedName name="wf_1_1" localSheetId="20" hidden="1">{"'CptDifn'!$AA$32:$AG$32"}</definedName>
    <definedName name="wf_1_1" hidden="1">{"'CptDifn'!$AA$32:$AG$32"}</definedName>
    <definedName name="wf_1_1_1" localSheetId="20" hidden="1">{"'CptDifn'!$AA$32:$AG$32"}</definedName>
    <definedName name="wf_1_1_1" hidden="1">{"'CptDifn'!$AA$32:$AG$32"}</definedName>
    <definedName name="wf_1_2" localSheetId="20" hidden="1">{"'CptDifn'!$AA$32:$AG$32"}</definedName>
    <definedName name="wf_1_2" hidden="1">{"'CptDifn'!$AA$32:$AG$32"}</definedName>
    <definedName name="wf_2" localSheetId="20" hidden="1">{"'CptDifn'!$AA$32:$AG$32"}</definedName>
    <definedName name="wf_2" hidden="1">{"'CptDifn'!$AA$32:$AG$32"}</definedName>
    <definedName name="wfdfw" hidden="1">#REF!</definedName>
    <definedName name="wg" localSheetId="20" hidden="1">{"'CptDifn'!$AA$32:$AG$32"}</definedName>
    <definedName name="wg" hidden="1">{"'CptDifn'!$AA$32:$AG$32"}</definedName>
    <definedName name="wg_1" localSheetId="20" hidden="1">{"'CptDifn'!$AA$32:$AG$32"}</definedName>
    <definedName name="wg_1" hidden="1">{"'CptDifn'!$AA$32:$AG$32"}</definedName>
    <definedName name="wg_1_1" localSheetId="20" hidden="1">{"'CptDifn'!$AA$32:$AG$32"}</definedName>
    <definedName name="wg_1_1" hidden="1">{"'CptDifn'!$AA$32:$AG$32"}</definedName>
    <definedName name="wg_1_1_1" localSheetId="20" hidden="1">{"'CptDifn'!$AA$32:$AG$32"}</definedName>
    <definedName name="wg_1_1_1" hidden="1">{"'CptDifn'!$AA$32:$AG$32"}</definedName>
    <definedName name="wg_1_2" localSheetId="20" hidden="1">{"'CptDifn'!$AA$32:$AG$32"}</definedName>
    <definedName name="wg_1_2" hidden="1">{"'CptDifn'!$AA$32:$AG$32"}</definedName>
    <definedName name="wg_2" localSheetId="20" hidden="1">{"'CptDifn'!$AA$32:$AG$32"}</definedName>
    <definedName name="wg_2" hidden="1">{"'CptDifn'!$AA$32:$AG$32"}</definedName>
    <definedName name="wgyerhy" localSheetId="20" hidden="1">{#N/A,#N/A,FALSE,"지침";#N/A,#N/A,FALSE,"환경분석";#N/A,#N/A,FALSE,"Sheet16"}</definedName>
    <definedName name="wgyerhy" hidden="1">{#N/A,#N/A,FALSE,"지침";#N/A,#N/A,FALSE,"환경분석";#N/A,#N/A,FALSE,"Sheet16"}</definedName>
    <definedName name="wgyerhy_1" localSheetId="20" hidden="1">{#N/A,#N/A,FALSE,"지침";#N/A,#N/A,FALSE,"환경분석";#N/A,#N/A,FALSE,"Sheet16"}</definedName>
    <definedName name="wgyerhy_1" hidden="1">{#N/A,#N/A,FALSE,"지침";#N/A,#N/A,FALSE,"환경분석";#N/A,#N/A,FALSE,"Sheet16"}</definedName>
    <definedName name="wgyerhy_1_1" localSheetId="20" hidden="1">{#N/A,#N/A,FALSE,"지침";#N/A,#N/A,FALSE,"환경분석";#N/A,#N/A,FALSE,"Sheet16"}</definedName>
    <definedName name="wgyerhy_1_1" hidden="1">{#N/A,#N/A,FALSE,"지침";#N/A,#N/A,FALSE,"환경분석";#N/A,#N/A,FALSE,"Sheet16"}</definedName>
    <definedName name="wgyerhy_1_1_1" localSheetId="20" hidden="1">{#N/A,#N/A,FALSE,"지침";#N/A,#N/A,FALSE,"환경분석";#N/A,#N/A,FALSE,"Sheet16"}</definedName>
    <definedName name="wgyerhy_1_1_1" hidden="1">{#N/A,#N/A,FALSE,"지침";#N/A,#N/A,FALSE,"환경분석";#N/A,#N/A,FALSE,"Sheet16"}</definedName>
    <definedName name="wgyerhy_1_2" localSheetId="20" hidden="1">{#N/A,#N/A,FALSE,"지침";#N/A,#N/A,FALSE,"환경분석";#N/A,#N/A,FALSE,"Sheet16"}</definedName>
    <definedName name="wgyerhy_1_2" hidden="1">{#N/A,#N/A,FALSE,"지침";#N/A,#N/A,FALSE,"환경분석";#N/A,#N/A,FALSE,"Sheet16"}</definedName>
    <definedName name="wgyerhy_2" localSheetId="20" hidden="1">{#N/A,#N/A,FALSE,"지침";#N/A,#N/A,FALSE,"환경분석";#N/A,#N/A,FALSE,"Sheet16"}</definedName>
    <definedName name="wgyerhy_2" hidden="1">{#N/A,#N/A,FALSE,"지침";#N/A,#N/A,FALSE,"환경분석";#N/A,#N/A,FALSE,"Sheet16"}</definedName>
    <definedName name="wh" localSheetId="20" hidden="1">{"'CptDifn'!$AA$32:$AG$32"}</definedName>
    <definedName name="wh" hidden="1">{"'CptDifn'!$AA$32:$AG$32"}</definedName>
    <definedName name="wh_1" localSheetId="20" hidden="1">{"'CptDifn'!$AA$32:$AG$32"}</definedName>
    <definedName name="wh_1" hidden="1">{"'CptDifn'!$AA$32:$AG$32"}</definedName>
    <definedName name="wh_1_1" localSheetId="20" hidden="1">{"'CptDifn'!$AA$32:$AG$32"}</definedName>
    <definedName name="wh_1_1" hidden="1">{"'CptDifn'!$AA$32:$AG$32"}</definedName>
    <definedName name="wh_1_1_1" localSheetId="20" hidden="1">{"'CptDifn'!$AA$32:$AG$32"}</definedName>
    <definedName name="wh_1_1_1" hidden="1">{"'CptDifn'!$AA$32:$AG$32"}</definedName>
    <definedName name="wh_1_2" localSheetId="20" hidden="1">{"'CptDifn'!$AA$32:$AG$32"}</definedName>
    <definedName name="wh_1_2" hidden="1">{"'CptDifn'!$AA$32:$AG$32"}</definedName>
    <definedName name="wh_2" localSheetId="20" hidden="1">{"'CptDifn'!$AA$32:$AG$32"}</definedName>
    <definedName name="wh_2" hidden="1">{"'CptDifn'!$AA$32:$AG$32"}</definedName>
    <definedName name="wj" localSheetId="20" hidden="1">{"'CptDifn'!$AA$32:$AG$32"}</definedName>
    <definedName name="wj" hidden="1">{"'CptDifn'!$AA$32:$AG$32"}</definedName>
    <definedName name="wj_1" localSheetId="20" hidden="1">{"'CptDifn'!$AA$32:$AG$32"}</definedName>
    <definedName name="wj_1" hidden="1">{"'CptDifn'!$AA$32:$AG$32"}</definedName>
    <definedName name="wj_1_1" localSheetId="20" hidden="1">{"'CptDifn'!$AA$32:$AG$32"}</definedName>
    <definedName name="wj_1_1" hidden="1">{"'CptDifn'!$AA$32:$AG$32"}</definedName>
    <definedName name="wj_1_1_1" localSheetId="20" hidden="1">{"'CptDifn'!$AA$32:$AG$32"}</definedName>
    <definedName name="wj_1_1_1" hidden="1">{"'CptDifn'!$AA$32:$AG$32"}</definedName>
    <definedName name="wj_1_2" localSheetId="20" hidden="1">{"'CptDifn'!$AA$32:$AG$32"}</definedName>
    <definedName name="wj_1_2" hidden="1">{"'CptDifn'!$AA$32:$AG$32"}</definedName>
    <definedName name="wj_2" localSheetId="20" hidden="1">{"'CptDifn'!$AA$32:$AG$32"}</definedName>
    <definedName name="wj_2" hidden="1">{"'CptDifn'!$AA$32:$AG$32"}</definedName>
    <definedName name="WN" localSheetId="20" hidden="1">{#N/A,#N/A,FALSE,"31 - Balanço";#N/A,#N/A,FALSE,"41 - Resultado";#N/A,#N/A,FALSE,"51 - Fluxo de Caixa"}</definedName>
    <definedName name="WN" hidden="1">{#N/A,#N/A,FALSE,"31 - Balanço";#N/A,#N/A,FALSE,"41 - Resultado";#N/A,#N/A,FALSE,"51 - Fluxo de Caixa"}</definedName>
    <definedName name="wnr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Q" localSheetId="20" hidden="1">{#N/A,#N/A,FALSE,"ET-CAPA";#N/A,#N/A,FALSE,"ET-PAG1";#N/A,#N/A,FALSE,"ET-PAG2";#N/A,#N/A,FALSE,"ET-PAG3";#N/A,#N/A,FALSE,"ET-PAG4";#N/A,#N/A,FALSE,"ET-PAG5"}</definedName>
    <definedName name="WQ" hidden="1">{#N/A,#N/A,FALSE,"ET-CAPA";#N/A,#N/A,FALSE,"ET-PAG1";#N/A,#N/A,FALSE,"ET-PAG2";#N/A,#N/A,FALSE,"ET-PAG3";#N/A,#N/A,FALSE,"ET-PAG4";#N/A,#N/A,FALSE,"ET-PAG5"}</definedName>
    <definedName name="WQ_1" localSheetId="20" hidden="1">{#N/A,#N/A,FALSE,"ET-CAPA";#N/A,#N/A,FALSE,"ET-PAG1";#N/A,#N/A,FALSE,"ET-PAG2";#N/A,#N/A,FALSE,"ET-PAG3";#N/A,#N/A,FALSE,"ET-PAG4";#N/A,#N/A,FALSE,"ET-PAG5"}</definedName>
    <definedName name="WQ_1" hidden="1">{#N/A,#N/A,FALSE,"ET-CAPA";#N/A,#N/A,FALSE,"ET-PAG1";#N/A,#N/A,FALSE,"ET-PAG2";#N/A,#N/A,FALSE,"ET-PAG3";#N/A,#N/A,FALSE,"ET-PAG4";#N/A,#N/A,FALSE,"ET-PAG5"}</definedName>
    <definedName name="WQ_1_1" localSheetId="20" hidden="1">{#N/A,#N/A,FALSE,"ET-CAPA";#N/A,#N/A,FALSE,"ET-PAG1";#N/A,#N/A,FALSE,"ET-PAG2";#N/A,#N/A,FALSE,"ET-PAG3";#N/A,#N/A,FALSE,"ET-PAG4";#N/A,#N/A,FALSE,"ET-PAG5"}</definedName>
    <definedName name="WQ_1_1" hidden="1">{#N/A,#N/A,FALSE,"ET-CAPA";#N/A,#N/A,FALSE,"ET-PAG1";#N/A,#N/A,FALSE,"ET-PAG2";#N/A,#N/A,FALSE,"ET-PAG3";#N/A,#N/A,FALSE,"ET-PAG4";#N/A,#N/A,FALSE,"ET-PAG5"}</definedName>
    <definedName name="WQ_1_1_1" localSheetId="20" hidden="1">{#N/A,#N/A,FALSE,"ET-CAPA";#N/A,#N/A,FALSE,"ET-PAG1";#N/A,#N/A,FALSE,"ET-PAG2";#N/A,#N/A,FALSE,"ET-PAG3";#N/A,#N/A,FALSE,"ET-PAG4";#N/A,#N/A,FALSE,"ET-PAG5"}</definedName>
    <definedName name="WQ_1_1_1" hidden="1">{#N/A,#N/A,FALSE,"ET-CAPA";#N/A,#N/A,FALSE,"ET-PAG1";#N/A,#N/A,FALSE,"ET-PAG2";#N/A,#N/A,FALSE,"ET-PAG3";#N/A,#N/A,FALSE,"ET-PAG4";#N/A,#N/A,FALSE,"ET-PAG5"}</definedName>
    <definedName name="WQ_1_2" localSheetId="20" hidden="1">{#N/A,#N/A,FALSE,"ET-CAPA";#N/A,#N/A,FALSE,"ET-PAG1";#N/A,#N/A,FALSE,"ET-PAG2";#N/A,#N/A,FALSE,"ET-PAG3";#N/A,#N/A,FALSE,"ET-PAG4";#N/A,#N/A,FALSE,"ET-PAG5"}</definedName>
    <definedName name="WQ_1_2" hidden="1">{#N/A,#N/A,FALSE,"ET-CAPA";#N/A,#N/A,FALSE,"ET-PAG1";#N/A,#N/A,FALSE,"ET-PAG2";#N/A,#N/A,FALSE,"ET-PAG3";#N/A,#N/A,FALSE,"ET-PAG4";#N/A,#N/A,FALSE,"ET-PAG5"}</definedName>
    <definedName name="WQ_2" localSheetId="20" hidden="1">{#N/A,#N/A,FALSE,"ET-CAPA";#N/A,#N/A,FALSE,"ET-PAG1";#N/A,#N/A,FALSE,"ET-PAG2";#N/A,#N/A,FALSE,"ET-PAG3";#N/A,#N/A,FALSE,"ET-PAG4";#N/A,#N/A,FALSE,"ET-PAG5"}</definedName>
    <definedName name="WQ_2" hidden="1">{#N/A,#N/A,FALSE,"ET-CAPA";#N/A,#N/A,FALSE,"ET-PAG1";#N/A,#N/A,FALSE,"ET-PAG2";#N/A,#N/A,FALSE,"ET-PAG3";#N/A,#N/A,FALSE,"ET-PAG4";#N/A,#N/A,FALSE,"ET-PAG5"}</definedName>
    <definedName name="WR" localSheetId="20" hidden="1">{"'Quadro'!$A$4:$BG$78"}</definedName>
    <definedName name="WR" hidden="1">{"'Quadro'!$A$4:$BG$78"}</definedName>
    <definedName name="WR_1" localSheetId="20" hidden="1">{"'Quadro'!$A$4:$BG$78"}</definedName>
    <definedName name="WR_1" hidden="1">{"'Quadro'!$A$4:$BG$78"}</definedName>
    <definedName name="WR_1_1" localSheetId="20" hidden="1">{"'Quadro'!$A$4:$BG$78"}</definedName>
    <definedName name="WR_1_1" hidden="1">{"'Quadro'!$A$4:$BG$78"}</definedName>
    <definedName name="WR_1_1_1" localSheetId="20" hidden="1">{"'Quadro'!$A$4:$BG$78"}</definedName>
    <definedName name="WR_1_1_1" hidden="1">{"'Quadro'!$A$4:$BG$78"}</definedName>
    <definedName name="WR_1_2" localSheetId="20" hidden="1">{"'Quadro'!$A$4:$BG$78"}</definedName>
    <definedName name="WR_1_2" hidden="1">{"'Quadro'!$A$4:$BG$78"}</definedName>
    <definedName name="WR_2" localSheetId="20" hidden="1">{"'Quadro'!$A$4:$BG$78"}</definedName>
    <definedName name="WR_2" hidden="1">{"'Quadro'!$A$4:$BG$78"}</definedName>
    <definedName name="wrg.aug" localSheetId="20" hidden="1">{"det (May)",#N/A,FALSE,"June";"sum (MAY YTD)",#N/A,FALSE,"June YTD"}</definedName>
    <definedName name="wrg.aug" hidden="1">{"det (May)",#N/A,FALSE,"June";"sum (MAY YTD)",#N/A,FALSE,"June YTD"}</definedName>
    <definedName name="wrg.aug_1" localSheetId="20" hidden="1">{"det (May)",#N/A,FALSE,"June";"sum (MAY YTD)",#N/A,FALSE,"June YTD"}</definedName>
    <definedName name="wrg.aug_1" hidden="1">{"det (May)",#N/A,FALSE,"June";"sum (MAY YTD)",#N/A,FALSE,"June YTD"}</definedName>
    <definedName name="wrg.aug_1_1" localSheetId="20" hidden="1">{"det (May)",#N/A,FALSE,"June";"sum (MAY YTD)",#N/A,FALSE,"June YTD"}</definedName>
    <definedName name="wrg.aug_1_1" hidden="1">{"det (May)",#N/A,FALSE,"June";"sum (MAY YTD)",#N/A,FALSE,"June YTD"}</definedName>
    <definedName name="wrg.aug_1_1_1" localSheetId="20" hidden="1">{"det (May)",#N/A,FALSE,"June";"sum (MAY YTD)",#N/A,FALSE,"June YTD"}</definedName>
    <definedName name="wrg.aug_1_1_1" hidden="1">{"det (May)",#N/A,FALSE,"June";"sum (MAY YTD)",#N/A,FALSE,"June YTD"}</definedName>
    <definedName name="wrg.aug_1_2" localSheetId="20" hidden="1">{"det (May)",#N/A,FALSE,"June";"sum (MAY YTD)",#N/A,FALSE,"June YTD"}</definedName>
    <definedName name="wrg.aug_1_2" hidden="1">{"det (May)",#N/A,FALSE,"June";"sum (MAY YTD)",#N/A,FALSE,"June YTD"}</definedName>
    <definedName name="wrg.aug_2" localSheetId="20" hidden="1">{"det (May)",#N/A,FALSE,"June";"sum (MAY YTD)",#N/A,FALSE,"June YTD"}</definedName>
    <definedName name="wrg.aug_2" hidden="1">{"det (May)",#N/A,FALSE,"June";"sum (MAY YTD)",#N/A,FALSE,"June YTD"}</definedName>
    <definedName name="wrm.ORÇAMENTO" localSheetId="20" hidden="1">{#N/A,#N/A,FALSE,"ORC-ACKE";#N/A,#N/A,FALSE,"RESUMO"}</definedName>
    <definedName name="wrm.ORÇAMENTO" hidden="1">{#N/A,#N/A,FALSE,"ORC-ACKE";#N/A,#N/A,FALSE,"RESUMO"}</definedName>
    <definedName name="wrn.2000Base.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_1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2" localSheetId="20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97." localSheetId="2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._1" localSheetId="20" hidden="1">{#N/A,#N/A,FALSE,"지침";#N/A,#N/A,FALSE,"환경분석";#N/A,#N/A,FALSE,"Sheet16"}</definedName>
    <definedName name="wrn.97._1" hidden="1">{#N/A,#N/A,FALSE,"지침";#N/A,#N/A,FALSE,"환경분석";#N/A,#N/A,FALSE,"Sheet16"}</definedName>
    <definedName name="wrn.97._1_1" localSheetId="20" hidden="1">{#N/A,#N/A,FALSE,"지침";#N/A,#N/A,FALSE,"환경분석";#N/A,#N/A,FALSE,"Sheet16"}</definedName>
    <definedName name="wrn.97._1_1" hidden="1">{#N/A,#N/A,FALSE,"지침";#N/A,#N/A,FALSE,"환경분석";#N/A,#N/A,FALSE,"Sheet16"}</definedName>
    <definedName name="wrn.97._1_1_1" localSheetId="20" hidden="1">{#N/A,#N/A,FALSE,"지침";#N/A,#N/A,FALSE,"환경분석";#N/A,#N/A,FALSE,"Sheet16"}</definedName>
    <definedName name="wrn.97._1_1_1" hidden="1">{#N/A,#N/A,FALSE,"지침";#N/A,#N/A,FALSE,"환경분석";#N/A,#N/A,FALSE,"Sheet16"}</definedName>
    <definedName name="wrn.97._1_2" localSheetId="20" hidden="1">{#N/A,#N/A,FALSE,"지침";#N/A,#N/A,FALSE,"환경분석";#N/A,#N/A,FALSE,"Sheet16"}</definedName>
    <definedName name="wrn.97._1_2" hidden="1">{#N/A,#N/A,FALSE,"지침";#N/A,#N/A,FALSE,"환경분석";#N/A,#N/A,FALSE,"Sheet16"}</definedName>
    <definedName name="wrn.97._2" localSheetId="20" hidden="1">{#N/A,#N/A,FALSE,"지침";#N/A,#N/A,FALSE,"환경분석";#N/A,#N/A,FALSE,"Sheet16"}</definedName>
    <definedName name="wrn.97._2" hidden="1">{#N/A,#N/A,FALSE,"지침";#N/A,#N/A,FALSE,"환경분석";#N/A,#N/A,FALSE,"Sheet16"}</definedName>
    <definedName name="wrn.ACABINT.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2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2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2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quisition_matrix." localSheetId="20" hidden="1">{"Acq_matrix",#N/A,FALSE,"Acquisition Matrix"}</definedName>
    <definedName name="wrn.Acquisition_matrix." hidden="1">{"Acq_matrix",#N/A,FALSE,"Acquisition Matrix"}</definedName>
    <definedName name="wrn.Advanced._.Material." localSheetId="20" hidden="1">{#N/A,#N/A,FALSE,"CAPA";#N/A,#N/A,FALSE,"CONSOL. 2";#N/A,#N/A,FALSE,"CONSOL. 5";#N/A,#N/A,FALSE,"CONSOL. ACUM. 6";#N/A,#N/A,FALSE,"CAP. EMPREG. 7"}</definedName>
    <definedName name="wrn.Advanced._.Material." hidden="1">{#N/A,#N/A,FALSE,"CAPA";#N/A,#N/A,FALSE,"CONSOL. 2";#N/A,#N/A,FALSE,"CONSOL. 5";#N/A,#N/A,FALSE,"CONSOL. ACUM. 6";#N/A,#N/A,FALSE,"CAP. EMPREG. 7"}</definedName>
    <definedName name="wrn.Advanced._.Material._1" localSheetId="20" hidden="1">{#N/A,#N/A,FALSE,"CAPA";#N/A,#N/A,FALSE,"CONSOL. 2";#N/A,#N/A,FALSE,"CONSOL. 5";#N/A,#N/A,FALSE,"CONSOL. ACUM. 6";#N/A,#N/A,FALSE,"CAP. EMPREG. 7"}</definedName>
    <definedName name="wrn.Advanced._.Material._1" hidden="1">{#N/A,#N/A,FALSE,"CAPA";#N/A,#N/A,FALSE,"CONSOL. 2";#N/A,#N/A,FALSE,"CONSOL. 5";#N/A,#N/A,FALSE,"CONSOL. ACUM. 6";#N/A,#N/A,FALSE,"CAP. EMPREG. 7"}</definedName>
    <definedName name="wrn.Advanced._.Material._1_1" localSheetId="20" hidden="1">{#N/A,#N/A,FALSE,"CAPA";#N/A,#N/A,FALSE,"CONSOL. 2";#N/A,#N/A,FALSE,"CONSOL. 5";#N/A,#N/A,FALSE,"CONSOL. ACUM. 6";#N/A,#N/A,FALSE,"CAP. EMPREG. 7"}</definedName>
    <definedName name="wrn.Advanced._.Material._1_1" hidden="1">{#N/A,#N/A,FALSE,"CAPA";#N/A,#N/A,FALSE,"CONSOL. 2";#N/A,#N/A,FALSE,"CONSOL. 5";#N/A,#N/A,FALSE,"CONSOL. ACUM. 6";#N/A,#N/A,FALSE,"CAP. EMPREG. 7"}</definedName>
    <definedName name="wrn.Advanced._.Material._1_1_1" localSheetId="20" hidden="1">{#N/A,#N/A,FALSE,"CAPA";#N/A,#N/A,FALSE,"CONSOL. 2";#N/A,#N/A,FALSE,"CONSOL. 5";#N/A,#N/A,FALSE,"CONSOL. ACUM. 6";#N/A,#N/A,FALSE,"CAP. EMPREG. 7"}</definedName>
    <definedName name="wrn.Advanced._.Material._1_1_1" hidden="1">{#N/A,#N/A,FALSE,"CAPA";#N/A,#N/A,FALSE,"CONSOL. 2";#N/A,#N/A,FALSE,"CONSOL. 5";#N/A,#N/A,FALSE,"CONSOL. ACUM. 6";#N/A,#N/A,FALSE,"CAP. EMPREG. 7"}</definedName>
    <definedName name="wrn.Advanced._.Material._1_2" localSheetId="20" hidden="1">{#N/A,#N/A,FALSE,"CAPA";#N/A,#N/A,FALSE,"CONSOL. 2";#N/A,#N/A,FALSE,"CONSOL. 5";#N/A,#N/A,FALSE,"CONSOL. ACUM. 6";#N/A,#N/A,FALSE,"CAP. EMPREG. 7"}</definedName>
    <definedName name="wrn.Advanced._.Material._1_2" hidden="1">{#N/A,#N/A,FALSE,"CAPA";#N/A,#N/A,FALSE,"CONSOL. 2";#N/A,#N/A,FALSE,"CONSOL. 5";#N/A,#N/A,FALSE,"CONSOL. ACUM. 6";#N/A,#N/A,FALSE,"CAP. EMPREG. 7"}</definedName>
    <definedName name="wrn.Advanced._.Material._2" localSheetId="20" hidden="1">{#N/A,#N/A,FALSE,"CAPA";#N/A,#N/A,FALSE,"CONSOL. 2";#N/A,#N/A,FALSE,"CONSOL. 5";#N/A,#N/A,FALSE,"CONSOL. ACUM. 6";#N/A,#N/A,FALSE,"CAP. EMPREG. 7"}</definedName>
    <definedName name="wrn.Advanced._.Material._2" hidden="1">{#N/A,#N/A,FALSE,"CAPA";#N/A,#N/A,FALSE,"CONSOL. 2";#N/A,#N/A,FALSE,"CONSOL. 5";#N/A,#N/A,FALSE,"CONSOL. ACUM. 6";#N/A,#N/A,FALSE,"CAP. EMPREG. 7"}</definedName>
    <definedName name="wrn.Aging._.and._.Trend._.Analysis." localSheetId="2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1" localSheetId="20" hidden="1">{#N/A,#N/A,FALSE,"Aging Summary";#N/A,#N/A,FALSE,"Ratio Analysis";#N/A,#N/A,FALSE,"Test 120 Day Accts";#N/A,#N/A,FALSE,"Tickmarks"}</definedName>
    <definedName name="wrn.Aging._.and._.Trend._.Analysis._1" hidden="1">{#N/A,#N/A,FALSE,"Aging Summary";#N/A,#N/A,FALSE,"Ratio Analysis";#N/A,#N/A,FALSE,"Test 120 Day Accts";#N/A,#N/A,FALSE,"Tickmarks"}</definedName>
    <definedName name="wrn.Aging._.and._.Trend._.Analysis._1_1" localSheetId="20" hidden="1">{#N/A,#N/A,FALSE,"Aging Summary";#N/A,#N/A,FALSE,"Ratio Analysis";#N/A,#N/A,FALSE,"Test 120 Day Accts";#N/A,#N/A,FALSE,"Tickmarks"}</definedName>
    <definedName name="wrn.Aging._.and._.Trend._.Analysis._1_1" hidden="1">{#N/A,#N/A,FALSE,"Aging Summary";#N/A,#N/A,FALSE,"Ratio Analysis";#N/A,#N/A,FALSE,"Test 120 Day Accts";#N/A,#N/A,FALSE,"Tickmarks"}</definedName>
    <definedName name="wrn.Aging._.and._.Trend._.Analysis._1_1_1" localSheetId="20" hidden="1">{#N/A,#N/A,FALSE,"Aging Summary";#N/A,#N/A,FALSE,"Ratio Analysis";#N/A,#N/A,FALSE,"Test 120 Day Accts";#N/A,#N/A,FALSE,"Tickmarks"}</definedName>
    <definedName name="wrn.Aging._.and._.Trend._.Analysis._1_1_1" hidden="1">{#N/A,#N/A,FALSE,"Aging Summary";#N/A,#N/A,FALSE,"Ratio Analysis";#N/A,#N/A,FALSE,"Test 120 Day Accts";#N/A,#N/A,FALSE,"Tickmarks"}</definedName>
    <definedName name="wrn.Aging._.and._.Trend._.Analysis._1_2" localSheetId="20" hidden="1">{#N/A,#N/A,FALSE,"Aging Summary";#N/A,#N/A,FALSE,"Ratio Analysis";#N/A,#N/A,FALSE,"Test 120 Day Accts";#N/A,#N/A,FALSE,"Tickmarks"}</definedName>
    <definedName name="wrn.Aging._.and._.Trend._.Analysis._1_2" hidden="1">{#N/A,#N/A,FALSE,"Aging Summary";#N/A,#N/A,FALSE,"Ratio Analysis";#N/A,#N/A,FALSE,"Test 120 Day Accts";#N/A,#N/A,FALSE,"Tickmarks"}</definedName>
    <definedName name="wrn.Aging._.and._.Trend._.Analysis._2" localSheetId="20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kerr" localSheetId="20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localSheetId="20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localSheetId="20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20" hidden="1">{#N/A,#N/A,FALSE,"cpt"}</definedName>
    <definedName name="wrn.all." hidden="1">{#N/A,#N/A,FALSE,"cpt"}</definedName>
    <definedName name="wrn.All._.Tabs._.for._.Ken." localSheetId="20" hidden="1">{#N/A,#N/A,FALSE,"CW Summary";#N/A,#N/A,FALSE,"Weekly Tracking";#N/A,#N/A,FALSE,"MSA";#N/A,#N/A,FALSE,"Parts";#N/A,#N/A,FALSE,"RS";#N/A,#N/A,FALSE,"Mods";#N/A,#N/A,FALSE,"GEVISA";#N/A,#N/A,FALSE,"HQ"}</definedName>
    <definedName name="wrn.All._.Tabs._.for._.Ken." hidden="1">{#N/A,#N/A,FALSE,"CW Summary";#N/A,#N/A,FALSE,"Weekly Tracking";#N/A,#N/A,FALSE,"MSA";#N/A,#N/A,FALSE,"Parts";#N/A,#N/A,FALSE,"RS";#N/A,#N/A,FALSE,"Mods";#N/A,#N/A,FALSE,"GEVISA";#N/A,#N/A,FALSE,"HQ"}</definedName>
    <definedName name="wrn.ALLE._.ÅRSKJEMAER." localSheetId="20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localSheetId="20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localSheetId="20" hidden="1">{#N/A,#N/A,FALSE,"ANEXO3 99 ERA";#N/A,#N/A,FALSE,"ANEXO3 99 UBÁ2";#N/A,#N/A,FALSE,"ANEXO3 99 DTU";#N/A,#N/A,FALSE,"ANEXO3 99 RDR";#N/A,#N/A,FALSE,"ANEXO3 99 UBÁ4";#N/A,#N/A,FALSE,"ANEXO3 99 UBÁ6"}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localSheetId="20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localSheetId="20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localSheetId="20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aug" localSheetId="20" hidden="1">{"det (May)",#N/A,FALSE,"June";"sum (MAY YTD)",#N/A,FALSE,"June YTD"}</definedName>
    <definedName name="wrn.aug" hidden="1">{"det (May)",#N/A,FALSE,"June";"sum (MAY YTD)",#N/A,FALSE,"June YTD"}</definedName>
    <definedName name="wrn.aug_1" localSheetId="20" hidden="1">{"det (May)",#N/A,FALSE,"June";"sum (MAY YTD)",#N/A,FALSE,"June YTD"}</definedName>
    <definedName name="wrn.aug_1" hidden="1">{"det (May)",#N/A,FALSE,"June";"sum (MAY YTD)",#N/A,FALSE,"June YTD"}</definedName>
    <definedName name="wrn.aug_1_1" localSheetId="20" hidden="1">{"det (May)",#N/A,FALSE,"June";"sum (MAY YTD)",#N/A,FALSE,"June YTD"}</definedName>
    <definedName name="wrn.aug_1_1" hidden="1">{"det (May)",#N/A,FALSE,"June";"sum (MAY YTD)",#N/A,FALSE,"June YTD"}</definedName>
    <definedName name="wrn.aug_1_1_1" localSheetId="20" hidden="1">{"det (May)",#N/A,FALSE,"June";"sum (MAY YTD)",#N/A,FALSE,"June YTD"}</definedName>
    <definedName name="wrn.aug_1_1_1" hidden="1">{"det (May)",#N/A,FALSE,"June";"sum (MAY YTD)",#N/A,FALSE,"June YTD"}</definedName>
    <definedName name="wrn.aug_1_2" localSheetId="20" hidden="1">{"det (May)",#N/A,FALSE,"June";"sum (MAY YTD)",#N/A,FALSE,"June YTD"}</definedName>
    <definedName name="wrn.aug_1_2" hidden="1">{"det (May)",#N/A,FALSE,"June";"sum (MAY YTD)",#N/A,FALSE,"June YTD"}</definedName>
    <definedName name="wrn.aug_2" localSheetId="20" hidden="1">{"det (May)",#N/A,FALSE,"June";"sum (MAY YTD)",#N/A,FALSE,"June YTD"}</definedName>
    <definedName name="wrn.aug_2" hidden="1">{"det (May)",#N/A,FALSE,"June";"sum (MAY YTD)",#N/A,FALSE,"June YTD"}</definedName>
    <definedName name="wrn.augyt" localSheetId="20" hidden="1">{"det (May)",#N/A,FALSE,"June";"sum (MAY YTD)",#N/A,FALSE,"June YTD"}</definedName>
    <definedName name="wrn.augyt" hidden="1">{"det (May)",#N/A,FALSE,"June";"sum (MAY YTD)",#N/A,FALSE,"June YTD"}</definedName>
    <definedName name="wrn.augyt_1" localSheetId="20" hidden="1">{"det (May)",#N/A,FALSE,"June";"sum (MAY YTD)",#N/A,FALSE,"June YTD"}</definedName>
    <definedName name="wrn.augyt_1" hidden="1">{"det (May)",#N/A,FALSE,"June";"sum (MAY YTD)",#N/A,FALSE,"June YTD"}</definedName>
    <definedName name="wrn.augyt_1_1" localSheetId="20" hidden="1">{"det (May)",#N/A,FALSE,"June";"sum (MAY YTD)",#N/A,FALSE,"June YTD"}</definedName>
    <definedName name="wrn.augyt_1_1" hidden="1">{"det (May)",#N/A,FALSE,"June";"sum (MAY YTD)",#N/A,FALSE,"June YTD"}</definedName>
    <definedName name="wrn.augyt_1_1_1" localSheetId="20" hidden="1">{"det (May)",#N/A,FALSE,"June";"sum (MAY YTD)",#N/A,FALSE,"June YTD"}</definedName>
    <definedName name="wrn.augyt_1_1_1" hidden="1">{"det (May)",#N/A,FALSE,"June";"sum (MAY YTD)",#N/A,FALSE,"June YTD"}</definedName>
    <definedName name="wrn.augyt_1_2" localSheetId="20" hidden="1">{"det (May)",#N/A,FALSE,"June";"sum (MAY YTD)",#N/A,FALSE,"June YTD"}</definedName>
    <definedName name="wrn.augyt_1_2" hidden="1">{"det (May)",#N/A,FALSE,"June";"sum (MAY YTD)",#N/A,FALSE,"June YTD"}</definedName>
    <definedName name="wrn.augyt_2" localSheetId="20" hidden="1">{"det (May)",#N/A,FALSE,"June";"sum (MAY YTD)",#N/A,FALSE,"June YTD"}</definedName>
    <definedName name="wrn.augyt_2" hidden="1">{"det (May)",#N/A,FALSE,"June";"sum (MAY YTD)",#N/A,FALSE,"June YTD"}</definedName>
    <definedName name="wrn.augYTD" localSheetId="20" hidden="1">{"det (May)",#N/A,FALSE,"June";"sum (MAY YTD)",#N/A,FALSE,"June YTD"}</definedName>
    <definedName name="wrn.augYTD" hidden="1">{"det (May)",#N/A,FALSE,"June";"sum (MAY YTD)",#N/A,FALSE,"June YTD"}</definedName>
    <definedName name="wrn.augYTD_1" localSheetId="20" hidden="1">{"det (May)",#N/A,FALSE,"June";"sum (MAY YTD)",#N/A,FALSE,"June YTD"}</definedName>
    <definedName name="wrn.augYTD_1" hidden="1">{"det (May)",#N/A,FALSE,"June";"sum (MAY YTD)",#N/A,FALSE,"June YTD"}</definedName>
    <definedName name="wrn.augYTD_1_1" localSheetId="20" hidden="1">{"det (May)",#N/A,FALSE,"June";"sum (MAY YTD)",#N/A,FALSE,"June YTD"}</definedName>
    <definedName name="wrn.augYTD_1_1" hidden="1">{"det (May)",#N/A,FALSE,"June";"sum (MAY YTD)",#N/A,FALSE,"June YTD"}</definedName>
    <definedName name="wrn.augYTD_1_1_1" localSheetId="20" hidden="1">{"det (May)",#N/A,FALSE,"June";"sum (MAY YTD)",#N/A,FALSE,"June YTD"}</definedName>
    <definedName name="wrn.augYTD_1_1_1" hidden="1">{"det (May)",#N/A,FALSE,"June";"sum (MAY YTD)",#N/A,FALSE,"June YTD"}</definedName>
    <definedName name="wrn.augYTD_1_2" localSheetId="20" hidden="1">{"det (May)",#N/A,FALSE,"June";"sum (MAY YTD)",#N/A,FALSE,"June YTD"}</definedName>
    <definedName name="wrn.augYTD_1_2" hidden="1">{"det (May)",#N/A,FALSE,"June";"sum (MAY YTD)",#N/A,FALSE,"June YTD"}</definedName>
    <definedName name="wrn.augYTD_2" localSheetId="20" hidden="1">{"det (May)",#N/A,FALSE,"June";"sum (MAY YTD)",#N/A,FALSE,"June YTD"}</definedName>
    <definedName name="wrn.augYTD_2" hidden="1">{"det (May)",#N/A,FALSE,"June";"sum (MAY YTD)",#N/A,FALSE,"June YTD"}</definedName>
    <definedName name="wrn.augYTDx" localSheetId="20" hidden="1">{"det (May)",#N/A,FALSE,"June";"sum (MAY YTD)",#N/A,FALSE,"June YTD"}</definedName>
    <definedName name="wrn.augYTDx" hidden="1">{"det (May)",#N/A,FALSE,"June";"sum (MAY YTD)",#N/A,FALSE,"June YTD"}</definedName>
    <definedName name="wrn.augYTDx_1" localSheetId="20" hidden="1">{"det (May)",#N/A,FALSE,"June";"sum (MAY YTD)",#N/A,FALSE,"June YTD"}</definedName>
    <definedName name="wrn.augYTDx_1" hidden="1">{"det (May)",#N/A,FALSE,"June";"sum (MAY YTD)",#N/A,FALSE,"June YTD"}</definedName>
    <definedName name="wrn.augYTDx_1_1" localSheetId="20" hidden="1">{"det (May)",#N/A,FALSE,"June";"sum (MAY YTD)",#N/A,FALSE,"June YTD"}</definedName>
    <definedName name="wrn.augYTDx_1_1" hidden="1">{"det (May)",#N/A,FALSE,"June";"sum (MAY YTD)",#N/A,FALSE,"June YTD"}</definedName>
    <definedName name="wrn.augYTDx_1_1_1" localSheetId="20" hidden="1">{"det (May)",#N/A,FALSE,"June";"sum (MAY YTD)",#N/A,FALSE,"June YTD"}</definedName>
    <definedName name="wrn.augYTDx_1_1_1" hidden="1">{"det (May)",#N/A,FALSE,"June";"sum (MAY YTD)",#N/A,FALSE,"June YTD"}</definedName>
    <definedName name="wrn.augYTDx_1_2" localSheetId="20" hidden="1">{"det (May)",#N/A,FALSE,"June";"sum (MAY YTD)",#N/A,FALSE,"June YTD"}</definedName>
    <definedName name="wrn.augYTDx_1_2" hidden="1">{"det (May)",#N/A,FALSE,"June";"sum (MAY YTD)",#N/A,FALSE,"June YTD"}</definedName>
    <definedName name="wrn.augYTDx_2" localSheetId="20" hidden="1">{"det (May)",#N/A,FALSE,"June";"sum (MAY YTD)",#N/A,FALSE,"June YTD"}</definedName>
    <definedName name="wrn.augYTDx_2" hidden="1">{"det (May)",#N/A,FALSE,"June";"sum (MAY YTD)",#N/A,FALSE,"June YTD"}</definedName>
    <definedName name="wrn.augytx" localSheetId="20" hidden="1">{"det (May)",#N/A,FALSE,"June";"sum (MAY YTD)",#N/A,FALSE,"June YTD"}</definedName>
    <definedName name="wrn.augytx" hidden="1">{"det (May)",#N/A,FALSE,"June";"sum (MAY YTD)",#N/A,FALSE,"June YTD"}</definedName>
    <definedName name="wrn.augytx_1" localSheetId="20" hidden="1">{"det (May)",#N/A,FALSE,"June";"sum (MAY YTD)",#N/A,FALSE,"June YTD"}</definedName>
    <definedName name="wrn.augytx_1" hidden="1">{"det (May)",#N/A,FALSE,"June";"sum (MAY YTD)",#N/A,FALSE,"June YTD"}</definedName>
    <definedName name="wrn.augytx_1_1" localSheetId="20" hidden="1">{"det (May)",#N/A,FALSE,"June";"sum (MAY YTD)",#N/A,FALSE,"June YTD"}</definedName>
    <definedName name="wrn.augytx_1_1" hidden="1">{"det (May)",#N/A,FALSE,"June";"sum (MAY YTD)",#N/A,FALSE,"June YTD"}</definedName>
    <definedName name="wrn.augytx_1_1_1" localSheetId="20" hidden="1">{"det (May)",#N/A,FALSE,"June";"sum (MAY YTD)",#N/A,FALSE,"June YTD"}</definedName>
    <definedName name="wrn.augytx_1_1_1" hidden="1">{"det (May)",#N/A,FALSE,"June";"sum (MAY YTD)",#N/A,FALSE,"June YTD"}</definedName>
    <definedName name="wrn.augytx_1_2" localSheetId="20" hidden="1">{"det (May)",#N/A,FALSE,"June";"sum (MAY YTD)",#N/A,FALSE,"June YTD"}</definedName>
    <definedName name="wrn.augytx_1_2" hidden="1">{"det (May)",#N/A,FALSE,"June";"sum (MAY YTD)",#N/A,FALSE,"June YTD"}</definedName>
    <definedName name="wrn.augytx_2" localSheetId="20" hidden="1">{"det (May)",#N/A,FALSE,"June";"sum (MAY YTD)",#N/A,FALSE,"June YTD"}</definedName>
    <definedName name="wrn.augytx_2" hidden="1">{"det (May)",#N/A,FALSE,"June";"sum (MAY YTD)",#N/A,FALSE,"June YTD"}</definedName>
    <definedName name="wrn.baseDEV.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_1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2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2" localSheetId="20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B1." localSheetId="20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B1._1" localSheetId="20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LGO." localSheetId="20" hidden="1">{"BELGO",#N/A,FALSE,"S-BELGO"}</definedName>
    <definedName name="wrn.BELGO." hidden="1">{"BELGO",#N/A,FALSE,"S-BELGO"}</definedName>
    <definedName name="wrn.BELGO._1" localSheetId="20" hidden="1">{"BELGO",#N/A,FALSE,"S-BELGO"}</definedName>
    <definedName name="wrn.BELGO._1" hidden="1">{"BELGO",#N/A,FALSE,"S-BELGO"}</definedName>
    <definedName name="wrn.BELGO._1_1" localSheetId="20" hidden="1">{"BELGO",#N/A,FALSE,"S-BELGO"}</definedName>
    <definedName name="wrn.BELGO._1_1" hidden="1">{"BELGO",#N/A,FALSE,"S-BELGO"}</definedName>
    <definedName name="wrn.BELGO._1_1_1" localSheetId="20" hidden="1">{"BELGO",#N/A,FALSE,"S-BELGO"}</definedName>
    <definedName name="wrn.BELGO._1_1_1" hidden="1">{"BELGO",#N/A,FALSE,"S-BELGO"}</definedName>
    <definedName name="wrn.BELGO._1_2" localSheetId="20" hidden="1">{"BELGO",#N/A,FALSE,"S-BELGO"}</definedName>
    <definedName name="wrn.BELGO._1_2" hidden="1">{"BELGO",#N/A,FALSE,"S-BELGO"}</definedName>
    <definedName name="wrn.BELGO._2" localSheetId="20" hidden="1">{"BELGO",#N/A,FALSE,"S-BELGO"}</definedName>
    <definedName name="wrn.BELGO._2" hidden="1">{"BELGO",#N/A,FALSE,"S-BELGO"}</definedName>
    <definedName name="wrn.BETER." localSheetId="20" hidden="1">{#N/A,#N/A,FALSE,"BETER -1";#N/A,#N/A,FALSE,"BETER -2";#N/A,#N/A,FALSE,"BETER -3";#N/A,#N/A,FALSE,"BETER -urb";#N/A,#N/A,FALSE,"BETER -RESUMO"}</definedName>
    <definedName name="wrn.BETER." hidden="1">{#N/A,#N/A,FALSE,"BETER -1";#N/A,#N/A,FALSE,"BETER -2";#N/A,#N/A,FALSE,"BETER -3";#N/A,#N/A,FALSE,"BETER -urb";#N/A,#N/A,FALSE,"BETER -RESUMO"}</definedName>
    <definedName name="wrn.BETER._1" localSheetId="20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Book." localSheetId="2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Book._1" localSheetId="20" hidden="1">{"EVA",#N/A,FALSE,"SMT2";#N/A,#N/A,FALSE,"Summary";#N/A,#N/A,FALSE,"Graphs";#N/A,#N/A,FALSE,"4 Panel"}</definedName>
    <definedName name="wrn.Book._1" hidden="1">{"EVA",#N/A,FALSE,"SMT2";#N/A,#N/A,FALSE,"Summary";#N/A,#N/A,FALSE,"Graphs";#N/A,#N/A,FALSE,"4 Panel"}</definedName>
    <definedName name="wrn.Book._1_1" localSheetId="20" hidden="1">{"EVA",#N/A,FALSE,"SMT2";#N/A,#N/A,FALSE,"Summary";#N/A,#N/A,FALSE,"Graphs";#N/A,#N/A,FALSE,"4 Panel"}</definedName>
    <definedName name="wrn.Book._1_1" hidden="1">{"EVA",#N/A,FALSE,"SMT2";#N/A,#N/A,FALSE,"Summary";#N/A,#N/A,FALSE,"Graphs";#N/A,#N/A,FALSE,"4 Panel"}</definedName>
    <definedName name="wrn.Book._1_1_1" localSheetId="20" hidden="1">{"EVA",#N/A,FALSE,"SMT2";#N/A,#N/A,FALSE,"Summary";#N/A,#N/A,FALSE,"Graphs";#N/A,#N/A,FALSE,"4 Panel"}</definedName>
    <definedName name="wrn.Book._1_1_1" hidden="1">{"EVA",#N/A,FALSE,"SMT2";#N/A,#N/A,FALSE,"Summary";#N/A,#N/A,FALSE,"Graphs";#N/A,#N/A,FALSE,"4 Panel"}</definedName>
    <definedName name="wrn.Book._1_2" localSheetId="20" hidden="1">{"EVA",#N/A,FALSE,"SMT2";#N/A,#N/A,FALSE,"Summary";#N/A,#N/A,FALSE,"Graphs";#N/A,#N/A,FALSE,"4 Panel"}</definedName>
    <definedName name="wrn.Book._1_2" hidden="1">{"EVA",#N/A,FALSE,"SMT2";#N/A,#N/A,FALSE,"Summary";#N/A,#N/A,FALSE,"Graphs";#N/A,#N/A,FALSE,"4 Panel"}</definedName>
    <definedName name="wrn.Book._2" localSheetId="20" hidden="1">{"EVA",#N/A,FALSE,"SMT2";#N/A,#N/A,FALSE,"Summary";#N/A,#N/A,FALSE,"Graphs";#N/A,#N/A,FALSE,"4 Panel"}</definedName>
    <definedName name="wrn.Book._2" hidden="1">{"EVA",#N/A,FALSE,"SMT2";#N/A,#N/A,FALSE,"Summary";#N/A,#N/A,FALSE,"Graphs";#N/A,#N/A,FALSE,"4 Panel"}</definedName>
    <definedName name="wrn.brol.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uildups." localSheetId="20" hidden="1">{"ACQ",#N/A,FALSE,"ACQUISITIONS";"ACQF",#N/A,FALSE,"ACQUISITIONS";"PF",#N/A,FALSE,"PROYECTOVILA";"PV",#N/A,FALSE,"PROYECTOVILA";"Fee Dev",#N/A,FALSE,"DEVELOPMENT GROWTH";"gd",#N/A,FALSE,"DEVELOPMENT GROWTH"}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derno._.Sem._.Radares.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_1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2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2" localSheetId="20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ixa._.de._.Ferramentas.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_1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2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2" localSheetId="20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1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_1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2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2" localSheetId="20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PA." localSheetId="20" hidden="1">{"CAPA",#N/A,FALSE,"CAPA"}</definedName>
    <definedName name="wrn.CAPA." hidden="1">{"CAPA",#N/A,FALSE,"CAPA"}</definedName>
    <definedName name="wrn.CAPA._1" localSheetId="20" hidden="1">{"CAPA",#N/A,FALSE,"CAPA"}</definedName>
    <definedName name="wrn.CAPA._1" hidden="1">{"CAPA",#N/A,FALSE,"CAPA"}</definedName>
    <definedName name="wrn.CAPA._1_1" localSheetId="20" hidden="1">{"CAPA",#N/A,FALSE,"CAPA"}</definedName>
    <definedName name="wrn.CAPA._1_1" hidden="1">{"CAPA",#N/A,FALSE,"CAPA"}</definedName>
    <definedName name="wrn.CAPA._1_1_1" localSheetId="20" hidden="1">{"CAPA",#N/A,FALSE,"CAPA"}</definedName>
    <definedName name="wrn.CAPA._1_1_1" hidden="1">{"CAPA",#N/A,FALSE,"CAPA"}</definedName>
    <definedName name="wrn.CAPA._1_2" localSheetId="20" hidden="1">{"CAPA",#N/A,FALSE,"CAPA"}</definedName>
    <definedName name="wrn.CAPA._1_2" hidden="1">{"CAPA",#N/A,FALSE,"CAPA"}</definedName>
    <definedName name="wrn.CAPA._2" localSheetId="20" hidden="1">{"CAPA",#N/A,FALSE,"CAPA"}</definedName>
    <definedName name="wrn.CAPA._2" hidden="1">{"CAPA",#N/A,FALSE,"CAPA"}</definedName>
    <definedName name="wrn.CLOVES." localSheetId="20" hidden="1">{#N/A,#N/A,FALSE,"Plan1";#N/A,#N/A,FALSE,"Despesas Diversas por C.Custo"}</definedName>
    <definedName name="wrn.CLOVES." hidden="1">{#N/A,#N/A,FALSE,"Plan1";#N/A,#N/A,FALSE,"Despesas Diversas por C.Custo"}</definedName>
    <definedName name="wrn.CLOVES._1" localSheetId="20" hidden="1">{#N/A,#N/A,FALSE,"Plan1";#N/A,#N/A,FALSE,"Despesas Diversas por C.Custo"}</definedName>
    <definedName name="wrn.CLOVES._1" hidden="1">{#N/A,#N/A,FALSE,"Plan1";#N/A,#N/A,FALSE,"Despesas Diversas por C.Custo"}</definedName>
    <definedName name="wrn.CLOVES._1_1" localSheetId="20" hidden="1">{#N/A,#N/A,FALSE,"Plan1";#N/A,#N/A,FALSE,"Despesas Diversas por C.Custo"}</definedName>
    <definedName name="wrn.CLOVES._1_1" hidden="1">{#N/A,#N/A,FALSE,"Plan1";#N/A,#N/A,FALSE,"Despesas Diversas por C.Custo"}</definedName>
    <definedName name="wrn.CLOVES._1_1_1" localSheetId="20" hidden="1">{#N/A,#N/A,FALSE,"Plan1";#N/A,#N/A,FALSE,"Despesas Diversas por C.Custo"}</definedName>
    <definedName name="wrn.CLOVES._1_1_1" hidden="1">{#N/A,#N/A,FALSE,"Plan1";#N/A,#N/A,FALSE,"Despesas Diversas por C.Custo"}</definedName>
    <definedName name="wrn.CLOVES._1_2" localSheetId="20" hidden="1">{#N/A,#N/A,FALSE,"Plan1";#N/A,#N/A,FALSE,"Despesas Diversas por C.Custo"}</definedName>
    <definedName name="wrn.CLOVES._1_2" hidden="1">{#N/A,#N/A,FALSE,"Plan1";#N/A,#N/A,FALSE,"Despesas Diversas por C.Custo"}</definedName>
    <definedName name="wrn.CLOVES._2" localSheetId="20" hidden="1">{#N/A,#N/A,FALSE,"Plan1";#N/A,#N/A,FALSE,"Despesas Diversas por C.Custo"}</definedName>
    <definedName name="wrn.CLOVES._2" hidden="1">{#N/A,#N/A,FALSE,"Plan1";#N/A,#N/A,FALSE,"Despesas Diversas por C.Custo"}</definedName>
    <definedName name="wrn.Coberturas." localSheetId="20" hidden="1">{#N/A,#N/A,FALSE,"COBERTURAS 30";#N/A,#N/A,FALSE,"COBERTURAS Mês e Acum 31";#N/A,#N/A,FALSE,"COBERTURAS Acum 32"}</definedName>
    <definedName name="wrn.Coberturas." hidden="1">{#N/A,#N/A,FALSE,"COBERTURAS 30";#N/A,#N/A,FALSE,"COBERTURAS Mês e Acum 31";#N/A,#N/A,FALSE,"COBERTURAS Acum 32"}</definedName>
    <definedName name="wrn.Coberturas._1" localSheetId="20" hidden="1">{#N/A,#N/A,FALSE,"COBERTURAS 30";#N/A,#N/A,FALSE,"COBERTURAS Mês e Acum 31";#N/A,#N/A,FALSE,"COBERTURAS Acum 32"}</definedName>
    <definedName name="wrn.Coberturas._1" hidden="1">{#N/A,#N/A,FALSE,"COBERTURAS 30";#N/A,#N/A,FALSE,"COBERTURAS Mês e Acum 31";#N/A,#N/A,FALSE,"COBERTURAS Acum 32"}</definedName>
    <definedName name="wrn.Coberturas._1_1" localSheetId="20" hidden="1">{#N/A,#N/A,FALSE,"COBERTURAS 30";#N/A,#N/A,FALSE,"COBERTURAS Mês e Acum 31";#N/A,#N/A,FALSE,"COBERTURAS Acum 32"}</definedName>
    <definedName name="wrn.Coberturas._1_1" hidden="1">{#N/A,#N/A,FALSE,"COBERTURAS 30";#N/A,#N/A,FALSE,"COBERTURAS Mês e Acum 31";#N/A,#N/A,FALSE,"COBERTURAS Acum 32"}</definedName>
    <definedName name="wrn.Coberturas._1_1_1" localSheetId="20" hidden="1">{#N/A,#N/A,FALSE,"COBERTURAS 30";#N/A,#N/A,FALSE,"COBERTURAS Mês e Acum 31";#N/A,#N/A,FALSE,"COBERTURAS Acum 32"}</definedName>
    <definedName name="wrn.Coberturas._1_1_1" hidden="1">{#N/A,#N/A,FALSE,"COBERTURAS 30";#N/A,#N/A,FALSE,"COBERTURAS Mês e Acum 31";#N/A,#N/A,FALSE,"COBERTURAS Acum 32"}</definedName>
    <definedName name="wrn.Coberturas._1_2" localSheetId="20" hidden="1">{#N/A,#N/A,FALSE,"COBERTURAS 30";#N/A,#N/A,FALSE,"COBERTURAS Mês e Acum 31";#N/A,#N/A,FALSE,"COBERTURAS Acum 32"}</definedName>
    <definedName name="wrn.Coberturas._1_2" hidden="1">{#N/A,#N/A,FALSE,"COBERTURAS 30";#N/A,#N/A,FALSE,"COBERTURAS Mês e Acum 31";#N/A,#N/A,FALSE,"COBERTURAS Acum 32"}</definedName>
    <definedName name="wrn.Coberturas._2" localSheetId="20" hidden="1">{#N/A,#N/A,FALSE,"COBERTURAS 30";#N/A,#N/A,FALSE,"COBERTURAS Mês e Acum 31";#N/A,#N/A,FALSE,"COBERTURAS Acum 32"}</definedName>
    <definedName name="wrn.Coberturas._2" hidden="1">{#N/A,#N/A,FALSE,"COBERTURAS 30";#N/A,#N/A,FALSE,"COBERTURAS Mês e Acum 31";#N/A,#N/A,FALSE,"COBERTURAS Acum 32"}</definedName>
    <definedName name="wrn.COLETAS._.DE._.EQUIPAMENTOS." localSheetId="20" hidden="1">{#N/A,#N/A,FALSE,"EQUIPAMENTOS"}</definedName>
    <definedName name="wrn.COLETAS._.DE._.EQUIPAMENTOS." hidden="1">{#N/A,#N/A,FALSE,"EQUIPAMENTOS"}</definedName>
    <definedName name="wrn.COLETAS._.DE._.MATERIAIS." localSheetId="20" hidden="1">{#N/A,#N/A,FALSE,"SOTREQ"}</definedName>
    <definedName name="wrn.COLETAS._.DE._.MATERIAIS." hidden="1">{#N/A,#N/A,FALSE,"SOTREQ"}</definedName>
    <definedName name="wrn.comentario." localSheetId="20" hidden="1">{#N/A,#N/A,FALSE,"PCOL"}</definedName>
    <definedName name="wrn.comentario." hidden="1">{#N/A,#N/A,FALSE,"PCOL"}</definedName>
    <definedName name="wrn.comentario._1" localSheetId="20" hidden="1">{#N/A,#N/A,FALSE,"PCOL"}</definedName>
    <definedName name="wrn.comentario._1" hidden="1">{#N/A,#N/A,FALSE,"PCOL"}</definedName>
    <definedName name="wrn.comentario._1_1" localSheetId="20" hidden="1">{#N/A,#N/A,FALSE,"PCOL"}</definedName>
    <definedName name="wrn.comentario._1_1" hidden="1">{#N/A,#N/A,FALSE,"PCOL"}</definedName>
    <definedName name="wrn.comentario._1_1_1" localSheetId="20" hidden="1">{#N/A,#N/A,FALSE,"PCOL"}</definedName>
    <definedName name="wrn.comentario._1_1_1" hidden="1">{#N/A,#N/A,FALSE,"PCOL"}</definedName>
    <definedName name="wrn.comentario._1_2" localSheetId="20" hidden="1">{#N/A,#N/A,FALSE,"PCOL"}</definedName>
    <definedName name="wrn.comentario._1_2" hidden="1">{#N/A,#N/A,FALSE,"PCOL"}</definedName>
    <definedName name="wrn.comentario._2" localSheetId="20" hidden="1">{#N/A,#N/A,FALSE,"PCOL"}</definedName>
    <definedName name="wrn.comentario._2" hidden="1">{#N/A,#N/A,FALSE,"PCOL"}</definedName>
    <definedName name="wrn.COMP._.EQUIP." localSheetId="20" hidden="1">{#N/A,#N/A,FALSE,"EQUIPAMENTOS"}</definedName>
    <definedName name="wrn.COMP._.EQUIP." hidden="1">{#N/A,#N/A,FALSE,"EQUIPAMENTOS"}</definedName>
    <definedName name="wrn.COMP._.MATERIAIS." localSheetId="20" hidden="1">{#N/A,#N/A,FALSE,"MATERIAIS"}</definedName>
    <definedName name="wrn.COMP._.MATERIAIS." hidden="1">{#N/A,#N/A,FALSE,"MATERIAIS"}</definedName>
    <definedName name="wrn.Comparaison._.DMU." localSheetId="2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localSheetId="20" hidden="1">{"Page1",#N/A,FALSE,"CompCo";"Page2",#N/A,FALSE,"CompCo"}</definedName>
    <definedName name="wrn.COMPCO." hidden="1">{"Page1",#N/A,FALSE,"CompCo";"Page2",#N/A,FALSE,"CompCo"}</definedName>
    <definedName name="wrn.COMPLETA." localSheetId="20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e." localSheetId="2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2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mplete._.Set._1" localSheetId="20" hidden="1">{#N/A,#N/A,FALSE,"Full";#N/A,#N/A,FALSE,"Half";#N/A,#N/A,FALSE,"Op Expenses";#N/A,#N/A,FALSE,"Cap Charge";#N/A,#N/A,FALSE,"Cost C";#N/A,#N/A,FALSE,"PP&amp;E";#N/A,#N/A,FALSE,"R&amp;D"}</definedName>
    <definedName name="wrn.Complete._.Set._1" hidden="1">{#N/A,#N/A,FALSE,"Full";#N/A,#N/A,FALSE,"Half";#N/A,#N/A,FALSE,"Op Expenses";#N/A,#N/A,FALSE,"Cap Charge";#N/A,#N/A,FALSE,"Cost C";#N/A,#N/A,FALSE,"PP&amp;E";#N/A,#N/A,FALSE,"R&amp;D"}</definedName>
    <definedName name="wrn.Complete._.Set._1_1" localSheetId="20" hidden="1">{#N/A,#N/A,FALSE,"Full";#N/A,#N/A,FALSE,"Half";#N/A,#N/A,FALSE,"Op Expenses";#N/A,#N/A,FALSE,"Cap Charge";#N/A,#N/A,FALSE,"Cost C";#N/A,#N/A,FALSE,"PP&amp;E";#N/A,#N/A,FALSE,"R&amp;D"}</definedName>
    <definedName name="wrn.Complete._.Set._1_1" hidden="1">{#N/A,#N/A,FALSE,"Full";#N/A,#N/A,FALSE,"Half";#N/A,#N/A,FALSE,"Op Expenses";#N/A,#N/A,FALSE,"Cap Charge";#N/A,#N/A,FALSE,"Cost C";#N/A,#N/A,FALSE,"PP&amp;E";#N/A,#N/A,FALSE,"R&amp;D"}</definedName>
    <definedName name="wrn.Complete._.Set._1_1_1" localSheetId="20" hidden="1">{#N/A,#N/A,FALSE,"Full";#N/A,#N/A,FALSE,"Half";#N/A,#N/A,FALSE,"Op Expenses";#N/A,#N/A,FALSE,"Cap Charge";#N/A,#N/A,FALSE,"Cost C";#N/A,#N/A,FALSE,"PP&amp;E";#N/A,#N/A,FALSE,"R&amp;D"}</definedName>
    <definedName name="wrn.Complete._.Set._1_1_1" hidden="1">{#N/A,#N/A,FALSE,"Full";#N/A,#N/A,FALSE,"Half";#N/A,#N/A,FALSE,"Op Expenses";#N/A,#N/A,FALSE,"Cap Charge";#N/A,#N/A,FALSE,"Cost C";#N/A,#N/A,FALSE,"PP&amp;E";#N/A,#N/A,FALSE,"R&amp;D"}</definedName>
    <definedName name="wrn.Complete._.Set._1_2" localSheetId="20" hidden="1">{#N/A,#N/A,FALSE,"Full";#N/A,#N/A,FALSE,"Half";#N/A,#N/A,FALSE,"Op Expenses";#N/A,#N/A,FALSE,"Cap Charge";#N/A,#N/A,FALSE,"Cost C";#N/A,#N/A,FALSE,"PP&amp;E";#N/A,#N/A,FALSE,"R&amp;D"}</definedName>
    <definedName name="wrn.Complete._.Set._1_2" hidden="1">{#N/A,#N/A,FALSE,"Full";#N/A,#N/A,FALSE,"Half";#N/A,#N/A,FALSE,"Op Expenses";#N/A,#N/A,FALSE,"Cap Charge";#N/A,#N/A,FALSE,"Cost C";#N/A,#N/A,FALSE,"PP&amp;E";#N/A,#N/A,FALSE,"R&amp;D"}</definedName>
    <definedName name="wrn.Complete._.Set._2" localSheetId="20" hidden="1">{#N/A,#N/A,FALSE,"Full";#N/A,#N/A,FALSE,"Half";#N/A,#N/A,FALSE,"Op Expenses";#N/A,#N/A,FALSE,"Cap Charge";#N/A,#N/A,FALSE,"Cost C";#N/A,#N/A,FALSE,"PP&amp;E";#N/A,#N/A,FALSE,"R&amp;D"}</definedName>
    <definedName name="wrn.Complete._.Set._2" hidden="1">{#N/A,#N/A,FALSE,"Full";#N/A,#N/A,FALSE,"Half";#N/A,#N/A,FALSE,"Op Expenses";#N/A,#N/A,FALSE,"Cap Charge";#N/A,#N/A,FALSE,"Cost C";#N/A,#N/A,FALSE,"PP&amp;E";#N/A,#N/A,FALSE,"R&amp;D"}</definedName>
    <definedName name="wrn.Complete._1" localSheetId="20" hidden="1">{#N/A,#N/A,FALSE,"SMT1";#N/A,#N/A,FALSE,"SMT2";#N/A,#N/A,FALSE,"Summary";#N/A,#N/A,FALSE,"Graphs";#N/A,#N/A,FALSE,"4 Panel"}</definedName>
    <definedName name="wrn.Complete._1" hidden="1">{#N/A,#N/A,FALSE,"SMT1";#N/A,#N/A,FALSE,"SMT2";#N/A,#N/A,FALSE,"Summary";#N/A,#N/A,FALSE,"Graphs";#N/A,#N/A,FALSE,"4 Panel"}</definedName>
    <definedName name="wrn.Complete._1_1" localSheetId="20" hidden="1">{#N/A,#N/A,FALSE,"SMT1";#N/A,#N/A,FALSE,"SMT2";#N/A,#N/A,FALSE,"Summary";#N/A,#N/A,FALSE,"Graphs";#N/A,#N/A,FALSE,"4 Panel"}</definedName>
    <definedName name="wrn.Complete._1_1" hidden="1">{#N/A,#N/A,FALSE,"SMT1";#N/A,#N/A,FALSE,"SMT2";#N/A,#N/A,FALSE,"Summary";#N/A,#N/A,FALSE,"Graphs";#N/A,#N/A,FALSE,"4 Panel"}</definedName>
    <definedName name="wrn.Complete._1_1_1" localSheetId="20" hidden="1">{#N/A,#N/A,FALSE,"SMT1";#N/A,#N/A,FALSE,"SMT2";#N/A,#N/A,FALSE,"Summary";#N/A,#N/A,FALSE,"Graphs";#N/A,#N/A,FALSE,"4 Panel"}</definedName>
    <definedName name="wrn.Complete._1_1_1" hidden="1">{#N/A,#N/A,FALSE,"SMT1";#N/A,#N/A,FALSE,"SMT2";#N/A,#N/A,FALSE,"Summary";#N/A,#N/A,FALSE,"Graphs";#N/A,#N/A,FALSE,"4 Panel"}</definedName>
    <definedName name="wrn.Complete._1_2" localSheetId="20" hidden="1">{#N/A,#N/A,FALSE,"SMT1";#N/A,#N/A,FALSE,"SMT2";#N/A,#N/A,FALSE,"Summary";#N/A,#N/A,FALSE,"Graphs";#N/A,#N/A,FALSE,"4 Panel"}</definedName>
    <definedName name="wrn.Complete._1_2" hidden="1">{#N/A,#N/A,FALSE,"SMT1";#N/A,#N/A,FALSE,"SMT2";#N/A,#N/A,FALSE,"Summary";#N/A,#N/A,FALSE,"Graphs";#N/A,#N/A,FALSE,"4 Panel"}</definedName>
    <definedName name="wrn.Complete._2" localSheetId="20" hidden="1">{#N/A,#N/A,FALSE,"SMT1";#N/A,#N/A,FALSE,"SMT2";#N/A,#N/A,FALSE,"Summary";#N/A,#N/A,FALSE,"Graphs";#N/A,#N/A,FALSE,"4 Panel"}</definedName>
    <definedName name="wrn.Complete._2" hidden="1">{#N/A,#N/A,FALSE,"SMT1";#N/A,#N/A,FALSE,"SMT2";#N/A,#N/A,FALSE,"Summary";#N/A,#N/A,FALSE,"Graphs";#N/A,#N/A,FALSE,"4 Panel"}</definedName>
    <definedName name="wrn.COMPLETO." localSheetId="20" hidden="1">{#N/A,#N/A,FALSE,"RES.FIN.";#N/A,#N/A,FALSE,"EXTR.CRON.";#N/A,#N/A,FALSE,"REAJUSTE";#N/A,#N/A,FALSE,"RES.FÍS.";#N/A,#N/A,FALSE,"MEDIÇÃO";#N/A,#N/A,FALSE,"GRÁFICO"}</definedName>
    <definedName name="wrn.COMPLETO." hidden="1">{#N/A,#N/A,FALSE,"RES.FIN.";#N/A,#N/A,FALSE,"EXTR.CRON.";#N/A,#N/A,FALSE,"REAJUSTE";#N/A,#N/A,FALSE,"RES.FÍS.";#N/A,#N/A,FALSE,"MEDIÇÃO";#N/A,#N/A,FALSE,"GRÁFICO"}</definedName>
    <definedName name="wrn.CONSELL." localSheetId="20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olidado." localSheetId="20" hidden="1">{#N/A,#N/A,FALSE,"CONSOL. 5";#N/A,#N/A,FALSE,"CONSOL. ACUM. 6";#N/A,#N/A,FALSE,"CAP. EMPREG. 7";#N/A,#N/A,FALSE,"ORIGENS E APLICAÇÕES 9"}</definedName>
    <definedName name="wrn.Consolidado." hidden="1">{#N/A,#N/A,FALSE,"CONSOL. 5";#N/A,#N/A,FALSE,"CONSOL. ACUM. 6";#N/A,#N/A,FALSE,"CAP. EMPREG. 7";#N/A,#N/A,FALSE,"ORIGENS E APLICAÇÕES 9"}</definedName>
    <definedName name="wrn.Consolidado._1" localSheetId="20" hidden="1">{#N/A,#N/A,FALSE,"CONSOL. 5";#N/A,#N/A,FALSE,"CONSOL. ACUM. 6";#N/A,#N/A,FALSE,"CAP. EMPREG. 7";#N/A,#N/A,FALSE,"ORIGENS E APLICAÇÕES 9"}</definedName>
    <definedName name="wrn.Consolidado._1" hidden="1">{#N/A,#N/A,FALSE,"CONSOL. 5";#N/A,#N/A,FALSE,"CONSOL. ACUM. 6";#N/A,#N/A,FALSE,"CAP. EMPREG. 7";#N/A,#N/A,FALSE,"ORIGENS E APLICAÇÕES 9"}</definedName>
    <definedName name="wrn.Consolidado._1_1" localSheetId="20" hidden="1">{#N/A,#N/A,FALSE,"CONSOL. 5";#N/A,#N/A,FALSE,"CONSOL. ACUM. 6";#N/A,#N/A,FALSE,"CAP. EMPREG. 7";#N/A,#N/A,FALSE,"ORIGENS E APLICAÇÕES 9"}</definedName>
    <definedName name="wrn.Consolidado._1_1" hidden="1">{#N/A,#N/A,FALSE,"CONSOL. 5";#N/A,#N/A,FALSE,"CONSOL. ACUM. 6";#N/A,#N/A,FALSE,"CAP. EMPREG. 7";#N/A,#N/A,FALSE,"ORIGENS E APLICAÇÕES 9"}</definedName>
    <definedName name="wrn.Consolidado._1_1_1" localSheetId="20" hidden="1">{#N/A,#N/A,FALSE,"CONSOL. 5";#N/A,#N/A,FALSE,"CONSOL. ACUM. 6";#N/A,#N/A,FALSE,"CAP. EMPREG. 7";#N/A,#N/A,FALSE,"ORIGENS E APLICAÇÕES 9"}</definedName>
    <definedName name="wrn.Consolidado._1_1_1" hidden="1">{#N/A,#N/A,FALSE,"CONSOL. 5";#N/A,#N/A,FALSE,"CONSOL. ACUM. 6";#N/A,#N/A,FALSE,"CAP. EMPREG. 7";#N/A,#N/A,FALSE,"ORIGENS E APLICAÇÕES 9"}</definedName>
    <definedName name="wrn.Consolidado._1_2" localSheetId="20" hidden="1">{#N/A,#N/A,FALSE,"CONSOL. 5";#N/A,#N/A,FALSE,"CONSOL. ACUM. 6";#N/A,#N/A,FALSE,"CAP. EMPREG. 7";#N/A,#N/A,FALSE,"ORIGENS E APLICAÇÕES 9"}</definedName>
    <definedName name="wrn.Consolidado._1_2" hidden="1">{#N/A,#N/A,FALSE,"CONSOL. 5";#N/A,#N/A,FALSE,"CONSOL. ACUM. 6";#N/A,#N/A,FALSE,"CAP. EMPREG. 7";#N/A,#N/A,FALSE,"ORIGENS E APLICAÇÕES 9"}</definedName>
    <definedName name="wrn.Consolidado._2" localSheetId="20" hidden="1">{#N/A,#N/A,FALSE,"CONSOL. 5";#N/A,#N/A,FALSE,"CONSOL. ACUM. 6";#N/A,#N/A,FALSE,"CAP. EMPREG. 7";#N/A,#N/A,FALSE,"ORIGENS E APLICAÇÕES 9"}</definedName>
    <definedName name="wrn.Consolidado._2" hidden="1">{#N/A,#N/A,FALSE,"CONSOL. 5";#N/A,#N/A,FALSE,"CONSOL. ACUM. 6";#N/A,#N/A,FALSE,"CAP. EMPREG. 7";#N/A,#N/A,FALSE,"ORIGENS E APLICAÇÕES 9"}</definedName>
    <definedName name="wrn.Cost_data." localSheetId="20" hidden="1">{"Hourly cost",#N/A,FALSE,"Hours_cost";"Equipment_utilization",#N/A,FALSE,"Hours_cost"}</definedName>
    <definedName name="wrn.Cost_data." hidden="1">{"Hourly cost",#N/A,FALSE,"Hours_cost";"Equipment_utilization",#N/A,FALSE,"Hours_cost"}</definedName>
    <definedName name="wrn.Cost2." localSheetId="20" hidden="1">{"Wages",#N/A,FALSE,"Personnel";#N/A,#N/A,FALSE,"Burden";#N/A,#N/A,FALSE,"Startup";#N/A,#N/A,FALSE,"Spares";#N/A,#N/A,FALSE,"Cost_Summary"}</definedName>
    <definedName name="wrn.Cost2." hidden="1">{"Wages",#N/A,FALSE,"Personnel";#N/A,#N/A,FALSE,"Burden";#N/A,#N/A,FALSE,"Startup";#N/A,#N/A,FALSE,"Spares";#N/A,#N/A,FALSE,"Cost_Summary"}</definedName>
    <definedName name="wrn.Cronograma." localSheetId="20" hidden="1">{#N/A,#N/A,FALSE,"Cronograma";#N/A,#N/A,FALSE,"Cronogr. 2"}</definedName>
    <definedName name="wrn.Cronograma." hidden="1">{#N/A,#N/A,FALSE,"Cronograma";#N/A,#N/A,FALSE,"Cronogr. 2"}</definedName>
    <definedName name="wrn.Cronograma._1" localSheetId="20" hidden="1">{#N/A,#N/A,FALSE,"Cronograma";#N/A,#N/A,FALSE,"Cronogr. 2"}</definedName>
    <definedName name="wrn.Cronograma._1" hidden="1">{#N/A,#N/A,FALSE,"Cronograma";#N/A,#N/A,FALSE,"Cronogr. 2"}</definedName>
    <definedName name="wrn.Cronograma._1_1" localSheetId="20" hidden="1">{#N/A,#N/A,FALSE,"Cronograma";#N/A,#N/A,FALSE,"Cronogr. 2"}</definedName>
    <definedName name="wrn.Cronograma._1_1" hidden="1">{#N/A,#N/A,FALSE,"Cronograma";#N/A,#N/A,FALSE,"Cronogr. 2"}</definedName>
    <definedName name="wrn.Cronograma._1_1_1" localSheetId="20" hidden="1">{#N/A,#N/A,FALSE,"Cronograma";#N/A,#N/A,FALSE,"Cronogr. 2"}</definedName>
    <definedName name="wrn.Cronograma._1_1_1" hidden="1">{#N/A,#N/A,FALSE,"Cronograma";#N/A,#N/A,FALSE,"Cronogr. 2"}</definedName>
    <definedName name="wrn.Cronograma._1_2" localSheetId="20" hidden="1">{#N/A,#N/A,FALSE,"Cronograma";#N/A,#N/A,FALSE,"Cronogr. 2"}</definedName>
    <definedName name="wrn.Cronograma._1_2" hidden="1">{#N/A,#N/A,FALSE,"Cronograma";#N/A,#N/A,FALSE,"Cronogr. 2"}</definedName>
    <definedName name="wrn.Cronograma._2" localSheetId="20" hidden="1">{#N/A,#N/A,FALSE,"Cronograma";#N/A,#N/A,FALSE,"Cronogr. 2"}</definedName>
    <definedName name="wrn.Cronograma._2" hidden="1">{#N/A,#N/A,FALSE,"Cronograma";#N/A,#N/A,FALSE,"Cronogr. 2"}</definedName>
    <definedName name="wrn.CUSTO._.DE._.PRODUÇÃO._.MINA._.DE._.MANGANES._.DO._.AZUL.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_1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2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2" localSheetId="20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S.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.INDIRETOS." localSheetId="20" hidden="1">{#N/A,#N/A,FALSE,"ServTéc.";#N/A,#N/A,FALSE,"ServPrel.";#N/A,#N/A,FALSE,"InsProv.";#N/A,#N/A,FALSE,"Administ.";#N/A,#N/A,FALSE,"DespGerais"}</definedName>
    <definedName name="wrn.CUSTOS._.INDIRETOS." localSheetId="21" hidden="1">{#N/A,#N/A,FALSE,"ServTéc.";#N/A,#N/A,FALSE,"ServPrel.";#N/A,#N/A,FALSE,"InsProv.";#N/A,#N/A,FALSE,"Administ.";#N/A,#N/A,FALSE,"DespGerais"}</definedName>
    <definedName name="wrn.CUSTOS._.INDIRETOS." hidden="1">{#N/A,#N/A,FALSE,"ServTéc.";#N/A,#N/A,FALSE,"ServPrel.";#N/A,#N/A,FALSE,"InsProv.";#N/A,#N/A,FALSE,"Administ.";#N/A,#N/A,FALSE,"DespGerais"}</definedName>
    <definedName name="wrn.CUSTOS.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DCF_Terminal_Value_qchm." localSheetId="20" hidden="1">{"qchm_dcf",#N/A,FALSE,"QCHMDCF2";"qchm_terminal",#N/A,FALSE,"QCHMDCF2"}</definedName>
    <definedName name="wrn.DCF_Terminal_Value_qchm." hidden="1">{"qchm_dcf",#N/A,FALSE,"QCHMDCF2";"qchm_terminal",#N/A,FALSE,"QCHMDCF2"}</definedName>
    <definedName name="wrn.ddd" localSheetId="20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f9806." localSheetId="20" hidden="1">{#N/A,#N/A,FALSE,"DEF1";#N/A,#N/A,FALSE,"DEF2";#N/A,#N/A,FALSE,"DEF3"}</definedName>
    <definedName name="wrn.def9806." hidden="1">{#N/A,#N/A,FALSE,"DEF1";#N/A,#N/A,FALSE,"DEF2";#N/A,#N/A,FALSE,"DEF3"}</definedName>
    <definedName name="wrn.def9806._1" localSheetId="20" hidden="1">{#N/A,#N/A,FALSE,"DEF1";#N/A,#N/A,FALSE,"DEF2";#N/A,#N/A,FALSE,"DEF3"}</definedName>
    <definedName name="wrn.def9806._1" hidden="1">{#N/A,#N/A,FALSE,"DEF1";#N/A,#N/A,FALSE,"DEF2";#N/A,#N/A,FALSE,"DEF3"}</definedName>
    <definedName name="wrn.def9806._1_1" localSheetId="20" hidden="1">{#N/A,#N/A,FALSE,"DEF1";#N/A,#N/A,FALSE,"DEF2";#N/A,#N/A,FALSE,"DEF3"}</definedName>
    <definedName name="wrn.def9806._1_1" hidden="1">{#N/A,#N/A,FALSE,"DEF1";#N/A,#N/A,FALSE,"DEF2";#N/A,#N/A,FALSE,"DEF3"}</definedName>
    <definedName name="wrn.def9806._1_1_1" localSheetId="20" hidden="1">{#N/A,#N/A,FALSE,"DEF1";#N/A,#N/A,FALSE,"DEF2";#N/A,#N/A,FALSE,"DEF3"}</definedName>
    <definedName name="wrn.def9806._1_1_1" hidden="1">{#N/A,#N/A,FALSE,"DEF1";#N/A,#N/A,FALSE,"DEF2";#N/A,#N/A,FALSE,"DEF3"}</definedName>
    <definedName name="wrn.def9806._1_2" localSheetId="20" hidden="1">{#N/A,#N/A,FALSE,"DEF1";#N/A,#N/A,FALSE,"DEF2";#N/A,#N/A,FALSE,"DEF3"}</definedName>
    <definedName name="wrn.def9806._1_2" hidden="1">{#N/A,#N/A,FALSE,"DEF1";#N/A,#N/A,FALSE,"DEF2";#N/A,#N/A,FALSE,"DEF3"}</definedName>
    <definedName name="wrn.def9806._2" localSheetId="20" hidden="1">{#N/A,#N/A,FALSE,"DEF1";#N/A,#N/A,FALSE,"DEF2";#N/A,#N/A,FALSE,"DEF3"}</definedName>
    <definedName name="wrn.def9806._2" hidden="1">{#N/A,#N/A,FALSE,"DEF1";#N/A,#N/A,FALSE,"DEF2";#N/A,#N/A,FALSE,"DEF3"}</definedName>
    <definedName name="wrn.Demonstrações._.Financeiras." localSheetId="20" hidden="1">{#N/A,#N/A,FALSE,"31 - Balanço";#N/A,#N/A,FALSE,"41 - Resultado";#N/A,#N/A,FALSE,"51 - Fluxo de Caixa"}</definedName>
    <definedName name="wrn.Demonstrações._.Financeiras." hidden="1">{#N/A,#N/A,FALSE,"31 - Balanço";#N/A,#N/A,FALSE,"41 - Resultado";#N/A,#N/A,FALSE,"51 - Fluxo de Caixa"}</definedName>
    <definedName name="wrn.DESDOBRE." localSheetId="20" hidden="1">{#N/A,#N/A,FALSE,"CPV";#N/A,#N/A,FALSE,"Pareto";#N/A,#N/A,FALSE,"Gráficos"}</definedName>
    <definedName name="wrn.DESDOBRE." hidden="1">{#N/A,#N/A,FALSE,"CPV";#N/A,#N/A,FALSE,"Pareto";#N/A,#N/A,FALSE,"Gráficos"}</definedName>
    <definedName name="wrn.DESDOBRE._1" localSheetId="20" hidden="1">{#N/A,#N/A,FALSE,"CPV";#N/A,#N/A,FALSE,"Pareto";#N/A,#N/A,FALSE,"Gráficos"}</definedName>
    <definedName name="wrn.DESDOBRE._1" hidden="1">{#N/A,#N/A,FALSE,"CPV";#N/A,#N/A,FALSE,"Pareto";#N/A,#N/A,FALSE,"Gráficos"}</definedName>
    <definedName name="wrn.DIRETRIZ." localSheetId="20" hidden="1">{#N/A,#N/A,FALSE,"ROTINA";#N/A,#N/A,FALSE,"ITENS";#N/A,#N/A,FALSE,"ACOMP"}</definedName>
    <definedName name="wrn.DIRETRIZ." hidden="1">{#N/A,#N/A,FALSE,"ROTINA";#N/A,#N/A,FALSE,"ITENS";#N/A,#N/A,FALSE,"ACOMP"}</definedName>
    <definedName name="wrn.DIRETRIZ._1" localSheetId="20" hidden="1">{#N/A,#N/A,FALSE,"ROTINA";#N/A,#N/A,FALSE,"ITENS";#N/A,#N/A,FALSE,"ACOMP"}</definedName>
    <definedName name="wrn.DIRETRIZ._1" hidden="1">{#N/A,#N/A,FALSE,"ROTINA";#N/A,#N/A,FALSE,"ITENS";#N/A,#N/A,FALSE,"ACOMP"}</definedName>
    <definedName name="wrn.DIRETRIZ._1_1" localSheetId="20" hidden="1">{#N/A,#N/A,FALSE,"ROTINA";#N/A,#N/A,FALSE,"ITENS";#N/A,#N/A,FALSE,"ACOMP"}</definedName>
    <definedName name="wrn.DIRETRIZ._1_1" hidden="1">{#N/A,#N/A,FALSE,"ROTINA";#N/A,#N/A,FALSE,"ITENS";#N/A,#N/A,FALSE,"ACOMP"}</definedName>
    <definedName name="wrn.DIRETRIZ._1_1_1" localSheetId="20" hidden="1">{#N/A,#N/A,FALSE,"ROTINA";#N/A,#N/A,FALSE,"ITENS";#N/A,#N/A,FALSE,"ACOMP"}</definedName>
    <definedName name="wrn.DIRETRIZ._1_1_1" hidden="1">{#N/A,#N/A,FALSE,"ROTINA";#N/A,#N/A,FALSE,"ITENS";#N/A,#N/A,FALSE,"ACOMP"}</definedName>
    <definedName name="wrn.DIRETRIZ._1_2" localSheetId="20" hidden="1">{#N/A,#N/A,FALSE,"ROTINA";#N/A,#N/A,FALSE,"ITENS";#N/A,#N/A,FALSE,"ACOMP"}</definedName>
    <definedName name="wrn.DIRETRIZ._1_2" hidden="1">{#N/A,#N/A,FALSE,"ROTINA";#N/A,#N/A,FALSE,"ITENS";#N/A,#N/A,FALSE,"ACOMP"}</definedName>
    <definedName name="wrn.DIRETRIZ._2" localSheetId="20" hidden="1">{#N/A,#N/A,FALSE,"ROTINA";#N/A,#N/A,FALSE,"ITENS";#N/A,#N/A,FALSE,"ACOMP"}</definedName>
    <definedName name="wrn.DIRETRIZ._2" hidden="1">{#N/A,#N/A,FALSE,"ROTINA";#N/A,#N/A,FALSE,"ITENS";#N/A,#N/A,FALSE,"ACOMP"}</definedName>
    <definedName name="wrn.DIVISÃO." localSheetId="20" hidden="1">{"DIVISÃO-MÊS",#N/A,FALSE,"TOTAL";"DIVISÃO-ACUMULADO",#N/A,FALSE,"TOTAL"}</definedName>
    <definedName name="wrn.DIVISÃO." hidden="1">{"DIVISÃO-MÊS",#N/A,FALSE,"TOTAL";"DIVISÃO-ACUMULADO",#N/A,FALSE,"TOTAL"}</definedName>
    <definedName name="wrn.DIVISÃO._1" localSheetId="20" hidden="1">{"DIVISÃO-MÊS",#N/A,FALSE,"TOTAL";"DIVISÃO-ACUMULADO",#N/A,FALSE,"TOTAL"}</definedName>
    <definedName name="wrn.DIVISÃO._1" hidden="1">{"DIVISÃO-MÊS",#N/A,FALSE,"TOTAL";"DIVISÃO-ACUMULADO",#N/A,FALSE,"TOTAL"}</definedName>
    <definedName name="wrn.DIVISÃO._1_1" localSheetId="20" hidden="1">{"DIVISÃO-MÊS",#N/A,FALSE,"TOTAL";"DIVISÃO-ACUMULADO",#N/A,FALSE,"TOTAL"}</definedName>
    <definedName name="wrn.DIVISÃO._1_1" hidden="1">{"DIVISÃO-MÊS",#N/A,FALSE,"TOTAL";"DIVISÃO-ACUMULADO",#N/A,FALSE,"TOTAL"}</definedName>
    <definedName name="wrn.DIVISÃO._1_1_1" localSheetId="20" hidden="1">{"DIVISÃO-MÊS",#N/A,FALSE,"TOTAL";"DIVISÃO-ACUMULADO",#N/A,FALSE,"TOTAL"}</definedName>
    <definedName name="wrn.DIVISÃO._1_1_1" hidden="1">{"DIVISÃO-MÊS",#N/A,FALSE,"TOTAL";"DIVISÃO-ACUMULADO",#N/A,FALSE,"TOTAL"}</definedName>
    <definedName name="wrn.DIVISÃO._1_2" localSheetId="20" hidden="1">{"DIVISÃO-MÊS",#N/A,FALSE,"TOTAL";"DIVISÃO-ACUMULADO",#N/A,FALSE,"TOTAL"}</definedName>
    <definedName name="wrn.DIVISÃO._1_2" hidden="1">{"DIVISÃO-MÊS",#N/A,FALSE,"TOTAL";"DIVISÃO-ACUMULADO",#N/A,FALSE,"TOTAL"}</definedName>
    <definedName name="wrn.DIVISÃO._2" localSheetId="20" hidden="1">{"DIVISÃO-MÊS",#N/A,FALSE,"TOTAL";"DIVISÃO-ACUMULADO",#N/A,FALSE,"TOTAL"}</definedName>
    <definedName name="wrn.DIVISÃO._2" hidden="1">{"DIVISÃO-MÊS",#N/A,FALSE,"TOTAL";"DIVISÃO-ACUMULADO",#N/A,FALSE,"TOTAL"}</definedName>
    <definedName name="wrn.DIVISÃO1" localSheetId="20" hidden="1">{"DIVISÃO-MÊS",#N/A,FALSE,"TOTAL";"DIVISÃO-ACUMULADO",#N/A,FALSE,"TOTAL"}</definedName>
    <definedName name="wrn.DIVISÃO1" hidden="1">{"DIVISÃO-MÊS",#N/A,FALSE,"TOTAL";"DIVISÃO-ACUMULADO",#N/A,FALSE,"TOTAL"}</definedName>
    <definedName name="wrn.DIVISÃO1_1" localSheetId="20" hidden="1">{"DIVISÃO-MÊS",#N/A,FALSE,"TOTAL";"DIVISÃO-ACUMULADO",#N/A,FALSE,"TOTAL"}</definedName>
    <definedName name="wrn.DIVISÃO1_1" hidden="1">{"DIVISÃO-MÊS",#N/A,FALSE,"TOTAL";"DIVISÃO-ACUMULADO",#N/A,FALSE,"TOTAL"}</definedName>
    <definedName name="wrn.DIVISÃO1_1_1" localSheetId="20" hidden="1">{"DIVISÃO-MÊS",#N/A,FALSE,"TOTAL";"DIVISÃO-ACUMULADO",#N/A,FALSE,"TOTAL"}</definedName>
    <definedName name="wrn.DIVISÃO1_1_1" hidden="1">{"DIVISÃO-MÊS",#N/A,FALSE,"TOTAL";"DIVISÃO-ACUMULADO",#N/A,FALSE,"TOTAL"}</definedName>
    <definedName name="wrn.DIVISÃO1_1_1_1" localSheetId="20" hidden="1">{"DIVISÃO-MÊS",#N/A,FALSE,"TOTAL";"DIVISÃO-ACUMULADO",#N/A,FALSE,"TOTAL"}</definedName>
    <definedName name="wrn.DIVISÃO1_1_1_1" hidden="1">{"DIVISÃO-MÊS",#N/A,FALSE,"TOTAL";"DIVISÃO-ACUMULADO",#N/A,FALSE,"TOTAL"}</definedName>
    <definedName name="wrn.DIVISÃO1_1_2" localSheetId="20" hidden="1">{"DIVISÃO-MÊS",#N/A,FALSE,"TOTAL";"DIVISÃO-ACUMULADO",#N/A,FALSE,"TOTAL"}</definedName>
    <definedName name="wrn.DIVISÃO1_1_2" hidden="1">{"DIVISÃO-MÊS",#N/A,FALSE,"TOTAL";"DIVISÃO-ACUMULADO",#N/A,FALSE,"TOTAL"}</definedName>
    <definedName name="wrn.DIVISÃO1_2" localSheetId="20" hidden="1">{"DIVISÃO-MÊS",#N/A,FALSE,"TOTAL";"DIVISÃO-ACUMULADO",#N/A,FALSE,"TOTAL"}</definedName>
    <definedName name="wrn.DIVISÃO1_2" hidden="1">{"DIVISÃO-MÊS",#N/A,FALSE,"TOTAL";"DIVISÃO-ACUMULADO",#N/A,FALSE,"TOTAL"}</definedName>
    <definedName name="wrn.EKSKL.._.PM._.FORM." localSheetId="20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localSheetId="20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localSheetId="20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Q._.TOT." localSheetId="20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20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Estimation._.TP." localSheetId="20" hidden="1">{#N/A,#N/A,TRUE,"Recap";#N/A,#N/A,TRUE,"Comp taux";#N/A,#N/A,TRUE,"Deplaf";#N/A,#N/A,TRUE,"Siége";#N/A,#N/A,TRUE,"Saint Ouen";#N/A,#N/A,TRUE,"Ivry";#N/A,#N/A,TRUE,"Issy";#N/A,#N/A,TRUE,"VA"}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estudo._.lamnv." localSheetId="20" hidden="1">{#N/A,#N/A,TRUE,"K2 e MEIA";#N/A,#N/A,TRUE,"K3";#N/A,#N/A,TRUE,"K4";#N/A,#N/A,TRUE,"PERFIL U";#N/A,#N/A,TRUE,"BCHA"}</definedName>
    <definedName name="wrn.estudo._.lamnv." hidden="1">{#N/A,#N/A,TRUE,"K2 e MEIA";#N/A,#N/A,TRUE,"K3";#N/A,#N/A,TRUE,"K4";#N/A,#N/A,TRUE,"PERFIL U";#N/A,#N/A,TRUE,"BCHA"}</definedName>
    <definedName name="wrn.estudo._.lamnv._1" localSheetId="20" hidden="1">{#N/A,#N/A,TRUE,"K2 e MEIA";#N/A,#N/A,TRUE,"K3";#N/A,#N/A,TRUE,"K4";#N/A,#N/A,TRUE,"PERFIL U";#N/A,#N/A,TRUE,"BCHA"}</definedName>
    <definedName name="wrn.estudo._.lamnv._1" hidden="1">{#N/A,#N/A,TRUE,"K2 e MEIA";#N/A,#N/A,TRUE,"K3";#N/A,#N/A,TRUE,"K4";#N/A,#N/A,TRUE,"PERFIL U";#N/A,#N/A,TRUE,"BCHA"}</definedName>
    <definedName name="wrn.estudo._.lamnv._1_1" localSheetId="20" hidden="1">{#N/A,#N/A,TRUE,"K2 e MEIA";#N/A,#N/A,TRUE,"K3";#N/A,#N/A,TRUE,"K4";#N/A,#N/A,TRUE,"PERFIL U";#N/A,#N/A,TRUE,"BCHA"}</definedName>
    <definedName name="wrn.estudo._.lamnv._1_1" hidden="1">{#N/A,#N/A,TRUE,"K2 e MEIA";#N/A,#N/A,TRUE,"K3";#N/A,#N/A,TRUE,"K4";#N/A,#N/A,TRUE,"PERFIL U";#N/A,#N/A,TRUE,"BCHA"}</definedName>
    <definedName name="wrn.estudo._.lamnv._1_1_1" localSheetId="20" hidden="1">{#N/A,#N/A,TRUE,"K2 e MEIA";#N/A,#N/A,TRUE,"K3";#N/A,#N/A,TRUE,"K4";#N/A,#N/A,TRUE,"PERFIL U";#N/A,#N/A,TRUE,"BCHA"}</definedName>
    <definedName name="wrn.estudo._.lamnv._1_1_1" hidden="1">{#N/A,#N/A,TRUE,"K2 e MEIA";#N/A,#N/A,TRUE,"K3";#N/A,#N/A,TRUE,"K4";#N/A,#N/A,TRUE,"PERFIL U";#N/A,#N/A,TRUE,"BCHA"}</definedName>
    <definedName name="wrn.estudo._.lamnv._1_2" localSheetId="20" hidden="1">{#N/A,#N/A,TRUE,"K2 e MEIA";#N/A,#N/A,TRUE,"K3";#N/A,#N/A,TRUE,"K4";#N/A,#N/A,TRUE,"PERFIL U";#N/A,#N/A,TRUE,"BCHA"}</definedName>
    <definedName name="wrn.estudo._.lamnv._1_2" hidden="1">{#N/A,#N/A,TRUE,"K2 e MEIA";#N/A,#N/A,TRUE,"K3";#N/A,#N/A,TRUE,"K4";#N/A,#N/A,TRUE,"PERFIL U";#N/A,#N/A,TRUE,"BCHA"}</definedName>
    <definedName name="wrn.estudo._.lamnv._2" localSheetId="20" hidden="1">{#N/A,#N/A,TRUE,"K2 e MEIA";#N/A,#N/A,TRUE,"K3";#N/A,#N/A,TRUE,"K4";#N/A,#N/A,TRUE,"PERFIL U";#N/A,#N/A,TRUE,"BCHA"}</definedName>
    <definedName name="wrn.estudo._.lamnv._2" hidden="1">{#N/A,#N/A,TRUE,"K2 e MEIA";#N/A,#N/A,TRUE,"K3";#N/A,#N/A,TRUE,"K4";#N/A,#N/A,TRUE,"PERFIL U";#N/A,#N/A,TRUE,"BCHA"}</definedName>
    <definedName name="wrn.FACHADA." localSheetId="20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FACHADA._1" localSheetId="20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2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2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fff" localSheetId="20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localSheetId="20" hidden="1">{#N/A,#N/A,FALSE,"REGNSKAPSUTDRAG DIVISJON";#N/A,#N/A,FALSE,"Nøkkeltall"}</definedName>
    <definedName name="wrn.ffg" hidden="1">{#N/A,#N/A,FALSE,"REGNSKAPSUTDRAG DIVISJON";#N/A,#N/A,FALSE,"Nøkkeltall"}</definedName>
    <definedName name="wrn.Financials_long." localSheetId="20" hidden="1">{"IS",#N/A,FALSE,"Financials2 (Expanded)";"bsa",#N/A,FALSE,"Financials2 (Expanded)";"BS",#N/A,FALSE,"Financials2 (Expanded)";"CF",#N/A,FALSE,"Financials2 (Expanded)"}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ORM._.2." localSheetId="20" hidden="1">{"FORM 2",#N/A,FALSE,"Plan3"}</definedName>
    <definedName name="wrn.FORM._.2." hidden="1">{"FORM 2",#N/A,FALSE,"Plan3"}</definedName>
    <definedName name="wrn.FORM._.2._1" localSheetId="20" hidden="1">{"FORM 2",#N/A,FALSE,"Plan3"}</definedName>
    <definedName name="wrn.FORM._.2._1" hidden="1">{"FORM 2",#N/A,FALSE,"Plan3"}</definedName>
    <definedName name="wrn.FORM._.2._1_1" localSheetId="20" hidden="1">{"FORM 2",#N/A,FALSE,"Plan3"}</definedName>
    <definedName name="wrn.FORM._.2._1_1" hidden="1">{"FORM 2",#N/A,FALSE,"Plan3"}</definedName>
    <definedName name="wrn.FORM._.2._1_1_1" localSheetId="20" hidden="1">{"FORM 2",#N/A,FALSE,"Plan3"}</definedName>
    <definedName name="wrn.FORM._.2._1_1_1" hidden="1">{"FORM 2",#N/A,FALSE,"Plan3"}</definedName>
    <definedName name="wrn.FORM._.2._1_2" localSheetId="20" hidden="1">{"FORM 2",#N/A,FALSE,"Plan3"}</definedName>
    <definedName name="wrn.FORM._.2._1_2" hidden="1">{"FORM 2",#N/A,FALSE,"Plan3"}</definedName>
    <definedName name="wrn.FORM._.2._2" localSheetId="20" hidden="1">{"FORM 2",#N/A,FALSE,"Plan3"}</definedName>
    <definedName name="wrn.FORM._.2._2" hidden="1">{"FORM 2",#N/A,FALSE,"Plan3"}</definedName>
    <definedName name="wrn.FORM1." localSheetId="20" hidden="1">{"FORM 1",#N/A,FALSE,"Plan3"}</definedName>
    <definedName name="wrn.FORM1." hidden="1">{"FORM 1",#N/A,FALSE,"Plan3"}</definedName>
    <definedName name="wrn.FORM1._1" localSheetId="20" hidden="1">{"FORM 1",#N/A,FALSE,"Plan3"}</definedName>
    <definedName name="wrn.FORM1._1" hidden="1">{"FORM 1",#N/A,FALSE,"Plan3"}</definedName>
    <definedName name="wrn.FORM1._1_1" localSheetId="20" hidden="1">{"FORM 1",#N/A,FALSE,"Plan3"}</definedName>
    <definedName name="wrn.FORM1._1_1" hidden="1">{"FORM 1",#N/A,FALSE,"Plan3"}</definedName>
    <definedName name="wrn.FORM1._1_1_1" localSheetId="20" hidden="1">{"FORM 1",#N/A,FALSE,"Plan3"}</definedName>
    <definedName name="wrn.FORM1._1_1_1" hidden="1">{"FORM 1",#N/A,FALSE,"Plan3"}</definedName>
    <definedName name="wrn.FORM1._1_2" localSheetId="20" hidden="1">{"FORM 1",#N/A,FALSE,"Plan3"}</definedName>
    <definedName name="wrn.FORM1._1_2" hidden="1">{"FORM 1",#N/A,FALSE,"Plan3"}</definedName>
    <definedName name="wrn.FORM1._2" localSheetId="20" hidden="1">{"FORM 1",#N/A,FALSE,"Plan3"}</definedName>
    <definedName name="wrn.FORM1._2" hidden="1">{"FORM 1",#N/A,FALSE,"Plan3"}</definedName>
    <definedName name="wrn.fred.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_1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2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2" localSheetId="20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_.model.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_1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2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2" localSheetId="20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nty." localSheetId="20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localSheetId="20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localSheetId="20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GERAL._1" localSheetId="20" hidden="1">{#N/A,#N/A,FALSE,"ET-CAPA";#N/A,#N/A,FALSE,"ET-PAG1";#N/A,#N/A,FALSE,"ET-PAG2";#N/A,#N/A,FALSE,"ET-PAG3";#N/A,#N/A,FALSE,"ET-PAG4";#N/A,#N/A,FALSE,"ET-PAG5"}</definedName>
    <definedName name="wrn.GERAL._1" hidden="1">{#N/A,#N/A,FALSE,"ET-CAPA";#N/A,#N/A,FALSE,"ET-PAG1";#N/A,#N/A,FALSE,"ET-PAG2";#N/A,#N/A,FALSE,"ET-PAG3";#N/A,#N/A,FALSE,"ET-PAG4";#N/A,#N/A,FALSE,"ET-PAG5"}</definedName>
    <definedName name="wrn.GERAL._1_1" localSheetId="20" hidden="1">{#N/A,#N/A,FALSE,"ET-CAPA";#N/A,#N/A,FALSE,"ET-PAG1";#N/A,#N/A,FALSE,"ET-PAG2";#N/A,#N/A,FALSE,"ET-PAG3";#N/A,#N/A,FALSE,"ET-PAG4";#N/A,#N/A,FALSE,"ET-PAG5"}</definedName>
    <definedName name="wrn.GERAL._1_1" hidden="1">{#N/A,#N/A,FALSE,"ET-CAPA";#N/A,#N/A,FALSE,"ET-PAG1";#N/A,#N/A,FALSE,"ET-PAG2";#N/A,#N/A,FALSE,"ET-PAG3";#N/A,#N/A,FALSE,"ET-PAG4";#N/A,#N/A,FALSE,"ET-PAG5"}</definedName>
    <definedName name="wrn.GERAL._1_1_1" localSheetId="20" hidden="1">{#N/A,#N/A,FALSE,"ET-CAPA";#N/A,#N/A,FALSE,"ET-PAG1";#N/A,#N/A,FALSE,"ET-PAG2";#N/A,#N/A,FALSE,"ET-PAG3";#N/A,#N/A,FALSE,"ET-PAG4";#N/A,#N/A,FALSE,"ET-PAG5"}</definedName>
    <definedName name="wrn.GERAL._1_1_1" hidden="1">{#N/A,#N/A,FALSE,"ET-CAPA";#N/A,#N/A,FALSE,"ET-PAG1";#N/A,#N/A,FALSE,"ET-PAG2";#N/A,#N/A,FALSE,"ET-PAG3";#N/A,#N/A,FALSE,"ET-PAG4";#N/A,#N/A,FALSE,"ET-PAG5"}</definedName>
    <definedName name="wrn.GERAL._1_2" localSheetId="20" hidden="1">{#N/A,#N/A,FALSE,"ET-CAPA";#N/A,#N/A,FALSE,"ET-PAG1";#N/A,#N/A,FALSE,"ET-PAG2";#N/A,#N/A,FALSE,"ET-PAG3";#N/A,#N/A,FALSE,"ET-PAG4";#N/A,#N/A,FALSE,"ET-PAG5"}</definedName>
    <definedName name="wrn.GERAL._1_2" hidden="1">{#N/A,#N/A,FALSE,"ET-CAPA";#N/A,#N/A,FALSE,"ET-PAG1";#N/A,#N/A,FALSE,"ET-PAG2";#N/A,#N/A,FALSE,"ET-PAG3";#N/A,#N/A,FALSE,"ET-PAG4";#N/A,#N/A,FALSE,"ET-PAG5"}</definedName>
    <definedName name="wrn.GERAL._2" localSheetId="20" hidden="1">{#N/A,#N/A,FALSE,"ET-CAPA";#N/A,#N/A,FALSE,"ET-PAG1";#N/A,#N/A,FALSE,"ET-PAG2";#N/A,#N/A,FALSE,"ET-PAG3";#N/A,#N/A,FALSE,"ET-PAG4";#N/A,#N/A,FALSE,"ET-PAG5"}</definedName>
    <definedName name="wrn.GERAL._2" hidden="1">{#N/A,#N/A,FALSE,"ET-CAPA";#N/A,#N/A,FALSE,"ET-PAG1";#N/A,#N/A,FALSE,"ET-PAG2";#N/A,#N/A,FALSE,"ET-PAG3";#N/A,#N/A,FALSE,"ET-PAG4";#N/A,#N/A,FALSE,"ET-PAG5"}</definedName>
    <definedName name="wrn.gere" localSheetId="20" hidden="1">{#N/A,#N/A,FALSE,"GQGEMPRE"}</definedName>
    <definedName name="wrn.gere" hidden="1">{#N/A,#N/A,FALSE,"GQGEMPRE"}</definedName>
    <definedName name="wrn.gere." localSheetId="20" hidden="1">{#N/A,#N/A,FALSE,"GQGEMPRE"}</definedName>
    <definedName name="wrn.gere." hidden="1">{#N/A,#N/A,FALSE,"GQGEMPRE"}</definedName>
    <definedName name="wrn.gere._1" localSheetId="20" hidden="1">{#N/A,#N/A,FALSE,"GQGEMPRE"}</definedName>
    <definedName name="wrn.gere._1" hidden="1">{#N/A,#N/A,FALSE,"GQGEMPRE"}</definedName>
    <definedName name="wrn.gere._1_1" localSheetId="20" hidden="1">{#N/A,#N/A,FALSE,"GQGEMPRE"}</definedName>
    <definedName name="wrn.gere._1_1" hidden="1">{#N/A,#N/A,FALSE,"GQGEMPRE"}</definedName>
    <definedName name="wrn.gere._1_1_1" localSheetId="20" hidden="1">{#N/A,#N/A,FALSE,"GQGEMPRE"}</definedName>
    <definedName name="wrn.gere._1_1_1" hidden="1">{#N/A,#N/A,FALSE,"GQGEMPRE"}</definedName>
    <definedName name="wrn.gere._1_2" localSheetId="20" hidden="1">{#N/A,#N/A,FALSE,"GQGEMPRE"}</definedName>
    <definedName name="wrn.gere._1_2" hidden="1">{#N/A,#N/A,FALSE,"GQGEMPRE"}</definedName>
    <definedName name="wrn.gere._2" localSheetId="20" hidden="1">{#N/A,#N/A,FALSE,"GQGEMPRE"}</definedName>
    <definedName name="wrn.gere._2" hidden="1">{#N/A,#N/A,FALSE,"GQGEMPRE"}</definedName>
    <definedName name="wrn.gere_1" localSheetId="20" hidden="1">{#N/A,#N/A,FALSE,"GQGEMPRE"}</definedName>
    <definedName name="wrn.gere_1" hidden="1">{#N/A,#N/A,FALSE,"GQGEMPRE"}</definedName>
    <definedName name="wrn.gere_1_1" localSheetId="20" hidden="1">{#N/A,#N/A,FALSE,"GQGEMPRE"}</definedName>
    <definedName name="wrn.gere_1_1" hidden="1">{#N/A,#N/A,FALSE,"GQGEMPRE"}</definedName>
    <definedName name="wrn.gere_1_1_1" localSheetId="20" hidden="1">{#N/A,#N/A,FALSE,"GQGEMPRE"}</definedName>
    <definedName name="wrn.gere_1_1_1" hidden="1">{#N/A,#N/A,FALSE,"GQGEMPRE"}</definedName>
    <definedName name="wrn.gere_1_2" localSheetId="20" hidden="1">{#N/A,#N/A,FALSE,"GQGEMPRE"}</definedName>
    <definedName name="wrn.gere_1_2" hidden="1">{#N/A,#N/A,FALSE,"GQGEMPRE"}</definedName>
    <definedName name="wrn.gere_2" localSheetId="20" hidden="1">{#N/A,#N/A,FALSE,"GQGEMPRE"}</definedName>
    <definedName name="wrn.gere_2" hidden="1">{#N/A,#N/A,FALSE,"GQGEMPRE"}</definedName>
    <definedName name="wrn.geren" localSheetId="20" hidden="1">{#N/A,#N/A,FALSE,"EXPORTAC";#N/A,#N/A,FALSE,"SUPEL94"}</definedName>
    <definedName name="wrn.geren" hidden="1">{#N/A,#N/A,FALSE,"EXPORTAC";#N/A,#N/A,FALSE,"SUPEL94"}</definedName>
    <definedName name="wrn.geren." localSheetId="20" hidden="1">{#N/A,#N/A,FALSE,"EXPORTAC";#N/A,#N/A,FALSE,"SUPEL94"}</definedName>
    <definedName name="wrn.geren." hidden="1">{#N/A,#N/A,FALSE,"EXPORTAC";#N/A,#N/A,FALSE,"SUPEL94"}</definedName>
    <definedName name="wrn.geren._1" localSheetId="20" hidden="1">{#N/A,#N/A,FALSE,"EXPORTAC";#N/A,#N/A,FALSE,"SUPEL94"}</definedName>
    <definedName name="wrn.geren._1" hidden="1">{#N/A,#N/A,FALSE,"EXPORTAC";#N/A,#N/A,FALSE,"SUPEL94"}</definedName>
    <definedName name="wrn.geren._1_1" localSheetId="20" hidden="1">{#N/A,#N/A,FALSE,"EXPORTAC";#N/A,#N/A,FALSE,"SUPEL94"}</definedName>
    <definedName name="wrn.geren._1_1" hidden="1">{#N/A,#N/A,FALSE,"EXPORTAC";#N/A,#N/A,FALSE,"SUPEL94"}</definedName>
    <definedName name="wrn.geren._1_1_1" localSheetId="20" hidden="1">{#N/A,#N/A,FALSE,"EXPORTAC";#N/A,#N/A,FALSE,"SUPEL94"}</definedName>
    <definedName name="wrn.geren._1_1_1" hidden="1">{#N/A,#N/A,FALSE,"EXPORTAC";#N/A,#N/A,FALSE,"SUPEL94"}</definedName>
    <definedName name="wrn.geren._1_2" localSheetId="20" hidden="1">{#N/A,#N/A,FALSE,"EXPORTAC";#N/A,#N/A,FALSE,"SUPEL94"}</definedName>
    <definedName name="wrn.geren._1_2" hidden="1">{#N/A,#N/A,FALSE,"EXPORTAC";#N/A,#N/A,FALSE,"SUPEL94"}</definedName>
    <definedName name="wrn.geren._2" localSheetId="20" hidden="1">{#N/A,#N/A,FALSE,"EXPORTAC";#N/A,#N/A,FALSE,"SUPEL94"}</definedName>
    <definedName name="wrn.geren._2" hidden="1">{#N/A,#N/A,FALSE,"EXPORTAC";#N/A,#N/A,FALSE,"SUPEL94"}</definedName>
    <definedName name="wrn.geren_1" localSheetId="20" hidden="1">{#N/A,#N/A,FALSE,"EXPORTAC";#N/A,#N/A,FALSE,"SUPEL94"}</definedName>
    <definedName name="wrn.geren_1" hidden="1">{#N/A,#N/A,FALSE,"EXPORTAC";#N/A,#N/A,FALSE,"SUPEL94"}</definedName>
    <definedName name="wrn.geren_1_1" localSheetId="20" hidden="1">{#N/A,#N/A,FALSE,"EXPORTAC";#N/A,#N/A,FALSE,"SUPEL94"}</definedName>
    <definedName name="wrn.geren_1_1" hidden="1">{#N/A,#N/A,FALSE,"EXPORTAC";#N/A,#N/A,FALSE,"SUPEL94"}</definedName>
    <definedName name="wrn.geren_1_1_1" localSheetId="20" hidden="1">{#N/A,#N/A,FALSE,"EXPORTAC";#N/A,#N/A,FALSE,"SUPEL94"}</definedName>
    <definedName name="wrn.geren_1_1_1" hidden="1">{#N/A,#N/A,FALSE,"EXPORTAC";#N/A,#N/A,FALSE,"SUPEL94"}</definedName>
    <definedName name="wrn.geren_1_2" localSheetId="20" hidden="1">{#N/A,#N/A,FALSE,"EXPORTAC";#N/A,#N/A,FALSE,"SUPEL94"}</definedName>
    <definedName name="wrn.geren_1_2" hidden="1">{#N/A,#N/A,FALSE,"EXPORTAC";#N/A,#N/A,FALSE,"SUPEL94"}</definedName>
    <definedName name="wrn.geren_2" localSheetId="20" hidden="1">{#N/A,#N/A,FALSE,"EXPORTAC";#N/A,#N/A,FALSE,"SUPEL94"}</definedName>
    <definedName name="wrn.geren_2" hidden="1">{#N/A,#N/A,FALSE,"EXPORTAC";#N/A,#N/A,FALSE,"SUPEL94"}</definedName>
    <definedName name="wrn.gleachår." localSheetId="20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GRÁFICOS." localSheetId="20" hidden="1">{#N/A,#N/A,FALSE,"Gráficos"}</definedName>
    <definedName name="wrn.GRÁFICOS." localSheetId="21" hidden="1">{#N/A,#N/A,FALSE,"Gráficos"}</definedName>
    <definedName name="wrn.GRÁFICOS." hidden="1">{#N/A,#N/A,FALSE,"Gráficos"}</definedName>
    <definedName name="wrn.Havaianas._.e._.GDV.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_1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2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2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2" localSheetId="20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2" hidden="1">{#N/A,#N/A,FALSE,"HAVAIANAS 24";#N/A,#N/A,FALSE,"Havaianas Mês e Acum 25";#N/A,#N/A,FALSE,"Havaianas Acum 26";#N/A,#N/A,FALSE,"GRANDES VOLUMES 27";#N/A,#N/A,FALSE,"GDV Mês e Acum 28";#N/A,#N/A,FALSE,"GDV Acum 29"}</definedName>
    <definedName name="WRN.HGTR" localSheetId="20" hidden="1">{#N/A,#N/A,FALSE,"Anexo I";#N/A,#N/A,FALSE,"Anexo II";#N/A,#N/A,FALSE,"Anexo III"}</definedName>
    <definedName name="WRN.HGTR" hidden="1">{#N/A,#N/A,FALSE,"Anexo I";#N/A,#N/A,FALSE,"Anexo II";#N/A,#N/A,FALSE,"Anexo III"}</definedName>
    <definedName name="wrn.holding." localSheetId="20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hors._.immo." localSheetId="20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wrn.hors._.immo.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wrn.imp." localSheetId="20" hidden="1">{"vue1",#N/A,FALSE,"synthese";"vue2",#N/A,FALSE,"synthese"}</definedName>
    <definedName name="wrn.imp." hidden="1">{"vue1",#N/A,FALSE,"synthese";"vue2",#N/A,FALSE,"synthese"}</definedName>
    <definedName name="wrn.imp._1" localSheetId="20" hidden="1">{"vue1",#N/A,FALSE,"synthese";"vue2",#N/A,FALSE,"synthese"}</definedName>
    <definedName name="wrn.imp._1" hidden="1">{"vue1",#N/A,FALSE,"synthese";"vue2",#N/A,FALSE,"synthese"}</definedName>
    <definedName name="wrn.imp._1_1" localSheetId="20" hidden="1">{"vue1",#N/A,FALSE,"synthese";"vue2",#N/A,FALSE,"synthese"}</definedName>
    <definedName name="wrn.imp._1_1" hidden="1">{"vue1",#N/A,FALSE,"synthese";"vue2",#N/A,FALSE,"synthese"}</definedName>
    <definedName name="wrn.imp._1_1_1" localSheetId="20" hidden="1">{"vue1",#N/A,FALSE,"synthese";"vue2",#N/A,FALSE,"synthese"}</definedName>
    <definedName name="wrn.imp._1_1_1" hidden="1">{"vue1",#N/A,FALSE,"synthese";"vue2",#N/A,FALSE,"synthese"}</definedName>
    <definedName name="wrn.imp._1_2" localSheetId="20" hidden="1">{"vue1",#N/A,FALSE,"synthese";"vue2",#N/A,FALSE,"synthese"}</definedName>
    <definedName name="wrn.imp._1_2" hidden="1">{"vue1",#N/A,FALSE,"synthese";"vue2",#N/A,FALSE,"synthese"}</definedName>
    <definedName name="wrn.imp._2" localSheetId="20" hidden="1">{"vue1",#N/A,FALSE,"synthese";"vue2",#N/A,FALSE,"synthese"}</definedName>
    <definedName name="wrn.imp._2" hidden="1">{"vue1",#N/A,FALSE,"synthese";"vue2",#N/A,FALSE,"synthese"}</definedName>
    <definedName name="wrn.impresión.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_1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2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2" localSheetId="20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imir._.seções." localSheetId="20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wrn.Imprimir._.seções.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wrn.INT.._.MELLOMV." localSheetId="20" hidden="1">{#N/A,#N/A,FALSE,"Skjema 6.5"}</definedName>
    <definedName name="wrn.INT.._.MELLOMV." hidden="1">{#N/A,#N/A,FALSE,"Skjema 6.5"}</definedName>
    <definedName name="wrn.INVESTIMENTOS._.CORRENTES.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_1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2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2" localSheetId="20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2" hidden="1">{#N/A,#N/A,FALSE,"Suprimentos";#N/A,#N/A,FALSE,"Medicina e Segurança";#N/A,#N/A,FALSE,"Administração";#N/A,#N/A,FALSE,"Meio Ambiente";#N/A,#N/A,FALSE,"Operação (Mina)";#N/A,#N/A,FALSE,"Operação (Porto)"}</definedName>
    <definedName name="wrn.julio24." localSheetId="2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June." localSheetId="20" hidden="1">{"det (May)",#N/A,FALSE,"June";"sum (MAY YTD)",#N/A,FALSE,"June YTD"}</definedName>
    <definedName name="wrn.June." hidden="1">{"det (May)",#N/A,FALSE,"June";"sum (MAY YTD)",#N/A,FALSE,"June YTD"}</definedName>
    <definedName name="wrn.June._1" localSheetId="20" hidden="1">{"det (May)",#N/A,FALSE,"June";"sum (MAY YTD)",#N/A,FALSE,"June YTD"}</definedName>
    <definedName name="wrn.June._1" hidden="1">{"det (May)",#N/A,FALSE,"June";"sum (MAY YTD)",#N/A,FALSE,"June YTD"}</definedName>
    <definedName name="wrn.June._1_1" localSheetId="20" hidden="1">{"det (May)",#N/A,FALSE,"June";"sum (MAY YTD)",#N/A,FALSE,"June YTD"}</definedName>
    <definedName name="wrn.June._1_1" hidden="1">{"det (May)",#N/A,FALSE,"June";"sum (MAY YTD)",#N/A,FALSE,"June YTD"}</definedName>
    <definedName name="wrn.June._1_1_1" localSheetId="20" hidden="1">{"det (May)",#N/A,FALSE,"June";"sum (MAY YTD)",#N/A,FALSE,"June YTD"}</definedName>
    <definedName name="wrn.June._1_1_1" hidden="1">{"det (May)",#N/A,FALSE,"June";"sum (MAY YTD)",#N/A,FALSE,"June YTD"}</definedName>
    <definedName name="wrn.June._1_2" localSheetId="20" hidden="1">{"det (May)",#N/A,FALSE,"June";"sum (MAY YTD)",#N/A,FALSE,"June YTD"}</definedName>
    <definedName name="wrn.June._1_2" hidden="1">{"det (May)",#N/A,FALSE,"June";"sum (MAY YTD)",#N/A,FALSE,"June YTD"}</definedName>
    <definedName name="wrn.June._2" localSheetId="20" hidden="1">{"det (May)",#N/A,FALSE,"June";"sum (MAY YTD)",#N/A,FALSE,"June YTD"}</definedName>
    <definedName name="wrn.June._2" hidden="1">{"det (May)",#N/A,FALSE,"June";"sum (MAY YTD)",#N/A,FALSE,"June YTD"}</definedName>
    <definedName name="wrn.LEVFER." localSheetId="20" hidden="1">{#N/A,#N/A,FALSE,"LEVFER V2 P";#N/A,#N/A,FALSE,"LEVFER V2 P10%"}</definedName>
    <definedName name="wrn.LEVFER." hidden="1">{#N/A,#N/A,FALSE,"LEVFER V2 P";#N/A,#N/A,FALSE,"LEVFER V2 P10%"}</definedName>
    <definedName name="wrn.LEVFER._1" localSheetId="20" hidden="1">{#N/A,#N/A,FALSE,"LEVFER V2 P";#N/A,#N/A,FALSE,"LEVFER V2 P10%"}</definedName>
    <definedName name="wrn.LEVFER._1" hidden="1">{#N/A,#N/A,FALSE,"LEVFER V2 P";#N/A,#N/A,FALSE,"LEVFER V2 P10%"}</definedName>
    <definedName name="wrn.lh97.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_1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2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2" localSheetId="20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MDE." localSheetId="20" hidden="1">{"MDE",#N/A,FALSE,"S-MDE"}</definedName>
    <definedName name="wrn.MDE." hidden="1">{"MDE",#N/A,FALSE,"S-MDE"}</definedName>
    <definedName name="wrn.MDE._1" localSheetId="20" hidden="1">{"MDE",#N/A,FALSE,"S-MDE"}</definedName>
    <definedName name="wrn.MDE._1" hidden="1">{"MDE",#N/A,FALSE,"S-MDE"}</definedName>
    <definedName name="wrn.MDE._1_1" localSheetId="20" hidden="1">{"MDE",#N/A,FALSE,"S-MDE"}</definedName>
    <definedName name="wrn.MDE._1_1" hidden="1">{"MDE",#N/A,FALSE,"S-MDE"}</definedName>
    <definedName name="wrn.MDE._1_1_1" localSheetId="20" hidden="1">{"MDE",#N/A,FALSE,"S-MDE"}</definedName>
    <definedName name="wrn.MDE._1_1_1" hidden="1">{"MDE",#N/A,FALSE,"S-MDE"}</definedName>
    <definedName name="wrn.MDE._1_2" localSheetId="20" hidden="1">{"MDE",#N/A,FALSE,"S-MDE"}</definedName>
    <definedName name="wrn.MDE._1_2" hidden="1">{"MDE",#N/A,FALSE,"S-MDE"}</definedName>
    <definedName name="wrn.MDE._2" localSheetId="20" hidden="1">{"MDE",#N/A,FALSE,"S-MDE"}</definedName>
    <definedName name="wrn.MDE._2" hidden="1">{"MDE",#N/A,FALSE,"S-MDE"}</definedName>
    <definedName name="wrn.Medição._.Aciaria." localSheetId="20" hidden="1">{#N/A,#N/A,FALSE,"Cadastro";#N/A,#N/A,FALSE,"Diasmês";#N/A,#N/A,FALSE,"Refeição_3t";#N/A,#N/A,FALSE,"Refeição_Adm";#N/A,#N/A,FALSE,"Custo"}</definedName>
    <definedName name="wrn.Medição._.Aciaria." hidden="1">{#N/A,#N/A,FALSE,"Cadastro";#N/A,#N/A,FALSE,"Diasmês";#N/A,#N/A,FALSE,"Refeição_3t";#N/A,#N/A,FALSE,"Refeição_Adm";#N/A,#N/A,FALSE,"Custo"}</definedName>
    <definedName name="wrn.Meggashop." localSheetId="20" hidden="1">{#N/A,#N/A,FALSE,"MEGGASHOP 36";#N/A,#N/A,FALSE,"MEGGASHOP Mês e Acum 37";#N/A,#N/A,FALSE,"MEGGASHOP Acum 38"}</definedName>
    <definedName name="wrn.Meggashop." hidden="1">{#N/A,#N/A,FALSE,"MEGGASHOP 36";#N/A,#N/A,FALSE,"MEGGASHOP Mês e Acum 37";#N/A,#N/A,FALSE,"MEGGASHOP Acum 38"}</definedName>
    <definedName name="wrn.Meggashop._1" localSheetId="20" hidden="1">{#N/A,#N/A,FALSE,"MEGGASHOP 36";#N/A,#N/A,FALSE,"MEGGASHOP Mês e Acum 37";#N/A,#N/A,FALSE,"MEGGASHOP Acum 38"}</definedName>
    <definedName name="wrn.Meggashop._1" hidden="1">{#N/A,#N/A,FALSE,"MEGGASHOP 36";#N/A,#N/A,FALSE,"MEGGASHOP Mês e Acum 37";#N/A,#N/A,FALSE,"MEGGASHOP Acum 38"}</definedName>
    <definedName name="wrn.Meggashop._1_1" localSheetId="20" hidden="1">{#N/A,#N/A,FALSE,"MEGGASHOP 36";#N/A,#N/A,FALSE,"MEGGASHOP Mês e Acum 37";#N/A,#N/A,FALSE,"MEGGASHOP Acum 38"}</definedName>
    <definedName name="wrn.Meggashop._1_1" hidden="1">{#N/A,#N/A,FALSE,"MEGGASHOP 36";#N/A,#N/A,FALSE,"MEGGASHOP Mês e Acum 37";#N/A,#N/A,FALSE,"MEGGASHOP Acum 38"}</definedName>
    <definedName name="wrn.Meggashop._1_1_1" localSheetId="20" hidden="1">{#N/A,#N/A,FALSE,"MEGGASHOP 36";#N/A,#N/A,FALSE,"MEGGASHOP Mês e Acum 37";#N/A,#N/A,FALSE,"MEGGASHOP Acum 38"}</definedName>
    <definedName name="wrn.Meggashop._1_1_1" hidden="1">{#N/A,#N/A,FALSE,"MEGGASHOP 36";#N/A,#N/A,FALSE,"MEGGASHOP Mês e Acum 37";#N/A,#N/A,FALSE,"MEGGASHOP Acum 38"}</definedName>
    <definedName name="wrn.Meggashop._1_2" localSheetId="20" hidden="1">{#N/A,#N/A,FALSE,"MEGGASHOP 36";#N/A,#N/A,FALSE,"MEGGASHOP Mês e Acum 37";#N/A,#N/A,FALSE,"MEGGASHOP Acum 38"}</definedName>
    <definedName name="wrn.Meggashop._1_2" hidden="1">{#N/A,#N/A,FALSE,"MEGGASHOP 36";#N/A,#N/A,FALSE,"MEGGASHOP Mês e Acum 37";#N/A,#N/A,FALSE,"MEGGASHOP Acum 38"}</definedName>
    <definedName name="wrn.Meggashop._2" localSheetId="20" hidden="1">{#N/A,#N/A,FALSE,"MEGGASHOP 36";#N/A,#N/A,FALSE,"MEGGASHOP Mês e Acum 37";#N/A,#N/A,FALSE,"MEGGASHOP Acum 38"}</definedName>
    <definedName name="wrn.Meggashop._2" hidden="1">{#N/A,#N/A,FALSE,"MEGGASHOP 36";#N/A,#N/A,FALSE,"MEGGASHOP Mês e Acum 37";#N/A,#N/A,FALSE,"MEGGASHOP Acum 38"}</definedName>
    <definedName name="wrn.Mizuno." localSheetId="20" hidden="1">{#N/A,#N/A,FALSE,"MIZUNO 21";#N/A,#N/A,FALSE,"Mizuno Mês e Acum 22";#N/A,#N/A,FALSE,"Mizuno Acum 23"}</definedName>
    <definedName name="wrn.Mizuno." hidden="1">{#N/A,#N/A,FALSE,"MIZUNO 21";#N/A,#N/A,FALSE,"Mizuno Mês e Acum 22";#N/A,#N/A,FALSE,"Mizuno Acum 23"}</definedName>
    <definedName name="wrn.Mizuno._1" localSheetId="20" hidden="1">{#N/A,#N/A,FALSE,"MIZUNO 21";#N/A,#N/A,FALSE,"Mizuno Mês e Acum 22";#N/A,#N/A,FALSE,"Mizuno Acum 23"}</definedName>
    <definedName name="wrn.Mizuno._1" hidden="1">{#N/A,#N/A,FALSE,"MIZUNO 21";#N/A,#N/A,FALSE,"Mizuno Mês e Acum 22";#N/A,#N/A,FALSE,"Mizuno Acum 23"}</definedName>
    <definedName name="wrn.Mizuno._1_1" localSheetId="20" hidden="1">{#N/A,#N/A,FALSE,"MIZUNO 21";#N/A,#N/A,FALSE,"Mizuno Mês e Acum 22";#N/A,#N/A,FALSE,"Mizuno Acum 23"}</definedName>
    <definedName name="wrn.Mizuno._1_1" hidden="1">{#N/A,#N/A,FALSE,"MIZUNO 21";#N/A,#N/A,FALSE,"Mizuno Mês e Acum 22";#N/A,#N/A,FALSE,"Mizuno Acum 23"}</definedName>
    <definedName name="wrn.Mizuno._1_1_1" localSheetId="20" hidden="1">{#N/A,#N/A,FALSE,"MIZUNO 21";#N/A,#N/A,FALSE,"Mizuno Mês e Acum 22";#N/A,#N/A,FALSE,"Mizuno Acum 23"}</definedName>
    <definedName name="wrn.Mizuno._1_1_1" hidden="1">{#N/A,#N/A,FALSE,"MIZUNO 21";#N/A,#N/A,FALSE,"Mizuno Mês e Acum 22";#N/A,#N/A,FALSE,"Mizuno Acum 23"}</definedName>
    <definedName name="wrn.Mizuno._1_2" localSheetId="20" hidden="1">{#N/A,#N/A,FALSE,"MIZUNO 21";#N/A,#N/A,FALSE,"Mizuno Mês e Acum 22";#N/A,#N/A,FALSE,"Mizuno Acum 23"}</definedName>
    <definedName name="wrn.Mizuno._1_2" hidden="1">{#N/A,#N/A,FALSE,"MIZUNO 21";#N/A,#N/A,FALSE,"Mizuno Mês e Acum 22";#N/A,#N/A,FALSE,"Mizuno Acum 23"}</definedName>
    <definedName name="wrn.Mizuno._2" localSheetId="20" hidden="1">{#N/A,#N/A,FALSE,"MIZUNO 21";#N/A,#N/A,FALSE,"Mizuno Mês e Acum 22";#N/A,#N/A,FALSE,"Mizuno Acum 23"}</definedName>
    <definedName name="wrn.Mizuno._2" hidden="1">{#N/A,#N/A,FALSE,"MIZUNO 21";#N/A,#N/A,FALSE,"Mizuno Mês e Acum 22";#N/A,#N/A,FALSE,"Mizuno Acum 23"}</definedName>
    <definedName name="wrn.mo2." localSheetId="20" hidden="1">{#N/A,#N/A,FALSE,"MO (2)"}</definedName>
    <definedName name="wrn.mo2." localSheetId="21" hidden="1">{#N/A,#N/A,FALSE,"MO (2)"}</definedName>
    <definedName name="wrn.mo2." hidden="1">{#N/A,#N/A,FALSE,"MO (2)"}</definedName>
    <definedName name="wrn.mo2._1" localSheetId="20" hidden="1">{#N/A,#N/A,FALSE,"MO (2)"}</definedName>
    <definedName name="wrn.mo2._1" hidden="1">{#N/A,#N/A,FALSE,"MO (2)"}</definedName>
    <definedName name="wrn.mo3." localSheetId="20" hidden="1">{#N/A,#N/A,FALSE,"MO (2)"}</definedName>
    <definedName name="wrn.mo3." hidden="1">{#N/A,#N/A,FALSE,"MO (2)"}</definedName>
    <definedName name="wrn.Model." localSheetId="2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newDEV.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_1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2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2" localSheetId="20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_1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2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2" localSheetId="20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O._.and._.I._.Worksheet." localSheetId="20" hidden="1">{#N/A,#N/A,FALSE,"O&amp;I Worksheet"}</definedName>
    <definedName name="wrn.O._.and._.I._.Worksheet." hidden="1">{#N/A,#N/A,FALSE,"O&amp;I Worksheet"}</definedName>
    <definedName name="wrn.O._.and._.I._.Worksheet._1" localSheetId="20" hidden="1">{#N/A,#N/A,FALSE,"O&amp;I Worksheet"}</definedName>
    <definedName name="wrn.O._.and._.I._.Worksheet._1" hidden="1">{#N/A,#N/A,FALSE,"O&amp;I Worksheet"}</definedName>
    <definedName name="wrn.O._.and._.I._.Worksheet._1_1" localSheetId="20" hidden="1">{#N/A,#N/A,FALSE,"O&amp;I Worksheet"}</definedName>
    <definedName name="wrn.O._.and._.I._.Worksheet._1_1" hidden="1">{#N/A,#N/A,FALSE,"O&amp;I Worksheet"}</definedName>
    <definedName name="wrn.O._.and._.I._.Worksheet._1_1_1" localSheetId="20" hidden="1">{#N/A,#N/A,FALSE,"O&amp;I Worksheet"}</definedName>
    <definedName name="wrn.O._.and._.I._.Worksheet._1_1_1" hidden="1">{#N/A,#N/A,FALSE,"O&amp;I Worksheet"}</definedName>
    <definedName name="wrn.O._.and._.I._.Worksheet._1_2" localSheetId="20" hidden="1">{#N/A,#N/A,FALSE,"O&amp;I Worksheet"}</definedName>
    <definedName name="wrn.O._.and._.I._.Worksheet._1_2" hidden="1">{#N/A,#N/A,FALSE,"O&amp;I Worksheet"}</definedName>
    <definedName name="wrn.O._.and._.I._.Worksheet._2" localSheetId="20" hidden="1">{#N/A,#N/A,FALSE,"O&amp;I Worksheet"}</definedName>
    <definedName name="wrn.O._.and._.I._.Worksheet._2" hidden="1">{#N/A,#N/A,FALSE,"O&amp;I Worksheet"}</definedName>
    <definedName name="wrn.Ocorrencias._.Acabamento." localSheetId="20" hidden="1">{#N/A,#N/A,FALSE,"Ocorrência OOLA";#N/A,#N/A,FALSE,"Ocorrência OOLL";#N/A,#N/A,FALSE,"Extra OOLA";#N/A,#N/A,FALSE,"Extra OOLL"}</definedName>
    <definedName name="wrn.Ocorrencias._.Acabamento." hidden="1">{#N/A,#N/A,FALSE,"Ocorrência OOLA";#N/A,#N/A,FALSE,"Ocorrência OOLL";#N/A,#N/A,FALSE,"Extra OOLA";#N/A,#N/A,FALSE,"Extra OOLL"}</definedName>
    <definedName name="wrn.Orçamento." localSheetId="20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20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OS." localSheetId="20" hidden="1">{#N/A,#N/A,FALSE,"Anexo I";#N/A,#N/A,FALSE,"Anexo II";#N/A,#N/A,FALSE,"Anexo III OS01";#N/A,#N/A,FALSE,"Anexo III OS02"}</definedName>
    <definedName name="wrn.OS." hidden="1">{#N/A,#N/A,FALSE,"Anexo I";#N/A,#N/A,FALSE,"Anexo II";#N/A,#N/A,FALSE,"Anexo III OS01";#N/A,#N/A,FALSE,"Anexo III OS02"}</definedName>
    <definedName name="WRN.PEND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.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3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1.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1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localSheetId="20" hidden="1">{"Pèrdues i Guanys analític.Català",#N/A,FALSE,"Català";"Pèrdues i G. analític.castellà",#N/A,FALSE,"Castellà"}</definedName>
    <definedName name="wrn.Pèrdues._.i._.G.._.analític." hidden="1">{"Pèrdues i Guanys analític.Català",#N/A,FALSE,"Català";"Pèrdues i G. analític.castellà",#N/A,FALSE,"Castellà"}</definedName>
    <definedName name="wrn.PLANILHAS." localSheetId="20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localSheetId="21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NEUS." localSheetId="20" hidden="1">{#N/A,#N/A,FALSE,"EQUIPAMENTOS"}</definedName>
    <definedName name="wrn.PNEUS." hidden="1">{#N/A,#N/A,FALSE,"EQUIPAMENTOS"}</definedName>
    <definedName name="wrn.Print." localSheetId="20" hidden="1">{"vi1",#N/A,FALSE,"Financial Statements";"vi2",#N/A,FALSE,"Financial Statements";#N/A,#N/A,FALSE,"DCF"}</definedName>
    <definedName name="wrn.Print." hidden="1">{"vi1",#N/A,FALSE,"Financial Statements";"vi2",#N/A,FALSE,"Financial Statements";#N/A,#N/A,FALSE,"DCF"}</definedName>
    <definedName name="wrn.Print._.All." localSheetId="20" hidden="1">{#N/A,#N/A,TRUE,"Commercial Intro";#N/A,#N/A,TRUE,"Summary Intro";#N/A,#N/A,TRUE,"Summary";#N/A,#N/A,TRUE,"TY (formulas)";#N/A,#N/A,TRUE,"Q1 (ACT)";#N/A,#N/A,TRUE,"Q2 (Act)";#N/A,#N/A,TRUE,"Q3 (IOP)";#N/A,#N/A,TRUE,"Q4 (IOP)";#N/A,#N/A,TRUE,"P&amp;L Reports";#N/A,#N/A,TRUE,"Locomotives";#N/A,#N/A,TRUE,"Modernizations";#N/A,#N/A,TRUE,"Repair Services";#N/A,#N/A,TRUE,"Parts";#N/A,#N/A,TRUE,"Signaling Projects";#N/A,#N/A,TRUE,"Signaling Products";#N/A,#N/A,TRUE,"MSA";#N/A,#N/A,TRUE,"Gevisa";#N/A,#N/A,TRUE,"TST Reports";#N/A,#N/A,TRUE,"BNSF";#N/A,#N/A,TRUE,"NS";#N/A,#N/A,TRUE,"UP";#N/A,#N/A,TRUE,"CXS";#N/A,#N/A,TRUE,"CP";#N/A,#N/A,TRUE,"CN";#N/A,#N/A,TRUE,"Other US Shortlines";#N/A,#N/A,TRUE,"Latin America";#N/A,#N/A,TRUE,"NA Passenger";#N/A,#N/A,TRUE,"WE, Africa, ME";#N/A,#N/A,TRUE,"Eastern Europe, Russia";#N/A,#N/A,TRUE,"India &amp; W Asia";#N/A,#N/A,TRUE,"SE Asia"}</definedName>
    <definedName name="wrn.Print._.All." hidden="1">{#N/A,#N/A,TRUE,"Commercial Intro";#N/A,#N/A,TRUE,"Summary Intro";#N/A,#N/A,TRUE,"Summary";#N/A,#N/A,TRUE,"TY (formulas)";#N/A,#N/A,TRUE,"Q1 (ACT)";#N/A,#N/A,TRUE,"Q2 (Act)";#N/A,#N/A,TRUE,"Q3 (IOP)";#N/A,#N/A,TRUE,"Q4 (IOP)";#N/A,#N/A,TRUE,"P&amp;L Reports";#N/A,#N/A,TRUE,"Locomotives";#N/A,#N/A,TRUE,"Modernizations";#N/A,#N/A,TRUE,"Repair Services";#N/A,#N/A,TRUE,"Parts";#N/A,#N/A,TRUE,"Signaling Projects";#N/A,#N/A,TRUE,"Signaling Products";#N/A,#N/A,TRUE,"MSA";#N/A,#N/A,TRUE,"Gevisa";#N/A,#N/A,TRUE,"TST Reports";#N/A,#N/A,TRUE,"BNSF";#N/A,#N/A,TRUE,"NS";#N/A,#N/A,TRUE,"UP";#N/A,#N/A,TRUE,"CXS";#N/A,#N/A,TRUE,"CP";#N/A,#N/A,TRUE,"CN";#N/A,#N/A,TRUE,"Other US Shortlines";#N/A,#N/A,TRUE,"Latin America";#N/A,#N/A,TRUE,"NA Passenger";#N/A,#N/A,TRUE,"WE, Africa, ME";#N/A,#N/A,TRUE,"Eastern Europe, Russia";#N/A,#N/A,TRUE,"India &amp; W Asia";#N/A,#N/A,TRUE,"SE Asia"}</definedName>
    <definedName name="wrn.Print._.PL._.Reports." localSheetId="20" hidden="1">{#N/A,#N/A,FALSE,"P&amp;L Reports";#N/A,#N/A,FALSE,"Locomotives";#N/A,#N/A,FALSE,"Modernizations";#N/A,#N/A,FALSE,"Repair Services";#N/A,#N/A,FALSE,"Parts";#N/A,#N/A,FALSE,"Signaling Projects";#N/A,#N/A,FALSE,"Signaling Products";#N/A,#N/A,FALSE,"MSA";#N/A,#N/A,FALSE,"Gevisa"}</definedName>
    <definedName name="wrn.Print._.PL._.Reports." hidden="1">{#N/A,#N/A,FALSE,"P&amp;L Reports";#N/A,#N/A,FALSE,"Locomotives";#N/A,#N/A,FALSE,"Modernizations";#N/A,#N/A,FALSE,"Repair Services";#N/A,#N/A,FALSE,"Parts";#N/A,#N/A,FALSE,"Signaling Projects";#N/A,#N/A,FALSE,"Signaling Products";#N/A,#N/A,FALSE,"MSA";#N/A,#N/A,FALSE,"Gevisa"}</definedName>
    <definedName name="wrn.Print._.Report." localSheetId="20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Summary." localSheetId="20" hidden="1">{#N/A,#N/A,FALSE,"Summary Intro";#N/A,#N/A,FALSE,"Summary";#N/A,#N/A,FALSE,"TY (formulas)";#N/A,#N/A,FALSE,"Q1 (ACT)";#N/A,#N/A,FALSE,"Q2 (Act)";#N/A,#N/A,FALSE,"Q3 (IOP)";#N/A,#N/A,FALSE,"Q4 (IOP)"}</definedName>
    <definedName name="wrn.Print._.Summary." hidden="1">{#N/A,#N/A,FALSE,"Summary Intro";#N/A,#N/A,FALSE,"Summary";#N/A,#N/A,FALSE,"TY (formulas)";#N/A,#N/A,FALSE,"Q1 (ACT)";#N/A,#N/A,FALSE,"Q2 (Act)";#N/A,#N/A,FALSE,"Q3 (IOP)";#N/A,#N/A,FALSE,"Q4 (IOP)"}</definedName>
    <definedName name="wrn.Print._.TST._.Reports." localSheetId="20" hidden="1">{#N/A,#N/A,FALSE,"TST Reports";#N/A,#N/A,FALSE,"BNSF";#N/A,#N/A,FALSE,"NS";#N/A,#N/A,FALSE,"UP";#N/A,#N/A,FALSE,"CXS";#N/A,#N/A,FALSE,"CP";#N/A,#N/A,FALSE,"CN";#N/A,#N/A,FALSE,"Latin America";#N/A,#N/A,FALSE,"Other US Shortlines";#N/A,#N/A,FALSE,"NA Passenger";#N/A,#N/A,FALSE,"WE, Africa, ME";#N/A,#N/A,FALSE,"Eastern Europe, Russia";#N/A,#N/A,FALSE,"India &amp; W Asia";#N/A,#N/A,FALSE,"SE Asia"}</definedName>
    <definedName name="wrn.Print._.TST._.Reports." hidden="1">{#N/A,#N/A,FALSE,"TST Reports";#N/A,#N/A,FALSE,"BNSF";#N/A,#N/A,FALSE,"NS";#N/A,#N/A,FALSE,"UP";#N/A,#N/A,FALSE,"CXS";#N/A,#N/A,FALSE,"CP";#N/A,#N/A,FALSE,"CN";#N/A,#N/A,FALSE,"Latin America";#N/A,#N/A,FALSE,"Other US Shortlines";#N/A,#N/A,FALSE,"NA Passenger";#N/A,#N/A,FALSE,"WE, Africa, ME";#N/A,#N/A,FALSE,"Eastern Europe, Russia";#N/A,#N/A,FALSE,"India &amp; W Asia";#N/A,#N/A,FALSE,"SE Asia"}</definedName>
    <definedName name="wrn.PrintAll." localSheetId="20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Proforma._.1." localSheetId="20" hidden="1">{"side1",#N/A,FALSE,"ResRegn.A-kons.";"Side2",#N/A,FALSE,"Bal3112.A-kons."}</definedName>
    <definedName name="wrn.Proforma._.1." hidden="1">{"side1",#N/A,FALSE,"ResRegn.A-kons.";"Side2",#N/A,FALSE,"Bal3112.A-kons."}</definedName>
    <definedName name="wrn.ptp." localSheetId="20" hidden="1">{#N/A,#N/A,FALSE,"RELATÓRIO";#N/A,#N/A,FALSE,"RELATÓRIO"}</definedName>
    <definedName name="wrn.ptp." hidden="1">{#N/A,#N/A,FALSE,"RELATÓRIO";#N/A,#N/A,FALSE,"RELATÓRIO"}</definedName>
    <definedName name="wrn.ptp._1" localSheetId="20" hidden="1">{#N/A,#N/A,FALSE,"RELATÓRIO";#N/A,#N/A,FALSE,"RELATÓRIO"}</definedName>
    <definedName name="wrn.ptp._1" hidden="1">{#N/A,#N/A,FALSE,"RELATÓRIO";#N/A,#N/A,FALSE,"RELATÓRIO"}</definedName>
    <definedName name="wrn.ptp._1_1" localSheetId="20" hidden="1">{#N/A,#N/A,FALSE,"RELATÓRIO";#N/A,#N/A,FALSE,"RELATÓRIO"}</definedName>
    <definedName name="wrn.ptp._1_1" hidden="1">{#N/A,#N/A,FALSE,"RELATÓRIO";#N/A,#N/A,FALSE,"RELATÓRIO"}</definedName>
    <definedName name="wrn.ptp._1_1_1" localSheetId="20" hidden="1">{#N/A,#N/A,FALSE,"RELATÓRIO";#N/A,#N/A,FALSE,"RELATÓRIO"}</definedName>
    <definedName name="wrn.ptp._1_1_1" hidden="1">{#N/A,#N/A,FALSE,"RELATÓRIO";#N/A,#N/A,FALSE,"RELATÓRIO"}</definedName>
    <definedName name="wrn.ptp._1_2" localSheetId="20" hidden="1">{#N/A,#N/A,FALSE,"RELATÓRIO";#N/A,#N/A,FALSE,"RELATÓRIO"}</definedName>
    <definedName name="wrn.ptp._1_2" hidden="1">{#N/A,#N/A,FALSE,"RELATÓRIO";#N/A,#N/A,FALSE,"RELATÓRIO"}</definedName>
    <definedName name="wrn.ptp._2" localSheetId="20" hidden="1">{#N/A,#N/A,FALSE,"RELATÓRIO";#N/A,#N/A,FALSE,"RELATÓRIO"}</definedName>
    <definedName name="wrn.ptp._2" hidden="1">{#N/A,#N/A,FALSE,"RELATÓRIO";#N/A,#N/A,FALSE,"RELATÓRIO"}</definedName>
    <definedName name="wrn.Quadros._.relatório." localSheetId="20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adar._.Consolidado." localSheetId="20" hidden="1">{#N/A,#N/A,FALSE,"Radar CONS Mês e Acum  3";#N/A,#N/A,FALSE,"Radar CONS Acum 4"}</definedName>
    <definedName name="wrn.Radar._.Consolidado." hidden="1">{#N/A,#N/A,FALSE,"Radar CONS Mês e Acum  3";#N/A,#N/A,FALSE,"Radar CONS Acum 4"}</definedName>
    <definedName name="wrn.Radar._.Consolidado._1" localSheetId="20" hidden="1">{#N/A,#N/A,FALSE,"Radar CONS Mês e Acum  3";#N/A,#N/A,FALSE,"Radar CONS Acum 4"}</definedName>
    <definedName name="wrn.Radar._.Consolidado._1" hidden="1">{#N/A,#N/A,FALSE,"Radar CONS Mês e Acum  3";#N/A,#N/A,FALSE,"Radar CONS Acum 4"}</definedName>
    <definedName name="wrn.Radar._.Consolidado._1_1" localSheetId="20" hidden="1">{#N/A,#N/A,FALSE,"Radar CONS Mês e Acum  3";#N/A,#N/A,FALSE,"Radar CONS Acum 4"}</definedName>
    <definedName name="wrn.Radar._.Consolidado._1_1" hidden="1">{#N/A,#N/A,FALSE,"Radar CONS Mês e Acum  3";#N/A,#N/A,FALSE,"Radar CONS Acum 4"}</definedName>
    <definedName name="wrn.Radar._.Consolidado._1_1_1" localSheetId="20" hidden="1">{#N/A,#N/A,FALSE,"Radar CONS Mês e Acum  3";#N/A,#N/A,FALSE,"Radar CONS Acum 4"}</definedName>
    <definedName name="wrn.Radar._.Consolidado._1_1_1" hidden="1">{#N/A,#N/A,FALSE,"Radar CONS Mês e Acum  3";#N/A,#N/A,FALSE,"Radar CONS Acum 4"}</definedName>
    <definedName name="wrn.Radar._.Consolidado._1_2" localSheetId="20" hidden="1">{#N/A,#N/A,FALSE,"Radar CONS Mês e Acum  3";#N/A,#N/A,FALSE,"Radar CONS Acum 4"}</definedName>
    <definedName name="wrn.Radar._.Consolidado._1_2" hidden="1">{#N/A,#N/A,FALSE,"Radar CONS Mês e Acum  3";#N/A,#N/A,FALSE,"Radar CONS Acum 4"}</definedName>
    <definedName name="wrn.Radar._.Consolidado._2" localSheetId="20" hidden="1">{#N/A,#N/A,FALSE,"Radar CONS Mês e Acum  3";#N/A,#N/A,FALSE,"Radar CONS Acum 4"}</definedName>
    <definedName name="wrn.Radar._.Consolidado._2" hidden="1">{#N/A,#N/A,FALSE,"Radar CONS Mês e Acum  3";#N/A,#N/A,FALSE,"Radar CONS Acum 4"}</definedName>
    <definedName name="wrn.Radares._.Todos.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_1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2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2" localSheetId="20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inha._.e._.Topper.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" hidden="1">{#N/A,#N/A,FALSE,"RAINHA TOPPER CONSOL 16";#N/A,#N/A,FALSE,"BOLAS 17";#N/A,#N/A,FALSE,"VESTUÁRIO 18";#N/A,#N/A,FALSE,"Rainha Topper Mês e Acum 19";#N/A,#N/A,FALSE,"Rainha Topper Acum 20"}</definedName>
    <definedName name="wrn.Rainha._.e._.Topper._1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_1" hidden="1">{#N/A,#N/A,FALSE,"RAINHA TOPPER CONSOL 16";#N/A,#N/A,FALSE,"BOLAS 17";#N/A,#N/A,FALSE,"VESTUÁRIO 18";#N/A,#N/A,FALSE,"Rainha Topper Mês e Acum 19";#N/A,#N/A,FALSE,"Rainha Topper Acum 20"}</definedName>
    <definedName name="wrn.Rainha._.e._.Topper._1_1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_1_1" hidden="1">{#N/A,#N/A,FALSE,"RAINHA TOPPER CONSOL 16";#N/A,#N/A,FALSE,"BOLAS 17";#N/A,#N/A,FALSE,"VESTUÁRIO 18";#N/A,#N/A,FALSE,"Rainha Topper Mês e Acum 19";#N/A,#N/A,FALSE,"Rainha Topper Acum 20"}</definedName>
    <definedName name="wrn.Rainha._.e._.Topper._1_1_1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_1_1_1" hidden="1">{#N/A,#N/A,FALSE,"RAINHA TOPPER CONSOL 16";#N/A,#N/A,FALSE,"BOLAS 17";#N/A,#N/A,FALSE,"VESTUÁRIO 18";#N/A,#N/A,FALSE,"Rainha Topper Mês e Acum 19";#N/A,#N/A,FALSE,"Rainha Topper Acum 20"}</definedName>
    <definedName name="wrn.Rainha._.e._.Topper._1_2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_1_2" hidden="1">{#N/A,#N/A,FALSE,"RAINHA TOPPER CONSOL 16";#N/A,#N/A,FALSE,"BOLAS 17";#N/A,#N/A,FALSE,"VESTUÁRIO 18";#N/A,#N/A,FALSE,"Rainha Topper Mês e Acum 19";#N/A,#N/A,FALSE,"Rainha Topper Acum 20"}</definedName>
    <definedName name="wrn.Rainha._.e._.Topper._2" localSheetId="20" hidden="1">{#N/A,#N/A,FALSE,"RAINHA TOPPER CONSOL 16";#N/A,#N/A,FALSE,"BOLAS 17";#N/A,#N/A,FALSE,"VESTUÁRIO 18";#N/A,#N/A,FALSE,"Rainha Topper Mês e Acum 19";#N/A,#N/A,FALSE,"Rainha Topper Acum 20"}</definedName>
    <definedName name="wrn.Rainha._.e._.Topper._2" hidden="1">{#N/A,#N/A,FALSE,"RAINHA TOPPER CONSOL 16";#N/A,#N/A,FALSE,"BOLAS 17";#N/A,#N/A,FALSE,"VESTUÁRIO 18";#N/A,#N/A,FALSE,"Rainha Topper Mês e Acum 19";#N/A,#N/A,FALSE,"Rainha Topper Acum 20"}</definedName>
    <definedName name="wrn.reg" localSheetId="20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localSheetId="20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localSheetId="20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.custo._.xls.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_ORÇAMENTO." localSheetId="20" hidden="1">{"orç_mes",#N/A,FALSE,"TOTAL";"ORÇ_MES",#N/A,FALSE,"760";"ORÇ_MES",#N/A,FALSE,"761"}</definedName>
    <definedName name="wrn.REL_ORÇAMENTO." hidden="1">{"orç_mes",#N/A,FALSE,"TOTAL";"ORÇ_MES",#N/A,FALSE,"760";"ORÇ_MES",#N/A,FALSE,"761"}</definedName>
    <definedName name="wrn.REL_ORÇAMENTO._1" localSheetId="20" hidden="1">{"orç_mes",#N/A,FALSE,"TOTAL";"ORÇ_MES",#N/A,FALSE,"760";"ORÇ_MES",#N/A,FALSE,"761"}</definedName>
    <definedName name="wrn.REL_ORÇAMENTO._1" hidden="1">{"orç_mes",#N/A,FALSE,"TOTAL";"ORÇ_MES",#N/A,FALSE,"760";"ORÇ_MES",#N/A,FALSE,"761"}</definedName>
    <definedName name="wrn.REL_ORÇAMENTO._1_1" localSheetId="20" hidden="1">{"orç_mes",#N/A,FALSE,"TOTAL";"ORÇ_MES",#N/A,FALSE,"760";"ORÇ_MES",#N/A,FALSE,"761"}</definedName>
    <definedName name="wrn.REL_ORÇAMENTO._1_1" hidden="1">{"orç_mes",#N/A,FALSE,"TOTAL";"ORÇ_MES",#N/A,FALSE,"760";"ORÇ_MES",#N/A,FALSE,"761"}</definedName>
    <definedName name="wrn.REL_ORÇAMENTO._1_1_1" localSheetId="20" hidden="1">{"orç_mes",#N/A,FALSE,"TOTAL";"ORÇ_MES",#N/A,FALSE,"760";"ORÇ_MES",#N/A,FALSE,"761"}</definedName>
    <definedName name="wrn.REL_ORÇAMENTO._1_1_1" hidden="1">{"orç_mes",#N/A,FALSE,"TOTAL";"ORÇ_MES",#N/A,FALSE,"760";"ORÇ_MES",#N/A,FALSE,"761"}</definedName>
    <definedName name="wrn.REL_ORÇAMENTO._1_2" localSheetId="20" hidden="1">{"orç_mes",#N/A,FALSE,"TOTAL";"ORÇ_MES",#N/A,FALSE,"760";"ORÇ_MES",#N/A,FALSE,"761"}</definedName>
    <definedName name="wrn.REL_ORÇAMENTO._1_2" hidden="1">{"orç_mes",#N/A,FALSE,"TOTAL";"ORÇ_MES",#N/A,FALSE,"760";"ORÇ_MES",#N/A,FALSE,"761"}</definedName>
    <definedName name="wrn.REL_ORÇAMENTO._2" localSheetId="20" hidden="1">{"orç_mes",#N/A,FALSE,"TOTAL";"ORÇ_MES",#N/A,FALSE,"760";"ORÇ_MES",#N/A,FALSE,"761"}</definedName>
    <definedName name="wrn.REL_ORÇAMENTO._2" hidden="1">{"orç_mes",#N/A,FALSE,"TOTAL";"ORÇ_MES",#N/A,FALSE,"760";"ORÇ_MES",#N/A,FALSE,"761"}</definedName>
    <definedName name="wrn.REL_REAL." localSheetId="20" hidden="1">{"real",#N/A,FALSE,"TOTAL";"REAL",#N/A,FALSE,"760";"REAL",#N/A,FALSE,"761"}</definedName>
    <definedName name="wrn.REL_REAL." hidden="1">{"real",#N/A,FALSE,"TOTAL";"REAL",#N/A,FALSE,"760";"REAL",#N/A,FALSE,"761"}</definedName>
    <definedName name="wrn.REL_REAL._1" localSheetId="20" hidden="1">{"real",#N/A,FALSE,"TOTAL";"REAL",#N/A,FALSE,"760";"REAL",#N/A,FALSE,"761"}</definedName>
    <definedName name="wrn.REL_REAL._1" hidden="1">{"real",#N/A,FALSE,"TOTAL";"REAL",#N/A,FALSE,"760";"REAL",#N/A,FALSE,"761"}</definedName>
    <definedName name="wrn.REL_REAL._1_1" localSheetId="20" hidden="1">{"real",#N/A,FALSE,"TOTAL";"REAL",#N/A,FALSE,"760";"REAL",#N/A,FALSE,"761"}</definedName>
    <definedName name="wrn.REL_REAL._1_1" hidden="1">{"real",#N/A,FALSE,"TOTAL";"REAL",#N/A,FALSE,"760";"REAL",#N/A,FALSE,"761"}</definedName>
    <definedName name="wrn.REL_REAL._1_1_1" localSheetId="20" hidden="1">{"real",#N/A,FALSE,"TOTAL";"REAL",#N/A,FALSE,"760";"REAL",#N/A,FALSE,"761"}</definedName>
    <definedName name="wrn.REL_REAL._1_1_1" hidden="1">{"real",#N/A,FALSE,"TOTAL";"REAL",#N/A,FALSE,"760";"REAL",#N/A,FALSE,"761"}</definedName>
    <definedName name="wrn.REL_REAL._1_2" localSheetId="20" hidden="1">{"real",#N/A,FALSE,"TOTAL";"REAL",#N/A,FALSE,"760";"REAL",#N/A,FALSE,"761"}</definedName>
    <definedName name="wrn.REL_REAL._1_2" hidden="1">{"real",#N/A,FALSE,"TOTAL";"REAL",#N/A,FALSE,"760";"REAL",#N/A,FALSE,"761"}</definedName>
    <definedName name="wrn.REL_REAL._2" localSheetId="20" hidden="1">{"real",#N/A,FALSE,"TOTAL";"REAL",#N/A,FALSE,"760";"REAL",#N/A,FALSE,"761"}</definedName>
    <definedName name="wrn.REL_REAL._2" hidden="1">{"real",#N/A,FALSE,"TOTAL";"REAL",#N/A,FALSE,"760";"REAL",#N/A,FALSE,"761"}</definedName>
    <definedName name="wrn.REL_REPORTE." localSheetId="20" hidden="1">{"reporte",#N/A,FALSE,"TOTAL";"REPORTE",#N/A,FALSE,"760";"REPORTE",#N/A,FALSE,"761"}</definedName>
    <definedName name="wrn.REL_REPORTE." hidden="1">{"reporte",#N/A,FALSE,"TOTAL";"REPORTE",#N/A,FALSE,"760";"REPORTE",#N/A,FALSE,"761"}</definedName>
    <definedName name="wrn.REL_REPORTE._1" localSheetId="20" hidden="1">{"reporte",#N/A,FALSE,"TOTAL";"REPORTE",#N/A,FALSE,"760";"REPORTE",#N/A,FALSE,"761"}</definedName>
    <definedName name="wrn.REL_REPORTE._1" hidden="1">{"reporte",#N/A,FALSE,"TOTAL";"REPORTE",#N/A,FALSE,"760";"REPORTE",#N/A,FALSE,"761"}</definedName>
    <definedName name="wrn.REL_REPORTE._1_1" localSheetId="20" hidden="1">{"reporte",#N/A,FALSE,"TOTAL";"REPORTE",#N/A,FALSE,"760";"REPORTE",#N/A,FALSE,"761"}</definedName>
    <definedName name="wrn.REL_REPORTE._1_1" hidden="1">{"reporte",#N/A,FALSE,"TOTAL";"REPORTE",#N/A,FALSE,"760";"REPORTE",#N/A,FALSE,"761"}</definedName>
    <definedName name="wrn.REL_REPORTE._1_1_1" localSheetId="20" hidden="1">{"reporte",#N/A,FALSE,"TOTAL";"REPORTE",#N/A,FALSE,"760";"REPORTE",#N/A,FALSE,"761"}</definedName>
    <definedName name="wrn.REL_REPORTE._1_1_1" hidden="1">{"reporte",#N/A,FALSE,"TOTAL";"REPORTE",#N/A,FALSE,"760";"REPORTE",#N/A,FALSE,"761"}</definedName>
    <definedName name="wrn.REL_REPORTE._1_2" localSheetId="20" hidden="1">{"reporte",#N/A,FALSE,"TOTAL";"REPORTE",#N/A,FALSE,"760";"REPORTE",#N/A,FALSE,"761"}</definedName>
    <definedName name="wrn.REL_REPORTE._1_2" hidden="1">{"reporte",#N/A,FALSE,"TOTAL";"REPORTE",#N/A,FALSE,"760";"REPORTE",#N/A,FALSE,"761"}</definedName>
    <definedName name="wrn.REL_REPORTE._2" localSheetId="20" hidden="1">{"reporte",#N/A,FALSE,"TOTAL";"REPORTE",#N/A,FALSE,"760";"REPORTE",#N/A,FALSE,"761"}</definedName>
    <definedName name="wrn.REL_REPORTE._2" hidden="1">{"reporte",#N/A,FALSE,"TOTAL";"REPORTE",#N/A,FALSE,"760";"REPORTE",#N/A,FALSE,"761"}</definedName>
    <definedName name="wrn.RELAT_EAP." localSheetId="20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ATÓRIO." localSheetId="20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_.01." localSheetId="20" hidden="1">{#N/A,#N/A,TRUE,"Resumo de Preços"}</definedName>
    <definedName name="wrn.Relatório._.01." hidden="1">{#N/A,#N/A,TRUE,"Resumo de Preços"}</definedName>
    <definedName name="wrn.Relatório._.Porto.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CUSTO.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xls.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_1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2" localSheetId="20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ext." localSheetId="20" hidden="1">{#N/A,#N/A,TRUE,"Plan1"}</definedName>
    <definedName name="wrn.relext." localSheetId="21" hidden="1">{#N/A,#N/A,TRUE,"Plan1"}</definedName>
    <definedName name="wrn.relext." hidden="1">{#N/A,#N/A,TRUE,"Plan1"}</definedName>
    <definedName name="wrn.relext._1" localSheetId="20" hidden="1">{#N/A,#N/A,TRUE,"Plan1"}</definedName>
    <definedName name="wrn.relext._1" hidden="1">{#N/A,#N/A,TRUE,"Plan1"}</definedName>
    <definedName name="wrn.RELMEN.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PAC.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SUMO." localSheetId="20" hidden="1">{#N/A,#N/A,FALSE,"RESUMO"}</definedName>
    <definedName name="wrn.RESUMO." localSheetId="21" hidden="1">{#N/A,#N/A,FALSE,"RESUMO"}</definedName>
    <definedName name="wrn.RESUMO." hidden="1">{#N/A,#N/A,FALSE,"RESUMO"}</definedName>
    <definedName name="wrn.sales." localSheetId="20" hidden="1">{"sales",#N/A,FALSE,"Sales";"sales existing",#N/A,FALSE,"Sales";"sales rd1",#N/A,FALSE,"Sales";"sales rd2",#N/A,FALSE,"Sales"}</definedName>
    <definedName name="wrn.sales." hidden="1">{"sales",#N/A,FALSE,"Sales";"sales existing",#N/A,FALSE,"Sales";"sales rd1",#N/A,FALSE,"Sales";"sales rd2",#N/A,FALSE,"Sales"}</definedName>
    <definedName name="wrn.SBBE." localSheetId="20" hidden="1">{#N/A,#N/A,FALSE,"Plan1"}</definedName>
    <definedName name="wrn.SBBE." hidden="1">{#N/A,#N/A,FALSE,"Plan1"}</definedName>
    <definedName name="wrn.SERV._.PAVTO." localSheetId="20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20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localSheetId="20" hidden="1">{#N/A,#N/A,FALSE,"CM BAR";#N/A,#N/A,FALSE,"SUBSOLO";#N/A,#N/A,FALSE,"TERREO";#N/A,#N/A,FALSE,"TIPO";#N/A,#N/A,FALSE,"DUP  INF";#N/A,#N/A,FALSE,"DUP SUP"}</definedName>
    <definedName name="wrn.serv.xls." hidden="1">{#N/A,#N/A,FALSE,"CM BAR";#N/A,#N/A,FALSE,"SUBSOLO";#N/A,#N/A,FALSE,"TERREO";#N/A,#N/A,FALSE,"TIPO";#N/A,#N/A,FALSE,"DUP  INF";#N/A,#N/A,FALSE,"DUP SUP"}</definedName>
    <definedName name="wrn.serv.xls._1" localSheetId="20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HORT." localSheetId="20" hidden="1">{"CREDIT STATISTICS",#N/A,FALSE,"STATS";"CF_AND_IS",#N/A,FALSE,"PLAN";"BALSHEET",#N/A,FALSE,"BALANCE SHEET"}</definedName>
    <definedName name="wrn.SHORT." hidden="1">{"CREDIT STATISTICS",#N/A,FALSE,"STATS";"CF_AND_IS",#N/A,FALSE,"PLAN";"BALSHEET",#N/A,FALSE,"BALANCE SHEET"}</definedName>
    <definedName name="wrn.SITUAÇÃO._.DIÁRIA." localSheetId="20" hidden="1">{#N/A,#N/A,FALSE,"SITUAÇÃO DIÁRIA ";#N/A,#N/A,FALSE,"7 à 7"}</definedName>
    <definedName name="wrn.SITUAÇÃO._.DIÁRIA." hidden="1">{#N/A,#N/A,FALSE,"SITUAÇÃO DIÁRIA ";#N/A,#N/A,FALSE,"7 à 7"}</definedName>
    <definedName name="wrn.SITUAÇÃO._.DIÁRIA._1" localSheetId="20" hidden="1">{#N/A,#N/A,FALSE,"SITUAÇÃO DIÁRIA ";#N/A,#N/A,FALSE,"7 à 7"}</definedName>
    <definedName name="wrn.SITUAÇÃO._.DIÁRIA._1" hidden="1">{#N/A,#N/A,FALSE,"SITUAÇÃO DIÁRIA ";#N/A,#N/A,FALSE,"7 à 7"}</definedName>
    <definedName name="wrn.SITUAÇÃO._.DIÁRIA._1_1" localSheetId="20" hidden="1">{#N/A,#N/A,FALSE,"SITUAÇÃO DIÁRIA ";#N/A,#N/A,FALSE,"7 à 7"}</definedName>
    <definedName name="wrn.SITUAÇÃO._.DIÁRIA._1_1" hidden="1">{#N/A,#N/A,FALSE,"SITUAÇÃO DIÁRIA ";#N/A,#N/A,FALSE,"7 à 7"}</definedName>
    <definedName name="wrn.SITUAÇÃO._.DIÁRIA._1_1_1" localSheetId="20" hidden="1">{#N/A,#N/A,FALSE,"SITUAÇÃO DIÁRIA ";#N/A,#N/A,FALSE,"7 à 7"}</definedName>
    <definedName name="wrn.SITUAÇÃO._.DIÁRIA._1_1_1" hidden="1">{#N/A,#N/A,FALSE,"SITUAÇÃO DIÁRIA ";#N/A,#N/A,FALSE,"7 à 7"}</definedName>
    <definedName name="wrn.SITUAÇÃO._.DIÁRIA._1_2" localSheetId="20" hidden="1">{#N/A,#N/A,FALSE,"SITUAÇÃO DIÁRIA ";#N/A,#N/A,FALSE,"7 à 7"}</definedName>
    <definedName name="wrn.SITUAÇÃO._.DIÁRIA._1_2" hidden="1">{#N/A,#N/A,FALSE,"SITUAÇÃO DIÁRIA ";#N/A,#N/A,FALSE,"7 à 7"}</definedName>
    <definedName name="wrn.SITUAÇÃO._.DIÁRIA._2" localSheetId="20" hidden="1">{#N/A,#N/A,FALSE,"SITUAÇÃO DIÁRIA ";#N/A,#N/A,FALSE,"7 à 7"}</definedName>
    <definedName name="wrn.SITUAÇÃO._.DIÁRIA._2" hidden="1">{#N/A,#N/A,FALSE,"SITUAÇÃO DIÁRIA ";#N/A,#N/A,FALSE,"7 à 7"}</definedName>
    <definedName name="wrn.SOCIEDAD." localSheetId="2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tandard." localSheetId="20" hidden="1">{#N/A,#N/A,TRUE,"Summary";#N/A,#N/A,TRUE,"Worksheet"}</definedName>
    <definedName name="wrn.Standard." hidden="1">{#N/A,#N/A,TRUE,"Summary";#N/A,#N/A,TRUE,"Worksheet"}</definedName>
    <definedName name="wrn.Standard._1" localSheetId="20" hidden="1">{#N/A,#N/A,TRUE,"Summary";#N/A,#N/A,TRUE,"Worksheet"}</definedName>
    <definedName name="wrn.Standard._1" hidden="1">{#N/A,#N/A,TRUE,"Summary";#N/A,#N/A,TRUE,"Worksheet"}</definedName>
    <definedName name="wrn.Standard._1_1" localSheetId="20" hidden="1">{#N/A,#N/A,TRUE,"Summary";#N/A,#N/A,TRUE,"Worksheet"}</definedName>
    <definedName name="wrn.Standard._1_1" hidden="1">{#N/A,#N/A,TRUE,"Summary";#N/A,#N/A,TRUE,"Worksheet"}</definedName>
    <definedName name="wrn.Standard._1_1_1" localSheetId="20" hidden="1">{#N/A,#N/A,TRUE,"Summary";#N/A,#N/A,TRUE,"Worksheet"}</definedName>
    <definedName name="wrn.Standard._1_1_1" hidden="1">{#N/A,#N/A,TRUE,"Summary";#N/A,#N/A,TRUE,"Worksheet"}</definedName>
    <definedName name="wrn.Standard._1_2" localSheetId="20" hidden="1">{#N/A,#N/A,TRUE,"Summary";#N/A,#N/A,TRUE,"Worksheet"}</definedName>
    <definedName name="wrn.Standard._1_2" hidden="1">{#N/A,#N/A,TRUE,"Summary";#N/A,#N/A,TRUE,"Worksheet"}</definedName>
    <definedName name="wrn.Standard._2" localSheetId="20" hidden="1">{#N/A,#N/A,TRUE,"Summary";#N/A,#N/A,TRUE,"Worksheet"}</definedName>
    <definedName name="wrn.Standard._2" hidden="1">{#N/A,#N/A,TRUE,"Summary";#N/A,#N/A,TRUE,"Worksheet"}</definedName>
    <definedName name="wrn.suibud." localSheetId="20" hidden="1">{"tbl1",#N/A,FALSE,"regul";"tbl2",#N/A,FALSE,"regul"}</definedName>
    <definedName name="wrn.suibud." hidden="1">{"tbl1",#N/A,FALSE,"regul";"tbl2",#N/A,FALSE,"regul"}</definedName>
    <definedName name="wrn.suivi." localSheetId="20" hidden="1">{"moy",#N/A,FALSE,"CAMBRAI";"paie",#N/A,FALSE,"CAMBRAI"}</definedName>
    <definedName name="wrn.suivi." hidden="1">{"moy",#N/A,FALSE,"CAMBRAI";"paie",#N/A,FALSE,"CAMBRAI"}</definedName>
    <definedName name="wrn.SUMMARY." localSheetId="2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bs._.for._.Dave." localSheetId="20" hidden="1">{#N/A,#N/A,FALSE,"CW Summary";#N/A,#N/A,FALSE,"Weekly Tracking";#N/A,#N/A,FALSE,"MSA";#N/A,#N/A,FALSE,"Parts";#N/A,#N/A,FALSE,"RS";#N/A,#N/A,FALSE,"Mods";#N/A,#N/A,FALSE,"GEVISA"}</definedName>
    <definedName name="wrn.Tabs._.for._.Dave." hidden="1">{#N/A,#N/A,FALSE,"CW Summary";#N/A,#N/A,FALSE,"Weekly Tracking";#N/A,#N/A,FALSE,"MSA";#N/A,#N/A,FALSE,"Parts";#N/A,#N/A,FALSE,"RS";#N/A,#N/A,FALSE,"Mods";#N/A,#N/A,FALSE,"GEVISA"}</definedName>
    <definedName name="wrn.TARGET._.DCF." localSheetId="20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est" localSheetId="20" hidden="1">{"test",#N/A,FALSE,"ResRegn.A-kons.";"test",#N/A,FALSE,"Note11-12";"test1",#N/A,FALSE,"Note11-12"}</definedName>
    <definedName name="wrn.test" hidden="1">{"test",#N/A,FALSE,"ResRegn.A-kons.";"test",#N/A,FALSE,"Note11-12";"test1",#N/A,FALSE,"Note11-12"}</definedName>
    <definedName name="wrn.test2." localSheetId="20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este." localSheetId="20" hidden="1">{#N/A,#N/A,TRUE,"indice";#N/A,#N/A,TRUE,"indicadores";#N/A,#N/A,TRUE,"comentarios"}</definedName>
    <definedName name="wrn.teste." hidden="1">{#N/A,#N/A,TRUE,"indice";#N/A,#N/A,TRUE,"indicadores";#N/A,#N/A,TRUE,"comentarios"}</definedName>
    <definedName name="wrn.teste._1" localSheetId="20" hidden="1">{#N/A,#N/A,TRUE,"indice";#N/A,#N/A,TRUE,"indicadores";#N/A,#N/A,TRUE,"comentarios"}</definedName>
    <definedName name="wrn.teste._1" hidden="1">{#N/A,#N/A,TRUE,"indice";#N/A,#N/A,TRUE,"indicadores";#N/A,#N/A,TRUE,"comentarios"}</definedName>
    <definedName name="wrn.teste._1_1" localSheetId="20" hidden="1">{#N/A,#N/A,TRUE,"indice";#N/A,#N/A,TRUE,"indicadores";#N/A,#N/A,TRUE,"comentarios"}</definedName>
    <definedName name="wrn.teste._1_1" hidden="1">{#N/A,#N/A,TRUE,"indice";#N/A,#N/A,TRUE,"indicadores";#N/A,#N/A,TRUE,"comentarios"}</definedName>
    <definedName name="wrn.teste._1_1_1" localSheetId="20" hidden="1">{#N/A,#N/A,TRUE,"indice";#N/A,#N/A,TRUE,"indicadores";#N/A,#N/A,TRUE,"comentarios"}</definedName>
    <definedName name="wrn.teste._1_1_1" hidden="1">{#N/A,#N/A,TRUE,"indice";#N/A,#N/A,TRUE,"indicadores";#N/A,#N/A,TRUE,"comentarios"}</definedName>
    <definedName name="wrn.teste._1_2" localSheetId="20" hidden="1">{#N/A,#N/A,TRUE,"indice";#N/A,#N/A,TRUE,"indicadores";#N/A,#N/A,TRUE,"comentarios"}</definedName>
    <definedName name="wrn.teste._1_2" hidden="1">{#N/A,#N/A,TRUE,"indice";#N/A,#N/A,TRUE,"indicadores";#N/A,#N/A,TRUE,"comentarios"}</definedName>
    <definedName name="wrn.teste._2" localSheetId="20" hidden="1">{#N/A,#N/A,TRUE,"indice";#N/A,#N/A,TRUE,"indicadores";#N/A,#N/A,TRUE,"comentarios"}</definedName>
    <definedName name="wrn.teste._2" hidden="1">{#N/A,#N/A,TRUE,"indice";#N/A,#N/A,TRUE,"indicadores";#N/A,#N/A,TRUE,"comentarios"}</definedName>
    <definedName name="wrn.Timberland." localSheetId="20" hidden="1">{#N/A,#N/A,FALSE,"TIMBERLAND 33";#N/A,#N/A,FALSE,"TIMBERLAND Mês e Acum 34";#N/A,#N/A,FALSE,"TIMBERLAND Acum 35"}</definedName>
    <definedName name="wrn.Timberland." hidden="1">{#N/A,#N/A,FALSE,"TIMBERLAND 33";#N/A,#N/A,FALSE,"TIMBERLAND Mês e Acum 34";#N/A,#N/A,FALSE,"TIMBERLAND Acum 35"}</definedName>
    <definedName name="wrn.Timberland._1" localSheetId="20" hidden="1">{#N/A,#N/A,FALSE,"TIMBERLAND 33";#N/A,#N/A,FALSE,"TIMBERLAND Mês e Acum 34";#N/A,#N/A,FALSE,"TIMBERLAND Acum 35"}</definedName>
    <definedName name="wrn.Timberland._1" hidden="1">{#N/A,#N/A,FALSE,"TIMBERLAND 33";#N/A,#N/A,FALSE,"TIMBERLAND Mês e Acum 34";#N/A,#N/A,FALSE,"TIMBERLAND Acum 35"}</definedName>
    <definedName name="wrn.Timberland._1_1" localSheetId="20" hidden="1">{#N/A,#N/A,FALSE,"TIMBERLAND 33";#N/A,#N/A,FALSE,"TIMBERLAND Mês e Acum 34";#N/A,#N/A,FALSE,"TIMBERLAND Acum 35"}</definedName>
    <definedName name="wrn.Timberland._1_1" hidden="1">{#N/A,#N/A,FALSE,"TIMBERLAND 33";#N/A,#N/A,FALSE,"TIMBERLAND Mês e Acum 34";#N/A,#N/A,FALSE,"TIMBERLAND Acum 35"}</definedName>
    <definedName name="wrn.Timberland._1_1_1" localSheetId="20" hidden="1">{#N/A,#N/A,FALSE,"TIMBERLAND 33";#N/A,#N/A,FALSE,"TIMBERLAND Mês e Acum 34";#N/A,#N/A,FALSE,"TIMBERLAND Acum 35"}</definedName>
    <definedName name="wrn.Timberland._1_1_1" hidden="1">{#N/A,#N/A,FALSE,"TIMBERLAND 33";#N/A,#N/A,FALSE,"TIMBERLAND Mês e Acum 34";#N/A,#N/A,FALSE,"TIMBERLAND Acum 35"}</definedName>
    <definedName name="wrn.Timberland._1_2" localSheetId="20" hidden="1">{#N/A,#N/A,FALSE,"TIMBERLAND 33";#N/A,#N/A,FALSE,"TIMBERLAND Mês e Acum 34";#N/A,#N/A,FALSE,"TIMBERLAND Acum 35"}</definedName>
    <definedName name="wrn.Timberland._1_2" hidden="1">{#N/A,#N/A,FALSE,"TIMBERLAND 33";#N/A,#N/A,FALSE,"TIMBERLAND Mês e Acum 34";#N/A,#N/A,FALSE,"TIMBERLAND Acum 35"}</definedName>
    <definedName name="wrn.Timberland._2" localSheetId="20" hidden="1">{#N/A,#N/A,FALSE,"TIMBERLAND 33";#N/A,#N/A,FALSE,"TIMBERLAND Mês e Acum 34";#N/A,#N/A,FALSE,"TIMBERLAND Acum 35"}</definedName>
    <definedName name="wrn.Timberland._2" hidden="1">{#N/A,#N/A,FALSE,"TIMBERLAND 33";#N/A,#N/A,FALSE,"TIMBERLAND Mês e Acum 34";#N/A,#N/A,FALSE,"TIMBERLAND Acum 35"}</definedName>
    <definedName name="wrn.Tipo." localSheetId="20" hidden="1">{#N/A,#N/A,TRUE,"Serviços"}</definedName>
    <definedName name="wrn.Tipo." localSheetId="21">{#N/A,#N/A,TRUE,"Serviços"}</definedName>
    <definedName name="wrn.Tipo." localSheetId="2" hidden="1">{#N/A,#N/A,TRUE,"Serviços"}</definedName>
    <definedName name="wrn.Tipo." hidden="1">{#N/A,#N/A,TRUE,"Serviços"}</definedName>
    <definedName name="wrn.Tipo.." localSheetId="20" hidden="1">{#N/A,#N/A,TRUE,"Serviços"}</definedName>
    <definedName name="wrn.Tipo.." localSheetId="2" hidden="1">{#N/A,#N/A,TRUE,"Serviços"}</definedName>
    <definedName name="wrn.Tipo.." hidden="1">{#N/A,#N/A,TRUE,"Serviços"}</definedName>
    <definedName name="wrn.Tipo._1" localSheetId="20">{#N/A,#N/A,TRUE,"Serviços"}</definedName>
    <definedName name="wrn.Tipo._1" localSheetId="21">{#N/A,#N/A,TRUE,"Serviços"}</definedName>
    <definedName name="wrn.Tipo._1">{#N/A,#N/A,TRUE,"Serviços"}</definedName>
    <definedName name="wrn.Todas." localSheetId="20" hidden="1">{#N/A,#N/A,FALSE,"22189";#N/A,#N/A,FALSE,"22188";#N/A,#N/A,FALSE,"22187";#N/A,#N/A,FALSE,"02184";#N/A,#N/A,FALSE,"02179";#N/A,#N/A,FALSE,"Resumo"}</definedName>
    <definedName name="wrn.Todas." hidden="1">{#N/A,#N/A,FALSE,"22189";#N/A,#N/A,FALSE,"22188";#N/A,#N/A,FALSE,"22187";#N/A,#N/A,FALSE,"02184";#N/A,#N/A,FALSE,"02179";#N/A,#N/A,FALSE,"Resumo"}</definedName>
    <definedName name="wrn.todo." localSheetId="20" hidden="1">{"Caja",#N/A,TRUE,"P&amp;G BG";"PyG",#N/A,TRUE,"P&amp;G BG";"Balance",#N/A,TRUE,"P&amp;G BG"}</definedName>
    <definedName name="wrn.todo." hidden="1">{"Caja",#N/A,TRUE,"P&amp;G BG";"PyG",#N/A,TRUE,"P&amp;G BG";"Balance",#N/A,TRUE,"P&amp;G BG"}</definedName>
    <definedName name="wrn.TODOS." localSheetId="20" hidden="1">{#N/A,#N/A,FALSE,"GRAF.";"USGV",#N/A,FALSE,"S-USGV";"MDE",#N/A,FALSE,"S-MDE";"BELGO",#N/A,FALSE,"S-BELGO";#N/A,#N/A,FALSE,"CAPA"}</definedName>
    <definedName name="wrn.TODOS." hidden="1">{#N/A,#N/A,FALSE,"GRAF.";"USGV",#N/A,FALSE,"S-USGV";"MDE",#N/A,FALSE,"S-MDE";"BELGO",#N/A,FALSE,"S-BELGO";#N/A,#N/A,FALSE,"CAPA"}</definedName>
    <definedName name="wrn.TODOS._.2." localSheetId="20" hidden="1">{#N/A,#N/A,FALSE,"S-USGV";#N/A,#N/A,FALSE,"S-MDE";#N/A,#N/A,FALSE,"S-BELGO";#N/A,#N/A,FALSE,"CAPA"}</definedName>
    <definedName name="wrn.TODOS._.2." hidden="1">{#N/A,#N/A,FALSE,"S-USGV";#N/A,#N/A,FALSE,"S-MDE";#N/A,#N/A,FALSE,"S-BELGO";#N/A,#N/A,FALSE,"CAPA"}</definedName>
    <definedName name="wrn.TODOS._.2._1" localSheetId="20" hidden="1">{#N/A,#N/A,FALSE,"S-USGV";#N/A,#N/A,FALSE,"S-MDE";#N/A,#N/A,FALSE,"S-BELGO";#N/A,#N/A,FALSE,"CAPA"}</definedName>
    <definedName name="wrn.TODOS._.2._1" hidden="1">{#N/A,#N/A,FALSE,"S-USGV";#N/A,#N/A,FALSE,"S-MDE";#N/A,#N/A,FALSE,"S-BELGO";#N/A,#N/A,FALSE,"CAPA"}</definedName>
    <definedName name="wrn.TODOS._.2._1_1" localSheetId="20" hidden="1">{#N/A,#N/A,FALSE,"S-USGV";#N/A,#N/A,FALSE,"S-MDE";#N/A,#N/A,FALSE,"S-BELGO";#N/A,#N/A,FALSE,"CAPA"}</definedName>
    <definedName name="wrn.TODOS._.2._1_1" hidden="1">{#N/A,#N/A,FALSE,"S-USGV";#N/A,#N/A,FALSE,"S-MDE";#N/A,#N/A,FALSE,"S-BELGO";#N/A,#N/A,FALSE,"CAPA"}</definedName>
    <definedName name="wrn.TODOS._.2._1_1_1" localSheetId="20" hidden="1">{#N/A,#N/A,FALSE,"S-USGV";#N/A,#N/A,FALSE,"S-MDE";#N/A,#N/A,FALSE,"S-BELGO";#N/A,#N/A,FALSE,"CAPA"}</definedName>
    <definedName name="wrn.TODOS._.2._1_1_1" hidden="1">{#N/A,#N/A,FALSE,"S-USGV";#N/A,#N/A,FALSE,"S-MDE";#N/A,#N/A,FALSE,"S-BELGO";#N/A,#N/A,FALSE,"CAPA"}</definedName>
    <definedName name="wrn.TODOS._.2._1_2" localSheetId="20" hidden="1">{#N/A,#N/A,FALSE,"S-USGV";#N/A,#N/A,FALSE,"S-MDE";#N/A,#N/A,FALSE,"S-BELGO";#N/A,#N/A,FALSE,"CAPA"}</definedName>
    <definedName name="wrn.TODOS._.2._1_2" hidden="1">{#N/A,#N/A,FALSE,"S-USGV";#N/A,#N/A,FALSE,"S-MDE";#N/A,#N/A,FALSE,"S-BELGO";#N/A,#N/A,FALSE,"CAPA"}</definedName>
    <definedName name="wrn.TODOS._.2._2" localSheetId="20" hidden="1">{#N/A,#N/A,FALSE,"S-USGV";#N/A,#N/A,FALSE,"S-MDE";#N/A,#N/A,FALSE,"S-BELGO";#N/A,#N/A,FALSE,"CAPA"}</definedName>
    <definedName name="wrn.TODOS._.2._2" hidden="1">{#N/A,#N/A,FALSE,"S-USGV";#N/A,#N/A,FALSE,"S-MDE";#N/A,#N/A,FALSE,"S-BELGO";#N/A,#N/A,FALSE,"CAPA"}</definedName>
    <definedName name="wrn.TODOS._1" localSheetId="20" hidden="1">{#N/A,#N/A,FALSE,"GRAF.";"USGV",#N/A,FALSE,"S-USGV";"MDE",#N/A,FALSE,"S-MDE";"BELGO",#N/A,FALSE,"S-BELGO";#N/A,#N/A,FALSE,"CAPA"}</definedName>
    <definedName name="wrn.TODOS._1" hidden="1">{#N/A,#N/A,FALSE,"GRAF.";"USGV",#N/A,FALSE,"S-USGV";"MDE",#N/A,FALSE,"S-MDE";"BELGO",#N/A,FALSE,"S-BELGO";#N/A,#N/A,FALSE,"CAPA"}</definedName>
    <definedName name="wrn.TODOS._1_1" localSheetId="20" hidden="1">{#N/A,#N/A,FALSE,"GRAF.";"USGV",#N/A,FALSE,"S-USGV";"MDE",#N/A,FALSE,"S-MDE";"BELGO",#N/A,FALSE,"S-BELGO";#N/A,#N/A,FALSE,"CAPA"}</definedName>
    <definedName name="wrn.TODOS._1_1" hidden="1">{#N/A,#N/A,FALSE,"GRAF.";"USGV",#N/A,FALSE,"S-USGV";"MDE",#N/A,FALSE,"S-MDE";"BELGO",#N/A,FALSE,"S-BELGO";#N/A,#N/A,FALSE,"CAPA"}</definedName>
    <definedName name="wrn.TODOS._1_1_1" localSheetId="20" hidden="1">{#N/A,#N/A,FALSE,"GRAF.";"USGV",#N/A,FALSE,"S-USGV";"MDE",#N/A,FALSE,"S-MDE";"BELGO",#N/A,FALSE,"S-BELGO";#N/A,#N/A,FALSE,"CAPA"}</definedName>
    <definedName name="wrn.TODOS._1_1_1" hidden="1">{#N/A,#N/A,FALSE,"GRAF.";"USGV",#N/A,FALSE,"S-USGV";"MDE",#N/A,FALSE,"S-MDE";"BELGO",#N/A,FALSE,"S-BELGO";#N/A,#N/A,FALSE,"CAPA"}</definedName>
    <definedName name="wrn.TODOS._1_2" localSheetId="20" hidden="1">{#N/A,#N/A,FALSE,"GRAF.";"USGV",#N/A,FALSE,"S-USGV";"MDE",#N/A,FALSE,"S-MDE";"BELGO",#N/A,FALSE,"S-BELGO";#N/A,#N/A,FALSE,"CAPA"}</definedName>
    <definedName name="wrn.TODOS._1_2" hidden="1">{#N/A,#N/A,FALSE,"GRAF.";"USGV",#N/A,FALSE,"S-USGV";"MDE",#N/A,FALSE,"S-MDE";"BELGO",#N/A,FALSE,"S-BELGO";#N/A,#N/A,FALSE,"CAPA"}</definedName>
    <definedName name="wrn.TODOS._2" localSheetId="20" hidden="1">{#N/A,#N/A,FALSE,"GRAF.";"USGV",#N/A,FALSE,"S-USGV";"MDE",#N/A,FALSE,"S-MDE";"BELGO",#N/A,FALSE,"S-BELGO";#N/A,#N/A,FALSE,"CAPA"}</definedName>
    <definedName name="wrn.TODOS._2" hidden="1">{#N/A,#N/A,FALSE,"GRAF.";"USGV",#N/A,FALSE,"S-USGV";"MDE",#N/A,FALSE,"S-MDE";"BELGO",#N/A,FALSE,"S-BELGO";#N/A,#N/A,FALSE,"CAPA"}</definedName>
    <definedName name="wrn.total." localSheetId="20" hidden="1">{#N/A,#N/A,FALSE,"TOTAL"}</definedName>
    <definedName name="wrn.total." hidden="1">{#N/A,#N/A,FALSE,"TOTAL"}</definedName>
    <definedName name="wrn.total._1" localSheetId="20" hidden="1">{#N/A,#N/A,FALSE,"TOTAL"}</definedName>
    <definedName name="wrn.total._1" hidden="1">{#N/A,#N/A,FALSE,"TOTAL"}</definedName>
    <definedName name="wrn.total._1_1" localSheetId="20" hidden="1">{#N/A,#N/A,FALSE,"TOTAL"}</definedName>
    <definedName name="wrn.total._1_1" hidden="1">{#N/A,#N/A,FALSE,"TOTAL"}</definedName>
    <definedName name="wrn.total._1_1_1" localSheetId="20" hidden="1">{#N/A,#N/A,FALSE,"TOTAL"}</definedName>
    <definedName name="wrn.total._1_1_1" hidden="1">{#N/A,#N/A,FALSE,"TOTAL"}</definedName>
    <definedName name="wrn.total._1_2" localSheetId="20" hidden="1">{#N/A,#N/A,FALSE,"TOTAL"}</definedName>
    <definedName name="wrn.total._1_2" hidden="1">{#N/A,#N/A,FALSE,"TOTAL"}</definedName>
    <definedName name="wrn.total._2" localSheetId="20" hidden="1">{#N/A,#N/A,FALSE,"TOTAL"}</definedName>
    <definedName name="wrn.total._2" hidden="1">{#N/A,#N/A,FALSE,"TOTAL"}</definedName>
    <definedName name="wrn.totsuivi." localSheetId="20" hidden="1">{"TOTMOY",#N/A,FALSE,"TOTFDP";"TOTPAIE",#N/A,FALSE,"TOTFDP"}</definedName>
    <definedName name="wrn.totsuivi." hidden="1">{"TOTMOY",#N/A,FALSE,"TOTFDP";"TOTPAIE",#N/A,FALSE,"TOTFDP"}</definedName>
    <definedName name="wrn.TUDO." localSheetId="20" hidden="1">{#N/A,#N/A,FALSE,"RESUMO";#N/A,#N/A,FALSE,"ServTéc.";#N/A,#N/A,FALSE,"ServPrel.";#N/A,#N/A,FALSE,"InsProv.";#N/A,#N/A,FALSE,"Administ.";#N/A,#N/A,FALSE,"DespGerais";#N/A,#N/A,FALSE,"Gráficos"}</definedName>
    <definedName name="wrn.TUDO." localSheetId="21" hidden="1">{#N/A,#N/A,FALSE,"RESUMO";#N/A,#N/A,FALSE,"ServTéc.";#N/A,#N/A,FALSE,"ServPrel.";#N/A,#N/A,FALSE,"InsProv.";#N/A,#N/A,FALSE,"Administ.";#N/A,#N/A,FALSE,"DespGerais";#N/A,#N/A,FALSE,"Gráficos"}</definedName>
    <definedName name="wrn.TUDO." hidden="1">{#N/A,#N/A,FALSE,"RESUMO";#N/A,#N/A,FALSE,"ServTéc.";#N/A,#N/A,FALSE,"ServPrel.";#N/A,#N/A,FALSE,"InsProv.";#N/A,#N/A,FALSE,"Administ.";#N/A,#N/A,FALSE,"DespGerais";#N/A,#N/A,FALSE,"Gráficos"}</definedName>
    <definedName name="wrn.USGV." localSheetId="20" hidden="1">{"USGV",#N/A,FALSE,"S-USGV"}</definedName>
    <definedName name="wrn.USGV." hidden="1">{"USGV",#N/A,FALSE,"S-USGV"}</definedName>
    <definedName name="wrn.USGV._1" localSheetId="20" hidden="1">{"USGV",#N/A,FALSE,"S-USGV"}</definedName>
    <definedName name="wrn.USGV._1" hidden="1">{"USGV",#N/A,FALSE,"S-USGV"}</definedName>
    <definedName name="wrn.USGV._1_1" localSheetId="20" hidden="1">{"USGV",#N/A,FALSE,"S-USGV"}</definedName>
    <definedName name="wrn.USGV._1_1" hidden="1">{"USGV",#N/A,FALSE,"S-USGV"}</definedName>
    <definedName name="wrn.USGV._1_1_1" localSheetId="20" hidden="1">{"USGV",#N/A,FALSE,"S-USGV"}</definedName>
    <definedName name="wrn.USGV._1_1_1" hidden="1">{"USGV",#N/A,FALSE,"S-USGV"}</definedName>
    <definedName name="wrn.USGV._1_2" localSheetId="20" hidden="1">{"USGV",#N/A,FALSE,"S-USGV"}</definedName>
    <definedName name="wrn.USGV._1_2" hidden="1">{"USGV",#N/A,FALSE,"S-USGV"}</definedName>
    <definedName name="wrn.USGV._2" localSheetId="20" hidden="1">{"USGV",#N/A,FALSE,"S-USGV"}</definedName>
    <definedName name="wrn.USGV._2" hidden="1">{"USGV",#N/A,FALSE,"S-USGV"}</definedName>
    <definedName name="wrn.Utdr_div.xls." localSheetId="20" hidden="1">{#N/A,#N/A,FALSE,"REGNSKAPSUTDRAG DIVISJON";#N/A,#N/A,FALSE,"Nøkkeltall"}</definedName>
    <definedName name="wrn.Utdr_div.xls." hidden="1">{#N/A,#N/A,FALSE,"REGNSKAPSUTDRAG DIVISJON";#N/A,#N/A,FALSE,"Nøkkeltall"}</definedName>
    <definedName name="wrn.uuu" localSheetId="20" hidden="1">{"side1",#N/A,FALSE,"ResRegn.A-kons.";"Side2",#N/A,FALSE,"Bal3112.A-kons."}</definedName>
    <definedName name="wrn.uuu" hidden="1">{"side1",#N/A,FALSE,"ResRegn.A-kons.";"Side2",#N/A,FALSE,"Bal3112.A-kons."}</definedName>
    <definedName name="wrn.VENTAS.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2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localSheetId="20" hidden="1">{"Area1",#N/A,FALSE,"OREWACC";"Area2",#N/A,FALSE,"OREWACC"}</definedName>
    <definedName name="wrn.Wacc." hidden="1">{"Area1",#N/A,FALSE,"OREWACC";"Area2",#N/A,FALSE,"OREWACC"}</definedName>
    <definedName name="wrn.Wright." localSheetId="2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X_Print._.All." localSheetId="20" hidden="1">{#N/A,#N/A,TRUE,"Summary";#N/A,#N/A,TRUE,"Worksheet";#N/A,#N/A,TRUE,"CashFlow"}</definedName>
    <definedName name="wrn.X_Print._.All." hidden="1">{#N/A,#N/A,TRUE,"Summary";#N/A,#N/A,TRUE,"Worksheet";#N/A,#N/A,TRUE,"CashFlow"}</definedName>
    <definedName name="wrn.X_Print._.All._1" localSheetId="20" hidden="1">{#N/A,#N/A,TRUE,"Summary";#N/A,#N/A,TRUE,"Worksheet";#N/A,#N/A,TRUE,"CashFlow"}</definedName>
    <definedName name="wrn.X_Print._.All._1" hidden="1">{#N/A,#N/A,TRUE,"Summary";#N/A,#N/A,TRUE,"Worksheet";#N/A,#N/A,TRUE,"CashFlow"}</definedName>
    <definedName name="wrn.X_Print._.All._1_1" localSheetId="20" hidden="1">{#N/A,#N/A,TRUE,"Summary";#N/A,#N/A,TRUE,"Worksheet";#N/A,#N/A,TRUE,"CashFlow"}</definedName>
    <definedName name="wrn.X_Print._.All._1_1" hidden="1">{#N/A,#N/A,TRUE,"Summary";#N/A,#N/A,TRUE,"Worksheet";#N/A,#N/A,TRUE,"CashFlow"}</definedName>
    <definedName name="wrn.X_Print._.All._1_1_1" localSheetId="20" hidden="1">{#N/A,#N/A,TRUE,"Summary";#N/A,#N/A,TRUE,"Worksheet";#N/A,#N/A,TRUE,"CashFlow"}</definedName>
    <definedName name="wrn.X_Print._.All._1_1_1" hidden="1">{#N/A,#N/A,TRUE,"Summary";#N/A,#N/A,TRUE,"Worksheet";#N/A,#N/A,TRUE,"CashFlow"}</definedName>
    <definedName name="wrn.X_Print._.All._1_2" localSheetId="20" hidden="1">{#N/A,#N/A,TRUE,"Summary";#N/A,#N/A,TRUE,"Worksheet";#N/A,#N/A,TRUE,"CashFlow"}</definedName>
    <definedName name="wrn.X_Print._.All._1_2" hidden="1">{#N/A,#N/A,TRUE,"Summary";#N/A,#N/A,TRUE,"Worksheet";#N/A,#N/A,TRUE,"CashFlow"}</definedName>
    <definedName name="wrn.X_Print._.All._2" localSheetId="20" hidden="1">{#N/A,#N/A,TRUE,"Summary";#N/A,#N/A,TRUE,"Worksheet";#N/A,#N/A,TRUE,"CashFlow"}</definedName>
    <definedName name="wrn.X_Print._.All._2" hidden="1">{#N/A,#N/A,TRUE,"Summary";#N/A,#N/A,TRUE,"Worksheet";#N/A,#N/A,TRUE,"CashFlow"}</definedName>
    <definedName name="wrn_Tipo_" localSheetId="20">{#N/A,#N/A,TRUE,"Serviços"}</definedName>
    <definedName name="wrn_Tipo_">{#N/A,#N/A,TRUE,"Serviços"}</definedName>
    <definedName name="wrn_Tipo__1" localSheetId="20">{#N/A,#N/A,TRUE,"Serviços"}</definedName>
    <definedName name="wrn_Tipo__1">{#N/A,#N/A,TRUE,"Serviços"}</definedName>
    <definedName name="wrn1.aug" localSheetId="20" hidden="1">{"det (May)",#N/A,FALSE,"June";"sum (MAY YTD)",#N/A,FALSE,"June YTD"}</definedName>
    <definedName name="wrn1.aug" hidden="1">{"det (May)",#N/A,FALSE,"June";"sum (MAY YTD)",#N/A,FALSE,"June YTD"}</definedName>
    <definedName name="wrn1.aug_1" localSheetId="20" hidden="1">{"det (May)",#N/A,FALSE,"June";"sum (MAY YTD)",#N/A,FALSE,"June YTD"}</definedName>
    <definedName name="wrn1.aug_1" hidden="1">{"det (May)",#N/A,FALSE,"June";"sum (MAY YTD)",#N/A,FALSE,"June YTD"}</definedName>
    <definedName name="wrn1.aug_1_1" localSheetId="20" hidden="1">{"det (May)",#N/A,FALSE,"June";"sum (MAY YTD)",#N/A,FALSE,"June YTD"}</definedName>
    <definedName name="wrn1.aug_1_1" hidden="1">{"det (May)",#N/A,FALSE,"June";"sum (MAY YTD)",#N/A,FALSE,"June YTD"}</definedName>
    <definedName name="wrn1.aug_1_1_1" localSheetId="20" hidden="1">{"det (May)",#N/A,FALSE,"June";"sum (MAY YTD)",#N/A,FALSE,"June YTD"}</definedName>
    <definedName name="wrn1.aug_1_1_1" hidden="1">{"det (May)",#N/A,FALSE,"June";"sum (MAY YTD)",#N/A,FALSE,"June YTD"}</definedName>
    <definedName name="wrn1.aug_1_2" localSheetId="20" hidden="1">{"det (May)",#N/A,FALSE,"June";"sum (MAY YTD)",#N/A,FALSE,"June YTD"}</definedName>
    <definedName name="wrn1.aug_1_2" hidden="1">{"det (May)",#N/A,FALSE,"June";"sum (MAY YTD)",#N/A,FALSE,"June YTD"}</definedName>
    <definedName name="wrn1.aug_2" localSheetId="20" hidden="1">{"det (May)",#N/A,FALSE,"June";"sum (MAY YTD)",#N/A,FALSE,"June YTD"}</definedName>
    <definedName name="wrn1.aug_2" hidden="1">{"det (May)",#N/A,FALSE,"June";"sum (MAY YTD)",#N/A,FALSE,"June YTD"}</definedName>
    <definedName name="wrn1.augtyd" localSheetId="20" hidden="1">{"det (May)",#N/A,FALSE,"June";"sum (MAY YTD)",#N/A,FALSE,"June YTD"}</definedName>
    <definedName name="wrn1.augtyd" hidden="1">{"det (May)",#N/A,FALSE,"June";"sum (MAY YTD)",#N/A,FALSE,"June YTD"}</definedName>
    <definedName name="wrn1.augtyd_1" localSheetId="20" hidden="1">{"det (May)",#N/A,FALSE,"June";"sum (MAY YTD)",#N/A,FALSE,"June YTD"}</definedName>
    <definedName name="wrn1.augtyd_1" hidden="1">{"det (May)",#N/A,FALSE,"June";"sum (MAY YTD)",#N/A,FALSE,"June YTD"}</definedName>
    <definedName name="wrn1.augtyd_1_1" localSheetId="20" hidden="1">{"det (May)",#N/A,FALSE,"June";"sum (MAY YTD)",#N/A,FALSE,"June YTD"}</definedName>
    <definedName name="wrn1.augtyd_1_1" hidden="1">{"det (May)",#N/A,FALSE,"June";"sum (MAY YTD)",#N/A,FALSE,"June YTD"}</definedName>
    <definedName name="wrn1.augtyd_1_1_1" localSheetId="20" hidden="1">{"det (May)",#N/A,FALSE,"June";"sum (MAY YTD)",#N/A,FALSE,"June YTD"}</definedName>
    <definedName name="wrn1.augtyd_1_1_1" hidden="1">{"det (May)",#N/A,FALSE,"June";"sum (MAY YTD)",#N/A,FALSE,"June YTD"}</definedName>
    <definedName name="wrn1.augtyd_1_2" localSheetId="20" hidden="1">{"det (May)",#N/A,FALSE,"June";"sum (MAY YTD)",#N/A,FALSE,"June YTD"}</definedName>
    <definedName name="wrn1.augtyd_1_2" hidden="1">{"det (May)",#N/A,FALSE,"June";"sum (MAY YTD)",#N/A,FALSE,"June YTD"}</definedName>
    <definedName name="wrn1.augtyd_2" localSheetId="20" hidden="1">{"det (May)",#N/A,FALSE,"June";"sum (MAY YTD)",#N/A,FALSE,"June YTD"}</definedName>
    <definedName name="wrn1.augtyd_2" hidden="1">{"det (May)",#N/A,FALSE,"June";"sum (MAY YTD)",#N/A,FALSE,"June YTD"}</definedName>
    <definedName name="wrn1.augyt" localSheetId="20" hidden="1">{"det (May)",#N/A,FALSE,"June";"sum (MAY YTD)",#N/A,FALSE,"June YTD"}</definedName>
    <definedName name="wrn1.augyt" hidden="1">{"det (May)",#N/A,FALSE,"June";"sum (MAY YTD)",#N/A,FALSE,"June YTD"}</definedName>
    <definedName name="wrn1.augyt_1" localSheetId="20" hidden="1">{"det (May)",#N/A,FALSE,"June";"sum (MAY YTD)",#N/A,FALSE,"June YTD"}</definedName>
    <definedName name="wrn1.augyt_1" hidden="1">{"det (May)",#N/A,FALSE,"June";"sum (MAY YTD)",#N/A,FALSE,"June YTD"}</definedName>
    <definedName name="wrn1.augyt_1_1" localSheetId="20" hidden="1">{"det (May)",#N/A,FALSE,"June";"sum (MAY YTD)",#N/A,FALSE,"June YTD"}</definedName>
    <definedName name="wrn1.augyt_1_1" hidden="1">{"det (May)",#N/A,FALSE,"June";"sum (MAY YTD)",#N/A,FALSE,"June YTD"}</definedName>
    <definedName name="wrn1.augyt_1_1_1" localSheetId="20" hidden="1">{"det (May)",#N/A,FALSE,"June";"sum (MAY YTD)",#N/A,FALSE,"June YTD"}</definedName>
    <definedName name="wrn1.augyt_1_1_1" hidden="1">{"det (May)",#N/A,FALSE,"June";"sum (MAY YTD)",#N/A,FALSE,"June YTD"}</definedName>
    <definedName name="wrn1.augyt_1_2" localSheetId="20" hidden="1">{"det (May)",#N/A,FALSE,"June";"sum (MAY YTD)",#N/A,FALSE,"June YTD"}</definedName>
    <definedName name="wrn1.augyt_1_2" hidden="1">{"det (May)",#N/A,FALSE,"June";"sum (MAY YTD)",#N/A,FALSE,"June YTD"}</definedName>
    <definedName name="wrn1.augyt_2" localSheetId="20" hidden="1">{"det (May)",#N/A,FALSE,"June";"sum (MAY YTD)",#N/A,FALSE,"June YTD"}</definedName>
    <definedName name="wrn1.augyt_2" hidden="1">{"det (May)",#N/A,FALSE,"June";"sum (MAY YTD)",#N/A,FALSE,"June YTD"}</definedName>
    <definedName name="wrn1.brol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june" localSheetId="20" hidden="1">{"det (May)",#N/A,FALSE,"June";"sum (MAY YTD)",#N/A,FALSE,"June YTD"}</definedName>
    <definedName name="wrn1.june" hidden="1">{"det (May)",#N/A,FALSE,"June";"sum (MAY YTD)",#N/A,FALSE,"June YTD"}</definedName>
    <definedName name="wrn1.june_1" localSheetId="20" hidden="1">{"det (May)",#N/A,FALSE,"June";"sum (MAY YTD)",#N/A,FALSE,"June YTD"}</definedName>
    <definedName name="wrn1.june_1" hidden="1">{"det (May)",#N/A,FALSE,"June";"sum (MAY YTD)",#N/A,FALSE,"June YTD"}</definedName>
    <definedName name="wrn1.june_1_1" localSheetId="20" hidden="1">{"det (May)",#N/A,FALSE,"June";"sum (MAY YTD)",#N/A,FALSE,"June YTD"}</definedName>
    <definedName name="wrn1.june_1_1" hidden="1">{"det (May)",#N/A,FALSE,"June";"sum (MAY YTD)",#N/A,FALSE,"June YTD"}</definedName>
    <definedName name="wrn1.june_1_1_1" localSheetId="20" hidden="1">{"det (May)",#N/A,FALSE,"June";"sum (MAY YTD)",#N/A,FALSE,"June YTD"}</definedName>
    <definedName name="wrn1.june_1_1_1" hidden="1">{"det (May)",#N/A,FALSE,"June";"sum (MAY YTD)",#N/A,FALSE,"June YTD"}</definedName>
    <definedName name="wrn1.june_1_2" localSheetId="20" hidden="1">{"det (May)",#N/A,FALSE,"June";"sum (MAY YTD)",#N/A,FALSE,"June YTD"}</definedName>
    <definedName name="wrn1.june_1_2" hidden="1">{"det (May)",#N/A,FALSE,"June";"sum (MAY YTD)",#N/A,FALSE,"June YTD"}</definedName>
    <definedName name="wrn1.june_2" localSheetId="20" hidden="1">{"det (May)",#N/A,FALSE,"June";"sum (MAY YTD)",#N/A,FALSE,"June YTD"}</definedName>
    <definedName name="wrn1.june_2" hidden="1">{"det (May)",#N/A,FALSE,"June";"sum (MAY YTD)",#N/A,FALSE,"June YTD"}</definedName>
    <definedName name="wrn2.brol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june" localSheetId="20" hidden="1">{"det (May)",#N/A,FALSE,"June";"sum (MAY YTD)",#N/A,FALSE,"June YTD"}</definedName>
    <definedName name="wrn2.june" hidden="1">{"det (May)",#N/A,FALSE,"June";"sum (MAY YTD)",#N/A,FALSE,"June YTD"}</definedName>
    <definedName name="wrn2.june_1" localSheetId="20" hidden="1">{"det (May)",#N/A,FALSE,"June";"sum (MAY YTD)",#N/A,FALSE,"June YTD"}</definedName>
    <definedName name="wrn2.june_1" hidden="1">{"det (May)",#N/A,FALSE,"June";"sum (MAY YTD)",#N/A,FALSE,"June YTD"}</definedName>
    <definedName name="wrn2.june_1_1" localSheetId="20" hidden="1">{"det (May)",#N/A,FALSE,"June";"sum (MAY YTD)",#N/A,FALSE,"June YTD"}</definedName>
    <definedName name="wrn2.june_1_1" hidden="1">{"det (May)",#N/A,FALSE,"June";"sum (MAY YTD)",#N/A,FALSE,"June YTD"}</definedName>
    <definedName name="wrn2.june_1_1_1" localSheetId="20" hidden="1">{"det (May)",#N/A,FALSE,"June";"sum (MAY YTD)",#N/A,FALSE,"June YTD"}</definedName>
    <definedName name="wrn2.june_1_1_1" hidden="1">{"det (May)",#N/A,FALSE,"June";"sum (MAY YTD)",#N/A,FALSE,"June YTD"}</definedName>
    <definedName name="wrn2.june_1_2" localSheetId="20" hidden="1">{"det (May)",#N/A,FALSE,"June";"sum (MAY YTD)",#N/A,FALSE,"June YTD"}</definedName>
    <definedName name="wrn2.june_1_2" hidden="1">{"det (May)",#N/A,FALSE,"June";"sum (MAY YTD)",#N/A,FALSE,"June YTD"}</definedName>
    <definedName name="wrn2.june_2" localSheetId="20" hidden="1">{"det (May)",#N/A,FALSE,"June";"sum (MAY YTD)",#N/A,FALSE,"June YTD"}</definedName>
    <definedName name="wrn2.june_2" hidden="1">{"det (May)",#N/A,FALSE,"June";"sum (MAY YTD)",#N/A,FALSE,"June YTD"}</definedName>
    <definedName name="wrwew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_1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2" localSheetId="20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x.geral" localSheetId="2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ywtyr" localSheetId="20" hidden="1">{"'gráf jan00'!$A$1:$AK$41"}</definedName>
    <definedName name="wrywtyr" hidden="1">{"'gráf jan00'!$A$1:$AK$41"}</definedName>
    <definedName name="wrywtyr_1" localSheetId="20" hidden="1">{"'gráf jan00'!$A$1:$AK$41"}</definedName>
    <definedName name="wrywtyr_1" hidden="1">{"'gráf jan00'!$A$1:$AK$41"}</definedName>
    <definedName name="wrywtyr_1_1" localSheetId="20" hidden="1">{"'gráf jan00'!$A$1:$AK$41"}</definedName>
    <definedName name="wrywtyr_1_1" hidden="1">{"'gráf jan00'!$A$1:$AK$41"}</definedName>
    <definedName name="wrywtyr_1_1_1" localSheetId="20" hidden="1">{"'gráf jan00'!$A$1:$AK$41"}</definedName>
    <definedName name="wrywtyr_1_1_1" hidden="1">{"'gráf jan00'!$A$1:$AK$41"}</definedName>
    <definedName name="wrywtyr_1_2" localSheetId="20" hidden="1">{"'gráf jan00'!$A$1:$AK$41"}</definedName>
    <definedName name="wrywtyr_1_2" hidden="1">{"'gráf jan00'!$A$1:$AK$41"}</definedName>
    <definedName name="wrywtyr_2" localSheetId="20" hidden="1">{"'gráf jan00'!$A$1:$AK$41"}</definedName>
    <definedName name="wrywtyr_2" hidden="1">{"'gráf jan00'!$A$1:$AK$41"}</definedName>
    <definedName name="ws" localSheetId="20" hidden="1">{"'CptDifn'!$AA$32:$AG$32"}</definedName>
    <definedName name="ws" hidden="1">{"'CptDifn'!$AA$32:$AG$32"}</definedName>
    <definedName name="ws_1" localSheetId="20" hidden="1">{"'CptDifn'!$AA$32:$AG$32"}</definedName>
    <definedName name="ws_1" hidden="1">{"'CptDifn'!$AA$32:$AG$32"}</definedName>
    <definedName name="ws_1_1" localSheetId="20" hidden="1">{"'CptDifn'!$AA$32:$AG$32"}</definedName>
    <definedName name="ws_1_1" hidden="1">{"'CptDifn'!$AA$32:$AG$32"}</definedName>
    <definedName name="ws_1_1_1" localSheetId="20" hidden="1">{"'CptDifn'!$AA$32:$AG$32"}</definedName>
    <definedName name="ws_1_1_1" hidden="1">{"'CptDifn'!$AA$32:$AG$32"}</definedName>
    <definedName name="ws_1_2" localSheetId="20" hidden="1">{"'CptDifn'!$AA$32:$AG$32"}</definedName>
    <definedName name="ws_1_2" hidden="1">{"'CptDifn'!$AA$32:$AG$32"}</definedName>
    <definedName name="ws_2" localSheetId="20" hidden="1">{"'CptDifn'!$AA$32:$AG$32"}</definedName>
    <definedName name="ws_2" hidden="1">{"'CptDifn'!$AA$32:$AG$32"}</definedName>
    <definedName name="wsewew" localSheetId="20" hidden="1">{#N/A,#N/A,FALSE,"PCOL"}</definedName>
    <definedName name="wsewew" hidden="1">{#N/A,#N/A,FALSE,"PCOL"}</definedName>
    <definedName name="wsewew_1" localSheetId="20" hidden="1">{#N/A,#N/A,FALSE,"PCOL"}</definedName>
    <definedName name="wsewew_1" hidden="1">{#N/A,#N/A,FALSE,"PCOL"}</definedName>
    <definedName name="wsewew_1_1" localSheetId="20" hidden="1">{#N/A,#N/A,FALSE,"PCOL"}</definedName>
    <definedName name="wsewew_1_1" hidden="1">{#N/A,#N/A,FALSE,"PCOL"}</definedName>
    <definedName name="wsewew_1_1_1" localSheetId="20" hidden="1">{#N/A,#N/A,FALSE,"PCOL"}</definedName>
    <definedName name="wsewew_1_1_1" hidden="1">{#N/A,#N/A,FALSE,"PCOL"}</definedName>
    <definedName name="wsewew_1_2" localSheetId="20" hidden="1">{#N/A,#N/A,FALSE,"PCOL"}</definedName>
    <definedName name="wsewew_1_2" hidden="1">{#N/A,#N/A,FALSE,"PCOL"}</definedName>
    <definedName name="wsewew_2" localSheetId="20" hidden="1">{#N/A,#N/A,FALSE,"PCOL"}</definedName>
    <definedName name="wsewew_2" hidden="1">{#N/A,#N/A,FALSE,"PCOL"}</definedName>
    <definedName name="WSX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S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sx_1" localSheetId="20" hidden="1">{"'gráf jan00'!$A$1:$AK$41"}</definedName>
    <definedName name="wsx_1" hidden="1">{"'gráf jan00'!$A$1:$AK$41"}</definedName>
    <definedName name="wsx_1_1" localSheetId="20" hidden="1">{"'gráf jan00'!$A$1:$AK$41"}</definedName>
    <definedName name="wsx_1_1" hidden="1">{"'gráf jan00'!$A$1:$AK$41"}</definedName>
    <definedName name="wsx_1_1_1" localSheetId="20" hidden="1">{"'gráf jan00'!$A$1:$AK$41"}</definedName>
    <definedName name="wsx_1_1_1" hidden="1">{"'gráf jan00'!$A$1:$AK$41"}</definedName>
    <definedName name="wsx_1_2" localSheetId="20" hidden="1">{"'gráf jan00'!$A$1:$AK$41"}</definedName>
    <definedName name="wsx_1_2" hidden="1">{"'gráf jan00'!$A$1:$AK$41"}</definedName>
    <definedName name="wsx_2" localSheetId="20" hidden="1">{"'gráf jan00'!$A$1:$AK$41"}</definedName>
    <definedName name="wsx_2" hidden="1">{"'gráf jan00'!$A$1:$AK$41"}</definedName>
    <definedName name="wty" localSheetId="20" hidden="1">{"'gráf jan00'!$A$1:$AK$41"}</definedName>
    <definedName name="wty" hidden="1">{"'gráf jan00'!$A$1:$AK$41"}</definedName>
    <definedName name="wty_1" localSheetId="20" hidden="1">{"'gráf jan00'!$A$1:$AK$41"}</definedName>
    <definedName name="wty_1" hidden="1">{"'gráf jan00'!$A$1:$AK$41"}</definedName>
    <definedName name="wty_1_1" localSheetId="20" hidden="1">{"'gráf jan00'!$A$1:$AK$41"}</definedName>
    <definedName name="wty_1_1" hidden="1">{"'gráf jan00'!$A$1:$AK$41"}</definedName>
    <definedName name="wty_1_1_1" localSheetId="20" hidden="1">{"'gráf jan00'!$A$1:$AK$41"}</definedName>
    <definedName name="wty_1_1_1" hidden="1">{"'gráf jan00'!$A$1:$AK$41"}</definedName>
    <definedName name="wty_1_2" localSheetId="20" hidden="1">{"'gráf jan00'!$A$1:$AK$41"}</definedName>
    <definedName name="wty_1_2" hidden="1">{"'gráf jan00'!$A$1:$AK$41"}</definedName>
    <definedName name="wty_2" localSheetId="20" hidden="1">{"'gráf jan00'!$A$1:$AK$41"}</definedName>
    <definedName name="wty_2" hidden="1">{"'gráf jan00'!$A$1:$AK$41"}</definedName>
    <definedName name="wvu.Print_Todo." localSheetId="2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2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localSheetId="21">#REF!</definedName>
    <definedName name="WW">[43]Teor!$C$3:$C$7</definedName>
    <definedName name="www" localSheetId="20" hidden="1">{"'teste'!$B$2:$R$49"}</definedName>
    <definedName name="www" hidden="1">{"'teste'!$B$2:$R$49"}</definedName>
    <definedName name="www_1" localSheetId="20" hidden="1">{"'teste'!$B$2:$R$49"}</definedName>
    <definedName name="www_1" hidden="1">{"'teste'!$B$2:$R$49"}</definedName>
    <definedName name="www_1_1" localSheetId="20" hidden="1">{"'teste'!$B$2:$R$49"}</definedName>
    <definedName name="www_1_1" hidden="1">{"'teste'!$B$2:$R$49"}</definedName>
    <definedName name="www_1_1_1" localSheetId="20" hidden="1">{"'teste'!$B$2:$R$49"}</definedName>
    <definedName name="www_1_1_1" hidden="1">{"'teste'!$B$2:$R$49"}</definedName>
    <definedName name="www_1_2" localSheetId="20" hidden="1">{"'teste'!$B$2:$R$49"}</definedName>
    <definedName name="www_1_2" hidden="1">{"'teste'!$B$2:$R$49"}</definedName>
    <definedName name="www_2" localSheetId="20" hidden="1">{"'teste'!$B$2:$R$49"}</definedName>
    <definedName name="www_2" hidden="1">{"'teste'!$B$2:$R$49"}</definedName>
    <definedName name="wwwww" localSheetId="20" hidden="1">{#N/A,#N/A,FALSE,"MO (2)"}</definedName>
    <definedName name="wwwww" hidden="1">{#N/A,#N/A,FALSE,"MO (2)"}</definedName>
    <definedName name="wwwwww" localSheetId="20" hidden="1">{#N/A,#N/A,FALSE,"MO (2)"}</definedName>
    <definedName name="wwwwww" hidden="1">{#N/A,#N/A,FALSE,"MO (2)"}</definedName>
    <definedName name="WWWWWWWWWW" localSheetId="20" hidden="1">{"'gráf jan00'!$A$1:$AK$41"}</definedName>
    <definedName name="WWWWWWWWWW" hidden="1">{"'gráf jan00'!$A$1:$AK$41"}</definedName>
    <definedName name="WWWWWWWWWW_1" localSheetId="20" hidden="1">{"'gráf jan00'!$A$1:$AK$41"}</definedName>
    <definedName name="WWWWWWWWWW_1" hidden="1">{"'gráf jan00'!$A$1:$AK$41"}</definedName>
    <definedName name="WWWWWWWWWW_1_1" localSheetId="20" hidden="1">{"'gráf jan00'!$A$1:$AK$41"}</definedName>
    <definedName name="WWWWWWWWWW_1_1" hidden="1">{"'gráf jan00'!$A$1:$AK$41"}</definedName>
    <definedName name="WWWWWWWWWW_1_1_1" localSheetId="20" hidden="1">{"'gráf jan00'!$A$1:$AK$41"}</definedName>
    <definedName name="WWWWWWWWWW_1_1_1" hidden="1">{"'gráf jan00'!$A$1:$AK$41"}</definedName>
    <definedName name="WWWWWWWWWW_1_2" localSheetId="20" hidden="1">{"'gráf jan00'!$A$1:$AK$41"}</definedName>
    <definedName name="WWWWWWWWWW_1_2" hidden="1">{"'gráf jan00'!$A$1:$AK$41"}</definedName>
    <definedName name="WWWWWWWWWW_2" localSheetId="20" hidden="1">{"'gráf jan00'!$A$1:$AK$41"}</definedName>
    <definedName name="WWWWWWWWWW_2" hidden="1">{"'gráf jan00'!$A$1:$AK$41"}</definedName>
    <definedName name="WX" localSheetId="20" hidden="1">{#N/A,#N/A,FALSE,"GQGEMPRE"}</definedName>
    <definedName name="WX" hidden="1">{#N/A,#N/A,FALSE,"GQGEMPRE"}</definedName>
    <definedName name="WX_1" localSheetId="20" hidden="1">{#N/A,#N/A,FALSE,"GQGEMPRE"}</definedName>
    <definedName name="WX_1" hidden="1">{#N/A,#N/A,FALSE,"GQGEMPRE"}</definedName>
    <definedName name="WX_1_1" localSheetId="20" hidden="1">{#N/A,#N/A,FALSE,"GQGEMPRE"}</definedName>
    <definedName name="WX_1_1" hidden="1">{#N/A,#N/A,FALSE,"GQGEMPRE"}</definedName>
    <definedName name="WX_1_1_1" localSheetId="20" hidden="1">{#N/A,#N/A,FALSE,"GQGEMPRE"}</definedName>
    <definedName name="WX_1_1_1" hidden="1">{#N/A,#N/A,FALSE,"GQGEMPRE"}</definedName>
    <definedName name="WX_1_2" localSheetId="20" hidden="1">{#N/A,#N/A,FALSE,"GQGEMPRE"}</definedName>
    <definedName name="WX_1_2" hidden="1">{#N/A,#N/A,FALSE,"GQGEMPRE"}</definedName>
    <definedName name="WX_2" localSheetId="20" hidden="1">{#N/A,#N/A,FALSE,"GQGEMPRE"}</definedName>
    <definedName name="WX_2" hidden="1">{#N/A,#N/A,FALSE,"GQGEMPRE"}</definedName>
    <definedName name="x" localSheetId="21">#REF!</definedName>
    <definedName name="x">[227]Equipamentos!#REF!</definedName>
    <definedName name="x_1" localSheetId="20" hidden="1">{"'REL CUSTODIF'!$B$1:$H$72"}</definedName>
    <definedName name="x_1" hidden="1">{"'REL CUSTODIF'!$B$1:$H$72"}</definedName>
    <definedName name="x_1_1" localSheetId="20" hidden="1">{"'REL CUSTODIF'!$B$1:$H$72"}</definedName>
    <definedName name="x_1_1" hidden="1">{"'REL CUSTODIF'!$B$1:$H$72"}</definedName>
    <definedName name="x_11">[228]Equipamentos!#REF!</definedName>
    <definedName name="x_15">[228]Equipamentos!#REF!</definedName>
    <definedName name="x_24">[193]Equipamentos!#REF!</definedName>
    <definedName name="x_26">[201]Equipamentos!#REF!</definedName>
    <definedName name="x_27">[193]Equipamentos!#REF!</definedName>
    <definedName name="x_27_11">[228]Equipamentos!#REF!</definedName>
    <definedName name="x_28">[201]Equipamentos!#REF!</definedName>
    <definedName name="x_29">[201]Equipamentos!#REF!</definedName>
    <definedName name="x_29_11">[229]Equipamentos!#REF!</definedName>
    <definedName name="x_3">[156]Equipamentos!#REF!</definedName>
    <definedName name="x_4">[156]Equipamentos!#REF!</definedName>
    <definedName name="x_5">[156]Equipamentos!#REF!</definedName>
    <definedName name="x_9">[193]Equipamentos!#REF!</definedName>
    <definedName name="x_9_11">[228]Equipamentos!#REF!</definedName>
    <definedName name="X1a">#REF!</definedName>
    <definedName name="X2a">#REF!</definedName>
    <definedName name="xaaxx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c" localSheetId="20" hidden="1">{"'gráf jan00'!$A$1:$AK$41"}</definedName>
    <definedName name="xc" hidden="1">{"'gráf jan00'!$A$1:$AK$41"}</definedName>
    <definedName name="xc_1" localSheetId="20" hidden="1">{"'gráf jan00'!$A$1:$AK$41"}</definedName>
    <definedName name="xc_1" hidden="1">{"'gráf jan00'!$A$1:$AK$41"}</definedName>
    <definedName name="xc_1_1" localSheetId="20" hidden="1">{"'gráf jan00'!$A$1:$AK$41"}</definedName>
    <definedName name="xc_1_1" hidden="1">{"'gráf jan00'!$A$1:$AK$41"}</definedName>
    <definedName name="xc_1_1_1" localSheetId="20" hidden="1">{"'gráf jan00'!$A$1:$AK$41"}</definedName>
    <definedName name="xc_1_1_1" hidden="1">{"'gráf jan00'!$A$1:$AK$41"}</definedName>
    <definedName name="xc_1_2" localSheetId="20" hidden="1">{"'gráf jan00'!$A$1:$AK$41"}</definedName>
    <definedName name="xc_1_2" hidden="1">{"'gráf jan00'!$A$1:$AK$41"}</definedName>
    <definedName name="xc_2" localSheetId="20" hidden="1">{"'gráf jan00'!$A$1:$AK$41"}</definedName>
    <definedName name="xc_2" hidden="1">{"'gráf jan00'!$A$1:$AK$41"}</definedName>
    <definedName name="xc32dd">#N/A</definedName>
    <definedName name="xca">#N/A</definedName>
    <definedName name="xcxcx" localSheetId="20" hidden="1">{"'gráf jan00'!$A$1:$AK$41"}</definedName>
    <definedName name="xcxcx" hidden="1">{"'gráf jan00'!$A$1:$AK$41"}</definedName>
    <definedName name="xcxcx_1" localSheetId="20" hidden="1">{"'gráf jan00'!$A$1:$AK$41"}</definedName>
    <definedName name="xcxcx_1" hidden="1">{"'gráf jan00'!$A$1:$AK$41"}</definedName>
    <definedName name="xcxcx_1_1" localSheetId="20" hidden="1">{"'gráf jan00'!$A$1:$AK$41"}</definedName>
    <definedName name="xcxcx_1_1" hidden="1">{"'gráf jan00'!$A$1:$AK$41"}</definedName>
    <definedName name="xcxcx_1_1_1" localSheetId="20" hidden="1">{"'gráf jan00'!$A$1:$AK$41"}</definedName>
    <definedName name="xcxcx_1_1_1" hidden="1">{"'gráf jan00'!$A$1:$AK$41"}</definedName>
    <definedName name="xcxcx_1_2" localSheetId="20" hidden="1">{"'gráf jan00'!$A$1:$AK$41"}</definedName>
    <definedName name="xcxcx_1_2" hidden="1">{"'gráf jan00'!$A$1:$AK$41"}</definedName>
    <definedName name="xcxcx_2" localSheetId="20" hidden="1">{"'gráf jan00'!$A$1:$AK$41"}</definedName>
    <definedName name="xcxcx_2" hidden="1">{"'gráf jan00'!$A$1:$AK$41"}</definedName>
    <definedName name="xd" localSheetId="20" hidden="1">{"'gráf jan00'!$A$1:$AK$41"}</definedName>
    <definedName name="xd" hidden="1">{"'gráf jan00'!$A$1:$AK$41"}</definedName>
    <definedName name="xdet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F" localSheetId="20" hidden="1">{"'Quadro'!$A$4:$BG$78"}</definedName>
    <definedName name="XDF" hidden="1">{"'Quadro'!$A$4:$BG$78"}</definedName>
    <definedName name="XDF_1" localSheetId="20" hidden="1">{"'Quadro'!$A$4:$BG$78"}</definedName>
    <definedName name="XDF_1" hidden="1">{"'Quadro'!$A$4:$BG$78"}</definedName>
    <definedName name="XDF_1_1" localSheetId="20" hidden="1">{"'Quadro'!$A$4:$BG$78"}</definedName>
    <definedName name="XDF_1_1" hidden="1">{"'Quadro'!$A$4:$BG$78"}</definedName>
    <definedName name="XDF_1_1_1" localSheetId="20" hidden="1">{"'Quadro'!$A$4:$BG$78"}</definedName>
    <definedName name="XDF_1_1_1" hidden="1">{"'Quadro'!$A$4:$BG$78"}</definedName>
    <definedName name="XDF_1_2" localSheetId="20" hidden="1">{"'Quadro'!$A$4:$BG$78"}</definedName>
    <definedName name="XDF_1_2" hidden="1">{"'Quadro'!$A$4:$BG$78"}</definedName>
    <definedName name="XDF_2" localSheetId="20" hidden="1">{"'Quadro'!$A$4:$BG$78"}</definedName>
    <definedName name="XDF_2" hidden="1">{"'Quadro'!$A$4:$BG$78"}</definedName>
    <definedName name="XDSAD" localSheetId="20" hidden="1">{"'REL CUSTODIF'!$B$1:$H$72"}</definedName>
    <definedName name="XDSAD" hidden="1">{"'REL CUSTODIF'!$B$1:$H$72"}</definedName>
    <definedName name="xfc" localSheetId="20" hidden="1">{"'REL CUSTODIF'!$B$1:$H$72"}</definedName>
    <definedName name="xfc" hidden="1">{"'REL CUSTODIF'!$B$1:$H$72"}</definedName>
    <definedName name="xfreg" localSheetId="20" hidden="1">{"'CptDifn'!$AA$32:$AG$32"}</definedName>
    <definedName name="xfreg" hidden="1">{"'CptDifn'!$AA$32:$AG$32"}</definedName>
    <definedName name="xfreg_1" localSheetId="20" hidden="1">{"'CptDifn'!$AA$32:$AG$32"}</definedName>
    <definedName name="xfreg_1" hidden="1">{"'CptDifn'!$AA$32:$AG$32"}</definedName>
    <definedName name="xfreg_1_1" localSheetId="20" hidden="1">{"'CptDifn'!$AA$32:$AG$32"}</definedName>
    <definedName name="xfreg_1_1" hidden="1">{"'CptDifn'!$AA$32:$AG$32"}</definedName>
    <definedName name="xfreg_1_1_1" localSheetId="20" hidden="1">{"'CptDifn'!$AA$32:$AG$32"}</definedName>
    <definedName name="xfreg_1_1_1" hidden="1">{"'CptDifn'!$AA$32:$AG$32"}</definedName>
    <definedName name="xfreg_1_2" localSheetId="20" hidden="1">{"'CptDifn'!$AA$32:$AG$32"}</definedName>
    <definedName name="xfreg_1_2" hidden="1">{"'CptDifn'!$AA$32:$AG$32"}</definedName>
    <definedName name="xfreg_2" localSheetId="20" hidden="1">{"'CptDifn'!$AA$32:$AG$32"}</definedName>
    <definedName name="xfreg_2" hidden="1">{"'CptDifn'!$AA$32:$AG$32"}</definedName>
    <definedName name="xieir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r" localSheetId="20" hidden="1">{"det (May)",#N/A,FALSE,"June";"sum (MAY YTD)",#N/A,FALSE,"June YTD"}</definedName>
    <definedName name="xir" hidden="1">{"det (May)",#N/A,FALSE,"June";"sum (MAY YTD)",#N/A,FALSE,"June YTD"}</definedName>
    <definedName name="xir_1" localSheetId="20" hidden="1">{"det (May)",#N/A,FALSE,"June";"sum (MAY YTD)",#N/A,FALSE,"June YTD"}</definedName>
    <definedName name="xir_1" hidden="1">{"det (May)",#N/A,FALSE,"June";"sum (MAY YTD)",#N/A,FALSE,"June YTD"}</definedName>
    <definedName name="xir_1_1" localSheetId="20" hidden="1">{"det (May)",#N/A,FALSE,"June";"sum (MAY YTD)",#N/A,FALSE,"June YTD"}</definedName>
    <definedName name="xir_1_1" hidden="1">{"det (May)",#N/A,FALSE,"June";"sum (MAY YTD)",#N/A,FALSE,"June YTD"}</definedName>
    <definedName name="xir_1_1_1" localSheetId="20" hidden="1">{"det (May)",#N/A,FALSE,"June";"sum (MAY YTD)",#N/A,FALSE,"June YTD"}</definedName>
    <definedName name="xir_1_1_1" hidden="1">{"det (May)",#N/A,FALSE,"June";"sum (MAY YTD)",#N/A,FALSE,"June YTD"}</definedName>
    <definedName name="xir_1_2" localSheetId="20" hidden="1">{"det (May)",#N/A,FALSE,"June";"sum (MAY YTD)",#N/A,FALSE,"June YTD"}</definedName>
    <definedName name="xir_1_2" hidden="1">{"det (May)",#N/A,FALSE,"June";"sum (MAY YTD)",#N/A,FALSE,"June YTD"}</definedName>
    <definedName name="xir_2" localSheetId="20" hidden="1">{"det (May)",#N/A,FALSE,"June";"sum (MAY YTD)",#N/A,FALSE,"June YTD"}</definedName>
    <definedName name="xir_2" hidden="1">{"det (May)",#N/A,FALSE,"June";"sum (MAY YTD)",#N/A,FALSE,"June YTD"}</definedName>
    <definedName name="xkdirhj" localSheetId="20" hidden="1">{"det (May)",#N/A,FALSE,"June";"sum (MAY YTD)",#N/A,FALSE,"June YTD"}</definedName>
    <definedName name="xkdirhj" hidden="1">{"det (May)",#N/A,FALSE,"June";"sum (MAY YTD)",#N/A,FALSE,"June YTD"}</definedName>
    <definedName name="xkdirhj_1" localSheetId="20" hidden="1">{"det (May)",#N/A,FALSE,"June";"sum (MAY YTD)",#N/A,FALSE,"June YTD"}</definedName>
    <definedName name="xkdirhj_1" hidden="1">{"det (May)",#N/A,FALSE,"June";"sum (MAY YTD)",#N/A,FALSE,"June YTD"}</definedName>
    <definedName name="xkdirhj_1_1" localSheetId="20" hidden="1">{"det (May)",#N/A,FALSE,"June";"sum (MAY YTD)",#N/A,FALSE,"June YTD"}</definedName>
    <definedName name="xkdirhj_1_1" hidden="1">{"det (May)",#N/A,FALSE,"June";"sum (MAY YTD)",#N/A,FALSE,"June YTD"}</definedName>
    <definedName name="xkdirhj_1_1_1" localSheetId="20" hidden="1">{"det (May)",#N/A,FALSE,"June";"sum (MAY YTD)",#N/A,FALSE,"June YTD"}</definedName>
    <definedName name="xkdirhj_1_1_1" hidden="1">{"det (May)",#N/A,FALSE,"June";"sum (MAY YTD)",#N/A,FALSE,"June YTD"}</definedName>
    <definedName name="xkdirhj_1_2" localSheetId="20" hidden="1">{"det (May)",#N/A,FALSE,"June";"sum (MAY YTD)",#N/A,FALSE,"June YTD"}</definedName>
    <definedName name="xkdirhj_1_2" hidden="1">{"det (May)",#N/A,FALSE,"June";"sum (MAY YTD)",#N/A,FALSE,"June YTD"}</definedName>
    <definedName name="xkdirhj_2" localSheetId="20" hidden="1">{"det (May)",#N/A,FALSE,"June";"sum (MAY YTD)",#N/A,FALSE,"June YTD"}</definedName>
    <definedName name="xkdirhj_2" hidden="1">{"det (May)",#N/A,FALSE,"June";"sum (MAY YTD)",#N/A,FALSE,"June YTD"}</definedName>
    <definedName name="xkei0ori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REF_COLUMN_1" hidden="1">#REF!</definedName>
    <definedName name="XRefColumnsCount" hidden="1">2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#REF!</definedName>
    <definedName name="XRefPasteRangeCount" hidden="1">7</definedName>
    <definedName name="xsd">#N/A</definedName>
    <definedName name="xuxa" localSheetId="20" hidden="1">{"'REL CUSTODIF'!$B$1:$H$72"}</definedName>
    <definedName name="xuxa" hidden="1">{"'REL CUSTODIF'!$B$1:$H$72"}</definedName>
    <definedName name="xuxa1" localSheetId="20" hidden="1">{"'REL CUSTODIF'!$B$1:$H$72"}</definedName>
    <definedName name="xuxa1" hidden="1">{"'REL CUSTODIF'!$B$1:$H$72"}</definedName>
    <definedName name="XWERF" localSheetId="20" hidden="1">{"'REL CUSTODIF'!$B$1:$H$72"}</definedName>
    <definedName name="XWERF" hidden="1">{"'REL CUSTODIF'!$B$1:$H$72"}</definedName>
    <definedName name="XX" localSheetId="21">#REF!</definedName>
    <definedName name="XX">#N/A</definedName>
    <definedName name="XX_10">#N/A</definedName>
    <definedName name="XX_12">#N/A</definedName>
    <definedName name="XX_13">#N/A</definedName>
    <definedName name="XX_15">#N/A</definedName>
    <definedName name="xx_38" localSheetId="2">RESUMO!xx_38</definedName>
    <definedName name="xx_38">xx_38</definedName>
    <definedName name="XX_5">#N/A</definedName>
    <definedName name="XX_6">#N/A</definedName>
    <definedName name="XX_7">#N/A</definedName>
    <definedName name="XX_8">#N/A</definedName>
    <definedName name="XX_9">#N/A</definedName>
    <definedName name="xxc">#N/A</definedName>
    <definedName name="xxd">#N/A</definedName>
    <definedName name="XXX" localSheetId="21">#REF!</definedName>
    <definedName name="XXX">[141]!XXX</definedName>
    <definedName name="xxx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" localSheetId="2">RESUMO!XXX_1</definedName>
    <definedName name="XXX_1">XXX_1</definedName>
    <definedName name="xxx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0">#N/A</definedName>
    <definedName name="XXX_1_12">#N/A</definedName>
    <definedName name="XXX_1_13">#N/A</definedName>
    <definedName name="XXX_1_15">#N/A</definedName>
    <definedName name="xxx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5">#N/A</definedName>
    <definedName name="XXX_1_6">#N/A</definedName>
    <definedName name="XXX_1_7">#N/A</definedName>
    <definedName name="XXX_1_8">#N/A</definedName>
    <definedName name="XXX_1_9">#N/A</definedName>
    <definedName name="XXX_10" localSheetId="2">RESUMO!XXX_10</definedName>
    <definedName name="XXX_10">XXX_10</definedName>
    <definedName name="XXX_11">#N/A</definedName>
    <definedName name="XXX_12" localSheetId="2">RESUMO!XXX_12</definedName>
    <definedName name="XXX_12">XXX_12</definedName>
    <definedName name="XXX_13" localSheetId="2">RESUMO!XXX_13</definedName>
    <definedName name="XXX_13">XXX_13</definedName>
    <definedName name="XXX_13_10">#N/A</definedName>
    <definedName name="XXX_13_12">#N/A</definedName>
    <definedName name="XXX_13_13">#N/A</definedName>
    <definedName name="XXX_13_15">#N/A</definedName>
    <definedName name="XXX_13_5">#N/A</definedName>
    <definedName name="XXX_13_6">#N/A</definedName>
    <definedName name="XXX_13_7">#N/A</definedName>
    <definedName name="XXX_13_8">#N/A</definedName>
    <definedName name="XXX_13_9">#N/A</definedName>
    <definedName name="XXX_14" localSheetId="2">RESUMO!XXX_14</definedName>
    <definedName name="XXX_14">XXX_14</definedName>
    <definedName name="XXX_14_10">#N/A</definedName>
    <definedName name="XXX_14_12">#N/A</definedName>
    <definedName name="XXX_14_13">#N/A</definedName>
    <definedName name="XXX_14_15">#N/A</definedName>
    <definedName name="XXX_14_5">#N/A</definedName>
    <definedName name="XXX_14_6">#N/A</definedName>
    <definedName name="XXX_14_7">#N/A</definedName>
    <definedName name="XXX_14_8">#N/A</definedName>
    <definedName name="XXX_14_9">#N/A</definedName>
    <definedName name="XXX_15">#N/A</definedName>
    <definedName name="XXX_19" localSheetId="2">RESUMO!XXX_19</definedName>
    <definedName name="XXX_19">XXX_19</definedName>
    <definedName name="xxx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2" localSheetId="2">RESUMO!XXX_2</definedName>
    <definedName name="XXX_2">XXX_2</definedName>
    <definedName name="XXX_2_10">#N/A</definedName>
    <definedName name="XXX_2_12">#N/A</definedName>
    <definedName name="XXX_2_13">#N/A</definedName>
    <definedName name="XXX_2_15">#N/A</definedName>
    <definedName name="XXX_2_5">#N/A</definedName>
    <definedName name="XXX_2_6">#N/A</definedName>
    <definedName name="XXX_2_7">#N/A</definedName>
    <definedName name="XXX_2_8">#N/A</definedName>
    <definedName name="XXX_2_9">#N/A</definedName>
    <definedName name="XXX_20" localSheetId="2">RESUMO!XXX_20</definedName>
    <definedName name="XXX_20">XXX_20</definedName>
    <definedName name="XXX_21" localSheetId="2">RESUMO!XXX_21</definedName>
    <definedName name="XXX_21">XXX_21</definedName>
    <definedName name="XXX_22" localSheetId="2">RESUMO!XXX_22</definedName>
    <definedName name="XXX_22">XXX_22</definedName>
    <definedName name="XXX_22_10">#N/A</definedName>
    <definedName name="XXX_22_12">#N/A</definedName>
    <definedName name="XXX_22_13">#N/A</definedName>
    <definedName name="XXX_22_15">#N/A</definedName>
    <definedName name="XXX_22_5">#N/A</definedName>
    <definedName name="XXX_22_6">#N/A</definedName>
    <definedName name="XXX_22_7">#N/A</definedName>
    <definedName name="XXX_22_8">#N/A</definedName>
    <definedName name="XXX_22_9">#N/A</definedName>
    <definedName name="XXX_23" localSheetId="2">RESUMO!XXX_23</definedName>
    <definedName name="XXX_23">XXX_23</definedName>
    <definedName name="XXX_24" localSheetId="2">RESUMO!XXX_24</definedName>
    <definedName name="XXX_24">XXX_24</definedName>
    <definedName name="XXX_25" localSheetId="2">RESUMO!XXX_25</definedName>
    <definedName name="XXX_25">XXX_25</definedName>
    <definedName name="XXX_25_10">#N/A</definedName>
    <definedName name="XXX_25_12">#N/A</definedName>
    <definedName name="XXX_25_13">#N/A</definedName>
    <definedName name="XXX_25_15">#N/A</definedName>
    <definedName name="XXX_25_5">#N/A</definedName>
    <definedName name="XXX_25_6">#N/A</definedName>
    <definedName name="XXX_25_7">#N/A</definedName>
    <definedName name="XXX_25_8">#N/A</definedName>
    <definedName name="XXX_25_9">#N/A</definedName>
    <definedName name="XXX_26" localSheetId="2">RESUMO!XXX_26</definedName>
    <definedName name="XXX_26">XXX_26</definedName>
    <definedName name="XXX_26_10">#N/A</definedName>
    <definedName name="XXX_26_12">#N/A</definedName>
    <definedName name="XXX_26_13">#N/A</definedName>
    <definedName name="XXX_26_15">#N/A</definedName>
    <definedName name="XXX_26_5">#N/A</definedName>
    <definedName name="XXX_26_6">#N/A</definedName>
    <definedName name="XXX_26_7">#N/A</definedName>
    <definedName name="XXX_26_8">#N/A</definedName>
    <definedName name="XXX_26_9">#N/A</definedName>
    <definedName name="XXX_27" localSheetId="2">RESUMO!XXX_27</definedName>
    <definedName name="XXX_27">XXX_27</definedName>
    <definedName name="XXX_27_10">#N/A</definedName>
    <definedName name="XXX_27_12">#N/A</definedName>
    <definedName name="XXX_27_13">#N/A</definedName>
    <definedName name="XXX_27_15">#N/A</definedName>
    <definedName name="XXX_27_5">#N/A</definedName>
    <definedName name="XXX_27_6">#N/A</definedName>
    <definedName name="XXX_27_7">#N/A</definedName>
    <definedName name="XXX_27_8">#N/A</definedName>
    <definedName name="XXX_27_9">#N/A</definedName>
    <definedName name="XXX_28" localSheetId="2">RESUMO!XXX_28</definedName>
    <definedName name="XXX_28">XXX_28</definedName>
    <definedName name="XXX_29" localSheetId="2">RESUMO!XXX_29</definedName>
    <definedName name="XXX_29">XXX_29</definedName>
    <definedName name="XXX_29_10">#N/A</definedName>
    <definedName name="XXX_29_12">#N/A</definedName>
    <definedName name="XXX_29_13">#N/A</definedName>
    <definedName name="XXX_29_15">#N/A</definedName>
    <definedName name="XXX_29_5">#N/A</definedName>
    <definedName name="XXX_29_6">#N/A</definedName>
    <definedName name="XXX_29_7">#N/A</definedName>
    <definedName name="XXX_29_8">#N/A</definedName>
    <definedName name="XXX_29_9">#N/A</definedName>
    <definedName name="XXX_3" localSheetId="2">RESUMO!XXX_3</definedName>
    <definedName name="XXX_3">XXX_3</definedName>
    <definedName name="XXX_3_10">#N/A</definedName>
    <definedName name="XXX_3_12">#N/A</definedName>
    <definedName name="XXX_3_13">#N/A</definedName>
    <definedName name="XXX_3_15">#N/A</definedName>
    <definedName name="XXX_3_5">#N/A</definedName>
    <definedName name="XXX_3_6">#N/A</definedName>
    <definedName name="XXX_3_7">#N/A</definedName>
    <definedName name="XXX_3_8">#N/A</definedName>
    <definedName name="XXX_3_9">#N/A</definedName>
    <definedName name="XXX_30" localSheetId="2">RESUMO!XXX_30</definedName>
    <definedName name="XXX_30">XXX_30</definedName>
    <definedName name="XXX_30_10">#N/A</definedName>
    <definedName name="XXX_30_12">#N/A</definedName>
    <definedName name="XXX_30_13">#N/A</definedName>
    <definedName name="XXX_30_15">#N/A</definedName>
    <definedName name="XXX_30_5">#N/A</definedName>
    <definedName name="XXX_30_6">#N/A</definedName>
    <definedName name="XXX_30_7">#N/A</definedName>
    <definedName name="XXX_30_8">#N/A</definedName>
    <definedName name="XXX_30_9">#N/A</definedName>
    <definedName name="XXX_31" localSheetId="2">RESUMO!XXX_31</definedName>
    <definedName name="XXX_31">XXX_31</definedName>
    <definedName name="XXX_31_10">#N/A</definedName>
    <definedName name="XXX_31_12">#N/A</definedName>
    <definedName name="XXX_31_13">#N/A</definedName>
    <definedName name="XXX_31_15">#N/A</definedName>
    <definedName name="XXX_31_5">#N/A</definedName>
    <definedName name="XXX_31_6">#N/A</definedName>
    <definedName name="XXX_31_7">#N/A</definedName>
    <definedName name="XXX_31_8">#N/A</definedName>
    <definedName name="XXX_31_9">#N/A</definedName>
    <definedName name="XXX_32" localSheetId="2">RESUMO!XXX_32</definedName>
    <definedName name="XXX_32">XXX_32</definedName>
    <definedName name="XXX_33" localSheetId="2">RESUMO!XXX_33</definedName>
    <definedName name="XXX_33">XXX_33</definedName>
    <definedName name="XXX_33_10">#N/A</definedName>
    <definedName name="XXX_33_12">#N/A</definedName>
    <definedName name="XXX_33_13">#N/A</definedName>
    <definedName name="XXX_33_15">#N/A</definedName>
    <definedName name="XXX_33_5">#N/A</definedName>
    <definedName name="XXX_33_6">#N/A</definedName>
    <definedName name="XXX_33_7">#N/A</definedName>
    <definedName name="XXX_33_8">#N/A</definedName>
    <definedName name="XXX_33_9">#N/A</definedName>
    <definedName name="XXX_34" localSheetId="2">RESUMO!XXX_34</definedName>
    <definedName name="XXX_34">XXX_34</definedName>
    <definedName name="XXX_34_10">#N/A</definedName>
    <definedName name="XXX_34_12">#N/A</definedName>
    <definedName name="XXX_34_13">#N/A</definedName>
    <definedName name="XXX_34_15">#N/A</definedName>
    <definedName name="XXX_34_5">#N/A</definedName>
    <definedName name="XXX_34_6">#N/A</definedName>
    <definedName name="XXX_34_7">#N/A</definedName>
    <definedName name="XXX_34_8">#N/A</definedName>
    <definedName name="XXX_34_9">#N/A</definedName>
    <definedName name="XXX_35" localSheetId="2">RESUMO!XXX_35</definedName>
    <definedName name="XXX_35">XXX_35</definedName>
    <definedName name="XXX_35_10">#N/A</definedName>
    <definedName name="XXX_35_12">#N/A</definedName>
    <definedName name="XXX_35_13">#N/A</definedName>
    <definedName name="XXX_35_15">#N/A</definedName>
    <definedName name="XXX_35_5">#N/A</definedName>
    <definedName name="XXX_35_6">#N/A</definedName>
    <definedName name="XXX_35_7">#N/A</definedName>
    <definedName name="XXX_35_8">#N/A</definedName>
    <definedName name="XXX_35_9">#N/A</definedName>
    <definedName name="XXX_36" localSheetId="2">RESUMO!XXX_36</definedName>
    <definedName name="XXX_36">XXX_36</definedName>
    <definedName name="XXX_36_10">#N/A</definedName>
    <definedName name="XXX_36_12">#N/A</definedName>
    <definedName name="XXX_36_13">#N/A</definedName>
    <definedName name="XXX_36_15">#N/A</definedName>
    <definedName name="XXX_36_5">#N/A</definedName>
    <definedName name="XXX_36_6">#N/A</definedName>
    <definedName name="XXX_36_7">#N/A</definedName>
    <definedName name="XXX_36_8">#N/A</definedName>
    <definedName name="XXX_36_9">#N/A</definedName>
    <definedName name="XXX_37" localSheetId="2">RESUMO!XXX_37</definedName>
    <definedName name="XXX_37">XXX_37</definedName>
    <definedName name="XXX_38" localSheetId="2">RESUMO!XXX_38</definedName>
    <definedName name="XXX_38">XXX_38</definedName>
    <definedName name="XXX_39" localSheetId="2">RESUMO!XXX_39</definedName>
    <definedName name="XXX_39">XXX_39</definedName>
    <definedName name="XXX_4">#N/A</definedName>
    <definedName name="XXX_40" localSheetId="2">RESUMO!XXX_40</definedName>
    <definedName name="XXX_40">XXX_40</definedName>
    <definedName name="XXX_41" localSheetId="2">RESUMO!XXX_41</definedName>
    <definedName name="XXX_41">XXX_41</definedName>
    <definedName name="XXX_42" localSheetId="2">RESUMO!XXX_42</definedName>
    <definedName name="XXX_42">XXX_42</definedName>
    <definedName name="XXX_43" localSheetId="2">RESUMO!XXX_43</definedName>
    <definedName name="XXX_43">XXX_43</definedName>
    <definedName name="XXX_44" localSheetId="2">RESUMO!XXX_44</definedName>
    <definedName name="XXX_44">XXX_44</definedName>
    <definedName name="XXX_45" localSheetId="2">RESUMO!XXX_45</definedName>
    <definedName name="XXX_45">XXX_45</definedName>
    <definedName name="XXX_46" localSheetId="2">RESUMO!XXX_46</definedName>
    <definedName name="XXX_46">XXX_46</definedName>
    <definedName name="XXX_47" localSheetId="2">RESUMO!XXX_47</definedName>
    <definedName name="XXX_47">XXX_47</definedName>
    <definedName name="XXX_48" localSheetId="2">RESUMO!XXX_48</definedName>
    <definedName name="XXX_48">XXX_48</definedName>
    <definedName name="XXX_5" localSheetId="2">RESUMO!XXX_5</definedName>
    <definedName name="XXX_5">XXX_5</definedName>
    <definedName name="XXX_5_10">#N/A</definedName>
    <definedName name="XXX_5_12">#N/A</definedName>
    <definedName name="XXX_5_13">#N/A</definedName>
    <definedName name="XXX_5_15">#N/A</definedName>
    <definedName name="XXX_5_5">#N/A</definedName>
    <definedName name="XXX_5_6">#N/A</definedName>
    <definedName name="XXX_5_7">#N/A</definedName>
    <definedName name="XXX_5_8">#N/A</definedName>
    <definedName name="XXX_5_9">#N/A</definedName>
    <definedName name="XXX_51" localSheetId="2">RESUMO!XXX_51</definedName>
    <definedName name="XXX_51">XXX_51</definedName>
    <definedName name="XXX_52" localSheetId="2">RESUMO!XXX_52</definedName>
    <definedName name="XXX_52">XXX_52</definedName>
    <definedName name="XXX_53" localSheetId="2">RESUMO!XXX_53</definedName>
    <definedName name="XXX_53">XXX_53</definedName>
    <definedName name="XXX_54" localSheetId="2">RESUMO!XXX_54</definedName>
    <definedName name="XXX_54">XXX_54</definedName>
    <definedName name="XXX_55" localSheetId="2">RESUMO!XXX_55</definedName>
    <definedName name="XXX_55">XXX_55</definedName>
    <definedName name="XXX_56" localSheetId="2">RESUMO!XXX_56</definedName>
    <definedName name="XXX_56">XXX_56</definedName>
    <definedName name="XXX_57" localSheetId="2">RESUMO!XXX_57</definedName>
    <definedName name="XXX_57">XXX_57</definedName>
    <definedName name="XXX_58" localSheetId="2">RESUMO!XXX_58</definedName>
    <definedName name="XXX_58">XXX_58</definedName>
    <definedName name="XXX_59" localSheetId="2">RESUMO!XXX_59</definedName>
    <definedName name="XXX_59">XXX_59</definedName>
    <definedName name="XXX_6">#N/A</definedName>
    <definedName name="XXX_60" localSheetId="2">RESUMO!XXX_60</definedName>
    <definedName name="XXX_60">XXX_60</definedName>
    <definedName name="XXX_61" localSheetId="2">RESUMO!XXX_61</definedName>
    <definedName name="XXX_61">XXX_61</definedName>
    <definedName name="XXX_62" localSheetId="2">RESUMO!XXX_62</definedName>
    <definedName name="XXX_62">XXX_62</definedName>
    <definedName name="XXX_63" localSheetId="2">RESUMO!XXX_63</definedName>
    <definedName name="XXX_63">XXX_63</definedName>
    <definedName name="XXX_64" localSheetId="2">RESUMO!XXX_64</definedName>
    <definedName name="XXX_64">XXX_64</definedName>
    <definedName name="XXX_65" localSheetId="2">RESUMO!XXX_65</definedName>
    <definedName name="XXX_65">XXX_65</definedName>
    <definedName name="XXX_66" localSheetId="2">RESUMO!XXX_66</definedName>
    <definedName name="XXX_66">XXX_66</definedName>
    <definedName name="XXX_67" localSheetId="2">RESUMO!XXX_67</definedName>
    <definedName name="XXX_67">XXX_67</definedName>
    <definedName name="XXX_68" localSheetId="2">RESUMO!XXX_68</definedName>
    <definedName name="XXX_68">XXX_68</definedName>
    <definedName name="XXX_69" localSheetId="2">RESUMO!XXX_69</definedName>
    <definedName name="XXX_69">XXX_69</definedName>
    <definedName name="XXX_7" localSheetId="2">RESUMO!XXX_7</definedName>
    <definedName name="XXX_7">XXX_7</definedName>
    <definedName name="XXX_7_10">#N/A</definedName>
    <definedName name="XXX_7_12">#N/A</definedName>
    <definedName name="XXX_7_13">#N/A</definedName>
    <definedName name="XXX_7_15">#N/A</definedName>
    <definedName name="XXX_7_5">#N/A</definedName>
    <definedName name="XXX_7_6">#N/A</definedName>
    <definedName name="XXX_7_7">#N/A</definedName>
    <definedName name="XXX_7_8">#N/A</definedName>
    <definedName name="XXX_7_9">#N/A</definedName>
    <definedName name="XXX_70" localSheetId="2">RESUMO!XXX_70</definedName>
    <definedName name="XXX_70">XXX_70</definedName>
    <definedName name="XXX_71" localSheetId="2">RESUMO!XXX_71</definedName>
    <definedName name="XXX_71">XXX_71</definedName>
    <definedName name="XXX_72" localSheetId="2">RESUMO!XXX_72</definedName>
    <definedName name="XXX_72">XXX_72</definedName>
    <definedName name="XXX_8" localSheetId="2">RESUMO!XXX_8</definedName>
    <definedName name="XXX_8">XXX_8</definedName>
    <definedName name="XXX_8_10">#N/A</definedName>
    <definedName name="XXX_8_12">#N/A</definedName>
    <definedName name="XXX_8_13">#N/A</definedName>
    <definedName name="XXX_8_15">#N/A</definedName>
    <definedName name="XXX_8_5">#N/A</definedName>
    <definedName name="XXX_8_6">#N/A</definedName>
    <definedName name="XXX_8_7">#N/A</definedName>
    <definedName name="XXX_8_8">#N/A</definedName>
    <definedName name="XXX_8_9">#N/A</definedName>
    <definedName name="XXX_9" localSheetId="2">RESUMO!XXX_9</definedName>
    <definedName name="XXX_9">XXX_9</definedName>
    <definedName name="XXX_9_10">#N/A</definedName>
    <definedName name="XXX_9_12">#N/A</definedName>
    <definedName name="XXX_9_13">#N/A</definedName>
    <definedName name="XXX_9_15">#N/A</definedName>
    <definedName name="XXX_9_5">#N/A</definedName>
    <definedName name="XXX_9_6">#N/A</definedName>
    <definedName name="XXX_9_7">#N/A</definedName>
    <definedName name="XXX_9_8">#N/A</definedName>
    <definedName name="XXX_9_9">#N/A</definedName>
    <definedName name="XXX7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c">#N/A</definedName>
    <definedName name="xxxx" localSheetId="2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" localSheetId="21">#REF!</definedName>
    <definedName name="XXXX" localSheetId="0">[34]!XXXX</definedName>
    <definedName name="XXXX">[34]!XXXX</definedName>
    <definedName name="xxxxx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" localSheetId="21">#REF!</definedName>
    <definedName name="XXXXX">#REF!</definedName>
    <definedName name="xxxxx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_1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2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X" localSheetId="2">RESUMO!XXXXXX</definedName>
    <definedName name="XXXXXX">[0]!XXXXXX</definedName>
    <definedName name="xxxxxx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_1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2" localSheetId="20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x" localSheetId="20" hidden="1">{"'Gráfico Prod Km Realizado'!$A$1"}</definedName>
    <definedName name="xxxxxxx" hidden="1">{"'Gráfico Prod Km Realizado'!$A$1"}</definedName>
    <definedName name="xxxxxxx_1" localSheetId="20" hidden="1">{"'Gráfico Prod Km Realizado'!$A$1"}</definedName>
    <definedName name="xxxxxxx_1" hidden="1">{"'Gráfico Prod Km Realizado'!$A$1"}</definedName>
    <definedName name="xxxxxxx_1_1" localSheetId="20" hidden="1">{"'Gráfico Prod Km Realizado'!$A$1"}</definedName>
    <definedName name="xxxxxxx_1_1" hidden="1">{"'Gráfico Prod Km Realizado'!$A$1"}</definedName>
    <definedName name="xxxxxxx_1_1_1" localSheetId="20" hidden="1">{"'Gráfico Prod Km Realizado'!$A$1"}</definedName>
    <definedName name="xxxxxxx_1_1_1" hidden="1">{"'Gráfico Prod Km Realizado'!$A$1"}</definedName>
    <definedName name="xxxxxxx_1_2" localSheetId="20" hidden="1">{"'Gráfico Prod Km Realizado'!$A$1"}</definedName>
    <definedName name="xxxxxxx_1_2" hidden="1">{"'Gráfico Prod Km Realizado'!$A$1"}</definedName>
    <definedName name="xxxxxxx_2" localSheetId="20" hidden="1">{"'Gráfico Prod Km Realizado'!$A$1"}</definedName>
    <definedName name="xxxxxxx_2" hidden="1">{"'Gráfico Prod Km Realizado'!$A$1"}</definedName>
    <definedName name="XXXXXXXX">[34]!XXXXXXXX</definedName>
    <definedName name="xxxxxxxxxxx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yyy" localSheetId="20" hidden="1">{"'Quadro'!$A$4:$BG$78"}</definedName>
    <definedName name="xxxyyy" hidden="1">{"'Quadro'!$A$4:$BG$78"}</definedName>
    <definedName name="xxxyyy_1" localSheetId="20" hidden="1">{"'Quadro'!$A$4:$BG$78"}</definedName>
    <definedName name="xxxyyy_1" hidden="1">{"'Quadro'!$A$4:$BG$78"}</definedName>
    <definedName name="xxxyyy_1_1" localSheetId="20" hidden="1">{"'Quadro'!$A$4:$BG$78"}</definedName>
    <definedName name="xxxyyy_1_1" hidden="1">{"'Quadro'!$A$4:$BG$78"}</definedName>
    <definedName name="xxxyyy_1_1_1" localSheetId="20" hidden="1">{"'Quadro'!$A$4:$BG$78"}</definedName>
    <definedName name="xxxyyy_1_1_1" hidden="1">{"'Quadro'!$A$4:$BG$78"}</definedName>
    <definedName name="xxxyyy_1_2" localSheetId="20" hidden="1">{"'Quadro'!$A$4:$BG$78"}</definedName>
    <definedName name="xxxyyy_1_2" hidden="1">{"'Quadro'!$A$4:$BG$78"}</definedName>
    <definedName name="xxxyyy_2" localSheetId="20" hidden="1">{"'Quadro'!$A$4:$BG$78"}</definedName>
    <definedName name="xxxyyy_2" hidden="1">{"'Quadro'!$A$4:$BG$78"}</definedName>
    <definedName name="y" hidden="1">#REF!</definedName>
    <definedName name="y_1" localSheetId="20" hidden="1">{#N/A,#N/A,FALSE,"PCOL"}</definedName>
    <definedName name="y_1" hidden="1">{#N/A,#N/A,FALSE,"PCOL"}</definedName>
    <definedName name="y_1_1" localSheetId="20" hidden="1">{#N/A,#N/A,FALSE,"PCOL"}</definedName>
    <definedName name="y_1_1" hidden="1">{#N/A,#N/A,FALSE,"PCOL"}</definedName>
    <definedName name="y_1_1_1" localSheetId="20" hidden="1">{#N/A,#N/A,FALSE,"PCOL"}</definedName>
    <definedName name="y_1_1_1" hidden="1">{#N/A,#N/A,FALSE,"PCOL"}</definedName>
    <definedName name="y_1_2" localSheetId="20" hidden="1">{#N/A,#N/A,FALSE,"PCOL"}</definedName>
    <definedName name="y_1_2" hidden="1">{#N/A,#N/A,FALSE,"PCOL"}</definedName>
    <definedName name="y_2" localSheetId="20" hidden="1">{#N/A,#N/A,FALSE,"PCOL"}</definedName>
    <definedName name="y_2" hidden="1">{#N/A,#N/A,FALSE,"PCOL"}</definedName>
    <definedName name="ye" localSheetId="20" hidden="1">{"'CptDifn'!$AA$32:$AG$32"}</definedName>
    <definedName name="ye" hidden="1">{"'CptDifn'!$AA$32:$AG$32"}</definedName>
    <definedName name="ye_1" localSheetId="20" hidden="1">{"'CptDifn'!$AA$32:$AG$32"}</definedName>
    <definedName name="ye_1" hidden="1">{"'CptDifn'!$AA$32:$AG$32"}</definedName>
    <definedName name="ye_1_1" localSheetId="20" hidden="1">{"'CptDifn'!$AA$32:$AG$32"}</definedName>
    <definedName name="ye_1_1" hidden="1">{"'CptDifn'!$AA$32:$AG$32"}</definedName>
    <definedName name="ye_1_1_1" localSheetId="20" hidden="1">{"'CptDifn'!$AA$32:$AG$32"}</definedName>
    <definedName name="ye_1_1_1" hidden="1">{"'CptDifn'!$AA$32:$AG$32"}</definedName>
    <definedName name="ye_1_2" localSheetId="20" hidden="1">{"'CptDifn'!$AA$32:$AG$32"}</definedName>
    <definedName name="ye_1_2" hidden="1">{"'CptDifn'!$AA$32:$AG$32"}</definedName>
    <definedName name="ye_2" localSheetId="20" hidden="1">{"'CptDifn'!$AA$32:$AG$32"}</definedName>
    <definedName name="ye_2" hidden="1">{"'CptDifn'!$AA$32:$AG$32"}</definedName>
    <definedName name="yery" localSheetId="20" hidden="1">{"'CptDifn'!$AA$32:$AG$32"}</definedName>
    <definedName name="yery" hidden="1">{"'CptDifn'!$AA$32:$AG$32"}</definedName>
    <definedName name="yery_1" localSheetId="20" hidden="1">{"'CptDifn'!$AA$32:$AG$32"}</definedName>
    <definedName name="yery_1" hidden="1">{"'CptDifn'!$AA$32:$AG$32"}</definedName>
    <definedName name="yery_1_1" localSheetId="20" hidden="1">{"'CptDifn'!$AA$32:$AG$32"}</definedName>
    <definedName name="yery_1_1" hidden="1">{"'CptDifn'!$AA$32:$AG$32"}</definedName>
    <definedName name="yery_1_1_1" localSheetId="20" hidden="1">{"'CptDifn'!$AA$32:$AG$32"}</definedName>
    <definedName name="yery_1_1_1" hidden="1">{"'CptDifn'!$AA$32:$AG$32"}</definedName>
    <definedName name="yery_1_2" localSheetId="20" hidden="1">{"'CptDifn'!$AA$32:$AG$32"}</definedName>
    <definedName name="yery_1_2" hidden="1">{"'CptDifn'!$AA$32:$AG$32"}</definedName>
    <definedName name="yery_2" localSheetId="20" hidden="1">{"'CptDifn'!$AA$32:$AG$32"}</definedName>
    <definedName name="yery_2" hidden="1">{"'CptDifn'!$AA$32:$AG$32"}</definedName>
    <definedName name="YES">#REF!</definedName>
    <definedName name="yety">'[41]Fresagem de Pista Ago-98'!#REF!</definedName>
    <definedName name="ygv" localSheetId="20" hidden="1">{#N/A,#N/A,FALSE,"PCOL"}</definedName>
    <definedName name="ygv" hidden="1">{#N/A,#N/A,FALSE,"PCOL"}</definedName>
    <definedName name="ygv_1" localSheetId="20" hidden="1">{#N/A,#N/A,FALSE,"PCOL"}</definedName>
    <definedName name="ygv_1" hidden="1">{#N/A,#N/A,FALSE,"PCOL"}</definedName>
    <definedName name="ygv_1_1" localSheetId="20" hidden="1">{#N/A,#N/A,FALSE,"PCOL"}</definedName>
    <definedName name="ygv_1_1" hidden="1">{#N/A,#N/A,FALSE,"PCOL"}</definedName>
    <definedName name="ygv_1_1_1" localSheetId="20" hidden="1">{#N/A,#N/A,FALSE,"PCOL"}</definedName>
    <definedName name="ygv_1_1_1" hidden="1">{#N/A,#N/A,FALSE,"PCOL"}</definedName>
    <definedName name="ygv_1_2" localSheetId="20" hidden="1">{#N/A,#N/A,FALSE,"PCOL"}</definedName>
    <definedName name="ygv_1_2" hidden="1">{#N/A,#N/A,FALSE,"PCOL"}</definedName>
    <definedName name="ygv_2" localSheetId="20" hidden="1">{#N/A,#N/A,FALSE,"PCOL"}</definedName>
    <definedName name="ygv_2" hidden="1">{#N/A,#N/A,FALSE,"PCOL"}</definedName>
    <definedName name="yhn" localSheetId="20" hidden="1">{"'gráf jan00'!$A$1:$AK$41"}</definedName>
    <definedName name="yhn" hidden="1">{"'gráf jan00'!$A$1:$AK$41"}</definedName>
    <definedName name="yhn_1" localSheetId="20" hidden="1">{"'gráf jan00'!$A$1:$AK$41"}</definedName>
    <definedName name="yhn_1" hidden="1">{"'gráf jan00'!$A$1:$AK$41"}</definedName>
    <definedName name="yhn_1_1" localSheetId="20" hidden="1">{"'gráf jan00'!$A$1:$AK$41"}</definedName>
    <definedName name="yhn_1_1" hidden="1">{"'gráf jan00'!$A$1:$AK$41"}</definedName>
    <definedName name="yhn_1_1_1" localSheetId="20" hidden="1">{"'gráf jan00'!$A$1:$AK$41"}</definedName>
    <definedName name="yhn_1_1_1" hidden="1">{"'gráf jan00'!$A$1:$AK$41"}</definedName>
    <definedName name="yhn_1_2" localSheetId="20" hidden="1">{"'gráf jan00'!$A$1:$AK$41"}</definedName>
    <definedName name="yhn_1_2" hidden="1">{"'gráf jan00'!$A$1:$AK$41"}</definedName>
    <definedName name="yhn_2" localSheetId="20" hidden="1">{"'gráf jan00'!$A$1:$AK$41"}</definedName>
    <definedName name="yhn_2" hidden="1">{"'gráf jan00'!$A$1:$AK$41"}</definedName>
    <definedName name="yio" localSheetId="20" hidden="1">{"'CptDifn'!$AA$32:$AG$32"}</definedName>
    <definedName name="yio" hidden="1">{"'CptDifn'!$AA$32:$AG$32"}</definedName>
    <definedName name="yio_1" localSheetId="20" hidden="1">{"'CptDifn'!$AA$32:$AG$32"}</definedName>
    <definedName name="yio_1" hidden="1">{"'CptDifn'!$AA$32:$AG$32"}</definedName>
    <definedName name="yio_1_1" localSheetId="20" hidden="1">{"'CptDifn'!$AA$32:$AG$32"}</definedName>
    <definedName name="yio_1_1" hidden="1">{"'CptDifn'!$AA$32:$AG$32"}</definedName>
    <definedName name="yio_1_1_1" localSheetId="20" hidden="1">{"'CptDifn'!$AA$32:$AG$32"}</definedName>
    <definedName name="yio_1_1_1" hidden="1">{"'CptDifn'!$AA$32:$AG$32"}</definedName>
    <definedName name="yio_1_2" localSheetId="20" hidden="1">{"'CptDifn'!$AA$32:$AG$32"}</definedName>
    <definedName name="yio_1_2" hidden="1">{"'CptDifn'!$AA$32:$AG$32"}</definedName>
    <definedName name="yio_2" localSheetId="20" hidden="1">{"'CptDifn'!$AA$32:$AG$32"}</definedName>
    <definedName name="yio_2" hidden="1">{"'CptDifn'!$AA$32:$AG$32"}</definedName>
    <definedName name="yioy" localSheetId="20" hidden="1">{"'gráf jan00'!$A$1:$AK$41"}</definedName>
    <definedName name="yioy" hidden="1">{"'gráf jan00'!$A$1:$AK$41"}</definedName>
    <definedName name="yioy_1" localSheetId="20" hidden="1">{"'gráf jan00'!$A$1:$AK$41"}</definedName>
    <definedName name="yioy_1" hidden="1">{"'gráf jan00'!$A$1:$AK$41"}</definedName>
    <definedName name="yioy_1_1" localSheetId="20" hidden="1">{"'gráf jan00'!$A$1:$AK$41"}</definedName>
    <definedName name="yioy_1_1" hidden="1">{"'gráf jan00'!$A$1:$AK$41"}</definedName>
    <definedName name="yioy_1_1_1" localSheetId="20" hidden="1">{"'gráf jan00'!$A$1:$AK$41"}</definedName>
    <definedName name="yioy_1_1_1" hidden="1">{"'gráf jan00'!$A$1:$AK$41"}</definedName>
    <definedName name="yioy_1_2" localSheetId="20" hidden="1">{"'gráf jan00'!$A$1:$AK$41"}</definedName>
    <definedName name="yioy_1_2" hidden="1">{"'gráf jan00'!$A$1:$AK$41"}</definedName>
    <definedName name="yioy_2" localSheetId="20" hidden="1">{"'gráf jan00'!$A$1:$AK$41"}</definedName>
    <definedName name="yioy_2" hidden="1">{"'gráf jan00'!$A$1:$AK$41"}</definedName>
    <definedName name="yiuti" localSheetId="20" hidden="1">{"'CptDifn'!$AA$32:$AG$32"}</definedName>
    <definedName name="yiuti" hidden="1">{"'CptDifn'!$AA$32:$AG$32"}</definedName>
    <definedName name="yiuti_1" localSheetId="20" hidden="1">{"'CptDifn'!$AA$32:$AG$32"}</definedName>
    <definedName name="yiuti_1" hidden="1">{"'CptDifn'!$AA$32:$AG$32"}</definedName>
    <definedName name="yiuti_1_1" localSheetId="20" hidden="1">{"'CptDifn'!$AA$32:$AG$32"}</definedName>
    <definedName name="yiuti_1_1" hidden="1">{"'CptDifn'!$AA$32:$AG$32"}</definedName>
    <definedName name="yiuti_1_1_1" localSheetId="20" hidden="1">{"'CptDifn'!$AA$32:$AG$32"}</definedName>
    <definedName name="yiuti_1_1_1" hidden="1">{"'CptDifn'!$AA$32:$AG$32"}</definedName>
    <definedName name="yiuti_1_2" localSheetId="20" hidden="1">{"'CptDifn'!$AA$32:$AG$32"}</definedName>
    <definedName name="yiuti_1_2" hidden="1">{"'CptDifn'!$AA$32:$AG$32"}</definedName>
    <definedName name="yiuti_2" localSheetId="20" hidden="1">{"'CptDifn'!$AA$32:$AG$32"}</definedName>
    <definedName name="yiuti_2" hidden="1">{"'CptDifn'!$AA$32:$AG$32"}</definedName>
    <definedName name="YO" localSheetId="20" hidden="1">{"'Quadro'!$A$4:$BG$78"}</definedName>
    <definedName name="YO" hidden="1">{"'Quadro'!$A$4:$BG$78"}</definedName>
    <definedName name="YO_1" localSheetId="20" hidden="1">{"'Quadro'!$A$4:$BG$78"}</definedName>
    <definedName name="YO_1" hidden="1">{"'Quadro'!$A$4:$BG$78"}</definedName>
    <definedName name="YO_1_1" localSheetId="20" hidden="1">{"'Quadro'!$A$4:$BG$78"}</definedName>
    <definedName name="YO_1_1" hidden="1">{"'Quadro'!$A$4:$BG$78"}</definedName>
    <definedName name="YO_1_1_1" localSheetId="20" hidden="1">{"'Quadro'!$A$4:$BG$78"}</definedName>
    <definedName name="YO_1_1_1" hidden="1">{"'Quadro'!$A$4:$BG$78"}</definedName>
    <definedName name="YO_1_2" localSheetId="20" hidden="1">{"'Quadro'!$A$4:$BG$78"}</definedName>
    <definedName name="YO_1_2" hidden="1">{"'Quadro'!$A$4:$BG$78"}</definedName>
    <definedName name="YO_2" localSheetId="20" hidden="1">{"'Quadro'!$A$4:$BG$78"}</definedName>
    <definedName name="YO_2" hidden="1">{"'Quadro'!$A$4:$BG$78"}</definedName>
    <definedName name="yreyre">#REF!</definedName>
    <definedName name="YT" localSheetId="20" hidden="1">{#N/A,#N/A,FALSE,"RESUMO-BB1";#N/A,#N/A,FALSE,"MOD-A01-R - BB1";#N/A,#N/A,FALSE,"URB-BB1"}</definedName>
    <definedName name="YT" hidden="1">{#N/A,#N/A,FALSE,"RESUMO-BB1";#N/A,#N/A,FALSE,"MOD-A01-R - BB1";#N/A,#N/A,FALSE,"URB-BB1"}</definedName>
    <definedName name="ytr" localSheetId="20" hidden="1">{"'CptDifn'!$AA$32:$AG$32"}</definedName>
    <definedName name="ytr" hidden="1">{"'CptDifn'!$AA$32:$AG$32"}</definedName>
    <definedName name="ytr_1" localSheetId="20" hidden="1">{"'CptDifn'!$AA$32:$AG$32"}</definedName>
    <definedName name="ytr_1" hidden="1">{"'CptDifn'!$AA$32:$AG$32"}</definedName>
    <definedName name="ytr_1_1" localSheetId="20" hidden="1">{"'CptDifn'!$AA$32:$AG$32"}</definedName>
    <definedName name="ytr_1_1" hidden="1">{"'CptDifn'!$AA$32:$AG$32"}</definedName>
    <definedName name="ytr_1_1_1" localSheetId="20" hidden="1">{"'CptDifn'!$AA$32:$AG$32"}</definedName>
    <definedName name="ytr_1_1_1" hidden="1">{"'CptDifn'!$AA$32:$AG$32"}</definedName>
    <definedName name="ytr_1_2" localSheetId="20" hidden="1">{"'CptDifn'!$AA$32:$AG$32"}</definedName>
    <definedName name="ytr_1_2" hidden="1">{"'CptDifn'!$AA$32:$AG$32"}</definedName>
    <definedName name="ytr_2" localSheetId="20" hidden="1">{"'CptDifn'!$AA$32:$AG$32"}</definedName>
    <definedName name="ytr_2" hidden="1">{"'CptDifn'!$AA$32:$AG$32"}</definedName>
    <definedName name="yu" localSheetId="20" hidden="1">{"'CptDifn'!$AA$32:$AG$32"}</definedName>
    <definedName name="yu" hidden="1">{"'CptDifn'!$AA$32:$AG$32"}</definedName>
    <definedName name="yu_1" localSheetId="20" hidden="1">{"'CptDifn'!$AA$32:$AG$32"}</definedName>
    <definedName name="yu_1" hidden="1">{"'CptDifn'!$AA$32:$AG$32"}</definedName>
    <definedName name="yu_1_1" localSheetId="20" hidden="1">{"'CptDifn'!$AA$32:$AG$32"}</definedName>
    <definedName name="yu_1_1" hidden="1">{"'CptDifn'!$AA$32:$AG$32"}</definedName>
    <definedName name="yu_1_1_1" localSheetId="20" hidden="1">{"'CptDifn'!$AA$32:$AG$32"}</definedName>
    <definedName name="yu_1_1_1" hidden="1">{"'CptDifn'!$AA$32:$AG$32"}</definedName>
    <definedName name="yu_1_2" localSheetId="20" hidden="1">{"'CptDifn'!$AA$32:$AG$32"}</definedName>
    <definedName name="yu_1_2" hidden="1">{"'CptDifn'!$AA$32:$AG$32"}</definedName>
    <definedName name="yu_2" localSheetId="20" hidden="1">{"'CptDifn'!$AA$32:$AG$32"}</definedName>
    <definedName name="yu_2" hidden="1">{"'CptDifn'!$AA$32:$AG$32"}</definedName>
    <definedName name="YUI">#REF!</definedName>
    <definedName name="YUI_10">#REF!</definedName>
    <definedName name="YUI_12">#REF!</definedName>
    <definedName name="YUI_3">#REF!</definedName>
    <definedName name="YUI_9">#REF!</definedName>
    <definedName name="yurtyutr" localSheetId="20" hidden="1">{"'gráf jan00'!$A$1:$AK$41"}</definedName>
    <definedName name="yurtyutr" hidden="1">{"'gráf jan00'!$A$1:$AK$41"}</definedName>
    <definedName name="yurtyutr_1" localSheetId="20" hidden="1">{"'gráf jan00'!$A$1:$AK$41"}</definedName>
    <definedName name="yurtyutr_1" hidden="1">{"'gráf jan00'!$A$1:$AK$41"}</definedName>
    <definedName name="yurtyutr_1_1" localSheetId="20" hidden="1">{"'gráf jan00'!$A$1:$AK$41"}</definedName>
    <definedName name="yurtyutr_1_1" hidden="1">{"'gráf jan00'!$A$1:$AK$41"}</definedName>
    <definedName name="yurtyutr_1_1_1" localSheetId="20" hidden="1">{"'gráf jan00'!$A$1:$AK$41"}</definedName>
    <definedName name="yurtyutr_1_1_1" hidden="1">{"'gráf jan00'!$A$1:$AK$41"}</definedName>
    <definedName name="yurtyutr_1_2" localSheetId="20" hidden="1">{"'gráf jan00'!$A$1:$AK$41"}</definedName>
    <definedName name="yurtyutr_1_2" hidden="1">{"'gráf jan00'!$A$1:$AK$41"}</definedName>
    <definedName name="yurtyutr_2" localSheetId="20" hidden="1">{"'gráf jan00'!$A$1:$AK$41"}</definedName>
    <definedName name="yurtyutr_2" hidden="1">{"'gráf jan00'!$A$1:$AK$41"}</definedName>
    <definedName name="yutyui" localSheetId="20" hidden="1">{"'CptDifn'!$AA$32:$AG$32"}</definedName>
    <definedName name="yutyui" hidden="1">{"'CptDifn'!$AA$32:$AG$32"}</definedName>
    <definedName name="yutyui_1" localSheetId="20" hidden="1">{"'CptDifn'!$AA$32:$AG$32"}</definedName>
    <definedName name="yutyui_1" hidden="1">{"'CptDifn'!$AA$32:$AG$32"}</definedName>
    <definedName name="yutyui_1_1" localSheetId="20" hidden="1">{"'CptDifn'!$AA$32:$AG$32"}</definedName>
    <definedName name="yutyui_1_1" hidden="1">{"'CptDifn'!$AA$32:$AG$32"}</definedName>
    <definedName name="yutyui_1_1_1" localSheetId="20" hidden="1">{"'CptDifn'!$AA$32:$AG$32"}</definedName>
    <definedName name="yutyui_1_1_1" hidden="1">{"'CptDifn'!$AA$32:$AG$32"}</definedName>
    <definedName name="yutyui_1_2" localSheetId="20" hidden="1">{"'CptDifn'!$AA$32:$AG$32"}</definedName>
    <definedName name="yutyui_1_2" hidden="1">{"'CptDifn'!$AA$32:$AG$32"}</definedName>
    <definedName name="yutyui_2" localSheetId="20" hidden="1">{"'CptDifn'!$AA$32:$AG$32"}</definedName>
    <definedName name="yutyui_2" hidden="1">{"'CptDifn'!$AA$32:$AG$32"}</definedName>
    <definedName name="yuyuo" localSheetId="20" hidden="1">{"'CptDifn'!$AA$32:$AG$32"}</definedName>
    <definedName name="yuyuo" hidden="1">{"'CptDifn'!$AA$32:$AG$32"}</definedName>
    <definedName name="yuyuo_1" localSheetId="20" hidden="1">{"'CptDifn'!$AA$32:$AG$32"}</definedName>
    <definedName name="yuyuo_1" hidden="1">{"'CptDifn'!$AA$32:$AG$32"}</definedName>
    <definedName name="yuyuo_1_1" localSheetId="20" hidden="1">{"'CptDifn'!$AA$32:$AG$32"}</definedName>
    <definedName name="yuyuo_1_1" hidden="1">{"'CptDifn'!$AA$32:$AG$32"}</definedName>
    <definedName name="yuyuo_1_1_1" localSheetId="20" hidden="1">{"'CptDifn'!$AA$32:$AG$32"}</definedName>
    <definedName name="yuyuo_1_1_1" hidden="1">{"'CptDifn'!$AA$32:$AG$32"}</definedName>
    <definedName name="yuyuo_1_2" localSheetId="20" hidden="1">{"'CptDifn'!$AA$32:$AG$32"}</definedName>
    <definedName name="yuyuo_1_2" hidden="1">{"'CptDifn'!$AA$32:$AG$32"}</definedName>
    <definedName name="yuyuo_2" localSheetId="20" hidden="1">{"'CptDifn'!$AA$32:$AG$32"}</definedName>
    <definedName name="yuyuo_2" hidden="1">{"'CptDifn'!$AA$32:$AG$32"}</definedName>
    <definedName name="yy" localSheetId="20" hidden="1">{#N/A,#N/A,TRUE,"Serviços"}</definedName>
    <definedName name="yy" localSheetId="21">{#N/A,#N/A,TRUE,"Serviços"}</definedName>
    <definedName name="yy">{#N/A,#N/A,TRUE,"Serviços"}</definedName>
    <definedName name="yy_1" localSheetId="20">{#N/A,#N/A,TRUE,"Serviços"}</definedName>
    <definedName name="yy_1" localSheetId="21">{#N/A,#N/A,TRUE,"Serviços"}</definedName>
    <definedName name="yy_1">{#N/A,#N/A,TRUE,"Serviços"}</definedName>
    <definedName name="yyyy" localSheetId="20" hidden="1">{"'CptDifn'!$AA$32:$AG$32"}</definedName>
    <definedName name="yyyy" hidden="1">{"'CptDifn'!$AA$32:$AG$32"}</definedName>
    <definedName name="yyyy_1" localSheetId="20" hidden="1">{"'CptDifn'!$AA$32:$AG$32"}</definedName>
    <definedName name="yyyy_1" hidden="1">{"'CptDifn'!$AA$32:$AG$32"}</definedName>
    <definedName name="yyyy_1_1" localSheetId="20" hidden="1">{"'CptDifn'!$AA$32:$AG$32"}</definedName>
    <definedName name="yyyy_1_1" hidden="1">{"'CptDifn'!$AA$32:$AG$32"}</definedName>
    <definedName name="yyyy_1_1_1" localSheetId="20" hidden="1">{"'CptDifn'!$AA$32:$AG$32"}</definedName>
    <definedName name="yyyy_1_1_1" hidden="1">{"'CptDifn'!$AA$32:$AG$32"}</definedName>
    <definedName name="yyyy_1_2" localSheetId="20" hidden="1">{"'CptDifn'!$AA$32:$AG$32"}</definedName>
    <definedName name="yyyy_1_2" hidden="1">{"'CptDifn'!$AA$32:$AG$32"}</definedName>
    <definedName name="yyyy_2" localSheetId="20" hidden="1">{"'CptDifn'!$AA$32:$AG$32"}</definedName>
    <definedName name="yyyy_2" hidden="1">{"'CptDifn'!$AA$32:$AG$32"}</definedName>
    <definedName name="yyyyyy" localSheetId="20" hidden="1">{"'CptDifn'!$AA$32:$AG$32"}</definedName>
    <definedName name="yyyyyy" hidden="1">{"'CptDifn'!$AA$32:$AG$32"}</definedName>
    <definedName name="yyyyyy_1" localSheetId="20" hidden="1">{"'CptDifn'!$AA$32:$AG$32"}</definedName>
    <definedName name="yyyyyy_1" hidden="1">{"'CptDifn'!$AA$32:$AG$32"}</definedName>
    <definedName name="yyyyyy_1_1" localSheetId="20" hidden="1">{"'CptDifn'!$AA$32:$AG$32"}</definedName>
    <definedName name="yyyyyy_1_1" hidden="1">{"'CptDifn'!$AA$32:$AG$32"}</definedName>
    <definedName name="yyyyyy_1_1_1" localSheetId="20" hidden="1">{"'CptDifn'!$AA$32:$AG$32"}</definedName>
    <definedName name="yyyyyy_1_1_1" hidden="1">{"'CptDifn'!$AA$32:$AG$32"}</definedName>
    <definedName name="yyyyyy_1_2" localSheetId="20" hidden="1">{"'CptDifn'!$AA$32:$AG$32"}</definedName>
    <definedName name="yyyyyy_1_2" hidden="1">{"'CptDifn'!$AA$32:$AG$32"}</definedName>
    <definedName name="yyyyyy_2" localSheetId="20" hidden="1">{"'CptDifn'!$AA$32:$AG$32"}</definedName>
    <definedName name="yyyyyy_2" hidden="1">{"'CptDifn'!$AA$32:$AG$32"}</definedName>
    <definedName name="z" localSheetId="20" hidden="1">{#N/A,#N/A,FALSE,"MO (2)"}</definedName>
    <definedName name="Z" localSheetId="21">#N/A</definedName>
    <definedName name="Z">#N/A</definedName>
    <definedName name="Z_00522606_ED06_11D8_93C6_00A0248BD7D0_.wvu.Cols" hidden="1">#REF!</definedName>
    <definedName name="Z_00522606_ED06_11D8_93C6_00A0248BD7D0_.wvu.PrintArea" hidden="1">#REF!</definedName>
    <definedName name="Z_00522606_ED06_11D8_93C6_00A0248BD7D0_.wvu.Rows" hidden="1">#REF!,#REF!,#REF!,#REF!,#REF!,#REF!,#REF!,#REF!,#REF!,#REF!,#REF!,#REF!,#REF!,#REF!,#REF!,#REF!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9F1F36E_B8A3_491C_89C9_D00232BEB8F7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localSheetId="20" hidden="1">{#N/A,#N/A,FALSE,"MO (2)"}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6D92FF_DFCA_47DC_9CF6_0D07F916365B_.wvu.Cols" hidden="1">#REF!,#REF!,#REF!,#REF!</definedName>
    <definedName name="Z_146D92FF_DFCA_47DC_9CF6_0D07F916365B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4280AB_6F29_4C38_B953_40E78BD846F8_.wvu.Cols" hidden="1">#REF!,#REF!,#REF!</definedName>
    <definedName name="Z_204280AB_6F29_4C38_B953_40E78BD846F8_.wvu.FilterData" hidden="1">#REF!</definedName>
    <definedName name="Z_204280AB_6F29_4C38_B953_40E78BD846F8_.wvu.PrintArea" hidden="1">#REF!</definedName>
    <definedName name="Z_204280AB_6F29_4C38_B953_40E78BD846F8_.wvu.PrintTitles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B5320B8_08D6_11D6_961F_004033E113A7_.wvu.Cols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0ACAE61_1F25_11D3_B062_00104BC637D4_.wvu.Cols" hidden="1">#REF!</definedName>
    <definedName name="Z_70ACAE61_1F25_11D3_B062_00104BC637D4_.wvu.PrintArea" hidden="1">#REF!</definedName>
    <definedName name="Z_70ACAE61_1F25_11D3_B062_00104BC637D4_.wvu.PrintTitles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99FF90A_59EC_11D7_9495_0002B31BFBD5_.wvu.Cols" hidden="1">#REF!,#REF!</definedName>
    <definedName name="Z_799FF90A_59EC_11D7_9495_0002B31BFBD5_.wvu.Rows" hidden="1">#REF!,#REF!,#REF!,#REF!,#REF!,#REF!,#REF!,#REF!,#REF!,#REF!,#REF!,#REF!</definedName>
    <definedName name="Z_7AE3F8A6_7282_4640_BAE6_7D5F8B45608B_.wvu.Cols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B24FFA_B8EE_11D6_9DF9_0004AC9599ED_.wvu.PrintAre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DD835B5_A9EB_4AAA_B94F_A44AC86A69C0_.wvu.PrintArea" hidden="1">#REF!</definedName>
    <definedName name="Z_8DD835B5_A9EB_4AAA_B94F_A44AC86A69C0_.wvu.PrintTitles" hidden="1">#REF!</definedName>
    <definedName name="Z_8DD835B5_A9EB_4AAA_B94F_A44AC86A69C0_.wvu.Rows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DB4B167_E3AA_11D7_8D7A_00B0D08F20DC_.wvu.PrintAre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24C1EE5_98CF_11D6_A72B_08005AA614B9_.wvu.PrintAre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EF7ECF05_99AF_11D6_8A55_0004AC55CD8B_.wvu.PrintAre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 localSheetId="20">' 6.0 - Empréstimos '!ZA</definedName>
    <definedName name="ZA" localSheetId="21">#REF!</definedName>
    <definedName name="ZA">'[9]P A T O 99 B'!#REF!</definedName>
    <definedName name="ZAA">#REF!</definedName>
    <definedName name="zaza" localSheetId="20" hidden="1">{#N/A,#N/A,FALSE,"MO (2)"}</definedName>
    <definedName name="zaza" hidden="1">{#N/A,#N/A,FALSE,"MO (2)"}</definedName>
    <definedName name="zaza_1" localSheetId="20" hidden="1">{#N/A,#N/A,FALSE,"MO (2)"}</definedName>
    <definedName name="zaza_1" hidden="1">{#N/A,#N/A,FALSE,"MO (2)"}</definedName>
    <definedName name="zb" localSheetId="20" hidden="1">{"'CptDifn'!$AA$32:$AG$32"}</definedName>
    <definedName name="zb" hidden="1">{"'CptDifn'!$AA$32:$AG$32"}</definedName>
    <definedName name="zb_1" localSheetId="20" hidden="1">{"'CptDifn'!$AA$32:$AG$32"}</definedName>
    <definedName name="zb_1" hidden="1">{"'CptDifn'!$AA$32:$AG$32"}</definedName>
    <definedName name="zb_1_1" localSheetId="20" hidden="1">{"'CptDifn'!$AA$32:$AG$32"}</definedName>
    <definedName name="zb_1_1" hidden="1">{"'CptDifn'!$AA$32:$AG$32"}</definedName>
    <definedName name="zb_1_1_1" localSheetId="20" hidden="1">{"'CptDifn'!$AA$32:$AG$32"}</definedName>
    <definedName name="zb_1_1_1" hidden="1">{"'CptDifn'!$AA$32:$AG$32"}</definedName>
    <definedName name="zb_1_2" localSheetId="20" hidden="1">{"'CptDifn'!$AA$32:$AG$32"}</definedName>
    <definedName name="zb_1_2" hidden="1">{"'CptDifn'!$AA$32:$AG$32"}</definedName>
    <definedName name="zb_2" localSheetId="20" hidden="1">{"'CptDifn'!$AA$32:$AG$32"}</definedName>
    <definedName name="zb_2" hidden="1">{"'CptDifn'!$AA$32:$AG$32"}</definedName>
    <definedName name="zca">#N/A</definedName>
    <definedName name="ZDA\DS" localSheetId="20" hidden="1">{"'gráf jan00'!$A$1:$AK$41"}</definedName>
    <definedName name="ZDA\DS" hidden="1">{"'gráf jan00'!$A$1:$AK$41"}</definedName>
    <definedName name="ZDA\DS_1" localSheetId="20" hidden="1">{"'gráf jan00'!$A$1:$AK$41"}</definedName>
    <definedName name="ZDA\DS_1" hidden="1">{"'gráf jan00'!$A$1:$AK$41"}</definedName>
    <definedName name="ZDA\DS_1_1" localSheetId="20" hidden="1">{"'gráf jan00'!$A$1:$AK$41"}</definedName>
    <definedName name="ZDA\DS_1_1" hidden="1">{"'gráf jan00'!$A$1:$AK$41"}</definedName>
    <definedName name="ZDA\DS_1_1_1" localSheetId="20" hidden="1">{"'gráf jan00'!$A$1:$AK$41"}</definedName>
    <definedName name="ZDA\DS_1_1_1" hidden="1">{"'gráf jan00'!$A$1:$AK$41"}</definedName>
    <definedName name="ZDA\DS_1_2" localSheetId="20" hidden="1">{"'gráf jan00'!$A$1:$AK$41"}</definedName>
    <definedName name="ZDA\DS_1_2" hidden="1">{"'gráf jan00'!$A$1:$AK$41"}</definedName>
    <definedName name="ZDA\DS_2" localSheetId="20" hidden="1">{"'gráf jan00'!$A$1:$AK$41"}</definedName>
    <definedName name="ZDA\DS_2" hidden="1">{"'gráf jan00'!$A$1:$AK$41"}</definedName>
    <definedName name="zeljka" localSheetId="20" hidden="1">{"det (May)",#N/A,FALSE,"June";"sum (MAY YTD)",#N/A,FALSE,"June YTD"}</definedName>
    <definedName name="zeljka" hidden="1">{"det (May)",#N/A,FALSE,"June";"sum (MAY YTD)",#N/A,FALSE,"June YTD"}</definedName>
    <definedName name="zeljka_1" localSheetId="20" hidden="1">{"det (May)",#N/A,FALSE,"June";"sum (MAY YTD)",#N/A,FALSE,"June YTD"}</definedName>
    <definedName name="zeljka_1" hidden="1">{"det (May)",#N/A,FALSE,"June";"sum (MAY YTD)",#N/A,FALSE,"June YTD"}</definedName>
    <definedName name="zeljka_1_1" localSheetId="20" hidden="1">{"det (May)",#N/A,FALSE,"June";"sum (MAY YTD)",#N/A,FALSE,"June YTD"}</definedName>
    <definedName name="zeljka_1_1" hidden="1">{"det (May)",#N/A,FALSE,"June";"sum (MAY YTD)",#N/A,FALSE,"June YTD"}</definedName>
    <definedName name="zeljka_1_1_1" localSheetId="20" hidden="1">{"det (May)",#N/A,FALSE,"June";"sum (MAY YTD)",#N/A,FALSE,"June YTD"}</definedName>
    <definedName name="zeljka_1_1_1" hidden="1">{"det (May)",#N/A,FALSE,"June";"sum (MAY YTD)",#N/A,FALSE,"June YTD"}</definedName>
    <definedName name="zeljka_1_2" localSheetId="20" hidden="1">{"det (May)",#N/A,FALSE,"June";"sum (MAY YTD)",#N/A,FALSE,"June YTD"}</definedName>
    <definedName name="zeljka_1_2" hidden="1">{"det (May)",#N/A,FALSE,"June";"sum (MAY YTD)",#N/A,FALSE,"June YTD"}</definedName>
    <definedName name="zeljka_2" localSheetId="20" hidden="1">{"det (May)",#N/A,FALSE,"June";"sum (MAY YTD)",#N/A,FALSE,"June YTD"}</definedName>
    <definedName name="zeljka_2" hidden="1">{"det (May)",#N/A,FALSE,"June";"sum (MAY YTD)",#N/A,FALSE,"June YTD"}</definedName>
    <definedName name="zeljka1" localSheetId="20" hidden="1">{"det (May)",#N/A,FALSE,"June";"sum (MAY YTD)",#N/A,FALSE,"June YTD"}</definedName>
    <definedName name="zeljka1" hidden="1">{"det (May)",#N/A,FALSE,"June";"sum (MAY YTD)",#N/A,FALSE,"June YTD"}</definedName>
    <definedName name="zeljka1_1" localSheetId="20" hidden="1">{"det (May)",#N/A,FALSE,"June";"sum (MAY YTD)",#N/A,FALSE,"June YTD"}</definedName>
    <definedName name="zeljka1_1" hidden="1">{"det (May)",#N/A,FALSE,"June";"sum (MAY YTD)",#N/A,FALSE,"June YTD"}</definedName>
    <definedName name="zeljka1_1_1" localSheetId="20" hidden="1">{"det (May)",#N/A,FALSE,"June";"sum (MAY YTD)",#N/A,FALSE,"June YTD"}</definedName>
    <definedName name="zeljka1_1_1" hidden="1">{"det (May)",#N/A,FALSE,"June";"sum (MAY YTD)",#N/A,FALSE,"June YTD"}</definedName>
    <definedName name="zeljka1_1_1_1" localSheetId="20" hidden="1">{"det (May)",#N/A,FALSE,"June";"sum (MAY YTD)",#N/A,FALSE,"June YTD"}</definedName>
    <definedName name="zeljka1_1_1_1" hidden="1">{"det (May)",#N/A,FALSE,"June";"sum (MAY YTD)",#N/A,FALSE,"June YTD"}</definedName>
    <definedName name="zeljka1_1_2" localSheetId="20" hidden="1">{"det (May)",#N/A,FALSE,"June";"sum (MAY YTD)",#N/A,FALSE,"June YTD"}</definedName>
    <definedName name="zeljka1_1_2" hidden="1">{"det (May)",#N/A,FALSE,"June";"sum (MAY YTD)",#N/A,FALSE,"June YTD"}</definedName>
    <definedName name="zeljka1_2" localSheetId="20" hidden="1">{"det (May)",#N/A,FALSE,"June";"sum (MAY YTD)",#N/A,FALSE,"June YTD"}</definedName>
    <definedName name="zeljka1_2" hidden="1">{"det (May)",#N/A,FALSE,"June";"sum (MAY YTD)",#N/A,FALSE,"June YTD"}</definedName>
    <definedName name="zeljka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_1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2" localSheetId="20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3" localSheetId="20" hidden="1">{"det (May)",#N/A,FALSE,"June";"sum (MAY YTD)",#N/A,FALSE,"June YTD"}</definedName>
    <definedName name="zeljka3" hidden="1">{"det (May)",#N/A,FALSE,"June";"sum (MAY YTD)",#N/A,FALSE,"June YTD"}</definedName>
    <definedName name="zeljka3_1" localSheetId="20" hidden="1">{"det (May)",#N/A,FALSE,"June";"sum (MAY YTD)",#N/A,FALSE,"June YTD"}</definedName>
    <definedName name="zeljka3_1" hidden="1">{"det (May)",#N/A,FALSE,"June";"sum (MAY YTD)",#N/A,FALSE,"June YTD"}</definedName>
    <definedName name="zeljka3_1_1" localSheetId="20" hidden="1">{"det (May)",#N/A,FALSE,"June";"sum (MAY YTD)",#N/A,FALSE,"June YTD"}</definedName>
    <definedName name="zeljka3_1_1" hidden="1">{"det (May)",#N/A,FALSE,"June";"sum (MAY YTD)",#N/A,FALSE,"June YTD"}</definedName>
    <definedName name="zeljka3_1_1_1" localSheetId="20" hidden="1">{"det (May)",#N/A,FALSE,"June";"sum (MAY YTD)",#N/A,FALSE,"June YTD"}</definedName>
    <definedName name="zeljka3_1_1_1" hidden="1">{"det (May)",#N/A,FALSE,"June";"sum (MAY YTD)",#N/A,FALSE,"June YTD"}</definedName>
    <definedName name="zeljka3_1_2" localSheetId="20" hidden="1">{"det (May)",#N/A,FALSE,"June";"sum (MAY YTD)",#N/A,FALSE,"June YTD"}</definedName>
    <definedName name="zeljka3_1_2" hidden="1">{"det (May)",#N/A,FALSE,"June";"sum (MAY YTD)",#N/A,FALSE,"June YTD"}</definedName>
    <definedName name="zeljka3_2" localSheetId="20" hidden="1">{"det (May)",#N/A,FALSE,"June";"sum (MAY YTD)",#N/A,FALSE,"June YTD"}</definedName>
    <definedName name="zeljka3_2" hidden="1">{"det (May)",#N/A,FALSE,"June";"sum (MAY YTD)",#N/A,FALSE,"June YTD"}</definedName>
    <definedName name="ZERF" localSheetId="20" hidden="1">{#N/A,#N/A,FALSE,"BETER -1";#N/A,#N/A,FALSE,"BETER -2";#N/A,#N/A,FALSE,"BETER -3";#N/A,#N/A,FALSE,"BETER -urb";#N/A,#N/A,FALSE,"BETER -RESUMO"}</definedName>
    <definedName name="ZERF" hidden="1">{#N/A,#N/A,FALSE,"BETER -1";#N/A,#N/A,FALSE,"BETER -2";#N/A,#N/A,FALSE,"BETER -3";#N/A,#N/A,FALSE,"BETER -urb";#N/A,#N/A,FALSE,"BETER -RESUMO"}</definedName>
    <definedName name="zfr" localSheetId="20" hidden="1">{0,0,0,0;0,0,0,0}</definedName>
    <definedName name="zfr" hidden="1">{0,0,0,0;0,0,0,0}</definedName>
    <definedName name="zgfd" localSheetId="20" hidden="1">{"'gráf jan00'!$A$1:$AK$41"}</definedName>
    <definedName name="zgfd" hidden="1">{"'gráf jan00'!$A$1:$AK$41"}</definedName>
    <definedName name="zgfd_1" localSheetId="20" hidden="1">{"'gráf jan00'!$A$1:$AK$41"}</definedName>
    <definedName name="zgfd_1" hidden="1">{"'gráf jan00'!$A$1:$AK$41"}</definedName>
    <definedName name="zgfd_1_1" localSheetId="20" hidden="1">{"'gráf jan00'!$A$1:$AK$41"}</definedName>
    <definedName name="zgfd_1_1" hidden="1">{"'gráf jan00'!$A$1:$AK$41"}</definedName>
    <definedName name="zgfd_1_1_1" localSheetId="20" hidden="1">{"'gráf jan00'!$A$1:$AK$41"}</definedName>
    <definedName name="zgfd_1_1_1" hidden="1">{"'gráf jan00'!$A$1:$AK$41"}</definedName>
    <definedName name="zgfd_1_2" localSheetId="20" hidden="1">{"'gráf jan00'!$A$1:$AK$41"}</definedName>
    <definedName name="zgfd_1_2" hidden="1">{"'gráf jan00'!$A$1:$AK$41"}</definedName>
    <definedName name="zgfd_2" localSheetId="20" hidden="1">{"'gráf jan00'!$A$1:$AK$41"}</definedName>
    <definedName name="zgfd_2" hidden="1">{"'gráf jan00'!$A$1:$AK$41"}</definedName>
    <definedName name="ZONASUL">'[168]CUSTO ZONA SUL'!$A$3:$N$21</definedName>
    <definedName name="ZVZ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x" localSheetId="20" hidden="1">{"Pèrdues i Guanys analític.Català",#N/A,FALSE,"Català";"Pèrdues i G. analític.castellà",#N/A,FALSE,"Castellà"}</definedName>
    <definedName name="zx" hidden="1">{"Pèrdues i Guanys analític.Català",#N/A,FALSE,"Català";"Pèrdues i G. analític.castellà",#N/A,FALSE,"Castellà"}</definedName>
    <definedName name="zx_1" localSheetId="20" hidden="1">{"'CptDifn'!$AA$32:$AG$32"}</definedName>
    <definedName name="zx_1" hidden="1">{"'CptDifn'!$AA$32:$AG$32"}</definedName>
    <definedName name="zx_1_1" localSheetId="20" hidden="1">{"'CptDifn'!$AA$32:$AG$32"}</definedName>
    <definedName name="zx_1_1" hidden="1">{"'CptDifn'!$AA$32:$AG$32"}</definedName>
    <definedName name="zx_1_1_1" localSheetId="20" hidden="1">{"'CptDifn'!$AA$32:$AG$32"}</definedName>
    <definedName name="zx_1_1_1" hidden="1">{"'CptDifn'!$AA$32:$AG$32"}</definedName>
    <definedName name="zx_1_2" localSheetId="20" hidden="1">{"'CptDifn'!$AA$32:$AG$32"}</definedName>
    <definedName name="zx_1_2" hidden="1">{"'CptDifn'!$AA$32:$AG$32"}</definedName>
    <definedName name="zx_2" localSheetId="20" hidden="1">{"'CptDifn'!$AA$32:$AG$32"}</definedName>
    <definedName name="zx_2" hidden="1">{"'CptDifn'!$AA$32:$AG$32"}</definedName>
    <definedName name="ZZ">#NAME?</definedName>
    <definedName name="ZZ_1">#REF!</definedName>
    <definedName name="zzv" localSheetId="20" hidden="1">{"'CptDifn'!$AA$32:$AG$32"}</definedName>
    <definedName name="zzv" hidden="1">{"'CptDifn'!$AA$32:$AG$32"}</definedName>
    <definedName name="zzv_1" localSheetId="20" hidden="1">{"'CptDifn'!$AA$32:$AG$32"}</definedName>
    <definedName name="zzv_1" hidden="1">{"'CptDifn'!$AA$32:$AG$32"}</definedName>
    <definedName name="zzv_1_1" localSheetId="20" hidden="1">{"'CptDifn'!$AA$32:$AG$32"}</definedName>
    <definedName name="zzv_1_1" hidden="1">{"'CptDifn'!$AA$32:$AG$32"}</definedName>
    <definedName name="zzv_1_1_1" localSheetId="20" hidden="1">{"'CptDifn'!$AA$32:$AG$32"}</definedName>
    <definedName name="zzv_1_1_1" hidden="1">{"'CptDifn'!$AA$32:$AG$32"}</definedName>
    <definedName name="zzv_1_2" localSheetId="20" hidden="1">{"'CptDifn'!$AA$32:$AG$32"}</definedName>
    <definedName name="zzv_1_2" hidden="1">{"'CptDifn'!$AA$32:$AG$32"}</definedName>
    <definedName name="zzv_2" localSheetId="20" hidden="1">{"'CptDifn'!$AA$32:$AG$32"}</definedName>
    <definedName name="zzv_2" hidden="1">{"'CptDifn'!$AA$32:$AG$32"}</definedName>
    <definedName name="zzz">#REF!</definedName>
    <definedName name="ZZZ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_1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2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" localSheetId="20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Z" localSheetId="21">#REF!</definedName>
    <definedName name="ZZZZZ">#REF!</definedName>
    <definedName name="zzzzzzzc" localSheetId="20" hidden="1">{"'CptDifn'!$AA$32:$AG$32"}</definedName>
    <definedName name="zzzzzzzc" hidden="1">{"'CptDifn'!$AA$32:$AG$32"}</definedName>
    <definedName name="zzzzzzzc_1" localSheetId="20" hidden="1">{"'CptDifn'!$AA$32:$AG$32"}</definedName>
    <definedName name="zzzzzzzc_1" hidden="1">{"'CptDifn'!$AA$32:$AG$32"}</definedName>
    <definedName name="zzzzzzzc_1_1" localSheetId="20" hidden="1">{"'CptDifn'!$AA$32:$AG$32"}</definedName>
    <definedName name="zzzzzzzc_1_1" hidden="1">{"'CptDifn'!$AA$32:$AG$32"}</definedName>
    <definedName name="zzzzzzzc_1_1_1" localSheetId="20" hidden="1">{"'CptDifn'!$AA$32:$AG$32"}</definedName>
    <definedName name="zzzzzzzc_1_1_1" hidden="1">{"'CptDifn'!$AA$32:$AG$32"}</definedName>
    <definedName name="zzzzzzzc_1_2" localSheetId="20" hidden="1">{"'CptDifn'!$AA$32:$AG$32"}</definedName>
    <definedName name="zzzzzzzc_1_2" hidden="1">{"'CptDifn'!$AA$32:$AG$32"}</definedName>
    <definedName name="zzzzzzzc_2" localSheetId="20" hidden="1">{"'CptDifn'!$AA$32:$AG$32"}</definedName>
    <definedName name="zzzzzzzc_2" hidden="1">{"'CptDifn'!$AA$32:$AG$32"}</definedName>
    <definedName name="zzzzzzzz" localSheetId="0">[230]!PassaExtenso</definedName>
    <definedName name="zzzzzzzz" localSheetId="30">[230]!PassaExtenso</definedName>
    <definedName name="zzzzzzzz">[230]!PassaExtenso</definedName>
    <definedName name="zzzzzzzzzzz" localSheetId="20" hidden="1">{"'Quadro'!$A$4:$BG$78"}</definedName>
    <definedName name="zzzzzzzzzzz" hidden="1">{"'Quadro'!$A$4:$BG$78"}</definedName>
    <definedName name="zzzzzzzzzzz_1" localSheetId="20" hidden="1">{"'Quadro'!$A$4:$BG$78"}</definedName>
    <definedName name="zzzzzzzzzzz_1" hidden="1">{"'Quadro'!$A$4:$BG$78"}</definedName>
    <definedName name="zzzzzzzzzzz_1_1" localSheetId="20" hidden="1">{"'Quadro'!$A$4:$BG$78"}</definedName>
    <definedName name="zzzzzzzzzzz_1_1" hidden="1">{"'Quadro'!$A$4:$BG$78"}</definedName>
    <definedName name="zzzzzzzzzzz_1_1_1" localSheetId="20" hidden="1">{"'Quadro'!$A$4:$BG$78"}</definedName>
    <definedName name="zzzzzzzzzzz_1_1_1" hidden="1">{"'Quadro'!$A$4:$BG$78"}</definedName>
    <definedName name="zzzzzzzzzzz_1_2" localSheetId="20" hidden="1">{"'Quadro'!$A$4:$BG$78"}</definedName>
    <definedName name="zzzzzzzzzzz_1_2" hidden="1">{"'Quadro'!$A$4:$BG$78"}</definedName>
    <definedName name="zzzzzzzzzzz_2" localSheetId="20" hidden="1">{"'Quadro'!$A$4:$BG$78"}</definedName>
    <definedName name="zzzzzzzzzzz_2" hidden="1">{"'Quadro'!$A$4:$BG$78"}</definedName>
    <definedName name="ㄱㄱㄱㄱ" localSheetId="2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ㄱㄱㄱ_1" localSheetId="20" hidden="1">{#N/A,#N/A,FALSE,"지침";#N/A,#N/A,FALSE,"환경분석";#N/A,#N/A,FALSE,"Sheet16"}</definedName>
    <definedName name="ㄱㄱㄱㄱ_1" hidden="1">{#N/A,#N/A,FALSE,"지침";#N/A,#N/A,FALSE,"환경분석";#N/A,#N/A,FALSE,"Sheet16"}</definedName>
    <definedName name="ㄱㄱㄱㄱ_1_1" localSheetId="20" hidden="1">{#N/A,#N/A,FALSE,"지침";#N/A,#N/A,FALSE,"환경분석";#N/A,#N/A,FALSE,"Sheet16"}</definedName>
    <definedName name="ㄱㄱㄱㄱ_1_1" hidden="1">{#N/A,#N/A,FALSE,"지침";#N/A,#N/A,FALSE,"환경분석";#N/A,#N/A,FALSE,"Sheet16"}</definedName>
    <definedName name="ㄱㄱㄱㄱ_1_1_1" localSheetId="20" hidden="1">{#N/A,#N/A,FALSE,"지침";#N/A,#N/A,FALSE,"환경분석";#N/A,#N/A,FALSE,"Sheet16"}</definedName>
    <definedName name="ㄱㄱㄱㄱ_1_1_1" hidden="1">{#N/A,#N/A,FALSE,"지침";#N/A,#N/A,FALSE,"환경분석";#N/A,#N/A,FALSE,"Sheet16"}</definedName>
    <definedName name="ㄱㄱㄱㄱ_1_2" localSheetId="20" hidden="1">{#N/A,#N/A,FALSE,"지침";#N/A,#N/A,FALSE,"환경분석";#N/A,#N/A,FALSE,"Sheet16"}</definedName>
    <definedName name="ㄱㄱㄱㄱ_1_2" hidden="1">{#N/A,#N/A,FALSE,"지침";#N/A,#N/A,FALSE,"환경분석";#N/A,#N/A,FALSE,"Sheet16"}</definedName>
    <definedName name="ㄱㄱㄱㄱ_2" localSheetId="20" hidden="1">{#N/A,#N/A,FALSE,"지침";#N/A,#N/A,FALSE,"환경분석";#N/A,#N/A,FALSE,"Sheet16"}</definedName>
    <definedName name="ㄱㄱㄱㄱ_2" hidden="1">{#N/A,#N/A,FALSE,"지침";#N/A,#N/A,FALSE,"환경분석";#N/A,#N/A,FALSE,"Sheet16"}</definedName>
    <definedName name="가나" localSheetId="20" hidden="1">{#N/A,#N/A,FALSE,"지침";#N/A,#N/A,FALSE,"환경분석";#N/A,#N/A,FALSE,"Sheet16"}</definedName>
    <definedName name="가나" hidden="1">{#N/A,#N/A,FALSE,"지침";#N/A,#N/A,FALSE,"환경분석";#N/A,#N/A,FALSE,"Sheet16"}</definedName>
    <definedName name="가나_1" localSheetId="20" hidden="1">{#N/A,#N/A,FALSE,"지침";#N/A,#N/A,FALSE,"환경분석";#N/A,#N/A,FALSE,"Sheet16"}</definedName>
    <definedName name="가나_1" hidden="1">{#N/A,#N/A,FALSE,"지침";#N/A,#N/A,FALSE,"환경분석";#N/A,#N/A,FALSE,"Sheet16"}</definedName>
    <definedName name="가나_1_1" localSheetId="20" hidden="1">{#N/A,#N/A,FALSE,"지침";#N/A,#N/A,FALSE,"환경분석";#N/A,#N/A,FALSE,"Sheet16"}</definedName>
    <definedName name="가나_1_1" hidden="1">{#N/A,#N/A,FALSE,"지침";#N/A,#N/A,FALSE,"환경분석";#N/A,#N/A,FALSE,"Sheet16"}</definedName>
    <definedName name="가나_1_1_1" localSheetId="20" hidden="1">{#N/A,#N/A,FALSE,"지침";#N/A,#N/A,FALSE,"환경분석";#N/A,#N/A,FALSE,"Sheet16"}</definedName>
    <definedName name="가나_1_1_1" hidden="1">{#N/A,#N/A,FALSE,"지침";#N/A,#N/A,FALSE,"환경분석";#N/A,#N/A,FALSE,"Sheet16"}</definedName>
    <definedName name="가나_1_2" localSheetId="20" hidden="1">{#N/A,#N/A,FALSE,"지침";#N/A,#N/A,FALSE,"환경분석";#N/A,#N/A,FALSE,"Sheet16"}</definedName>
    <definedName name="가나_1_2" hidden="1">{#N/A,#N/A,FALSE,"지침";#N/A,#N/A,FALSE,"환경분석";#N/A,#N/A,FALSE,"Sheet16"}</definedName>
    <definedName name="가나_2" localSheetId="20" hidden="1">{#N/A,#N/A,FALSE,"지침";#N/A,#N/A,FALSE,"환경분석";#N/A,#N/A,FALSE,"Sheet16"}</definedName>
    <definedName name="가나_2" hidden="1">{#N/A,#N/A,FALSE,"지침";#N/A,#N/A,FALSE,"환경분석";#N/A,#N/A,FALSE,"Sheet16"}</definedName>
    <definedName name="경제성" localSheetId="20" hidden="1">{#N/A,#N/A,FALSE,"지침";#N/A,#N/A,FALSE,"환경분석";#N/A,#N/A,FALSE,"Sheet16"}</definedName>
    <definedName name="경제성" hidden="1">{#N/A,#N/A,FALSE,"지침";#N/A,#N/A,FALSE,"환경분석";#N/A,#N/A,FALSE,"Sheet16"}</definedName>
    <definedName name="경제성_1" localSheetId="20" hidden="1">{#N/A,#N/A,FALSE,"지침";#N/A,#N/A,FALSE,"환경분석";#N/A,#N/A,FALSE,"Sheet16"}</definedName>
    <definedName name="경제성_1" hidden="1">{#N/A,#N/A,FALSE,"지침";#N/A,#N/A,FALSE,"환경분석";#N/A,#N/A,FALSE,"Sheet16"}</definedName>
    <definedName name="경제성_1_1" localSheetId="20" hidden="1">{#N/A,#N/A,FALSE,"지침";#N/A,#N/A,FALSE,"환경분석";#N/A,#N/A,FALSE,"Sheet16"}</definedName>
    <definedName name="경제성_1_1" hidden="1">{#N/A,#N/A,FALSE,"지침";#N/A,#N/A,FALSE,"환경분석";#N/A,#N/A,FALSE,"Sheet16"}</definedName>
    <definedName name="경제성_1_1_1" localSheetId="20" hidden="1">{#N/A,#N/A,FALSE,"지침";#N/A,#N/A,FALSE,"환경분석";#N/A,#N/A,FALSE,"Sheet16"}</definedName>
    <definedName name="경제성_1_1_1" hidden="1">{#N/A,#N/A,FALSE,"지침";#N/A,#N/A,FALSE,"환경분석";#N/A,#N/A,FALSE,"Sheet16"}</definedName>
    <definedName name="경제성_1_2" localSheetId="20" hidden="1">{#N/A,#N/A,FALSE,"지침";#N/A,#N/A,FALSE,"환경분석";#N/A,#N/A,FALSE,"Sheet16"}</definedName>
    <definedName name="경제성_1_2" hidden="1">{#N/A,#N/A,FALSE,"지침";#N/A,#N/A,FALSE,"환경분석";#N/A,#N/A,FALSE,"Sheet16"}</definedName>
    <definedName name="경제성_2" localSheetId="20" hidden="1">{#N/A,#N/A,FALSE,"지침";#N/A,#N/A,FALSE,"환경분석";#N/A,#N/A,FALSE,"Sheet16"}</definedName>
    <definedName name="경제성_2" hidden="1">{#N/A,#N/A,FALSE,"지침";#N/A,#N/A,FALSE,"환경분석";#N/A,#N/A,FALSE,"Sheet16"}</definedName>
    <definedName name="광" localSheetId="20" hidden="1">{#N/A,#N/A,FALSE,"지침";#N/A,#N/A,FALSE,"환경분석";#N/A,#N/A,FALSE,"Sheet16"}</definedName>
    <definedName name="광" hidden="1">{#N/A,#N/A,FALSE,"지침";#N/A,#N/A,FALSE,"환경분석";#N/A,#N/A,FALSE,"Sheet16"}</definedName>
    <definedName name="광_1" localSheetId="20" hidden="1">{#N/A,#N/A,FALSE,"지침";#N/A,#N/A,FALSE,"환경분석";#N/A,#N/A,FALSE,"Sheet16"}</definedName>
    <definedName name="광_1" hidden="1">{#N/A,#N/A,FALSE,"지침";#N/A,#N/A,FALSE,"환경분석";#N/A,#N/A,FALSE,"Sheet16"}</definedName>
    <definedName name="광_1_1" localSheetId="20" hidden="1">{#N/A,#N/A,FALSE,"지침";#N/A,#N/A,FALSE,"환경분석";#N/A,#N/A,FALSE,"Sheet16"}</definedName>
    <definedName name="광_1_1" hidden="1">{#N/A,#N/A,FALSE,"지침";#N/A,#N/A,FALSE,"환경분석";#N/A,#N/A,FALSE,"Sheet16"}</definedName>
    <definedName name="광_1_1_1" localSheetId="20" hidden="1">{#N/A,#N/A,FALSE,"지침";#N/A,#N/A,FALSE,"환경분석";#N/A,#N/A,FALSE,"Sheet16"}</definedName>
    <definedName name="광_1_1_1" hidden="1">{#N/A,#N/A,FALSE,"지침";#N/A,#N/A,FALSE,"환경분석";#N/A,#N/A,FALSE,"Sheet16"}</definedName>
    <definedName name="광_1_2" localSheetId="20" hidden="1">{#N/A,#N/A,FALSE,"지침";#N/A,#N/A,FALSE,"환경분석";#N/A,#N/A,FALSE,"Sheet16"}</definedName>
    <definedName name="광_1_2" hidden="1">{#N/A,#N/A,FALSE,"지침";#N/A,#N/A,FALSE,"환경분석";#N/A,#N/A,FALSE,"Sheet16"}</definedName>
    <definedName name="광_2" localSheetId="20" hidden="1">{#N/A,#N/A,FALSE,"지침";#N/A,#N/A,FALSE,"환경분석";#N/A,#N/A,FALSE,"Sheet16"}</definedName>
    <definedName name="광_2" hidden="1">{#N/A,#N/A,FALSE,"지침";#N/A,#N/A,FALSE,"환경분석";#N/A,#N/A,FALSE,"Sheet16"}</definedName>
    <definedName name="김재현" localSheetId="20" hidden="1">{#N/A,#N/A,FALSE,"지침";#N/A,#N/A,FALSE,"환경분석";#N/A,#N/A,FALSE,"Sheet16"}</definedName>
    <definedName name="김재현" hidden="1">{#N/A,#N/A,FALSE,"지침";#N/A,#N/A,FALSE,"환경분석";#N/A,#N/A,FALSE,"Sheet16"}</definedName>
    <definedName name="김재현_1" localSheetId="20" hidden="1">{#N/A,#N/A,FALSE,"지침";#N/A,#N/A,FALSE,"환경분석";#N/A,#N/A,FALSE,"Sheet16"}</definedName>
    <definedName name="김재현_1" hidden="1">{#N/A,#N/A,FALSE,"지침";#N/A,#N/A,FALSE,"환경분석";#N/A,#N/A,FALSE,"Sheet16"}</definedName>
    <definedName name="김재현_1_1" localSheetId="20" hidden="1">{#N/A,#N/A,FALSE,"지침";#N/A,#N/A,FALSE,"환경분석";#N/A,#N/A,FALSE,"Sheet16"}</definedName>
    <definedName name="김재현_1_1" hidden="1">{#N/A,#N/A,FALSE,"지침";#N/A,#N/A,FALSE,"환경분석";#N/A,#N/A,FALSE,"Sheet16"}</definedName>
    <definedName name="김재현_1_1_1" localSheetId="20" hidden="1">{#N/A,#N/A,FALSE,"지침";#N/A,#N/A,FALSE,"환경분석";#N/A,#N/A,FALSE,"Sheet16"}</definedName>
    <definedName name="김재현_1_1_1" hidden="1">{#N/A,#N/A,FALSE,"지침";#N/A,#N/A,FALSE,"환경분석";#N/A,#N/A,FALSE,"Sheet16"}</definedName>
    <definedName name="김재현_1_2" localSheetId="20" hidden="1">{#N/A,#N/A,FALSE,"지침";#N/A,#N/A,FALSE,"환경분석";#N/A,#N/A,FALSE,"Sheet16"}</definedName>
    <definedName name="김재현_1_2" hidden="1">{#N/A,#N/A,FALSE,"지침";#N/A,#N/A,FALSE,"환경분석";#N/A,#N/A,FALSE,"Sheet16"}</definedName>
    <definedName name="김재현_2" localSheetId="20" hidden="1">{#N/A,#N/A,FALSE,"지침";#N/A,#N/A,FALSE,"환경분석";#N/A,#N/A,FALSE,"Sheet16"}</definedName>
    <definedName name="김재현_2" hidden="1">{#N/A,#N/A,FALSE,"지침";#N/A,#N/A,FALSE,"환경분석";#N/A,#N/A,FALSE,"Sheet16"}</definedName>
    <definedName name="ㄴㅇㄹ호" localSheetId="20" hidden="1">{#N/A,#N/A,FALSE,"지침";#N/A,#N/A,FALSE,"환경분석";#N/A,#N/A,FALSE,"Sheet16"}</definedName>
    <definedName name="ㄴㅇㄹ호" hidden="1">{#N/A,#N/A,FALSE,"지침";#N/A,#N/A,FALSE,"환경분석";#N/A,#N/A,FALSE,"Sheet16"}</definedName>
    <definedName name="ㄴㅇㄹ호_1" localSheetId="20" hidden="1">{#N/A,#N/A,FALSE,"지침";#N/A,#N/A,FALSE,"환경분석";#N/A,#N/A,FALSE,"Sheet16"}</definedName>
    <definedName name="ㄴㅇㄹ호_1" hidden="1">{#N/A,#N/A,FALSE,"지침";#N/A,#N/A,FALSE,"환경분석";#N/A,#N/A,FALSE,"Sheet16"}</definedName>
    <definedName name="ㄴㅇㄹ호_1_1" localSheetId="20" hidden="1">{#N/A,#N/A,FALSE,"지침";#N/A,#N/A,FALSE,"환경분석";#N/A,#N/A,FALSE,"Sheet16"}</definedName>
    <definedName name="ㄴㅇㄹ호_1_1" hidden="1">{#N/A,#N/A,FALSE,"지침";#N/A,#N/A,FALSE,"환경분석";#N/A,#N/A,FALSE,"Sheet16"}</definedName>
    <definedName name="ㄴㅇㄹ호_1_1_1" localSheetId="20" hidden="1">{#N/A,#N/A,FALSE,"지침";#N/A,#N/A,FALSE,"환경분석";#N/A,#N/A,FALSE,"Sheet16"}</definedName>
    <definedName name="ㄴㅇㄹ호_1_1_1" hidden="1">{#N/A,#N/A,FALSE,"지침";#N/A,#N/A,FALSE,"환경분석";#N/A,#N/A,FALSE,"Sheet16"}</definedName>
    <definedName name="ㄴㅇㄹ호_1_2" localSheetId="20" hidden="1">{#N/A,#N/A,FALSE,"지침";#N/A,#N/A,FALSE,"환경분석";#N/A,#N/A,FALSE,"Sheet16"}</definedName>
    <definedName name="ㄴㅇㄹ호_1_2" hidden="1">{#N/A,#N/A,FALSE,"지침";#N/A,#N/A,FALSE,"환경분석";#N/A,#N/A,FALSE,"Sheet16"}</definedName>
    <definedName name="ㄴㅇㄹ호_2" localSheetId="20" hidden="1">{#N/A,#N/A,FALSE,"지침";#N/A,#N/A,FALSE,"환경분석";#N/A,#N/A,FALSE,"Sheet16"}</definedName>
    <definedName name="ㄴㅇㄹ호_2" hidden="1">{#N/A,#N/A,FALSE,"지침";#N/A,#N/A,FALSE,"환경분석";#N/A,#N/A,FALSE,"Sheet16"}</definedName>
    <definedName name="도면" hidden="1">#REF!</definedName>
    <definedName name="ㅀ효ㅇㄱ쇼셔ㅓ쇼ㅓ" localSheetId="20" hidden="1">{#N/A,#N/A,FALSE,"지침";#N/A,#N/A,FALSE,"환경분석";#N/A,#N/A,FALSE,"Sheet16"}</definedName>
    <definedName name="ㅀ효ㅇㄱ쇼셔ㅓ쇼ㅓ" hidden="1">{#N/A,#N/A,FALSE,"지침";#N/A,#N/A,FALSE,"환경분석";#N/A,#N/A,FALSE,"Sheet16"}</definedName>
    <definedName name="ㅀ효ㅇㄱ쇼셔ㅓ쇼ㅓ_1" localSheetId="20" hidden="1">{#N/A,#N/A,FALSE,"지침";#N/A,#N/A,FALSE,"환경분석";#N/A,#N/A,FALSE,"Sheet16"}</definedName>
    <definedName name="ㅀ효ㅇㄱ쇼셔ㅓ쇼ㅓ_1" hidden="1">{#N/A,#N/A,FALSE,"지침";#N/A,#N/A,FALSE,"환경분석";#N/A,#N/A,FALSE,"Sheet16"}</definedName>
    <definedName name="ㅀ효ㅇㄱ쇼셔ㅓ쇼ㅓ_1_1" localSheetId="20" hidden="1">{#N/A,#N/A,FALSE,"지침";#N/A,#N/A,FALSE,"환경분석";#N/A,#N/A,FALSE,"Sheet16"}</definedName>
    <definedName name="ㅀ효ㅇㄱ쇼셔ㅓ쇼ㅓ_1_1" hidden="1">{#N/A,#N/A,FALSE,"지침";#N/A,#N/A,FALSE,"환경분석";#N/A,#N/A,FALSE,"Sheet16"}</definedName>
    <definedName name="ㅀ효ㅇㄱ쇼셔ㅓ쇼ㅓ_1_1_1" localSheetId="20" hidden="1">{#N/A,#N/A,FALSE,"지침";#N/A,#N/A,FALSE,"환경분석";#N/A,#N/A,FALSE,"Sheet16"}</definedName>
    <definedName name="ㅀ효ㅇㄱ쇼셔ㅓ쇼ㅓ_1_1_1" hidden="1">{#N/A,#N/A,FALSE,"지침";#N/A,#N/A,FALSE,"환경분석";#N/A,#N/A,FALSE,"Sheet16"}</definedName>
    <definedName name="ㅀ효ㅇㄱ쇼셔ㅓ쇼ㅓ_1_2" localSheetId="20" hidden="1">{#N/A,#N/A,FALSE,"지침";#N/A,#N/A,FALSE,"환경분석";#N/A,#N/A,FALSE,"Sheet16"}</definedName>
    <definedName name="ㅀ효ㅇㄱ쇼셔ㅓ쇼ㅓ_1_2" hidden="1">{#N/A,#N/A,FALSE,"지침";#N/A,#N/A,FALSE,"환경분석";#N/A,#N/A,FALSE,"Sheet16"}</definedName>
    <definedName name="ㅀ효ㅇㄱ쇼셔ㅓ쇼ㅓ_2" localSheetId="20" hidden="1">{#N/A,#N/A,FALSE,"지침";#N/A,#N/A,FALSE,"환경분석";#N/A,#N/A,FALSE,"Sheet16"}</definedName>
    <definedName name="ㅀ효ㅇㄱ쇼셔ㅓ쇼ㅓ_2" hidden="1">{#N/A,#N/A,FALSE,"지침";#N/A,#N/A,FALSE,"환경분석";#N/A,#N/A,FALSE,"Sheet16"}</definedName>
    <definedName name="ㅁ" localSheetId="20" hidden="1">{#N/A,#N/A,FALSE,"지침";#N/A,#N/A,FALSE,"환경분석";#N/A,#N/A,FALSE,"Sheet16"}</definedName>
    <definedName name="ㅁ" hidden="1">{#N/A,#N/A,FALSE,"지침";#N/A,#N/A,FALSE,"환경분석";#N/A,#N/A,FALSE,"Sheet16"}</definedName>
    <definedName name="ㅁ_1" localSheetId="20" hidden="1">{#N/A,#N/A,FALSE,"지침";#N/A,#N/A,FALSE,"환경분석";#N/A,#N/A,FALSE,"Sheet16"}</definedName>
    <definedName name="ㅁ_1" hidden="1">{#N/A,#N/A,FALSE,"지침";#N/A,#N/A,FALSE,"환경분석";#N/A,#N/A,FALSE,"Sheet16"}</definedName>
    <definedName name="ㅁ_1_1" localSheetId="20" hidden="1">{#N/A,#N/A,FALSE,"지침";#N/A,#N/A,FALSE,"환경분석";#N/A,#N/A,FALSE,"Sheet16"}</definedName>
    <definedName name="ㅁ_1_1" hidden="1">{#N/A,#N/A,FALSE,"지침";#N/A,#N/A,FALSE,"환경분석";#N/A,#N/A,FALSE,"Sheet16"}</definedName>
    <definedName name="ㅁ_1_1_1" localSheetId="20" hidden="1">{#N/A,#N/A,FALSE,"지침";#N/A,#N/A,FALSE,"환경분석";#N/A,#N/A,FALSE,"Sheet16"}</definedName>
    <definedName name="ㅁ_1_1_1" hidden="1">{#N/A,#N/A,FALSE,"지침";#N/A,#N/A,FALSE,"환경분석";#N/A,#N/A,FALSE,"Sheet16"}</definedName>
    <definedName name="ㅁ_1_2" localSheetId="20" hidden="1">{#N/A,#N/A,FALSE,"지침";#N/A,#N/A,FALSE,"환경분석";#N/A,#N/A,FALSE,"Sheet16"}</definedName>
    <definedName name="ㅁ_1_2" hidden="1">{#N/A,#N/A,FALSE,"지침";#N/A,#N/A,FALSE,"환경분석";#N/A,#N/A,FALSE,"Sheet16"}</definedName>
    <definedName name="ㅁ_2" localSheetId="20" hidden="1">{#N/A,#N/A,FALSE,"지침";#N/A,#N/A,FALSE,"환경분석";#N/A,#N/A,FALSE,"Sheet16"}</definedName>
    <definedName name="ㅁ_2" hidden="1">{#N/A,#N/A,FALSE,"지침";#N/A,#N/A,FALSE,"환경분석";#N/A,#N/A,FALSE,"Sheet16"}</definedName>
    <definedName name="ㅁㅁ" localSheetId="20" hidden="1">{"det (May)",#N/A,FALSE,"June";"sum (MAY YTD)",#N/A,FALSE,"June YTD"}</definedName>
    <definedName name="ㅁㅁ" hidden="1">{"det (May)",#N/A,FALSE,"June";"sum (MAY YTD)",#N/A,FALSE,"June YTD"}</definedName>
    <definedName name="ㅁㅁ_1" localSheetId="20" hidden="1">{"det (May)",#N/A,FALSE,"June";"sum (MAY YTD)",#N/A,FALSE,"June YTD"}</definedName>
    <definedName name="ㅁㅁ_1" hidden="1">{"det (May)",#N/A,FALSE,"June";"sum (MAY YTD)",#N/A,FALSE,"June YTD"}</definedName>
    <definedName name="ㅁㅁ_1_1" localSheetId="20" hidden="1">{"det (May)",#N/A,FALSE,"June";"sum (MAY YTD)",#N/A,FALSE,"June YTD"}</definedName>
    <definedName name="ㅁㅁ_1_1" hidden="1">{"det (May)",#N/A,FALSE,"June";"sum (MAY YTD)",#N/A,FALSE,"June YTD"}</definedName>
    <definedName name="ㅁㅁ_1_1_1" localSheetId="20" hidden="1">{"det (May)",#N/A,FALSE,"June";"sum (MAY YTD)",#N/A,FALSE,"June YTD"}</definedName>
    <definedName name="ㅁㅁ_1_1_1" hidden="1">{"det (May)",#N/A,FALSE,"June";"sum (MAY YTD)",#N/A,FALSE,"June YTD"}</definedName>
    <definedName name="ㅁㅁ_1_2" localSheetId="20" hidden="1">{"det (May)",#N/A,FALSE,"June";"sum (MAY YTD)",#N/A,FALSE,"June YTD"}</definedName>
    <definedName name="ㅁㅁ_1_2" hidden="1">{"det (May)",#N/A,FALSE,"June";"sum (MAY YTD)",#N/A,FALSE,"June YTD"}</definedName>
    <definedName name="ㅁㅁ_2" localSheetId="20" hidden="1">{"det (May)",#N/A,FALSE,"June";"sum (MAY YTD)",#N/A,FALSE,"June YTD"}</definedName>
    <definedName name="ㅁㅁ_2" hidden="1">{"det (May)",#N/A,FALSE,"June";"sum (MAY YTD)",#N/A,FALSE,"June YTD"}</definedName>
    <definedName name="ㅁㅁㅁ" localSheetId="20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_1" localSheetId="20" hidden="1">{#N/A,#N/A,FALSE,"지침";#N/A,#N/A,FALSE,"환경분석";#N/A,#N/A,FALSE,"Sheet16"}</definedName>
    <definedName name="ㅁㅁㅁ_1" hidden="1">{#N/A,#N/A,FALSE,"지침";#N/A,#N/A,FALSE,"환경분석";#N/A,#N/A,FALSE,"Sheet16"}</definedName>
    <definedName name="ㅁㅁㅁ_1_1" localSheetId="20" hidden="1">{#N/A,#N/A,FALSE,"지침";#N/A,#N/A,FALSE,"환경분석";#N/A,#N/A,FALSE,"Sheet16"}</definedName>
    <definedName name="ㅁㅁㅁ_1_1" hidden="1">{#N/A,#N/A,FALSE,"지침";#N/A,#N/A,FALSE,"환경분석";#N/A,#N/A,FALSE,"Sheet16"}</definedName>
    <definedName name="ㅁㅁㅁ_1_1_1" localSheetId="20" hidden="1">{#N/A,#N/A,FALSE,"지침";#N/A,#N/A,FALSE,"환경분석";#N/A,#N/A,FALSE,"Sheet16"}</definedName>
    <definedName name="ㅁㅁㅁ_1_1_1" hidden="1">{#N/A,#N/A,FALSE,"지침";#N/A,#N/A,FALSE,"환경분석";#N/A,#N/A,FALSE,"Sheet16"}</definedName>
    <definedName name="ㅁㅁㅁ_1_2" localSheetId="20" hidden="1">{#N/A,#N/A,FALSE,"지침";#N/A,#N/A,FALSE,"환경분석";#N/A,#N/A,FALSE,"Sheet16"}</definedName>
    <definedName name="ㅁㅁㅁ_1_2" hidden="1">{#N/A,#N/A,FALSE,"지침";#N/A,#N/A,FALSE,"환경분석";#N/A,#N/A,FALSE,"Sheet16"}</definedName>
    <definedName name="ㅁㅁㅁ_2" localSheetId="20" hidden="1">{#N/A,#N/A,FALSE,"지침";#N/A,#N/A,FALSE,"환경분석";#N/A,#N/A,FALSE,"Sheet16"}</definedName>
    <definedName name="ㅁㅁㅁ_2" hidden="1">{#N/A,#N/A,FALSE,"지침";#N/A,#N/A,FALSE,"환경분석";#N/A,#N/A,FALSE,"Sheet16"}</definedName>
    <definedName name="비상l" localSheetId="20" hidden="1">{#N/A,#N/A,FALSE,"지침";#N/A,#N/A,FALSE,"환경분석";#N/A,#N/A,FALSE,"Sheet16"}</definedName>
    <definedName name="비상l" hidden="1">{#N/A,#N/A,FALSE,"지침";#N/A,#N/A,FALSE,"환경분석";#N/A,#N/A,FALSE,"Sheet16"}</definedName>
    <definedName name="비상l_1" localSheetId="20" hidden="1">{#N/A,#N/A,FALSE,"지침";#N/A,#N/A,FALSE,"환경분석";#N/A,#N/A,FALSE,"Sheet16"}</definedName>
    <definedName name="비상l_1" hidden="1">{#N/A,#N/A,FALSE,"지침";#N/A,#N/A,FALSE,"환경분석";#N/A,#N/A,FALSE,"Sheet16"}</definedName>
    <definedName name="비상l_1_1" localSheetId="20" hidden="1">{#N/A,#N/A,FALSE,"지침";#N/A,#N/A,FALSE,"환경분석";#N/A,#N/A,FALSE,"Sheet16"}</definedName>
    <definedName name="비상l_1_1" hidden="1">{#N/A,#N/A,FALSE,"지침";#N/A,#N/A,FALSE,"환경분석";#N/A,#N/A,FALSE,"Sheet16"}</definedName>
    <definedName name="비상l_1_1_1" localSheetId="20" hidden="1">{#N/A,#N/A,FALSE,"지침";#N/A,#N/A,FALSE,"환경분석";#N/A,#N/A,FALSE,"Sheet16"}</definedName>
    <definedName name="비상l_1_1_1" hidden="1">{#N/A,#N/A,FALSE,"지침";#N/A,#N/A,FALSE,"환경분석";#N/A,#N/A,FALSE,"Sheet16"}</definedName>
    <definedName name="비상l_1_2" localSheetId="20" hidden="1">{#N/A,#N/A,FALSE,"지침";#N/A,#N/A,FALSE,"환경분석";#N/A,#N/A,FALSE,"Sheet16"}</definedName>
    <definedName name="비상l_1_2" hidden="1">{#N/A,#N/A,FALSE,"지침";#N/A,#N/A,FALSE,"환경분석";#N/A,#N/A,FALSE,"Sheet16"}</definedName>
    <definedName name="비상l_2" localSheetId="20" hidden="1">{#N/A,#N/A,FALSE,"지침";#N/A,#N/A,FALSE,"환경분석";#N/A,#N/A,FALSE,"Sheet16"}</definedName>
    <definedName name="비상l_2" hidden="1">{#N/A,#N/A,FALSE,"지침";#N/A,#N/A,FALSE,"환경분석";#N/A,#N/A,FALSE,"Sheet16"}</definedName>
    <definedName name="사" localSheetId="20" hidden="1">{#N/A,#N/A,FALSE,"지침";#N/A,#N/A,FALSE,"환경분석";#N/A,#N/A,FALSE,"Sheet16"}</definedName>
    <definedName name="사" hidden="1">{#N/A,#N/A,FALSE,"지침";#N/A,#N/A,FALSE,"환경분석";#N/A,#N/A,FALSE,"Sheet16"}</definedName>
    <definedName name="사_1" localSheetId="20" hidden="1">{#N/A,#N/A,FALSE,"지침";#N/A,#N/A,FALSE,"환경분석";#N/A,#N/A,FALSE,"Sheet16"}</definedName>
    <definedName name="사_1" hidden="1">{#N/A,#N/A,FALSE,"지침";#N/A,#N/A,FALSE,"환경분석";#N/A,#N/A,FALSE,"Sheet16"}</definedName>
    <definedName name="사_1_1" localSheetId="20" hidden="1">{#N/A,#N/A,FALSE,"지침";#N/A,#N/A,FALSE,"환경분석";#N/A,#N/A,FALSE,"Sheet16"}</definedName>
    <definedName name="사_1_1" hidden="1">{#N/A,#N/A,FALSE,"지침";#N/A,#N/A,FALSE,"환경분석";#N/A,#N/A,FALSE,"Sheet16"}</definedName>
    <definedName name="사_1_1_1" localSheetId="20" hidden="1">{#N/A,#N/A,FALSE,"지침";#N/A,#N/A,FALSE,"환경분석";#N/A,#N/A,FALSE,"Sheet16"}</definedName>
    <definedName name="사_1_1_1" hidden="1">{#N/A,#N/A,FALSE,"지침";#N/A,#N/A,FALSE,"환경분석";#N/A,#N/A,FALSE,"Sheet16"}</definedName>
    <definedName name="사_1_2" localSheetId="20" hidden="1">{#N/A,#N/A,FALSE,"지침";#N/A,#N/A,FALSE,"환경분석";#N/A,#N/A,FALSE,"Sheet16"}</definedName>
    <definedName name="사_1_2" hidden="1">{#N/A,#N/A,FALSE,"지침";#N/A,#N/A,FALSE,"환경분석";#N/A,#N/A,FALSE,"Sheet16"}</definedName>
    <definedName name="사_2" localSheetId="20" hidden="1">{#N/A,#N/A,FALSE,"지침";#N/A,#N/A,FALSE,"환경분석";#N/A,#N/A,FALSE,"Sheet16"}</definedName>
    <definedName name="사_2" hidden="1">{#N/A,#N/A,FALSE,"지침";#N/A,#N/A,FALSE,"환경분석";#N/A,#N/A,FALSE,"Sheet16"}</definedName>
    <definedName name="사1" localSheetId="20" hidden="1">{#N/A,#N/A,FALSE,"지침";#N/A,#N/A,FALSE,"환경분석";#N/A,#N/A,FALSE,"Sheet16"}</definedName>
    <definedName name="사1" hidden="1">{#N/A,#N/A,FALSE,"지침";#N/A,#N/A,FALSE,"환경분석";#N/A,#N/A,FALSE,"Sheet16"}</definedName>
    <definedName name="사1_1" localSheetId="20" hidden="1">{#N/A,#N/A,FALSE,"지침";#N/A,#N/A,FALSE,"환경분석";#N/A,#N/A,FALSE,"Sheet16"}</definedName>
    <definedName name="사1_1" hidden="1">{#N/A,#N/A,FALSE,"지침";#N/A,#N/A,FALSE,"환경분석";#N/A,#N/A,FALSE,"Sheet16"}</definedName>
    <definedName name="사1_1_1" localSheetId="20" hidden="1">{#N/A,#N/A,FALSE,"지침";#N/A,#N/A,FALSE,"환경분석";#N/A,#N/A,FALSE,"Sheet16"}</definedName>
    <definedName name="사1_1_1" hidden="1">{#N/A,#N/A,FALSE,"지침";#N/A,#N/A,FALSE,"환경분석";#N/A,#N/A,FALSE,"Sheet16"}</definedName>
    <definedName name="사1_1_1_1" localSheetId="20" hidden="1">{#N/A,#N/A,FALSE,"지침";#N/A,#N/A,FALSE,"환경분석";#N/A,#N/A,FALSE,"Sheet16"}</definedName>
    <definedName name="사1_1_1_1" hidden="1">{#N/A,#N/A,FALSE,"지침";#N/A,#N/A,FALSE,"환경분석";#N/A,#N/A,FALSE,"Sheet16"}</definedName>
    <definedName name="사1_1_2" localSheetId="20" hidden="1">{#N/A,#N/A,FALSE,"지침";#N/A,#N/A,FALSE,"환경분석";#N/A,#N/A,FALSE,"Sheet16"}</definedName>
    <definedName name="사1_1_2" hidden="1">{#N/A,#N/A,FALSE,"지침";#N/A,#N/A,FALSE,"환경분석";#N/A,#N/A,FALSE,"Sheet16"}</definedName>
    <definedName name="사1_2" localSheetId="20" hidden="1">{#N/A,#N/A,FALSE,"지침";#N/A,#N/A,FALSE,"환경분석";#N/A,#N/A,FALSE,"Sheet16"}</definedName>
    <definedName name="사1_2" hidden="1">{#N/A,#N/A,FALSE,"지침";#N/A,#N/A,FALSE,"환경분석";#N/A,#N/A,FALSE,"Sheet16"}</definedName>
    <definedName name="생2" localSheetId="20" hidden="1">{#N/A,#N/A,FALSE,"지침";#N/A,#N/A,FALSE,"환경분석";#N/A,#N/A,FALSE,"Sheet16"}</definedName>
    <definedName name="생2" hidden="1">{#N/A,#N/A,FALSE,"지침";#N/A,#N/A,FALSE,"환경분석";#N/A,#N/A,FALSE,"Sheet16"}</definedName>
    <definedName name="생2_1" localSheetId="20" hidden="1">{#N/A,#N/A,FALSE,"지침";#N/A,#N/A,FALSE,"환경분석";#N/A,#N/A,FALSE,"Sheet16"}</definedName>
    <definedName name="생2_1" hidden="1">{#N/A,#N/A,FALSE,"지침";#N/A,#N/A,FALSE,"환경분석";#N/A,#N/A,FALSE,"Sheet16"}</definedName>
    <definedName name="생2_1_1" localSheetId="20" hidden="1">{#N/A,#N/A,FALSE,"지침";#N/A,#N/A,FALSE,"환경분석";#N/A,#N/A,FALSE,"Sheet16"}</definedName>
    <definedName name="생2_1_1" hidden="1">{#N/A,#N/A,FALSE,"지침";#N/A,#N/A,FALSE,"환경분석";#N/A,#N/A,FALSE,"Sheet16"}</definedName>
    <definedName name="생2_1_1_1" localSheetId="20" hidden="1">{#N/A,#N/A,FALSE,"지침";#N/A,#N/A,FALSE,"환경분석";#N/A,#N/A,FALSE,"Sheet16"}</definedName>
    <definedName name="생2_1_1_1" hidden="1">{#N/A,#N/A,FALSE,"지침";#N/A,#N/A,FALSE,"환경분석";#N/A,#N/A,FALSE,"Sheet16"}</definedName>
    <definedName name="생2_1_2" localSheetId="20" hidden="1">{#N/A,#N/A,FALSE,"지침";#N/A,#N/A,FALSE,"환경분석";#N/A,#N/A,FALSE,"Sheet16"}</definedName>
    <definedName name="생2_1_2" hidden="1">{#N/A,#N/A,FALSE,"지침";#N/A,#N/A,FALSE,"환경분석";#N/A,#N/A,FALSE,"Sheet16"}</definedName>
    <definedName name="생2_2" localSheetId="20" hidden="1">{#N/A,#N/A,FALSE,"지침";#N/A,#N/A,FALSE,"환경분석";#N/A,#N/A,FALSE,"Sheet16"}</definedName>
    <definedName name="생2_2" hidden="1">{#N/A,#N/A,FALSE,"지침";#N/A,#N/A,FALSE,"환경분석";#N/A,#N/A,FALSE,"Sheet16"}</definedName>
    <definedName name="ㅇㅇㅇㅇㅇ" localSheetId="20" hidden="1">{#N/A,#N/A,FALSE,"지침";#N/A,#N/A,FALSE,"환경분석";#N/A,#N/A,FALSE,"Sheet16"}</definedName>
    <definedName name="ㅇㅇㅇㅇㅇ" hidden="1">{#N/A,#N/A,FALSE,"지침";#N/A,#N/A,FALSE,"환경분석";#N/A,#N/A,FALSE,"Sheet16"}</definedName>
    <definedName name="ㅇㅇㅇㅇㅇ_1" localSheetId="20" hidden="1">{#N/A,#N/A,FALSE,"지침";#N/A,#N/A,FALSE,"환경분석";#N/A,#N/A,FALSE,"Sheet16"}</definedName>
    <definedName name="ㅇㅇㅇㅇㅇ_1" hidden="1">{#N/A,#N/A,FALSE,"지침";#N/A,#N/A,FALSE,"환경분석";#N/A,#N/A,FALSE,"Sheet16"}</definedName>
    <definedName name="ㅇㅇㅇㅇㅇ_1_1" localSheetId="20" hidden="1">{#N/A,#N/A,FALSE,"지침";#N/A,#N/A,FALSE,"환경분석";#N/A,#N/A,FALSE,"Sheet16"}</definedName>
    <definedName name="ㅇㅇㅇㅇㅇ_1_1" hidden="1">{#N/A,#N/A,FALSE,"지침";#N/A,#N/A,FALSE,"환경분석";#N/A,#N/A,FALSE,"Sheet16"}</definedName>
    <definedName name="ㅇㅇㅇㅇㅇ_1_1_1" localSheetId="20" hidden="1">{#N/A,#N/A,FALSE,"지침";#N/A,#N/A,FALSE,"환경분석";#N/A,#N/A,FALSE,"Sheet16"}</definedName>
    <definedName name="ㅇㅇㅇㅇㅇ_1_1_1" hidden="1">{#N/A,#N/A,FALSE,"지침";#N/A,#N/A,FALSE,"환경분석";#N/A,#N/A,FALSE,"Sheet16"}</definedName>
    <definedName name="ㅇㅇㅇㅇㅇ_1_2" localSheetId="20" hidden="1">{#N/A,#N/A,FALSE,"지침";#N/A,#N/A,FALSE,"환경분석";#N/A,#N/A,FALSE,"Sheet16"}</definedName>
    <definedName name="ㅇㅇㅇㅇㅇ_1_2" hidden="1">{#N/A,#N/A,FALSE,"지침";#N/A,#N/A,FALSE,"환경분석";#N/A,#N/A,FALSE,"Sheet16"}</definedName>
    <definedName name="ㅇㅇㅇㅇㅇ_2" localSheetId="20" hidden="1">{#N/A,#N/A,FALSE,"지침";#N/A,#N/A,FALSE,"환경분석";#N/A,#N/A,FALSE,"Sheet16"}</definedName>
    <definedName name="ㅇㅇㅇㅇㅇ_2" hidden="1">{#N/A,#N/A,FALSE,"지침";#N/A,#N/A,FALSE,"환경분석";#N/A,#N/A,FALSE,"Sheet16"}</definedName>
    <definedName name="양식" localSheetId="20" hidden="1">{#N/A,#N/A,FALSE,"지침";#N/A,#N/A,FALSE,"환경분석";#N/A,#N/A,FALSE,"Sheet16"}</definedName>
    <definedName name="양식" hidden="1">{#N/A,#N/A,FALSE,"지침";#N/A,#N/A,FALSE,"환경분석";#N/A,#N/A,FALSE,"Sheet16"}</definedName>
    <definedName name="양식_1" localSheetId="20" hidden="1">{#N/A,#N/A,FALSE,"지침";#N/A,#N/A,FALSE,"환경분석";#N/A,#N/A,FALSE,"Sheet16"}</definedName>
    <definedName name="양식_1" hidden="1">{#N/A,#N/A,FALSE,"지침";#N/A,#N/A,FALSE,"환경분석";#N/A,#N/A,FALSE,"Sheet16"}</definedName>
    <definedName name="양식_1_1" localSheetId="20" hidden="1">{#N/A,#N/A,FALSE,"지침";#N/A,#N/A,FALSE,"환경분석";#N/A,#N/A,FALSE,"Sheet16"}</definedName>
    <definedName name="양식_1_1" hidden="1">{#N/A,#N/A,FALSE,"지침";#N/A,#N/A,FALSE,"환경분석";#N/A,#N/A,FALSE,"Sheet16"}</definedName>
    <definedName name="양식_1_1_1" localSheetId="20" hidden="1">{#N/A,#N/A,FALSE,"지침";#N/A,#N/A,FALSE,"환경분석";#N/A,#N/A,FALSE,"Sheet16"}</definedName>
    <definedName name="양식_1_1_1" hidden="1">{#N/A,#N/A,FALSE,"지침";#N/A,#N/A,FALSE,"환경분석";#N/A,#N/A,FALSE,"Sheet16"}</definedName>
    <definedName name="양식_1_2" localSheetId="20" hidden="1">{#N/A,#N/A,FALSE,"지침";#N/A,#N/A,FALSE,"환경분석";#N/A,#N/A,FALSE,"Sheet16"}</definedName>
    <definedName name="양식_1_2" hidden="1">{#N/A,#N/A,FALSE,"지침";#N/A,#N/A,FALSE,"환경분석";#N/A,#N/A,FALSE,"Sheet16"}</definedName>
    <definedName name="양식_2" localSheetId="20" hidden="1">{#N/A,#N/A,FALSE,"지침";#N/A,#N/A,FALSE,"환경분석";#N/A,#N/A,FALSE,"Sheet16"}</definedName>
    <definedName name="양식_2" hidden="1">{#N/A,#N/A,FALSE,"지침";#N/A,#N/A,FALSE,"환경분석";#N/A,#N/A,FALSE,"Sheet16"}</definedName>
    <definedName name="인쇄" localSheetId="20" hidden="1">{#N/A,#N/A,FALSE,"지침";#N/A,#N/A,FALSE,"환경분석";#N/A,#N/A,FALSE,"Sheet16"}</definedName>
    <definedName name="인쇄" hidden="1">{#N/A,#N/A,FALSE,"지침";#N/A,#N/A,FALSE,"환경분석";#N/A,#N/A,FALSE,"Sheet16"}</definedName>
    <definedName name="인쇄_1" localSheetId="20" hidden="1">{#N/A,#N/A,FALSE,"지침";#N/A,#N/A,FALSE,"환경분석";#N/A,#N/A,FALSE,"Sheet16"}</definedName>
    <definedName name="인쇄_1" hidden="1">{#N/A,#N/A,FALSE,"지침";#N/A,#N/A,FALSE,"환경분석";#N/A,#N/A,FALSE,"Sheet16"}</definedName>
    <definedName name="인쇄_1_1" localSheetId="20" hidden="1">{#N/A,#N/A,FALSE,"지침";#N/A,#N/A,FALSE,"환경분석";#N/A,#N/A,FALSE,"Sheet16"}</definedName>
    <definedName name="인쇄_1_1" hidden="1">{#N/A,#N/A,FALSE,"지침";#N/A,#N/A,FALSE,"환경분석";#N/A,#N/A,FALSE,"Sheet16"}</definedName>
    <definedName name="인쇄_1_1_1" localSheetId="20" hidden="1">{#N/A,#N/A,FALSE,"지침";#N/A,#N/A,FALSE,"환경분석";#N/A,#N/A,FALSE,"Sheet16"}</definedName>
    <definedName name="인쇄_1_1_1" hidden="1">{#N/A,#N/A,FALSE,"지침";#N/A,#N/A,FALSE,"환경분석";#N/A,#N/A,FALSE,"Sheet16"}</definedName>
    <definedName name="인쇄_1_2" localSheetId="20" hidden="1">{#N/A,#N/A,FALSE,"지침";#N/A,#N/A,FALSE,"환경분석";#N/A,#N/A,FALSE,"Sheet16"}</definedName>
    <definedName name="인쇄_1_2" hidden="1">{#N/A,#N/A,FALSE,"지침";#N/A,#N/A,FALSE,"환경분석";#N/A,#N/A,FALSE,"Sheet16"}</definedName>
    <definedName name="인쇄_2" localSheetId="20" hidden="1">{#N/A,#N/A,FALSE,"지침";#N/A,#N/A,FALSE,"환경분석";#N/A,#N/A,FALSE,"Sheet16"}</definedName>
    <definedName name="인쇄_2" hidden="1">{#N/A,#N/A,FALSE,"지침";#N/A,#N/A,FALSE,"환경분석";#N/A,#N/A,FALSE,"Sheet16"}</definedName>
    <definedName name="인쇄BU" localSheetId="20" hidden="1">{#N/A,#N/A,FALSE,"지침";#N/A,#N/A,FALSE,"환경분석";#N/A,#N/A,FALSE,"Sheet16"}</definedName>
    <definedName name="인쇄BU" hidden="1">{#N/A,#N/A,FALSE,"지침";#N/A,#N/A,FALSE,"환경분석";#N/A,#N/A,FALSE,"Sheet16"}</definedName>
    <definedName name="인쇄BU_1" localSheetId="20" hidden="1">{#N/A,#N/A,FALSE,"지침";#N/A,#N/A,FALSE,"환경분석";#N/A,#N/A,FALSE,"Sheet16"}</definedName>
    <definedName name="인쇄BU_1" hidden="1">{#N/A,#N/A,FALSE,"지침";#N/A,#N/A,FALSE,"환경분석";#N/A,#N/A,FALSE,"Sheet16"}</definedName>
    <definedName name="인쇄BU_1_1" localSheetId="20" hidden="1">{#N/A,#N/A,FALSE,"지침";#N/A,#N/A,FALSE,"환경분석";#N/A,#N/A,FALSE,"Sheet16"}</definedName>
    <definedName name="인쇄BU_1_1" hidden="1">{#N/A,#N/A,FALSE,"지침";#N/A,#N/A,FALSE,"환경분석";#N/A,#N/A,FALSE,"Sheet16"}</definedName>
    <definedName name="인쇄BU_1_1_1" localSheetId="20" hidden="1">{#N/A,#N/A,FALSE,"지침";#N/A,#N/A,FALSE,"환경분석";#N/A,#N/A,FALSE,"Sheet16"}</definedName>
    <definedName name="인쇄BU_1_1_1" hidden="1">{#N/A,#N/A,FALSE,"지침";#N/A,#N/A,FALSE,"환경분석";#N/A,#N/A,FALSE,"Sheet16"}</definedName>
    <definedName name="인쇄BU_1_2" localSheetId="20" hidden="1">{#N/A,#N/A,FALSE,"지침";#N/A,#N/A,FALSE,"환경분석";#N/A,#N/A,FALSE,"Sheet16"}</definedName>
    <definedName name="인쇄BU_1_2" hidden="1">{#N/A,#N/A,FALSE,"지침";#N/A,#N/A,FALSE,"환경분석";#N/A,#N/A,FALSE,"Sheet16"}</definedName>
    <definedName name="인쇄BU_2" localSheetId="20" hidden="1">{#N/A,#N/A,FALSE,"지침";#N/A,#N/A,FALSE,"환경분석";#N/A,#N/A,FALSE,"Sheet16"}</definedName>
    <definedName name="인쇄BU_2" hidden="1">{#N/A,#N/A,FALSE,"지침";#N/A,#N/A,FALSE,"환경분석";#N/A,#N/A,FALSE,"Sheet16"}</definedName>
    <definedName name="ㅈㅈㅈ" localSheetId="20" hidden="1">{#N/A,#N/A,FALSE,"지침";#N/A,#N/A,FALSE,"환경분석";#N/A,#N/A,FALSE,"Sheet16"}</definedName>
    <definedName name="ㅈㅈㅈ" hidden="1">{#N/A,#N/A,FALSE,"지침";#N/A,#N/A,FALSE,"환경분석";#N/A,#N/A,FALSE,"Sheet16"}</definedName>
    <definedName name="ㅈㅈㅈ_1" localSheetId="20" hidden="1">{#N/A,#N/A,FALSE,"지침";#N/A,#N/A,FALSE,"환경분석";#N/A,#N/A,FALSE,"Sheet16"}</definedName>
    <definedName name="ㅈㅈㅈ_1" hidden="1">{#N/A,#N/A,FALSE,"지침";#N/A,#N/A,FALSE,"환경분석";#N/A,#N/A,FALSE,"Sheet16"}</definedName>
    <definedName name="ㅈㅈㅈ_1_1" localSheetId="20" hidden="1">{#N/A,#N/A,FALSE,"지침";#N/A,#N/A,FALSE,"환경분석";#N/A,#N/A,FALSE,"Sheet16"}</definedName>
    <definedName name="ㅈㅈㅈ_1_1" hidden="1">{#N/A,#N/A,FALSE,"지침";#N/A,#N/A,FALSE,"환경분석";#N/A,#N/A,FALSE,"Sheet16"}</definedName>
    <definedName name="ㅈㅈㅈ_1_1_1" localSheetId="20" hidden="1">{#N/A,#N/A,FALSE,"지침";#N/A,#N/A,FALSE,"환경분석";#N/A,#N/A,FALSE,"Sheet16"}</definedName>
    <definedName name="ㅈㅈㅈ_1_1_1" hidden="1">{#N/A,#N/A,FALSE,"지침";#N/A,#N/A,FALSE,"환경분석";#N/A,#N/A,FALSE,"Sheet16"}</definedName>
    <definedName name="ㅈㅈㅈ_1_2" localSheetId="20" hidden="1">{#N/A,#N/A,FALSE,"지침";#N/A,#N/A,FALSE,"환경분석";#N/A,#N/A,FALSE,"Sheet16"}</definedName>
    <definedName name="ㅈㅈㅈ_1_2" hidden="1">{#N/A,#N/A,FALSE,"지침";#N/A,#N/A,FALSE,"환경분석";#N/A,#N/A,FALSE,"Sheet16"}</definedName>
    <definedName name="ㅈㅈㅈ_2" localSheetId="20" hidden="1">{#N/A,#N/A,FALSE,"지침";#N/A,#N/A,FALSE,"환경분석";#N/A,#N/A,FALSE,"Sheet16"}</definedName>
    <definedName name="ㅈㅈㅈ_2" hidden="1">{#N/A,#N/A,FALSE,"지침";#N/A,#N/A,FALSE,"환경분석";#N/A,#N/A,FALSE,"Sheet16"}</definedName>
    <definedName name="전략부품" localSheetId="20" hidden="1">{#N/A,#N/A,FALSE,"지침";#N/A,#N/A,FALSE,"환경분석";#N/A,#N/A,FALSE,"Sheet16"}</definedName>
    <definedName name="전략부품" hidden="1">{#N/A,#N/A,FALSE,"지침";#N/A,#N/A,FALSE,"환경분석";#N/A,#N/A,FALSE,"Sheet16"}</definedName>
    <definedName name="전략부품_1" localSheetId="20" hidden="1">{#N/A,#N/A,FALSE,"지침";#N/A,#N/A,FALSE,"환경분석";#N/A,#N/A,FALSE,"Sheet16"}</definedName>
    <definedName name="전략부품_1" hidden="1">{#N/A,#N/A,FALSE,"지침";#N/A,#N/A,FALSE,"환경분석";#N/A,#N/A,FALSE,"Sheet16"}</definedName>
    <definedName name="전략부품_1_1" localSheetId="20" hidden="1">{#N/A,#N/A,FALSE,"지침";#N/A,#N/A,FALSE,"환경분석";#N/A,#N/A,FALSE,"Sheet16"}</definedName>
    <definedName name="전략부품_1_1" hidden="1">{#N/A,#N/A,FALSE,"지침";#N/A,#N/A,FALSE,"환경분석";#N/A,#N/A,FALSE,"Sheet16"}</definedName>
    <definedName name="전략부품_1_1_1" localSheetId="20" hidden="1">{#N/A,#N/A,FALSE,"지침";#N/A,#N/A,FALSE,"환경분석";#N/A,#N/A,FALSE,"Sheet16"}</definedName>
    <definedName name="전략부품_1_1_1" hidden="1">{#N/A,#N/A,FALSE,"지침";#N/A,#N/A,FALSE,"환경분석";#N/A,#N/A,FALSE,"Sheet16"}</definedName>
    <definedName name="전략부품_1_2" localSheetId="20" hidden="1">{#N/A,#N/A,FALSE,"지침";#N/A,#N/A,FALSE,"환경분석";#N/A,#N/A,FALSE,"Sheet16"}</definedName>
    <definedName name="전략부품_1_2" hidden="1">{#N/A,#N/A,FALSE,"지침";#N/A,#N/A,FALSE,"환경분석";#N/A,#N/A,FALSE,"Sheet16"}</definedName>
    <definedName name="전략부품_2" localSheetId="20" hidden="1">{#N/A,#N/A,FALSE,"지침";#N/A,#N/A,FALSE,"환경분석";#N/A,#N/A,FALSE,"Sheet16"}</definedName>
    <definedName name="전략부품_2" hidden="1">{#N/A,#N/A,FALSE,"지침";#N/A,#N/A,FALSE,"환경분석";#N/A,#N/A,FALSE,"Sheet16"}</definedName>
    <definedName name="제품I067606" localSheetId="20" hidden="1">{#N/A,#N/A,FALSE,"지침";#N/A,#N/A,FALSE,"환경분석";#N/A,#N/A,FALSE,"Sheet16"}</definedName>
    <definedName name="제품I067606" hidden="1">{#N/A,#N/A,FALSE,"지침";#N/A,#N/A,FALSE,"환경분석";#N/A,#N/A,FALSE,"Sheet16"}</definedName>
    <definedName name="제품I067606_1" localSheetId="20" hidden="1">{#N/A,#N/A,FALSE,"지침";#N/A,#N/A,FALSE,"환경분석";#N/A,#N/A,FALSE,"Sheet16"}</definedName>
    <definedName name="제품I067606_1" hidden="1">{#N/A,#N/A,FALSE,"지침";#N/A,#N/A,FALSE,"환경분석";#N/A,#N/A,FALSE,"Sheet16"}</definedName>
    <definedName name="제품I067606_1_1" localSheetId="20" hidden="1">{#N/A,#N/A,FALSE,"지침";#N/A,#N/A,FALSE,"환경분석";#N/A,#N/A,FALSE,"Sheet16"}</definedName>
    <definedName name="제품I067606_1_1" hidden="1">{#N/A,#N/A,FALSE,"지침";#N/A,#N/A,FALSE,"환경분석";#N/A,#N/A,FALSE,"Sheet16"}</definedName>
    <definedName name="제품I067606_1_1_1" localSheetId="20" hidden="1">{#N/A,#N/A,FALSE,"지침";#N/A,#N/A,FALSE,"환경분석";#N/A,#N/A,FALSE,"Sheet16"}</definedName>
    <definedName name="제품I067606_1_1_1" hidden="1">{#N/A,#N/A,FALSE,"지침";#N/A,#N/A,FALSE,"환경분석";#N/A,#N/A,FALSE,"Sheet16"}</definedName>
    <definedName name="제품I067606_1_2" localSheetId="20" hidden="1">{#N/A,#N/A,FALSE,"지침";#N/A,#N/A,FALSE,"환경분석";#N/A,#N/A,FALSE,"Sheet16"}</definedName>
    <definedName name="제품I067606_1_2" hidden="1">{#N/A,#N/A,FALSE,"지침";#N/A,#N/A,FALSE,"환경분석";#N/A,#N/A,FALSE,"Sheet16"}</definedName>
    <definedName name="제품I067606_2" localSheetId="20" hidden="1">{#N/A,#N/A,FALSE,"지침";#N/A,#N/A,FALSE,"환경분석";#N/A,#N/A,FALSE,"Sheet16"}</definedName>
    <definedName name="제품I067606_2" hidden="1">{#N/A,#N/A,FALSE,"지침";#N/A,#N/A,FALSE,"환경분석";#N/A,#N/A,FALSE,"Sheet16"}</definedName>
    <definedName name="주" localSheetId="20" hidden="1">{#N/A,#N/A,FALSE,"지침";#N/A,#N/A,FALSE,"환경분석";#N/A,#N/A,FALSE,"Sheet16"}</definedName>
    <definedName name="주" hidden="1">{#N/A,#N/A,FALSE,"지침";#N/A,#N/A,FALSE,"환경분석";#N/A,#N/A,FALSE,"Sheet16"}</definedName>
    <definedName name="주_1" localSheetId="20" hidden="1">{#N/A,#N/A,FALSE,"지침";#N/A,#N/A,FALSE,"환경분석";#N/A,#N/A,FALSE,"Sheet16"}</definedName>
    <definedName name="주_1" hidden="1">{#N/A,#N/A,FALSE,"지침";#N/A,#N/A,FALSE,"환경분석";#N/A,#N/A,FALSE,"Sheet16"}</definedName>
    <definedName name="주_1_1" localSheetId="20" hidden="1">{#N/A,#N/A,FALSE,"지침";#N/A,#N/A,FALSE,"환경분석";#N/A,#N/A,FALSE,"Sheet16"}</definedName>
    <definedName name="주_1_1" hidden="1">{#N/A,#N/A,FALSE,"지침";#N/A,#N/A,FALSE,"환경분석";#N/A,#N/A,FALSE,"Sheet16"}</definedName>
    <definedName name="주_1_1_1" localSheetId="20" hidden="1">{#N/A,#N/A,FALSE,"지침";#N/A,#N/A,FALSE,"환경분석";#N/A,#N/A,FALSE,"Sheet16"}</definedName>
    <definedName name="주_1_1_1" hidden="1">{#N/A,#N/A,FALSE,"지침";#N/A,#N/A,FALSE,"환경분석";#N/A,#N/A,FALSE,"Sheet16"}</definedName>
    <definedName name="주_1_2" localSheetId="20" hidden="1">{#N/A,#N/A,FALSE,"지침";#N/A,#N/A,FALSE,"환경분석";#N/A,#N/A,FALSE,"Sheet16"}</definedName>
    <definedName name="주_1_2" hidden="1">{#N/A,#N/A,FALSE,"지침";#N/A,#N/A,FALSE,"환경분석";#N/A,#N/A,FALSE,"Sheet16"}</definedName>
    <definedName name="주_2" localSheetId="20" hidden="1">{#N/A,#N/A,FALSE,"지침";#N/A,#N/A,FALSE,"환경분석";#N/A,#N/A,FALSE,"Sheet16"}</definedName>
    <definedName name="주_2" hidden="1">{#N/A,#N/A,FALSE,"지침";#N/A,#N/A,FALSE,"환경분석";#N/A,#N/A,FALSE,"Sheet16"}</definedName>
    <definedName name="청원공장1" localSheetId="20" hidden="1">{#N/A,#N/A,FALSE,"지침";#N/A,#N/A,FALSE,"환경분석";#N/A,#N/A,FALSE,"Sheet16"}</definedName>
    <definedName name="청원공장1" hidden="1">{#N/A,#N/A,FALSE,"지침";#N/A,#N/A,FALSE,"환경분석";#N/A,#N/A,FALSE,"Sheet16"}</definedName>
    <definedName name="청원공장1_1" localSheetId="20" hidden="1">{#N/A,#N/A,FALSE,"지침";#N/A,#N/A,FALSE,"환경분석";#N/A,#N/A,FALSE,"Sheet16"}</definedName>
    <definedName name="청원공장1_1" hidden="1">{#N/A,#N/A,FALSE,"지침";#N/A,#N/A,FALSE,"환경분석";#N/A,#N/A,FALSE,"Sheet16"}</definedName>
    <definedName name="청원공장1_1_1" localSheetId="20" hidden="1">{#N/A,#N/A,FALSE,"지침";#N/A,#N/A,FALSE,"환경분석";#N/A,#N/A,FALSE,"Sheet16"}</definedName>
    <definedName name="청원공장1_1_1" hidden="1">{#N/A,#N/A,FALSE,"지침";#N/A,#N/A,FALSE,"환경분석";#N/A,#N/A,FALSE,"Sheet16"}</definedName>
    <definedName name="청원공장1_1_1_1" localSheetId="20" hidden="1">{#N/A,#N/A,FALSE,"지침";#N/A,#N/A,FALSE,"환경분석";#N/A,#N/A,FALSE,"Sheet16"}</definedName>
    <definedName name="청원공장1_1_1_1" hidden="1">{#N/A,#N/A,FALSE,"지침";#N/A,#N/A,FALSE,"환경분석";#N/A,#N/A,FALSE,"Sheet16"}</definedName>
    <definedName name="청원공장1_1_2" localSheetId="20" hidden="1">{#N/A,#N/A,FALSE,"지침";#N/A,#N/A,FALSE,"환경분석";#N/A,#N/A,FALSE,"Sheet16"}</definedName>
    <definedName name="청원공장1_1_2" hidden="1">{#N/A,#N/A,FALSE,"지침";#N/A,#N/A,FALSE,"환경분석";#N/A,#N/A,FALSE,"Sheet16"}</definedName>
    <definedName name="청원공장1_2" localSheetId="20" hidden="1">{#N/A,#N/A,FALSE,"지침";#N/A,#N/A,FALSE,"환경분석";#N/A,#N/A,FALSE,"Sheet16"}</definedName>
    <definedName name="청원공장1_2" hidden="1">{#N/A,#N/A,FALSE,"지침";#N/A,#N/A,FALSE,"환경분석";#N/A,#N/A,FALSE,"Sheet16"}</definedName>
    <definedName name="ㅏㅓ" localSheetId="20" hidden="1">{#N/A,#N/A,FALSE,"지침";#N/A,#N/A,FALSE,"환경분석";#N/A,#N/A,FALSE,"Sheet16"}</definedName>
    <definedName name="ㅏㅓ" hidden="1">{#N/A,#N/A,FALSE,"지침";#N/A,#N/A,FALSE,"환경분석";#N/A,#N/A,FALSE,"Sheet16"}</definedName>
    <definedName name="ㅏㅓ_1" localSheetId="20" hidden="1">{#N/A,#N/A,FALSE,"지침";#N/A,#N/A,FALSE,"환경분석";#N/A,#N/A,FALSE,"Sheet16"}</definedName>
    <definedName name="ㅏㅓ_1" hidden="1">{#N/A,#N/A,FALSE,"지침";#N/A,#N/A,FALSE,"환경분석";#N/A,#N/A,FALSE,"Sheet16"}</definedName>
    <definedName name="ㅏㅓ_1_1" localSheetId="20" hidden="1">{#N/A,#N/A,FALSE,"지침";#N/A,#N/A,FALSE,"환경분석";#N/A,#N/A,FALSE,"Sheet16"}</definedName>
    <definedName name="ㅏㅓ_1_1" hidden="1">{#N/A,#N/A,FALSE,"지침";#N/A,#N/A,FALSE,"환경분석";#N/A,#N/A,FALSE,"Sheet16"}</definedName>
    <definedName name="ㅏㅓ_1_1_1" localSheetId="20" hidden="1">{#N/A,#N/A,FALSE,"지침";#N/A,#N/A,FALSE,"환경분석";#N/A,#N/A,FALSE,"Sheet16"}</definedName>
    <definedName name="ㅏㅓ_1_1_1" hidden="1">{#N/A,#N/A,FALSE,"지침";#N/A,#N/A,FALSE,"환경분석";#N/A,#N/A,FALSE,"Sheet16"}</definedName>
    <definedName name="ㅏㅓ_1_2" localSheetId="20" hidden="1">{#N/A,#N/A,FALSE,"지침";#N/A,#N/A,FALSE,"환경분석";#N/A,#N/A,FALSE,"Sheet16"}</definedName>
    <definedName name="ㅏㅓ_1_2" hidden="1">{#N/A,#N/A,FALSE,"지침";#N/A,#N/A,FALSE,"환경분석";#N/A,#N/A,FALSE,"Sheet16"}</definedName>
    <definedName name="ㅏㅓ_2" localSheetId="20" hidden="1">{#N/A,#N/A,FALSE,"지침";#N/A,#N/A,FALSE,"환경분석";#N/A,#N/A,FALSE,"Sheet16"}</definedName>
    <definedName name="ㅏㅓ_2" hidden="1">{#N/A,#N/A,FALSE,"지침";#N/A,#N/A,FALSE,"환경분석";#N/A,#N/A,FALSE,"Sheet16"}</definedName>
    <definedName name="ㅐㅐㅐ" localSheetId="20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ㅐㅐ_1" localSheetId="20" hidden="1">{#N/A,#N/A,FALSE,"지침";#N/A,#N/A,FALSE,"환경분석";#N/A,#N/A,FALSE,"Sheet16"}</definedName>
    <definedName name="ㅐㅐㅐ_1" hidden="1">{#N/A,#N/A,FALSE,"지침";#N/A,#N/A,FALSE,"환경분석";#N/A,#N/A,FALSE,"Sheet16"}</definedName>
    <definedName name="ㅐㅐㅐ_1_1" localSheetId="20" hidden="1">{#N/A,#N/A,FALSE,"지침";#N/A,#N/A,FALSE,"환경분석";#N/A,#N/A,FALSE,"Sheet16"}</definedName>
    <definedName name="ㅐㅐㅐ_1_1" hidden="1">{#N/A,#N/A,FALSE,"지침";#N/A,#N/A,FALSE,"환경분석";#N/A,#N/A,FALSE,"Sheet16"}</definedName>
    <definedName name="ㅐㅐㅐ_1_1_1" localSheetId="20" hidden="1">{#N/A,#N/A,FALSE,"지침";#N/A,#N/A,FALSE,"환경분석";#N/A,#N/A,FALSE,"Sheet16"}</definedName>
    <definedName name="ㅐㅐㅐ_1_1_1" hidden="1">{#N/A,#N/A,FALSE,"지침";#N/A,#N/A,FALSE,"환경분석";#N/A,#N/A,FALSE,"Sheet16"}</definedName>
    <definedName name="ㅐㅐㅐ_1_2" localSheetId="20" hidden="1">{#N/A,#N/A,FALSE,"지침";#N/A,#N/A,FALSE,"환경분석";#N/A,#N/A,FALSE,"Sheet16"}</definedName>
    <definedName name="ㅐㅐㅐ_1_2" hidden="1">{#N/A,#N/A,FALSE,"지침";#N/A,#N/A,FALSE,"환경분석";#N/A,#N/A,FALSE,"Sheet16"}</definedName>
    <definedName name="ㅐㅐㅐ_2" localSheetId="20" hidden="1">{#N/A,#N/A,FALSE,"지침";#N/A,#N/A,FALSE,"환경분석";#N/A,#N/A,FALSE,"Sheet16"}</definedName>
    <definedName name="ㅐㅐㅐ_2" hidden="1">{#N/A,#N/A,FALSE,"지침";#N/A,#N/A,FALSE,"환경분석";#N/A,#N/A,FALSE,"Sheet16"}</definedName>
    <definedName name="ㅓㅗㅎ헛" localSheetId="20" hidden="1">{#N/A,#N/A,FALSE,"지침";#N/A,#N/A,FALSE,"환경분석";#N/A,#N/A,FALSE,"Sheet16"}</definedName>
    <definedName name="ㅓㅗㅎ헛" hidden="1">{#N/A,#N/A,FALSE,"지침";#N/A,#N/A,FALSE,"환경분석";#N/A,#N/A,FALSE,"Sheet16"}</definedName>
    <definedName name="ㅓㅗㅎ헛_1" localSheetId="20" hidden="1">{#N/A,#N/A,FALSE,"지침";#N/A,#N/A,FALSE,"환경분석";#N/A,#N/A,FALSE,"Sheet16"}</definedName>
    <definedName name="ㅓㅗㅎ헛_1" hidden="1">{#N/A,#N/A,FALSE,"지침";#N/A,#N/A,FALSE,"환경분석";#N/A,#N/A,FALSE,"Sheet16"}</definedName>
    <definedName name="ㅓㅗㅎ헛_1_1" localSheetId="20" hidden="1">{#N/A,#N/A,FALSE,"지침";#N/A,#N/A,FALSE,"환경분석";#N/A,#N/A,FALSE,"Sheet16"}</definedName>
    <definedName name="ㅓㅗㅎ헛_1_1" hidden="1">{#N/A,#N/A,FALSE,"지침";#N/A,#N/A,FALSE,"환경분석";#N/A,#N/A,FALSE,"Sheet16"}</definedName>
    <definedName name="ㅓㅗㅎ헛_1_1_1" localSheetId="20" hidden="1">{#N/A,#N/A,FALSE,"지침";#N/A,#N/A,FALSE,"환경분석";#N/A,#N/A,FALSE,"Sheet16"}</definedName>
    <definedName name="ㅓㅗㅎ헛_1_1_1" hidden="1">{#N/A,#N/A,FALSE,"지침";#N/A,#N/A,FALSE,"환경분석";#N/A,#N/A,FALSE,"Sheet16"}</definedName>
    <definedName name="ㅓㅗㅎ헛_1_2" localSheetId="20" hidden="1">{#N/A,#N/A,FALSE,"지침";#N/A,#N/A,FALSE,"환경분석";#N/A,#N/A,FALSE,"Sheet16"}</definedName>
    <definedName name="ㅓㅗㅎ헛_1_2" hidden="1">{#N/A,#N/A,FALSE,"지침";#N/A,#N/A,FALSE,"환경분석";#N/A,#N/A,FALSE,"Sheet16"}</definedName>
    <definedName name="ㅓㅗㅎ헛_2" localSheetId="20" hidden="1">{#N/A,#N/A,FALSE,"지침";#N/A,#N/A,FALSE,"환경분석";#N/A,#N/A,FALSE,"Sheet16"}</definedName>
    <definedName name="ㅓㅗㅎ헛_2" hidden="1">{#N/A,#N/A,FALSE,"지침";#N/A,#N/A,FALSE,"환경분석";#N/A,#N/A,FALSE,"Sheet16"}</definedName>
    <definedName name="ㅔ" localSheetId="20" hidden="1">{#N/A,#N/A,FALSE,"지침";#N/A,#N/A,FALSE,"환경분석";#N/A,#N/A,FALSE,"Sheet16"}</definedName>
    <definedName name="ㅔ" hidden="1">{#N/A,#N/A,FALSE,"지침";#N/A,#N/A,FALSE,"환경분석";#N/A,#N/A,FALSE,"Sheet16"}</definedName>
    <definedName name="ㅔ_1" localSheetId="20" hidden="1">{#N/A,#N/A,FALSE,"지침";#N/A,#N/A,FALSE,"환경분석";#N/A,#N/A,FALSE,"Sheet16"}</definedName>
    <definedName name="ㅔ_1" hidden="1">{#N/A,#N/A,FALSE,"지침";#N/A,#N/A,FALSE,"환경분석";#N/A,#N/A,FALSE,"Sheet16"}</definedName>
    <definedName name="ㅔ_1_1" localSheetId="20" hidden="1">{#N/A,#N/A,FALSE,"지침";#N/A,#N/A,FALSE,"환경분석";#N/A,#N/A,FALSE,"Sheet16"}</definedName>
    <definedName name="ㅔ_1_1" hidden="1">{#N/A,#N/A,FALSE,"지침";#N/A,#N/A,FALSE,"환경분석";#N/A,#N/A,FALSE,"Sheet16"}</definedName>
    <definedName name="ㅔ_1_1_1" localSheetId="20" hidden="1">{#N/A,#N/A,FALSE,"지침";#N/A,#N/A,FALSE,"환경분석";#N/A,#N/A,FALSE,"Sheet16"}</definedName>
    <definedName name="ㅔ_1_1_1" hidden="1">{#N/A,#N/A,FALSE,"지침";#N/A,#N/A,FALSE,"환경분석";#N/A,#N/A,FALSE,"Sheet16"}</definedName>
    <definedName name="ㅔ_1_2" localSheetId="20" hidden="1">{#N/A,#N/A,FALSE,"지침";#N/A,#N/A,FALSE,"환경분석";#N/A,#N/A,FALSE,"Sheet16"}</definedName>
    <definedName name="ㅔ_1_2" hidden="1">{#N/A,#N/A,FALSE,"지침";#N/A,#N/A,FALSE,"환경분석";#N/A,#N/A,FALSE,"Sheet16"}</definedName>
    <definedName name="ㅔ_2" localSheetId="20" hidden="1">{#N/A,#N/A,FALSE,"지침";#N/A,#N/A,FALSE,"환경분석";#N/A,#N/A,FALSE,"Sheet16"}</definedName>
    <definedName name="ㅔ_2" hidden="1">{#N/A,#N/A,FALSE,"지침";#N/A,#N/A,FALSE,"환경분석";#N/A,#N/A,FALSE,"Sheet16"}</definedName>
    <definedName name="ㅠㅠㅠ" localSheetId="2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ㅠㅠㅠ_1" localSheetId="20" hidden="1">{#N/A,#N/A,FALSE,"지침";#N/A,#N/A,FALSE,"환경분석";#N/A,#N/A,FALSE,"Sheet16"}</definedName>
    <definedName name="ㅠㅠㅠ_1" hidden="1">{#N/A,#N/A,FALSE,"지침";#N/A,#N/A,FALSE,"환경분석";#N/A,#N/A,FALSE,"Sheet16"}</definedName>
    <definedName name="ㅠㅠㅠ_1_1" localSheetId="20" hidden="1">{#N/A,#N/A,FALSE,"지침";#N/A,#N/A,FALSE,"환경분석";#N/A,#N/A,FALSE,"Sheet16"}</definedName>
    <definedName name="ㅠㅠㅠ_1_1" hidden="1">{#N/A,#N/A,FALSE,"지침";#N/A,#N/A,FALSE,"환경분석";#N/A,#N/A,FALSE,"Sheet16"}</definedName>
    <definedName name="ㅠㅠㅠ_1_1_1" localSheetId="20" hidden="1">{#N/A,#N/A,FALSE,"지침";#N/A,#N/A,FALSE,"환경분석";#N/A,#N/A,FALSE,"Sheet16"}</definedName>
    <definedName name="ㅠㅠㅠ_1_1_1" hidden="1">{#N/A,#N/A,FALSE,"지침";#N/A,#N/A,FALSE,"환경분석";#N/A,#N/A,FALSE,"Sheet16"}</definedName>
    <definedName name="ㅠㅠㅠ_1_2" localSheetId="20" hidden="1">{#N/A,#N/A,FALSE,"지침";#N/A,#N/A,FALSE,"환경분석";#N/A,#N/A,FALSE,"Sheet16"}</definedName>
    <definedName name="ㅠㅠㅠ_1_2" hidden="1">{#N/A,#N/A,FALSE,"지침";#N/A,#N/A,FALSE,"환경분석";#N/A,#N/A,FALSE,"Sheet16"}</definedName>
    <definedName name="ㅠㅠㅠ_2" localSheetId="20" hidden="1">{#N/A,#N/A,FALSE,"지침";#N/A,#N/A,FALSE,"환경분석";#N/A,#N/A,FALSE,"Sheet16"}</definedName>
    <definedName name="ㅠㅠㅠ_2" hidden="1">{#N/A,#N/A,FALSE,"지침";#N/A,#N/A,FALSE,"환경분석";#N/A,#N/A,FALSE,"Sheet16"}</definedName>
    <definedName name="ㅡㅡㅡ" localSheetId="20" hidden="1">{#N/A,#N/A,FALSE,"지침";#N/A,#N/A,FALSE,"환경분석";#N/A,#N/A,FALSE,"Sheet16"}</definedName>
    <definedName name="ㅡㅡㅡ" hidden="1">{#N/A,#N/A,FALSE,"지침";#N/A,#N/A,FALSE,"환경분석";#N/A,#N/A,FALSE,"Sheet16"}</definedName>
    <definedName name="ㅡㅡㅡ_1" localSheetId="20" hidden="1">{#N/A,#N/A,FALSE,"지침";#N/A,#N/A,FALSE,"환경분석";#N/A,#N/A,FALSE,"Sheet16"}</definedName>
    <definedName name="ㅡㅡㅡ_1" hidden="1">{#N/A,#N/A,FALSE,"지침";#N/A,#N/A,FALSE,"환경분석";#N/A,#N/A,FALSE,"Sheet16"}</definedName>
    <definedName name="ㅡㅡㅡ_1_1" localSheetId="20" hidden="1">{#N/A,#N/A,FALSE,"지침";#N/A,#N/A,FALSE,"환경분석";#N/A,#N/A,FALSE,"Sheet16"}</definedName>
    <definedName name="ㅡㅡㅡ_1_1" hidden="1">{#N/A,#N/A,FALSE,"지침";#N/A,#N/A,FALSE,"환경분석";#N/A,#N/A,FALSE,"Sheet16"}</definedName>
    <definedName name="ㅡㅡㅡ_1_1_1" localSheetId="20" hidden="1">{#N/A,#N/A,FALSE,"지침";#N/A,#N/A,FALSE,"환경분석";#N/A,#N/A,FALSE,"Sheet16"}</definedName>
    <definedName name="ㅡㅡㅡ_1_1_1" hidden="1">{#N/A,#N/A,FALSE,"지침";#N/A,#N/A,FALSE,"환경분석";#N/A,#N/A,FALSE,"Sheet16"}</definedName>
    <definedName name="ㅡㅡㅡ_1_2" localSheetId="20" hidden="1">{#N/A,#N/A,FALSE,"지침";#N/A,#N/A,FALSE,"환경분석";#N/A,#N/A,FALSE,"Sheet16"}</definedName>
    <definedName name="ㅡㅡㅡ_1_2" hidden="1">{#N/A,#N/A,FALSE,"지침";#N/A,#N/A,FALSE,"환경분석";#N/A,#N/A,FALSE,"Sheet16"}</definedName>
    <definedName name="ㅡㅡㅡ_2" localSheetId="20" hidden="1">{#N/A,#N/A,FALSE,"지침";#N/A,#N/A,FALSE,"환경분석";#N/A,#N/A,FALSE,"Sheet16"}</definedName>
    <definedName name="ㅡㅡㅡ_2" hidden="1">{#N/A,#N/A,FALSE,"지침";#N/A,#N/A,FALSE,"환경분석";#N/A,#N/A,FALSE,"Sheet16"}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68" l="1"/>
  <c r="H9" i="68"/>
  <c r="H25" i="68"/>
  <c r="F25" i="68"/>
  <c r="G25" i="68"/>
  <c r="D10" i="65"/>
  <c r="K34" i="62"/>
  <c r="J34" i="62"/>
  <c r="D11" i="65" l="1"/>
  <c r="W56" i="55"/>
  <c r="A21" i="25"/>
  <c r="F14" i="45"/>
  <c r="E47" i="43"/>
  <c r="F19" i="47"/>
  <c r="D18" i="65"/>
  <c r="D17" i="65"/>
  <c r="P18" i="63"/>
  <c r="L18" i="63"/>
  <c r="U142" i="55"/>
  <c r="U137" i="55"/>
  <c r="U117" i="55"/>
  <c r="Y139" i="55"/>
  <c r="Y119" i="55"/>
  <c r="W118" i="55"/>
  <c r="W112" i="55"/>
  <c r="Z138" i="55"/>
  <c r="W107" i="55"/>
  <c r="W108" i="55"/>
  <c r="W109" i="55"/>
  <c r="W110" i="55"/>
  <c r="W111" i="55"/>
  <c r="W113" i="55"/>
  <c r="W114" i="55"/>
  <c r="W115" i="55"/>
  <c r="W116" i="55"/>
  <c r="R143" i="55"/>
  <c r="G15" i="63"/>
  <c r="O137" i="55"/>
  <c r="O117" i="55"/>
  <c r="O142" i="55"/>
  <c r="W129" i="55"/>
  <c r="A57" i="25" l="1"/>
  <c r="B57" i="25"/>
  <c r="C57" i="25"/>
  <c r="A58" i="25"/>
  <c r="B58" i="25"/>
  <c r="C58" i="25"/>
  <c r="A59" i="25"/>
  <c r="B59" i="25"/>
  <c r="C59" i="25"/>
  <c r="A60" i="25"/>
  <c r="B60" i="25"/>
  <c r="C60" i="25"/>
  <c r="O51" i="68"/>
  <c r="J50" i="68"/>
  <c r="K50" i="68" s="1"/>
  <c r="O48" i="68"/>
  <c r="N52" i="68" s="1"/>
  <c r="O44" i="68"/>
  <c r="O40" i="68"/>
  <c r="O39" i="68"/>
  <c r="O34" i="68"/>
  <c r="O28" i="68"/>
  <c r="J27" i="68"/>
  <c r="H30" i="68" s="1"/>
  <c r="O25" i="68"/>
  <c r="N28" i="68" s="1"/>
  <c r="G13" i="68"/>
  <c r="I13" i="68" s="1"/>
  <c r="G12" i="68"/>
  <c r="I12" i="68" s="1"/>
  <c r="G11" i="68"/>
  <c r="I11" i="68" s="1"/>
  <c r="H10" i="68"/>
  <c r="G10" i="68"/>
  <c r="I10" i="68" s="1"/>
  <c r="G6" i="68"/>
  <c r="I6" i="68" s="1"/>
  <c r="G5" i="68"/>
  <c r="I5" i="68" s="1"/>
  <c r="I4" i="68"/>
  <c r="G3" i="68"/>
  <c r="I3" i="68" s="1"/>
  <c r="D5" i="65"/>
  <c r="D6" i="25" s="1"/>
  <c r="A26" i="25"/>
  <c r="B26" i="25"/>
  <c r="C26" i="25"/>
  <c r="D26" i="25"/>
  <c r="A27" i="25"/>
  <c r="B27" i="25"/>
  <c r="C27" i="25"/>
  <c r="D27" i="25"/>
  <c r="A28" i="25"/>
  <c r="B28" i="25"/>
  <c r="C28" i="25"/>
  <c r="D28" i="25"/>
  <c r="A29" i="25"/>
  <c r="B29" i="25"/>
  <c r="C29" i="25"/>
  <c r="D29" i="25"/>
  <c r="A30" i="25"/>
  <c r="B30" i="25"/>
  <c r="C30" i="25"/>
  <c r="D30" i="25"/>
  <c r="A31" i="25"/>
  <c r="B31" i="25"/>
  <c r="C31" i="25"/>
  <c r="D31" i="25"/>
  <c r="A32" i="25"/>
  <c r="B32" i="25"/>
  <c r="C32" i="25"/>
  <c r="D32" i="25"/>
  <c r="A33" i="25"/>
  <c r="B33" i="25"/>
  <c r="C33" i="25"/>
  <c r="D33" i="25"/>
  <c r="A34" i="25"/>
  <c r="B34" i="25"/>
  <c r="C34" i="25"/>
  <c r="D34" i="25"/>
  <c r="A35" i="25"/>
  <c r="B35" i="25"/>
  <c r="C35" i="25"/>
  <c r="D35" i="25"/>
  <c r="A36" i="25"/>
  <c r="B36" i="25"/>
  <c r="C36" i="25"/>
  <c r="A40" i="25"/>
  <c r="B40" i="25"/>
  <c r="C40" i="25"/>
  <c r="A41" i="25"/>
  <c r="B41" i="25"/>
  <c r="C41" i="25"/>
  <c r="A42" i="25"/>
  <c r="B42" i="25"/>
  <c r="C42" i="25"/>
  <c r="A43" i="25"/>
  <c r="B43" i="25"/>
  <c r="C43" i="25"/>
  <c r="A44" i="25"/>
  <c r="B44" i="25"/>
  <c r="C44" i="25"/>
  <c r="A45" i="25"/>
  <c r="B45" i="25"/>
  <c r="C45" i="25"/>
  <c r="A46" i="25"/>
  <c r="B46" i="25"/>
  <c r="C46" i="25"/>
  <c r="A47" i="25"/>
  <c r="B47" i="25"/>
  <c r="C47" i="25"/>
  <c r="A48" i="25"/>
  <c r="B48" i="25"/>
  <c r="C48" i="25"/>
  <c r="A37" i="25"/>
  <c r="B37" i="25"/>
  <c r="C37" i="25"/>
  <c r="D37" i="25"/>
  <c r="A38" i="25"/>
  <c r="B38" i="25"/>
  <c r="C38" i="25"/>
  <c r="D38" i="25"/>
  <c r="A39" i="25"/>
  <c r="B39" i="25"/>
  <c r="C39" i="25"/>
  <c r="D39" i="25"/>
  <c r="F18" i="45"/>
  <c r="F17" i="45"/>
  <c r="F16" i="45"/>
  <c r="E62" i="67"/>
  <c r="E60" i="67"/>
  <c r="E8" i="67"/>
  <c r="E12" i="66"/>
  <c r="E11" i="66"/>
  <c r="E8" i="66"/>
  <c r="E48" i="66" s="1"/>
  <c r="A3" i="25"/>
  <c r="B3" i="25"/>
  <c r="C3" i="25"/>
  <c r="C4" i="25"/>
  <c r="A5" i="25"/>
  <c r="B5" i="25"/>
  <c r="C5" i="25"/>
  <c r="A6" i="25"/>
  <c r="B6" i="25"/>
  <c r="C6" i="25"/>
  <c r="A7" i="25"/>
  <c r="B7" i="25"/>
  <c r="C7" i="25"/>
  <c r="A8" i="25"/>
  <c r="B8" i="25"/>
  <c r="C8" i="25"/>
  <c r="D8" i="25"/>
  <c r="A9" i="25"/>
  <c r="B9" i="25"/>
  <c r="C9" i="25"/>
  <c r="D9" i="25"/>
  <c r="A10" i="25"/>
  <c r="B10" i="25"/>
  <c r="C10" i="25"/>
  <c r="A11" i="25"/>
  <c r="B11" i="25"/>
  <c r="C11" i="25"/>
  <c r="A12" i="25"/>
  <c r="B12" i="25"/>
  <c r="C12" i="25"/>
  <c r="A13" i="25"/>
  <c r="B13" i="25"/>
  <c r="C13" i="25"/>
  <c r="A14" i="25"/>
  <c r="B14" i="25"/>
  <c r="C14" i="25"/>
  <c r="A15" i="25"/>
  <c r="B15" i="25"/>
  <c r="C15" i="25"/>
  <c r="A16" i="25"/>
  <c r="B16" i="25"/>
  <c r="C16" i="25"/>
  <c r="A17" i="25"/>
  <c r="B17" i="25"/>
  <c r="C17" i="25"/>
  <c r="A18" i="25"/>
  <c r="B18" i="25"/>
  <c r="C18" i="25"/>
  <c r="A19" i="25"/>
  <c r="B19" i="25"/>
  <c r="C19" i="25"/>
  <c r="A20" i="25"/>
  <c r="B20" i="25"/>
  <c r="C20" i="25"/>
  <c r="B21" i="25"/>
  <c r="C21" i="25"/>
  <c r="A22" i="25"/>
  <c r="B22" i="25"/>
  <c r="C22" i="25"/>
  <c r="A23" i="25"/>
  <c r="B23" i="25"/>
  <c r="C23" i="25"/>
  <c r="A24" i="25"/>
  <c r="B24" i="25"/>
  <c r="C24" i="25"/>
  <c r="D8" i="65"/>
  <c r="G8" i="65"/>
  <c r="D7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7" i="65"/>
  <c r="G6" i="65"/>
  <c r="G5" i="65"/>
  <c r="G4" i="65"/>
  <c r="G3" i="65"/>
  <c r="G2" i="65"/>
  <c r="D14" i="64"/>
  <c r="D13" i="64"/>
  <c r="D12" i="64"/>
  <c r="T10" i="64" s="1"/>
  <c r="T11" i="64"/>
  <c r="D11" i="64"/>
  <c r="T9" i="64" s="1"/>
  <c r="P10" i="64"/>
  <c r="D10" i="64"/>
  <c r="D9" i="64"/>
  <c r="D8" i="64"/>
  <c r="D7" i="64"/>
  <c r="T6" i="64"/>
  <c r="S6" i="64"/>
  <c r="K18" i="63"/>
  <c r="K14" i="63"/>
  <c r="K13" i="63"/>
  <c r="D9" i="63"/>
  <c r="J345" i="62"/>
  <c r="M344" i="62"/>
  <c r="M342" i="62"/>
  <c r="M341" i="62"/>
  <c r="P336" i="62"/>
  <c r="W334" i="62"/>
  <c r="V334" i="62"/>
  <c r="U334" i="62"/>
  <c r="T334" i="62"/>
  <c r="R334" i="62"/>
  <c r="Q334" i="62"/>
  <c r="O334" i="62"/>
  <c r="N334" i="62"/>
  <c r="J334" i="62"/>
  <c r="E334" i="62"/>
  <c r="W333" i="62"/>
  <c r="V333" i="62"/>
  <c r="U333" i="62"/>
  <c r="T333" i="62"/>
  <c r="R333" i="62"/>
  <c r="Q333" i="62"/>
  <c r="O333" i="62"/>
  <c r="N333" i="62"/>
  <c r="J333" i="62"/>
  <c r="E333" i="62"/>
  <c r="W332" i="62"/>
  <c r="V332" i="62"/>
  <c r="U332" i="62"/>
  <c r="T332" i="62"/>
  <c r="R332" i="62"/>
  <c r="Q332" i="62"/>
  <c r="O332" i="62"/>
  <c r="N332" i="62"/>
  <c r="J332" i="62"/>
  <c r="E332" i="62"/>
  <c r="W331" i="62"/>
  <c r="V331" i="62"/>
  <c r="U331" i="62"/>
  <c r="T331" i="62"/>
  <c r="R331" i="62"/>
  <c r="Q331" i="62"/>
  <c r="O331" i="62"/>
  <c r="N331" i="62"/>
  <c r="J331" i="62"/>
  <c r="E331" i="62"/>
  <c r="W330" i="62"/>
  <c r="V330" i="62"/>
  <c r="U330" i="62"/>
  <c r="T330" i="62"/>
  <c r="R330" i="62"/>
  <c r="Q330" i="62"/>
  <c r="O330" i="62"/>
  <c r="N330" i="62"/>
  <c r="J330" i="62"/>
  <c r="E330" i="62"/>
  <c r="W329" i="62"/>
  <c r="V329" i="62"/>
  <c r="U329" i="62"/>
  <c r="T329" i="62"/>
  <c r="R329" i="62"/>
  <c r="Q329" i="62"/>
  <c r="O329" i="62"/>
  <c r="N329" i="62"/>
  <c r="J329" i="62"/>
  <c r="E329" i="62"/>
  <c r="W328" i="62"/>
  <c r="V328" i="62"/>
  <c r="U328" i="62"/>
  <c r="T328" i="62"/>
  <c r="R328" i="62"/>
  <c r="Q328" i="62"/>
  <c r="O328" i="62"/>
  <c r="N328" i="62"/>
  <c r="J328" i="62"/>
  <c r="E328" i="62"/>
  <c r="W327" i="62"/>
  <c r="V327" i="62"/>
  <c r="U327" i="62"/>
  <c r="T327" i="62"/>
  <c r="R327" i="62"/>
  <c r="Q327" i="62"/>
  <c r="O327" i="62"/>
  <c r="N327" i="62"/>
  <c r="J327" i="62"/>
  <c r="E327" i="62"/>
  <c r="W326" i="62"/>
  <c r="V326" i="62"/>
  <c r="U326" i="62"/>
  <c r="T326" i="62"/>
  <c r="R326" i="62"/>
  <c r="Q326" i="62"/>
  <c r="O326" i="62"/>
  <c r="N326" i="62"/>
  <c r="J326" i="62"/>
  <c r="E326" i="62"/>
  <c r="W325" i="62"/>
  <c r="V325" i="62"/>
  <c r="U325" i="62"/>
  <c r="T325" i="62"/>
  <c r="R325" i="62"/>
  <c r="Q325" i="62"/>
  <c r="O325" i="62"/>
  <c r="N325" i="62"/>
  <c r="J325" i="62"/>
  <c r="E325" i="62"/>
  <c r="W324" i="62"/>
  <c r="V324" i="62"/>
  <c r="U324" i="62"/>
  <c r="T324" i="62"/>
  <c r="R324" i="62"/>
  <c r="Q324" i="62"/>
  <c r="O324" i="62"/>
  <c r="N324" i="62"/>
  <c r="J324" i="62"/>
  <c r="E324" i="62"/>
  <c r="W323" i="62"/>
  <c r="V323" i="62"/>
  <c r="U323" i="62"/>
  <c r="T323" i="62"/>
  <c r="R323" i="62"/>
  <c r="Q323" i="62"/>
  <c r="O323" i="62"/>
  <c r="N323" i="62"/>
  <c r="J323" i="62"/>
  <c r="E323" i="62"/>
  <c r="W322" i="62"/>
  <c r="V322" i="62"/>
  <c r="U322" i="62"/>
  <c r="T322" i="62"/>
  <c r="R322" i="62"/>
  <c r="Q322" i="62"/>
  <c r="O322" i="62"/>
  <c r="N322" i="62"/>
  <c r="J322" i="62"/>
  <c r="E322" i="62"/>
  <c r="W321" i="62"/>
  <c r="V321" i="62"/>
  <c r="U321" i="62"/>
  <c r="T321" i="62"/>
  <c r="R321" i="62"/>
  <c r="Q321" i="62"/>
  <c r="O321" i="62"/>
  <c r="N321" i="62"/>
  <c r="J321" i="62"/>
  <c r="E321" i="62"/>
  <c r="W320" i="62"/>
  <c r="V320" i="62"/>
  <c r="U320" i="62"/>
  <c r="T320" i="62"/>
  <c r="R320" i="62"/>
  <c r="Q320" i="62"/>
  <c r="O320" i="62"/>
  <c r="N320" i="62"/>
  <c r="J320" i="62"/>
  <c r="E320" i="62"/>
  <c r="W319" i="62"/>
  <c r="V319" i="62"/>
  <c r="U319" i="62"/>
  <c r="T319" i="62"/>
  <c r="R319" i="62"/>
  <c r="Q319" i="62"/>
  <c r="O319" i="62"/>
  <c r="N319" i="62"/>
  <c r="J319" i="62"/>
  <c r="E319" i="62"/>
  <c r="W318" i="62"/>
  <c r="V318" i="62"/>
  <c r="U318" i="62"/>
  <c r="T318" i="62"/>
  <c r="R318" i="62"/>
  <c r="Q318" i="62"/>
  <c r="O318" i="62"/>
  <c r="N318" i="62"/>
  <c r="J318" i="62"/>
  <c r="E318" i="62"/>
  <c r="W317" i="62"/>
  <c r="V317" i="62"/>
  <c r="U317" i="62"/>
  <c r="T317" i="62"/>
  <c r="R317" i="62"/>
  <c r="Q317" i="62"/>
  <c r="O317" i="62"/>
  <c r="N317" i="62"/>
  <c r="J317" i="62"/>
  <c r="E317" i="62"/>
  <c r="W316" i="62"/>
  <c r="V316" i="62"/>
  <c r="U316" i="62"/>
  <c r="T316" i="62"/>
  <c r="R316" i="62"/>
  <c r="Q316" i="62"/>
  <c r="O316" i="62"/>
  <c r="N316" i="62"/>
  <c r="J316" i="62"/>
  <c r="E316" i="62"/>
  <c r="W315" i="62"/>
  <c r="V315" i="62"/>
  <c r="U315" i="62"/>
  <c r="T315" i="62"/>
  <c r="R315" i="62"/>
  <c r="Q315" i="62"/>
  <c r="O315" i="62"/>
  <c r="N315" i="62"/>
  <c r="J315" i="62"/>
  <c r="E315" i="62"/>
  <c r="W314" i="62"/>
  <c r="V314" i="62"/>
  <c r="U314" i="62"/>
  <c r="T314" i="62"/>
  <c r="R314" i="62"/>
  <c r="Q314" i="62"/>
  <c r="O314" i="62"/>
  <c r="N314" i="62"/>
  <c r="J314" i="62"/>
  <c r="E314" i="62"/>
  <c r="W313" i="62"/>
  <c r="V313" i="62"/>
  <c r="U313" i="62"/>
  <c r="T313" i="62"/>
  <c r="R313" i="62"/>
  <c r="Q313" i="62"/>
  <c r="O313" i="62"/>
  <c r="N313" i="62"/>
  <c r="J313" i="62"/>
  <c r="E313" i="62"/>
  <c r="W312" i="62"/>
  <c r="V312" i="62"/>
  <c r="U312" i="62"/>
  <c r="T312" i="62"/>
  <c r="R312" i="62"/>
  <c r="Q312" i="62"/>
  <c r="O312" i="62"/>
  <c r="N312" i="62"/>
  <c r="J312" i="62"/>
  <c r="E312" i="62"/>
  <c r="W311" i="62"/>
  <c r="V311" i="62"/>
  <c r="U311" i="62"/>
  <c r="T311" i="62"/>
  <c r="R311" i="62"/>
  <c r="Q311" i="62"/>
  <c r="O311" i="62"/>
  <c r="N311" i="62"/>
  <c r="J311" i="62"/>
  <c r="E311" i="62"/>
  <c r="W310" i="62"/>
  <c r="V310" i="62"/>
  <c r="U310" i="62"/>
  <c r="T310" i="62"/>
  <c r="R310" i="62"/>
  <c r="Q310" i="62"/>
  <c r="O310" i="62"/>
  <c r="N310" i="62"/>
  <c r="J310" i="62"/>
  <c r="E310" i="62"/>
  <c r="W309" i="62"/>
  <c r="V309" i="62"/>
  <c r="U309" i="62"/>
  <c r="T309" i="62"/>
  <c r="R309" i="62"/>
  <c r="Q309" i="62"/>
  <c r="O309" i="62"/>
  <c r="N309" i="62"/>
  <c r="J309" i="62"/>
  <c r="E309" i="62"/>
  <c r="W308" i="62"/>
  <c r="V308" i="62"/>
  <c r="U308" i="62"/>
  <c r="T308" i="62"/>
  <c r="R308" i="62"/>
  <c r="Q308" i="62"/>
  <c r="O308" i="62"/>
  <c r="N308" i="62"/>
  <c r="J308" i="62"/>
  <c r="E308" i="62"/>
  <c r="W307" i="62"/>
  <c r="V307" i="62"/>
  <c r="U307" i="62"/>
  <c r="T307" i="62"/>
  <c r="R307" i="62"/>
  <c r="Q307" i="62"/>
  <c r="O307" i="62"/>
  <c r="N307" i="62"/>
  <c r="J307" i="62"/>
  <c r="E307" i="62"/>
  <c r="W306" i="62"/>
  <c r="V306" i="62"/>
  <c r="U306" i="62"/>
  <c r="T306" i="62"/>
  <c r="R306" i="62"/>
  <c r="Q306" i="62"/>
  <c r="O306" i="62"/>
  <c r="N306" i="62"/>
  <c r="J306" i="62"/>
  <c r="E306" i="62"/>
  <c r="W305" i="62"/>
  <c r="V305" i="62"/>
  <c r="U305" i="62"/>
  <c r="T305" i="62"/>
  <c r="R305" i="62"/>
  <c r="Q305" i="62"/>
  <c r="O305" i="62"/>
  <c r="N305" i="62"/>
  <c r="J305" i="62"/>
  <c r="E305" i="62"/>
  <c r="W304" i="62"/>
  <c r="V304" i="62"/>
  <c r="U304" i="62"/>
  <c r="T304" i="62"/>
  <c r="R304" i="62"/>
  <c r="Q304" i="62"/>
  <c r="O304" i="62"/>
  <c r="N304" i="62"/>
  <c r="J304" i="62"/>
  <c r="E304" i="62"/>
  <c r="W303" i="62"/>
  <c r="V303" i="62"/>
  <c r="U303" i="62"/>
  <c r="T303" i="62"/>
  <c r="R303" i="62"/>
  <c r="Q303" i="62"/>
  <c r="O303" i="62"/>
  <c r="N303" i="62"/>
  <c r="J303" i="62"/>
  <c r="E303" i="62"/>
  <c r="W302" i="62"/>
  <c r="V302" i="62"/>
  <c r="U302" i="62"/>
  <c r="T302" i="62"/>
  <c r="R302" i="62"/>
  <c r="Q302" i="62"/>
  <c r="O302" i="62"/>
  <c r="N302" i="62"/>
  <c r="N335" i="62" s="1"/>
  <c r="J302" i="62"/>
  <c r="J335" i="62" s="1"/>
  <c r="E302" i="62"/>
  <c r="W301" i="62"/>
  <c r="V301" i="62"/>
  <c r="U301" i="62"/>
  <c r="T301" i="62"/>
  <c r="R301" i="62"/>
  <c r="Q301" i="62"/>
  <c r="O301" i="62"/>
  <c r="N301" i="62"/>
  <c r="J301" i="62"/>
  <c r="E301" i="62"/>
  <c r="W300" i="62"/>
  <c r="V300" i="62"/>
  <c r="U300" i="62"/>
  <c r="T300" i="62"/>
  <c r="R300" i="62"/>
  <c r="Q300" i="62"/>
  <c r="O300" i="62"/>
  <c r="N300" i="62"/>
  <c r="J300" i="62"/>
  <c r="E300" i="62"/>
  <c r="J294" i="62"/>
  <c r="R284" i="62"/>
  <c r="O284" i="62"/>
  <c r="N284" i="62"/>
  <c r="W283" i="62"/>
  <c r="V283" i="62"/>
  <c r="U283" i="62"/>
  <c r="T283" i="62"/>
  <c r="R283" i="62"/>
  <c r="Q283" i="62"/>
  <c r="O283" i="62"/>
  <c r="N283" i="62"/>
  <c r="J283" i="62"/>
  <c r="E283" i="62"/>
  <c r="W282" i="62"/>
  <c r="V282" i="62"/>
  <c r="U282" i="62"/>
  <c r="T282" i="62"/>
  <c r="R282" i="62"/>
  <c r="Q282" i="62"/>
  <c r="O282" i="62"/>
  <c r="N282" i="62"/>
  <c r="J282" i="62"/>
  <c r="E282" i="62"/>
  <c r="W281" i="62"/>
  <c r="V281" i="62"/>
  <c r="U281" i="62"/>
  <c r="T281" i="62"/>
  <c r="R281" i="62"/>
  <c r="Q281" i="62"/>
  <c r="O281" i="62"/>
  <c r="N281" i="62"/>
  <c r="J281" i="62"/>
  <c r="E281" i="62"/>
  <c r="W280" i="62"/>
  <c r="V280" i="62"/>
  <c r="U280" i="62"/>
  <c r="T280" i="62"/>
  <c r="R280" i="62"/>
  <c r="Q280" i="62"/>
  <c r="O280" i="62"/>
  <c r="N280" i="62"/>
  <c r="J280" i="62"/>
  <c r="E280" i="62"/>
  <c r="W279" i="62"/>
  <c r="V279" i="62"/>
  <c r="U279" i="62"/>
  <c r="T279" i="62"/>
  <c r="R279" i="62"/>
  <c r="Q279" i="62"/>
  <c r="O279" i="62"/>
  <c r="N279" i="62"/>
  <c r="J279" i="62"/>
  <c r="E279" i="62"/>
  <c r="W278" i="62"/>
  <c r="V278" i="62"/>
  <c r="U278" i="62"/>
  <c r="T278" i="62"/>
  <c r="R278" i="62"/>
  <c r="Q278" i="62"/>
  <c r="O278" i="62"/>
  <c r="N278" i="62"/>
  <c r="J278" i="62"/>
  <c r="E278" i="62"/>
  <c r="W277" i="62"/>
  <c r="V277" i="62"/>
  <c r="U277" i="62"/>
  <c r="T277" i="62"/>
  <c r="R277" i="62"/>
  <c r="Q277" i="62"/>
  <c r="O277" i="62"/>
  <c r="N277" i="62"/>
  <c r="J277" i="62"/>
  <c r="E277" i="62"/>
  <c r="W276" i="62"/>
  <c r="V276" i="62"/>
  <c r="U276" i="62"/>
  <c r="T276" i="62"/>
  <c r="R276" i="62"/>
  <c r="Q276" i="62"/>
  <c r="O276" i="62"/>
  <c r="N276" i="62"/>
  <c r="J276" i="62"/>
  <c r="E276" i="62"/>
  <c r="W275" i="62"/>
  <c r="V275" i="62"/>
  <c r="U275" i="62"/>
  <c r="T275" i="62"/>
  <c r="R275" i="62"/>
  <c r="Q275" i="62"/>
  <c r="O275" i="62"/>
  <c r="N275" i="62"/>
  <c r="J275" i="62"/>
  <c r="E275" i="62"/>
  <c r="W274" i="62"/>
  <c r="V274" i="62"/>
  <c r="U274" i="62"/>
  <c r="T274" i="62"/>
  <c r="R274" i="62"/>
  <c r="Q274" i="62"/>
  <c r="O274" i="62"/>
  <c r="N274" i="62"/>
  <c r="J274" i="62"/>
  <c r="E274" i="62"/>
  <c r="W273" i="62"/>
  <c r="V273" i="62"/>
  <c r="U273" i="62"/>
  <c r="T273" i="62"/>
  <c r="R273" i="62"/>
  <c r="Q273" i="62"/>
  <c r="O273" i="62"/>
  <c r="N273" i="62"/>
  <c r="J273" i="62"/>
  <c r="E273" i="62"/>
  <c r="W272" i="62"/>
  <c r="V272" i="62"/>
  <c r="U272" i="62"/>
  <c r="T272" i="62"/>
  <c r="R272" i="62"/>
  <c r="Q272" i="62"/>
  <c r="O272" i="62"/>
  <c r="N272" i="62"/>
  <c r="J272" i="62"/>
  <c r="E272" i="62"/>
  <c r="W271" i="62"/>
  <c r="V271" i="62"/>
  <c r="U271" i="62"/>
  <c r="T271" i="62"/>
  <c r="R271" i="62"/>
  <c r="Q271" i="62"/>
  <c r="O271" i="62"/>
  <c r="N271" i="62"/>
  <c r="J271" i="62"/>
  <c r="E271" i="62"/>
  <c r="W270" i="62"/>
  <c r="V270" i="62"/>
  <c r="U270" i="62"/>
  <c r="T270" i="62"/>
  <c r="R270" i="62"/>
  <c r="Q270" i="62"/>
  <c r="O270" i="62"/>
  <c r="N270" i="62"/>
  <c r="J270" i="62"/>
  <c r="E270" i="62"/>
  <c r="W269" i="62"/>
  <c r="V269" i="62"/>
  <c r="U269" i="62"/>
  <c r="T269" i="62"/>
  <c r="R269" i="62"/>
  <c r="Q269" i="62"/>
  <c r="O269" i="62"/>
  <c r="N269" i="62"/>
  <c r="J269" i="62"/>
  <c r="E269" i="62"/>
  <c r="W268" i="62"/>
  <c r="V268" i="62"/>
  <c r="U268" i="62"/>
  <c r="T268" i="62"/>
  <c r="R268" i="62"/>
  <c r="Q268" i="62"/>
  <c r="O268" i="62"/>
  <c r="N268" i="62"/>
  <c r="J268" i="62"/>
  <c r="E268" i="62"/>
  <c r="W267" i="62"/>
  <c r="V267" i="62"/>
  <c r="U267" i="62"/>
  <c r="T267" i="62"/>
  <c r="R267" i="62"/>
  <c r="Q267" i="62"/>
  <c r="O267" i="62"/>
  <c r="N267" i="62"/>
  <c r="J267" i="62"/>
  <c r="E267" i="62"/>
  <c r="W266" i="62"/>
  <c r="V266" i="62"/>
  <c r="U266" i="62"/>
  <c r="T266" i="62"/>
  <c r="R266" i="62"/>
  <c r="Q266" i="62"/>
  <c r="O266" i="62"/>
  <c r="N266" i="62"/>
  <c r="J266" i="62"/>
  <c r="E266" i="62"/>
  <c r="W265" i="62"/>
  <c r="V265" i="62"/>
  <c r="U265" i="62"/>
  <c r="T265" i="62"/>
  <c r="R265" i="62"/>
  <c r="Q265" i="62"/>
  <c r="O265" i="62"/>
  <c r="N265" i="62"/>
  <c r="J265" i="62"/>
  <c r="E265" i="62"/>
  <c r="W264" i="62"/>
  <c r="V264" i="62"/>
  <c r="U264" i="62"/>
  <c r="T264" i="62"/>
  <c r="R264" i="62"/>
  <c r="Q264" i="62"/>
  <c r="O264" i="62"/>
  <c r="N264" i="62"/>
  <c r="J264" i="62"/>
  <c r="E264" i="62"/>
  <c r="W263" i="62"/>
  <c r="V263" i="62"/>
  <c r="U263" i="62"/>
  <c r="T263" i="62"/>
  <c r="R263" i="62"/>
  <c r="Q263" i="62"/>
  <c r="O263" i="62"/>
  <c r="N263" i="62"/>
  <c r="J263" i="62"/>
  <c r="E263" i="62"/>
  <c r="W262" i="62"/>
  <c r="V262" i="62"/>
  <c r="U262" i="62"/>
  <c r="T262" i="62"/>
  <c r="R262" i="62"/>
  <c r="Q262" i="62"/>
  <c r="O262" i="62"/>
  <c r="N262" i="62"/>
  <c r="J262" i="62"/>
  <c r="E262" i="62"/>
  <c r="W261" i="62"/>
  <c r="V261" i="62"/>
  <c r="U261" i="62"/>
  <c r="T261" i="62"/>
  <c r="R261" i="62"/>
  <c r="Q261" i="62"/>
  <c r="O261" i="62"/>
  <c r="N261" i="62"/>
  <c r="J261" i="62"/>
  <c r="E261" i="62"/>
  <c r="W260" i="62"/>
  <c r="V260" i="62"/>
  <c r="U260" i="62"/>
  <c r="T260" i="62"/>
  <c r="R260" i="62"/>
  <c r="Q260" i="62"/>
  <c r="O260" i="62"/>
  <c r="N260" i="62"/>
  <c r="J260" i="62"/>
  <c r="E260" i="62"/>
  <c r="W259" i="62"/>
  <c r="V259" i="62"/>
  <c r="U259" i="62"/>
  <c r="T259" i="62"/>
  <c r="R259" i="62"/>
  <c r="Q259" i="62"/>
  <c r="O259" i="62"/>
  <c r="N259" i="62"/>
  <c r="J259" i="62"/>
  <c r="E259" i="62"/>
  <c r="W258" i="62"/>
  <c r="V258" i="62"/>
  <c r="U258" i="62"/>
  <c r="T258" i="62"/>
  <c r="R258" i="62"/>
  <c r="Q258" i="62"/>
  <c r="O258" i="62"/>
  <c r="N258" i="62"/>
  <c r="J258" i="62"/>
  <c r="E258" i="62"/>
  <c r="W257" i="62"/>
  <c r="V257" i="62"/>
  <c r="U257" i="62"/>
  <c r="T257" i="62"/>
  <c r="R257" i="62"/>
  <c r="Q257" i="62"/>
  <c r="O257" i="62"/>
  <c r="N257" i="62"/>
  <c r="J257" i="62"/>
  <c r="E257" i="62"/>
  <c r="W256" i="62"/>
  <c r="V256" i="62"/>
  <c r="U256" i="62"/>
  <c r="T256" i="62"/>
  <c r="R256" i="62"/>
  <c r="Q256" i="62"/>
  <c r="O256" i="62"/>
  <c r="N256" i="62"/>
  <c r="J256" i="62"/>
  <c r="E256" i="62"/>
  <c r="W255" i="62"/>
  <c r="V255" i="62"/>
  <c r="U255" i="62"/>
  <c r="T255" i="62"/>
  <c r="R255" i="62"/>
  <c r="Q255" i="62"/>
  <c r="O255" i="62"/>
  <c r="N255" i="62"/>
  <c r="J255" i="62"/>
  <c r="E255" i="62"/>
  <c r="W254" i="62"/>
  <c r="V254" i="62"/>
  <c r="U254" i="62"/>
  <c r="T254" i="62"/>
  <c r="R254" i="62"/>
  <c r="Q254" i="62"/>
  <c r="O254" i="62"/>
  <c r="N254" i="62"/>
  <c r="J254" i="62"/>
  <c r="E254" i="62"/>
  <c r="W253" i="62"/>
  <c r="V253" i="62"/>
  <c r="U253" i="62"/>
  <c r="T253" i="62"/>
  <c r="R253" i="62"/>
  <c r="Q253" i="62"/>
  <c r="O253" i="62"/>
  <c r="N253" i="62"/>
  <c r="J253" i="62"/>
  <c r="E253" i="62"/>
  <c r="W252" i="62"/>
  <c r="V252" i="62"/>
  <c r="U252" i="62"/>
  <c r="T252" i="62"/>
  <c r="R252" i="62"/>
  <c r="Q252" i="62"/>
  <c r="O252" i="62"/>
  <c r="N252" i="62"/>
  <c r="J252" i="62"/>
  <c r="E252" i="62"/>
  <c r="W251" i="62"/>
  <c r="V251" i="62"/>
  <c r="U251" i="62"/>
  <c r="T251" i="62"/>
  <c r="R251" i="62"/>
  <c r="Q251" i="62"/>
  <c r="O251" i="62"/>
  <c r="N251" i="62"/>
  <c r="J251" i="62"/>
  <c r="E251" i="62"/>
  <c r="W250" i="62"/>
  <c r="V250" i="62"/>
  <c r="U250" i="62"/>
  <c r="T250" i="62"/>
  <c r="R250" i="62"/>
  <c r="Q250" i="62"/>
  <c r="O250" i="62"/>
  <c r="N250" i="62"/>
  <c r="J250" i="62"/>
  <c r="E250" i="62"/>
  <c r="W249" i="62"/>
  <c r="W284" i="62" s="1"/>
  <c r="U284" i="62" s="1"/>
  <c r="V249" i="62"/>
  <c r="U249" i="62"/>
  <c r="T249" i="62"/>
  <c r="R249" i="62"/>
  <c r="Q249" i="62"/>
  <c r="O249" i="62"/>
  <c r="N249" i="62"/>
  <c r="J249" i="62"/>
  <c r="J284" i="62" s="1"/>
  <c r="E249" i="62"/>
  <c r="J243" i="62"/>
  <c r="P234" i="62"/>
  <c r="P285" i="62" s="1"/>
  <c r="W232" i="62"/>
  <c r="V232" i="62"/>
  <c r="U232" i="62"/>
  <c r="T232" i="62"/>
  <c r="R232" i="62"/>
  <c r="Q232" i="62"/>
  <c r="O232" i="62"/>
  <c r="N232" i="62"/>
  <c r="J232" i="62"/>
  <c r="E232" i="62"/>
  <c r="W231" i="62"/>
  <c r="V231" i="62"/>
  <c r="U231" i="62"/>
  <c r="T231" i="62"/>
  <c r="R231" i="62"/>
  <c r="Q231" i="62"/>
  <c r="O231" i="62"/>
  <c r="N231" i="62"/>
  <c r="J231" i="62"/>
  <c r="E231" i="62"/>
  <c r="W230" i="62"/>
  <c r="V230" i="62"/>
  <c r="U230" i="62"/>
  <c r="T230" i="62"/>
  <c r="R230" i="62"/>
  <c r="Q230" i="62"/>
  <c r="O230" i="62"/>
  <c r="N230" i="62"/>
  <c r="J230" i="62"/>
  <c r="E230" i="62"/>
  <c r="W229" i="62"/>
  <c r="V229" i="62"/>
  <c r="U229" i="62"/>
  <c r="T229" i="62"/>
  <c r="R229" i="62"/>
  <c r="Q229" i="62"/>
  <c r="O229" i="62"/>
  <c r="N229" i="62"/>
  <c r="J229" i="62"/>
  <c r="E229" i="62"/>
  <c r="W228" i="62"/>
  <c r="V228" i="62"/>
  <c r="U228" i="62"/>
  <c r="T228" i="62"/>
  <c r="R228" i="62"/>
  <c r="Q228" i="62"/>
  <c r="O228" i="62"/>
  <c r="N228" i="62"/>
  <c r="J228" i="62"/>
  <c r="E228" i="62"/>
  <c r="W227" i="62"/>
  <c r="V227" i="62"/>
  <c r="U227" i="62"/>
  <c r="T227" i="62"/>
  <c r="R227" i="62"/>
  <c r="Q227" i="62"/>
  <c r="O227" i="62"/>
  <c r="N227" i="62"/>
  <c r="J227" i="62"/>
  <c r="E227" i="62"/>
  <c r="W226" i="62"/>
  <c r="V226" i="62"/>
  <c r="U226" i="62"/>
  <c r="T226" i="62"/>
  <c r="R226" i="62"/>
  <c r="Q226" i="62"/>
  <c r="O226" i="62"/>
  <c r="N226" i="62"/>
  <c r="J226" i="62"/>
  <c r="E226" i="62"/>
  <c r="W225" i="62"/>
  <c r="V225" i="62"/>
  <c r="U225" i="62"/>
  <c r="T225" i="62"/>
  <c r="R225" i="62"/>
  <c r="Q225" i="62"/>
  <c r="O225" i="62"/>
  <c r="N225" i="62"/>
  <c r="J225" i="62"/>
  <c r="E225" i="62"/>
  <c r="W224" i="62"/>
  <c r="V224" i="62"/>
  <c r="U224" i="62"/>
  <c r="T224" i="62"/>
  <c r="R224" i="62"/>
  <c r="Q224" i="62"/>
  <c r="O224" i="62"/>
  <c r="N224" i="62"/>
  <c r="J224" i="62"/>
  <c r="E224" i="62"/>
  <c r="W223" i="62"/>
  <c r="V223" i="62"/>
  <c r="U223" i="62"/>
  <c r="T223" i="62"/>
  <c r="R223" i="62"/>
  <c r="Q223" i="62"/>
  <c r="O223" i="62"/>
  <c r="N223" i="62"/>
  <c r="J223" i="62"/>
  <c r="E223" i="62"/>
  <c r="W222" i="62"/>
  <c r="V222" i="62"/>
  <c r="U222" i="62"/>
  <c r="T222" i="62"/>
  <c r="R222" i="62"/>
  <c r="Q222" i="62"/>
  <c r="O222" i="62"/>
  <c r="N222" i="62"/>
  <c r="J222" i="62"/>
  <c r="E222" i="62"/>
  <c r="W221" i="62"/>
  <c r="V221" i="62"/>
  <c r="U221" i="62"/>
  <c r="T221" i="62"/>
  <c r="R221" i="62"/>
  <c r="Q221" i="62"/>
  <c r="O221" i="62"/>
  <c r="N221" i="62"/>
  <c r="J221" i="62"/>
  <c r="E221" i="62"/>
  <c r="W220" i="62"/>
  <c r="V220" i="62"/>
  <c r="U220" i="62"/>
  <c r="T220" i="62"/>
  <c r="R220" i="62"/>
  <c r="Q220" i="62"/>
  <c r="O220" i="62"/>
  <c r="N220" i="62"/>
  <c r="J220" i="62"/>
  <c r="E220" i="62"/>
  <c r="W219" i="62"/>
  <c r="V219" i="62"/>
  <c r="U219" i="62"/>
  <c r="T219" i="62"/>
  <c r="R219" i="62"/>
  <c r="Q219" i="62"/>
  <c r="O219" i="62"/>
  <c r="N219" i="62"/>
  <c r="J219" i="62"/>
  <c r="E219" i="62"/>
  <c r="W218" i="62"/>
  <c r="V218" i="62"/>
  <c r="U218" i="62"/>
  <c r="T218" i="62"/>
  <c r="R218" i="62"/>
  <c r="Q218" i="62"/>
  <c r="O218" i="62"/>
  <c r="N218" i="62"/>
  <c r="J218" i="62"/>
  <c r="E218" i="62"/>
  <c r="W217" i="62"/>
  <c r="V217" i="62"/>
  <c r="U217" i="62"/>
  <c r="T217" i="62"/>
  <c r="R217" i="62"/>
  <c r="Q217" i="62"/>
  <c r="O217" i="62"/>
  <c r="N217" i="62"/>
  <c r="J217" i="62"/>
  <c r="E217" i="62"/>
  <c r="W216" i="62"/>
  <c r="V216" i="62"/>
  <c r="U216" i="62"/>
  <c r="T216" i="62"/>
  <c r="R216" i="62"/>
  <c r="Q216" i="62"/>
  <c r="O216" i="62"/>
  <c r="N216" i="62"/>
  <c r="J216" i="62"/>
  <c r="E216" i="62"/>
  <c r="W215" i="62"/>
  <c r="V215" i="62"/>
  <c r="U215" i="62"/>
  <c r="T215" i="62"/>
  <c r="R215" i="62"/>
  <c r="Q215" i="62"/>
  <c r="O215" i="62"/>
  <c r="N215" i="62"/>
  <c r="J215" i="62"/>
  <c r="E215" i="62"/>
  <c r="W214" i="62"/>
  <c r="V214" i="62"/>
  <c r="U214" i="62"/>
  <c r="T214" i="62"/>
  <c r="R214" i="62"/>
  <c r="Q214" i="62"/>
  <c r="O214" i="62"/>
  <c r="N214" i="62"/>
  <c r="J214" i="62"/>
  <c r="E214" i="62"/>
  <c r="W213" i="62"/>
  <c r="V213" i="62"/>
  <c r="U213" i="62"/>
  <c r="T213" i="62"/>
  <c r="R213" i="62"/>
  <c r="Q213" i="62"/>
  <c r="O213" i="62"/>
  <c r="N213" i="62"/>
  <c r="J213" i="62"/>
  <c r="E213" i="62"/>
  <c r="W212" i="62"/>
  <c r="V212" i="62"/>
  <c r="U212" i="62"/>
  <c r="T212" i="62"/>
  <c r="R212" i="62"/>
  <c r="Q212" i="62"/>
  <c r="O212" i="62"/>
  <c r="N212" i="62"/>
  <c r="J212" i="62"/>
  <c r="E212" i="62"/>
  <c r="W211" i="62"/>
  <c r="V211" i="62"/>
  <c r="U211" i="62"/>
  <c r="T211" i="62"/>
  <c r="R211" i="62"/>
  <c r="Q211" i="62"/>
  <c r="O211" i="62"/>
  <c r="N211" i="62"/>
  <c r="J211" i="62"/>
  <c r="E211" i="62"/>
  <c r="W210" i="62"/>
  <c r="V210" i="62"/>
  <c r="U210" i="62"/>
  <c r="T210" i="62"/>
  <c r="R210" i="62"/>
  <c r="Q210" i="62"/>
  <c r="O210" i="62"/>
  <c r="N210" i="62"/>
  <c r="J210" i="62"/>
  <c r="E210" i="62"/>
  <c r="W209" i="62"/>
  <c r="V209" i="62"/>
  <c r="U209" i="62"/>
  <c r="T209" i="62"/>
  <c r="R209" i="62"/>
  <c r="Q209" i="62"/>
  <c r="O209" i="62"/>
  <c r="N209" i="62"/>
  <c r="J209" i="62"/>
  <c r="E209" i="62"/>
  <c r="W208" i="62"/>
  <c r="V208" i="62"/>
  <c r="U208" i="62"/>
  <c r="T208" i="62"/>
  <c r="R208" i="62"/>
  <c r="Q208" i="62"/>
  <c r="O208" i="62"/>
  <c r="N208" i="62"/>
  <c r="J208" i="62"/>
  <c r="E208" i="62"/>
  <c r="W207" i="62"/>
  <c r="V207" i="62"/>
  <c r="U207" i="62"/>
  <c r="T207" i="62"/>
  <c r="R207" i="62"/>
  <c r="Q207" i="62"/>
  <c r="O207" i="62"/>
  <c r="N207" i="62"/>
  <c r="J207" i="62"/>
  <c r="E207" i="62"/>
  <c r="W206" i="62"/>
  <c r="V206" i="62"/>
  <c r="U206" i="62"/>
  <c r="T206" i="62"/>
  <c r="R206" i="62"/>
  <c r="Q206" i="62"/>
  <c r="O206" i="62"/>
  <c r="N206" i="62"/>
  <c r="J206" i="62"/>
  <c r="E206" i="62"/>
  <c r="W205" i="62"/>
  <c r="V205" i="62"/>
  <c r="U205" i="62"/>
  <c r="T205" i="62"/>
  <c r="R205" i="62"/>
  <c r="Q205" i="62"/>
  <c r="O205" i="62"/>
  <c r="N205" i="62"/>
  <c r="J205" i="62"/>
  <c r="E205" i="62"/>
  <c r="W204" i="62"/>
  <c r="V204" i="62"/>
  <c r="U204" i="62"/>
  <c r="T204" i="62"/>
  <c r="R204" i="62"/>
  <c r="Q204" i="62"/>
  <c r="O204" i="62"/>
  <c r="N204" i="62"/>
  <c r="J204" i="62"/>
  <c r="E204" i="62"/>
  <c r="W203" i="62"/>
  <c r="V203" i="62"/>
  <c r="U203" i="62"/>
  <c r="T203" i="62"/>
  <c r="R203" i="62"/>
  <c r="Q203" i="62"/>
  <c r="O203" i="62"/>
  <c r="N203" i="62"/>
  <c r="J203" i="62"/>
  <c r="E203" i="62"/>
  <c r="W202" i="62"/>
  <c r="V202" i="62"/>
  <c r="U202" i="62"/>
  <c r="T202" i="62"/>
  <c r="R202" i="62"/>
  <c r="Q202" i="62"/>
  <c r="O202" i="62"/>
  <c r="N202" i="62"/>
  <c r="J202" i="62"/>
  <c r="E202" i="62"/>
  <c r="W201" i="62"/>
  <c r="V201" i="62"/>
  <c r="U201" i="62"/>
  <c r="T201" i="62"/>
  <c r="R201" i="62"/>
  <c r="Q201" i="62"/>
  <c r="O201" i="62"/>
  <c r="N201" i="62"/>
  <c r="E201" i="62"/>
  <c r="W200" i="62"/>
  <c r="V200" i="62"/>
  <c r="U200" i="62"/>
  <c r="T200" i="62"/>
  <c r="R200" i="62"/>
  <c r="Q200" i="62"/>
  <c r="O200" i="62"/>
  <c r="N200" i="62"/>
  <c r="J200" i="62"/>
  <c r="E200" i="62"/>
  <c r="W199" i="62"/>
  <c r="V199" i="62"/>
  <c r="U199" i="62"/>
  <c r="T199" i="62"/>
  <c r="R199" i="62"/>
  <c r="Q199" i="62"/>
  <c r="O199" i="62"/>
  <c r="N199" i="62"/>
  <c r="J199" i="62"/>
  <c r="E199" i="62"/>
  <c r="W198" i="62"/>
  <c r="W233" i="62" s="1"/>
  <c r="U233" i="62" s="1"/>
  <c r="V198" i="62"/>
  <c r="U198" i="62"/>
  <c r="T198" i="62"/>
  <c r="R198" i="62"/>
  <c r="R233" i="62" s="1"/>
  <c r="Q198" i="62"/>
  <c r="O198" i="62"/>
  <c r="O233" i="62" s="1"/>
  <c r="N198" i="62"/>
  <c r="N233" i="62" s="1"/>
  <c r="J198" i="62"/>
  <c r="J233" i="62" s="1"/>
  <c r="E198" i="62"/>
  <c r="J192" i="62"/>
  <c r="M190" i="62"/>
  <c r="M241" i="62" s="1"/>
  <c r="M292" i="62" s="1"/>
  <c r="M343" i="62" s="1"/>
  <c r="M189" i="62"/>
  <c r="M240" i="62" s="1"/>
  <c r="M291" i="62" s="1"/>
  <c r="P183" i="62"/>
  <c r="R183" i="62" s="1"/>
  <c r="O183" i="62" s="1"/>
  <c r="O182" i="62"/>
  <c r="N182" i="62"/>
  <c r="J182" i="62"/>
  <c r="W181" i="62"/>
  <c r="V181" i="62"/>
  <c r="U181" i="62"/>
  <c r="T181" i="62"/>
  <c r="R181" i="62"/>
  <c r="Q181" i="62"/>
  <c r="O181" i="62"/>
  <c r="N181" i="62"/>
  <c r="J181" i="62"/>
  <c r="E181" i="62"/>
  <c r="W180" i="62"/>
  <c r="V180" i="62"/>
  <c r="U180" i="62"/>
  <c r="T180" i="62"/>
  <c r="R180" i="62"/>
  <c r="Q180" i="62"/>
  <c r="O180" i="62"/>
  <c r="N180" i="62"/>
  <c r="J180" i="62"/>
  <c r="E180" i="62"/>
  <c r="W179" i="62"/>
  <c r="V179" i="62"/>
  <c r="U179" i="62"/>
  <c r="T179" i="62"/>
  <c r="R179" i="62"/>
  <c r="Q179" i="62"/>
  <c r="O179" i="62"/>
  <c r="N179" i="62"/>
  <c r="J179" i="62"/>
  <c r="E179" i="62"/>
  <c r="W178" i="62"/>
  <c r="V178" i="62"/>
  <c r="U178" i="62"/>
  <c r="T178" i="62"/>
  <c r="R178" i="62"/>
  <c r="Q178" i="62"/>
  <c r="O178" i="62"/>
  <c r="N178" i="62"/>
  <c r="J178" i="62"/>
  <c r="E178" i="62"/>
  <c r="W177" i="62"/>
  <c r="V177" i="62"/>
  <c r="U177" i="62"/>
  <c r="T177" i="62"/>
  <c r="R177" i="62"/>
  <c r="Q177" i="62"/>
  <c r="O177" i="62"/>
  <c r="N177" i="62"/>
  <c r="J177" i="62"/>
  <c r="E177" i="62"/>
  <c r="W176" i="62"/>
  <c r="V176" i="62"/>
  <c r="U176" i="62"/>
  <c r="T176" i="62"/>
  <c r="R176" i="62"/>
  <c r="Q176" i="62"/>
  <c r="O176" i="62"/>
  <c r="N176" i="62"/>
  <c r="J176" i="62"/>
  <c r="E176" i="62"/>
  <c r="W175" i="62"/>
  <c r="V175" i="62"/>
  <c r="U175" i="62"/>
  <c r="T175" i="62"/>
  <c r="R175" i="62"/>
  <c r="Q175" i="62"/>
  <c r="O175" i="62"/>
  <c r="N175" i="62"/>
  <c r="J175" i="62"/>
  <c r="E175" i="62"/>
  <c r="W174" i="62"/>
  <c r="V174" i="62"/>
  <c r="U174" i="62"/>
  <c r="T174" i="62"/>
  <c r="R174" i="62"/>
  <c r="Q174" i="62"/>
  <c r="O174" i="62"/>
  <c r="N174" i="62"/>
  <c r="J174" i="62"/>
  <c r="E174" i="62"/>
  <c r="W173" i="62"/>
  <c r="V173" i="62"/>
  <c r="U173" i="62"/>
  <c r="T173" i="62"/>
  <c r="R173" i="62"/>
  <c r="Q173" i="62"/>
  <c r="O173" i="62"/>
  <c r="N173" i="62"/>
  <c r="J173" i="62"/>
  <c r="E173" i="62"/>
  <c r="W172" i="62"/>
  <c r="V172" i="62"/>
  <c r="U172" i="62"/>
  <c r="T172" i="62"/>
  <c r="R172" i="62"/>
  <c r="Q172" i="62"/>
  <c r="O172" i="62"/>
  <c r="N172" i="62"/>
  <c r="J172" i="62"/>
  <c r="E172" i="62"/>
  <c r="W171" i="62"/>
  <c r="V171" i="62"/>
  <c r="U171" i="62"/>
  <c r="T171" i="62"/>
  <c r="R171" i="62"/>
  <c r="Q171" i="62"/>
  <c r="O171" i="62"/>
  <c r="N171" i="62"/>
  <c r="J171" i="62"/>
  <c r="E171" i="62"/>
  <c r="W170" i="62"/>
  <c r="V170" i="62"/>
  <c r="U170" i="62"/>
  <c r="T170" i="62"/>
  <c r="R170" i="62"/>
  <c r="Q170" i="62"/>
  <c r="O170" i="62"/>
  <c r="N170" i="62"/>
  <c r="J170" i="62"/>
  <c r="E170" i="62"/>
  <c r="W169" i="62"/>
  <c r="V169" i="62"/>
  <c r="U169" i="62"/>
  <c r="T169" i="62"/>
  <c r="R169" i="62"/>
  <c r="Q169" i="62"/>
  <c r="O169" i="62"/>
  <c r="N169" i="62"/>
  <c r="J169" i="62"/>
  <c r="E169" i="62"/>
  <c r="W168" i="62"/>
  <c r="V168" i="62"/>
  <c r="U168" i="62"/>
  <c r="T168" i="62"/>
  <c r="R168" i="62"/>
  <c r="Q168" i="62"/>
  <c r="O168" i="62"/>
  <c r="N168" i="62"/>
  <c r="J168" i="62"/>
  <c r="E168" i="62"/>
  <c r="W167" i="62"/>
  <c r="V167" i="62"/>
  <c r="U167" i="62"/>
  <c r="T167" i="62"/>
  <c r="R167" i="62"/>
  <c r="Q167" i="62"/>
  <c r="O167" i="62"/>
  <c r="N167" i="62"/>
  <c r="J167" i="62"/>
  <c r="E167" i="62"/>
  <c r="W166" i="62"/>
  <c r="V166" i="62"/>
  <c r="U166" i="62"/>
  <c r="T166" i="62"/>
  <c r="R166" i="62"/>
  <c r="Q166" i="62"/>
  <c r="O166" i="62"/>
  <c r="N166" i="62"/>
  <c r="J166" i="62"/>
  <c r="E166" i="62"/>
  <c r="W165" i="62"/>
  <c r="V165" i="62"/>
  <c r="U165" i="62"/>
  <c r="T165" i="62"/>
  <c r="R165" i="62"/>
  <c r="Q165" i="62"/>
  <c r="O165" i="62"/>
  <c r="N165" i="62"/>
  <c r="J165" i="62"/>
  <c r="E165" i="62"/>
  <c r="W164" i="62"/>
  <c r="V164" i="62"/>
  <c r="U164" i="62"/>
  <c r="T164" i="62"/>
  <c r="R164" i="62"/>
  <c r="Q164" i="62"/>
  <c r="O164" i="62"/>
  <c r="N164" i="62"/>
  <c r="J164" i="62"/>
  <c r="E164" i="62"/>
  <c r="W163" i="62"/>
  <c r="V163" i="62"/>
  <c r="U163" i="62"/>
  <c r="T163" i="62"/>
  <c r="R163" i="62"/>
  <c r="Q163" i="62"/>
  <c r="O163" i="62"/>
  <c r="N163" i="62"/>
  <c r="J163" i="62"/>
  <c r="E163" i="62"/>
  <c r="W162" i="62"/>
  <c r="V162" i="62"/>
  <c r="U162" i="62"/>
  <c r="T162" i="62"/>
  <c r="R162" i="62"/>
  <c r="Q162" i="62"/>
  <c r="O162" i="62"/>
  <c r="N162" i="62"/>
  <c r="J162" i="62"/>
  <c r="E162" i="62"/>
  <c r="W161" i="62"/>
  <c r="V161" i="62"/>
  <c r="U161" i="62"/>
  <c r="T161" i="62"/>
  <c r="R161" i="62"/>
  <c r="Q161" i="62"/>
  <c r="O161" i="62"/>
  <c r="N161" i="62"/>
  <c r="J161" i="62"/>
  <c r="E161" i="62"/>
  <c r="W160" i="62"/>
  <c r="V160" i="62"/>
  <c r="U160" i="62"/>
  <c r="T160" i="62"/>
  <c r="R160" i="62"/>
  <c r="Q160" i="62"/>
  <c r="O160" i="62"/>
  <c r="N160" i="62"/>
  <c r="J160" i="62"/>
  <c r="E160" i="62"/>
  <c r="W159" i="62"/>
  <c r="V159" i="62"/>
  <c r="U159" i="62"/>
  <c r="T159" i="62"/>
  <c r="R159" i="62"/>
  <c r="Q159" i="62"/>
  <c r="O159" i="62"/>
  <c r="N159" i="62"/>
  <c r="J159" i="62"/>
  <c r="E159" i="62"/>
  <c r="W158" i="62"/>
  <c r="V158" i="62"/>
  <c r="U158" i="62"/>
  <c r="T158" i="62"/>
  <c r="R158" i="62"/>
  <c r="Q158" i="62"/>
  <c r="O158" i="62"/>
  <c r="N158" i="62"/>
  <c r="J158" i="62"/>
  <c r="E158" i="62"/>
  <c r="W157" i="62"/>
  <c r="V157" i="62"/>
  <c r="U157" i="62"/>
  <c r="T157" i="62"/>
  <c r="R157" i="62"/>
  <c r="Q157" i="62"/>
  <c r="O157" i="62"/>
  <c r="N157" i="62"/>
  <c r="J157" i="62"/>
  <c r="E157" i="62"/>
  <c r="W156" i="62"/>
  <c r="V156" i="62"/>
  <c r="U156" i="62"/>
  <c r="T156" i="62"/>
  <c r="R156" i="62"/>
  <c r="Q156" i="62"/>
  <c r="O156" i="62"/>
  <c r="N156" i="62"/>
  <c r="J156" i="62"/>
  <c r="E156" i="62"/>
  <c r="W155" i="62"/>
  <c r="V155" i="62"/>
  <c r="U155" i="62"/>
  <c r="T155" i="62"/>
  <c r="R155" i="62"/>
  <c r="Q155" i="62"/>
  <c r="O155" i="62"/>
  <c r="N155" i="62"/>
  <c r="J155" i="62"/>
  <c r="E155" i="62"/>
  <c r="W154" i="62"/>
  <c r="V154" i="62"/>
  <c r="U154" i="62"/>
  <c r="T154" i="62"/>
  <c r="R154" i="62"/>
  <c r="Q154" i="62"/>
  <c r="O154" i="62"/>
  <c r="N154" i="62"/>
  <c r="J154" i="62"/>
  <c r="E154" i="62"/>
  <c r="W153" i="62"/>
  <c r="V153" i="62"/>
  <c r="U153" i="62"/>
  <c r="T153" i="62"/>
  <c r="R153" i="62"/>
  <c r="Q153" i="62"/>
  <c r="O153" i="62"/>
  <c r="N153" i="62"/>
  <c r="J153" i="62"/>
  <c r="E153" i="62"/>
  <c r="W152" i="62"/>
  <c r="V152" i="62"/>
  <c r="U152" i="62"/>
  <c r="T152" i="62"/>
  <c r="R152" i="62"/>
  <c r="Q152" i="62"/>
  <c r="O152" i="62"/>
  <c r="N152" i="62"/>
  <c r="J152" i="62"/>
  <c r="E152" i="62"/>
  <c r="W151" i="62"/>
  <c r="V151" i="62"/>
  <c r="U151" i="62"/>
  <c r="T151" i="62"/>
  <c r="R151" i="62"/>
  <c r="Q151" i="62"/>
  <c r="O151" i="62"/>
  <c r="N151" i="62"/>
  <c r="J151" i="62"/>
  <c r="E151" i="62"/>
  <c r="W150" i="62"/>
  <c r="V150" i="62"/>
  <c r="U150" i="62"/>
  <c r="T150" i="62"/>
  <c r="R150" i="62"/>
  <c r="Q150" i="62"/>
  <c r="O150" i="62"/>
  <c r="N150" i="62"/>
  <c r="J150" i="62"/>
  <c r="E150" i="62"/>
  <c r="W149" i="62"/>
  <c r="V149" i="62"/>
  <c r="U149" i="62"/>
  <c r="T149" i="62"/>
  <c r="R149" i="62"/>
  <c r="Q149" i="62"/>
  <c r="O149" i="62"/>
  <c r="N149" i="62"/>
  <c r="J149" i="62"/>
  <c r="E149" i="62"/>
  <c r="W148" i="62"/>
  <c r="V148" i="62"/>
  <c r="U148" i="62"/>
  <c r="T148" i="62"/>
  <c r="R148" i="62"/>
  <c r="Q148" i="62"/>
  <c r="O148" i="62"/>
  <c r="N148" i="62"/>
  <c r="J148" i="62"/>
  <c r="E148" i="62"/>
  <c r="W147" i="62"/>
  <c r="W182" i="62" s="1"/>
  <c r="U182" i="62" s="1"/>
  <c r="V147" i="62"/>
  <c r="U147" i="62"/>
  <c r="T147" i="62"/>
  <c r="R147" i="62"/>
  <c r="R182" i="62" s="1"/>
  <c r="Q147" i="62"/>
  <c r="O147" i="62"/>
  <c r="N147" i="62"/>
  <c r="J147" i="62"/>
  <c r="E147" i="62"/>
  <c r="M141" i="62"/>
  <c r="M192" i="62" s="1"/>
  <c r="M243" i="62" s="1"/>
  <c r="M294" i="62" s="1"/>
  <c r="M345" i="62" s="1"/>
  <c r="J141" i="62"/>
  <c r="M140" i="62"/>
  <c r="M191" i="62" s="1"/>
  <c r="M242" i="62" s="1"/>
  <c r="M293" i="62" s="1"/>
  <c r="M139" i="62"/>
  <c r="P132" i="62"/>
  <c r="C132" i="62"/>
  <c r="C183" i="62" s="1"/>
  <c r="C234" i="62" s="1"/>
  <c r="C285" i="62" s="1"/>
  <c r="C336" i="62" s="1"/>
  <c r="W131" i="62"/>
  <c r="W130" i="62"/>
  <c r="V130" i="62"/>
  <c r="U130" i="62"/>
  <c r="T130" i="62"/>
  <c r="R130" i="62"/>
  <c r="Q130" i="62"/>
  <c r="O130" i="62"/>
  <c r="N130" i="62"/>
  <c r="J130" i="62"/>
  <c r="E130" i="62"/>
  <c r="W129" i="62"/>
  <c r="V129" i="62"/>
  <c r="U129" i="62"/>
  <c r="T129" i="62"/>
  <c r="R129" i="62"/>
  <c r="Q129" i="62"/>
  <c r="O129" i="62"/>
  <c r="N129" i="62"/>
  <c r="J129" i="62"/>
  <c r="E129" i="62"/>
  <c r="W128" i="62"/>
  <c r="V128" i="62"/>
  <c r="U128" i="62"/>
  <c r="T128" i="62"/>
  <c r="R128" i="62"/>
  <c r="Q128" i="62"/>
  <c r="O128" i="62"/>
  <c r="N128" i="62"/>
  <c r="J128" i="62"/>
  <c r="E128" i="62"/>
  <c r="W127" i="62"/>
  <c r="V127" i="62"/>
  <c r="U127" i="62"/>
  <c r="T127" i="62"/>
  <c r="R127" i="62"/>
  <c r="Q127" i="62"/>
  <c r="O127" i="62"/>
  <c r="N127" i="62"/>
  <c r="J127" i="62"/>
  <c r="E127" i="62"/>
  <c r="W126" i="62"/>
  <c r="V126" i="62"/>
  <c r="U126" i="62"/>
  <c r="T126" i="62"/>
  <c r="R126" i="62"/>
  <c r="Q126" i="62"/>
  <c r="O126" i="62"/>
  <c r="N126" i="62"/>
  <c r="J126" i="62"/>
  <c r="E126" i="62"/>
  <c r="W125" i="62"/>
  <c r="V125" i="62"/>
  <c r="U125" i="62"/>
  <c r="T125" i="62"/>
  <c r="R125" i="62"/>
  <c r="Q125" i="62"/>
  <c r="O125" i="62"/>
  <c r="N125" i="62"/>
  <c r="J125" i="62"/>
  <c r="E125" i="62"/>
  <c r="W124" i="62"/>
  <c r="V124" i="62"/>
  <c r="U124" i="62"/>
  <c r="T124" i="62"/>
  <c r="R124" i="62"/>
  <c r="Q124" i="62"/>
  <c r="O124" i="62"/>
  <c r="N124" i="62"/>
  <c r="J124" i="62"/>
  <c r="E124" i="62"/>
  <c r="W123" i="62"/>
  <c r="V123" i="62"/>
  <c r="U123" i="62"/>
  <c r="T123" i="62"/>
  <c r="R123" i="62"/>
  <c r="Q123" i="62"/>
  <c r="O123" i="62"/>
  <c r="N123" i="62"/>
  <c r="J123" i="62"/>
  <c r="E123" i="62"/>
  <c r="W122" i="62"/>
  <c r="V122" i="62"/>
  <c r="U122" i="62"/>
  <c r="T122" i="62"/>
  <c r="R122" i="62"/>
  <c r="Q122" i="62"/>
  <c r="O122" i="62"/>
  <c r="N122" i="62"/>
  <c r="J122" i="62"/>
  <c r="E122" i="62"/>
  <c r="W121" i="62"/>
  <c r="V121" i="62"/>
  <c r="U121" i="62"/>
  <c r="T121" i="62"/>
  <c r="R121" i="62"/>
  <c r="Q121" i="62"/>
  <c r="O121" i="62"/>
  <c r="N121" i="62"/>
  <c r="J121" i="62"/>
  <c r="E121" i="62"/>
  <c r="W120" i="62"/>
  <c r="V120" i="62"/>
  <c r="U120" i="62"/>
  <c r="T120" i="62"/>
  <c r="R120" i="62"/>
  <c r="Q120" i="62"/>
  <c r="O120" i="62"/>
  <c r="N120" i="62"/>
  <c r="J120" i="62"/>
  <c r="E120" i="62"/>
  <c r="W119" i="62"/>
  <c r="V119" i="62"/>
  <c r="U119" i="62"/>
  <c r="T119" i="62"/>
  <c r="R119" i="62"/>
  <c r="Q119" i="62"/>
  <c r="O119" i="62"/>
  <c r="N119" i="62"/>
  <c r="J119" i="62"/>
  <c r="E119" i="62"/>
  <c r="W118" i="62"/>
  <c r="V118" i="62"/>
  <c r="U118" i="62"/>
  <c r="T118" i="62"/>
  <c r="R118" i="62"/>
  <c r="Q118" i="62"/>
  <c r="O118" i="62"/>
  <c r="N118" i="62"/>
  <c r="J118" i="62"/>
  <c r="E118" i="62"/>
  <c r="W117" i="62"/>
  <c r="V117" i="62"/>
  <c r="U117" i="62"/>
  <c r="T117" i="62"/>
  <c r="R117" i="62"/>
  <c r="Q117" i="62"/>
  <c r="O117" i="62"/>
  <c r="N117" i="62"/>
  <c r="J117" i="62"/>
  <c r="E117" i="62"/>
  <c r="W116" i="62"/>
  <c r="V116" i="62"/>
  <c r="U116" i="62"/>
  <c r="T116" i="62"/>
  <c r="R116" i="62"/>
  <c r="Q116" i="62"/>
  <c r="O116" i="62"/>
  <c r="N116" i="62"/>
  <c r="J116" i="62"/>
  <c r="E116" i="62"/>
  <c r="W115" i="62"/>
  <c r="V115" i="62"/>
  <c r="U115" i="62"/>
  <c r="T115" i="62"/>
  <c r="R115" i="62"/>
  <c r="Q115" i="62"/>
  <c r="O115" i="62"/>
  <c r="N115" i="62"/>
  <c r="J115" i="62"/>
  <c r="E115" i="62"/>
  <c r="W114" i="62"/>
  <c r="V114" i="62"/>
  <c r="U114" i="62"/>
  <c r="T114" i="62"/>
  <c r="R114" i="62"/>
  <c r="Q114" i="62"/>
  <c r="O114" i="62"/>
  <c r="N114" i="62"/>
  <c r="J114" i="62"/>
  <c r="E114" i="62"/>
  <c r="W113" i="62"/>
  <c r="V113" i="62"/>
  <c r="U113" i="62"/>
  <c r="T113" i="62"/>
  <c r="R113" i="62"/>
  <c r="Q113" i="62"/>
  <c r="O113" i="62"/>
  <c r="N113" i="62"/>
  <c r="J113" i="62"/>
  <c r="E113" i="62"/>
  <c r="W112" i="62"/>
  <c r="V112" i="62"/>
  <c r="U112" i="62"/>
  <c r="T112" i="62"/>
  <c r="R112" i="62"/>
  <c r="Q112" i="62"/>
  <c r="O112" i="62"/>
  <c r="N112" i="62"/>
  <c r="J112" i="62"/>
  <c r="E112" i="62"/>
  <c r="W111" i="62"/>
  <c r="V111" i="62"/>
  <c r="U111" i="62"/>
  <c r="T111" i="62"/>
  <c r="R111" i="62"/>
  <c r="Q111" i="62"/>
  <c r="O111" i="62"/>
  <c r="N111" i="62"/>
  <c r="J111" i="62"/>
  <c r="E111" i="62"/>
  <c r="W110" i="62"/>
  <c r="V110" i="62"/>
  <c r="U110" i="62"/>
  <c r="T110" i="62"/>
  <c r="R110" i="62"/>
  <c r="Q110" i="62"/>
  <c r="O110" i="62"/>
  <c r="N110" i="62"/>
  <c r="J110" i="62"/>
  <c r="E110" i="62"/>
  <c r="W109" i="62"/>
  <c r="V109" i="62"/>
  <c r="U109" i="62"/>
  <c r="T109" i="62"/>
  <c r="R109" i="62"/>
  <c r="Q109" i="62"/>
  <c r="O109" i="62"/>
  <c r="N109" i="62"/>
  <c r="J109" i="62"/>
  <c r="E109" i="62"/>
  <c r="W108" i="62"/>
  <c r="V108" i="62"/>
  <c r="U108" i="62"/>
  <c r="T108" i="62"/>
  <c r="R108" i="62"/>
  <c r="Q108" i="62"/>
  <c r="O108" i="62"/>
  <c r="N108" i="62"/>
  <c r="J108" i="62"/>
  <c r="E108" i="62"/>
  <c r="W107" i="62"/>
  <c r="V107" i="62"/>
  <c r="U107" i="62"/>
  <c r="T107" i="62"/>
  <c r="R107" i="62"/>
  <c r="Q107" i="62"/>
  <c r="O107" i="62"/>
  <c r="N107" i="62"/>
  <c r="J107" i="62"/>
  <c r="E107" i="62"/>
  <c r="W106" i="62"/>
  <c r="V106" i="62"/>
  <c r="U106" i="62"/>
  <c r="T106" i="62"/>
  <c r="R106" i="62"/>
  <c r="Q106" i="62"/>
  <c r="O106" i="62"/>
  <c r="N106" i="62"/>
  <c r="J106" i="62"/>
  <c r="E106" i="62"/>
  <c r="W105" i="62"/>
  <c r="V105" i="62"/>
  <c r="U105" i="62"/>
  <c r="T105" i="62"/>
  <c r="R105" i="62"/>
  <c r="Q105" i="62"/>
  <c r="O105" i="62"/>
  <c r="N105" i="62"/>
  <c r="J105" i="62"/>
  <c r="E105" i="62"/>
  <c r="W104" i="62"/>
  <c r="V104" i="62"/>
  <c r="U104" i="62"/>
  <c r="T104" i="62"/>
  <c r="R104" i="62"/>
  <c r="Q104" i="62"/>
  <c r="O104" i="62"/>
  <c r="N104" i="62"/>
  <c r="J104" i="62"/>
  <c r="E104" i="62"/>
  <c r="W103" i="62"/>
  <c r="V103" i="62"/>
  <c r="U103" i="62"/>
  <c r="T103" i="62"/>
  <c r="R103" i="62"/>
  <c r="Q103" i="62"/>
  <c r="O103" i="62"/>
  <c r="N103" i="62"/>
  <c r="J103" i="62"/>
  <c r="E103" i="62"/>
  <c r="W102" i="62"/>
  <c r="V102" i="62"/>
  <c r="U102" i="62"/>
  <c r="T102" i="62"/>
  <c r="R102" i="62"/>
  <c r="Q102" i="62"/>
  <c r="O102" i="62"/>
  <c r="N102" i="62"/>
  <c r="J102" i="62"/>
  <c r="E102" i="62"/>
  <c r="W101" i="62"/>
  <c r="V101" i="62"/>
  <c r="U101" i="62"/>
  <c r="T101" i="62"/>
  <c r="R101" i="62"/>
  <c r="Q101" i="62"/>
  <c r="O101" i="62"/>
  <c r="N101" i="62"/>
  <c r="E101" i="62"/>
  <c r="W100" i="62"/>
  <c r="V100" i="62"/>
  <c r="U100" i="62"/>
  <c r="T100" i="62"/>
  <c r="R100" i="62"/>
  <c r="Q100" i="62"/>
  <c r="O100" i="62"/>
  <c r="N100" i="62"/>
  <c r="E100" i="62"/>
  <c r="W99" i="62"/>
  <c r="V99" i="62"/>
  <c r="U99" i="62"/>
  <c r="T99" i="62"/>
  <c r="R99" i="62"/>
  <c r="Q99" i="62"/>
  <c r="O99" i="62"/>
  <c r="N99" i="62"/>
  <c r="E99" i="62"/>
  <c r="W98" i="62"/>
  <c r="V98" i="62"/>
  <c r="U98" i="62"/>
  <c r="T98" i="62"/>
  <c r="R98" i="62"/>
  <c r="Q98" i="62"/>
  <c r="O98" i="62"/>
  <c r="N98" i="62"/>
  <c r="E98" i="62"/>
  <c r="W97" i="62"/>
  <c r="V97" i="62"/>
  <c r="U97" i="62"/>
  <c r="T97" i="62"/>
  <c r="R97" i="62"/>
  <c r="Q97" i="62"/>
  <c r="O97" i="62"/>
  <c r="N97" i="62"/>
  <c r="E97" i="62"/>
  <c r="W96" i="62"/>
  <c r="V96" i="62"/>
  <c r="U96" i="62"/>
  <c r="T96" i="62"/>
  <c r="R96" i="62"/>
  <c r="R131" i="62" s="1"/>
  <c r="Q96" i="62"/>
  <c r="O96" i="62"/>
  <c r="N96" i="62"/>
  <c r="E96" i="62"/>
  <c r="M90" i="62"/>
  <c r="J90" i="62"/>
  <c r="M89" i="62"/>
  <c r="M88" i="62"/>
  <c r="M87" i="62"/>
  <c r="M138" i="62" s="1"/>
  <c r="M86" i="62"/>
  <c r="M137" i="62" s="1"/>
  <c r="M188" i="62" s="1"/>
  <c r="M239" i="62" s="1"/>
  <c r="M290" i="62" s="1"/>
  <c r="P81" i="62"/>
  <c r="C81" i="62"/>
  <c r="W79" i="62"/>
  <c r="V79" i="62"/>
  <c r="U79" i="62"/>
  <c r="T79" i="62"/>
  <c r="R79" i="62"/>
  <c r="Q79" i="62"/>
  <c r="O79" i="62"/>
  <c r="N79" i="62"/>
  <c r="J79" i="62"/>
  <c r="E79" i="62"/>
  <c r="W78" i="62"/>
  <c r="V78" i="62"/>
  <c r="U78" i="62"/>
  <c r="T78" i="62"/>
  <c r="R78" i="62"/>
  <c r="Q78" i="62"/>
  <c r="O78" i="62"/>
  <c r="N78" i="62"/>
  <c r="J78" i="62"/>
  <c r="E78" i="62"/>
  <c r="W77" i="62"/>
  <c r="V77" i="62"/>
  <c r="U77" i="62"/>
  <c r="T77" i="62"/>
  <c r="R77" i="62"/>
  <c r="Q77" i="62"/>
  <c r="O77" i="62"/>
  <c r="N77" i="62"/>
  <c r="J77" i="62"/>
  <c r="E77" i="62"/>
  <c r="W76" i="62"/>
  <c r="V76" i="62"/>
  <c r="U76" i="62"/>
  <c r="T76" i="62"/>
  <c r="R76" i="62"/>
  <c r="Q76" i="62"/>
  <c r="O76" i="62"/>
  <c r="N76" i="62"/>
  <c r="J76" i="62"/>
  <c r="E76" i="62"/>
  <c r="W75" i="62"/>
  <c r="V75" i="62"/>
  <c r="U75" i="62"/>
  <c r="T75" i="62"/>
  <c r="R75" i="62"/>
  <c r="Q75" i="62"/>
  <c r="O75" i="62"/>
  <c r="N75" i="62"/>
  <c r="J75" i="62"/>
  <c r="E75" i="62"/>
  <c r="W74" i="62"/>
  <c r="V74" i="62"/>
  <c r="U74" i="62"/>
  <c r="T74" i="62"/>
  <c r="R74" i="62"/>
  <c r="Q74" i="62"/>
  <c r="O74" i="62"/>
  <c r="N74" i="62"/>
  <c r="J74" i="62"/>
  <c r="E74" i="62"/>
  <c r="W73" i="62"/>
  <c r="V73" i="62"/>
  <c r="U73" i="62"/>
  <c r="T73" i="62"/>
  <c r="R73" i="62"/>
  <c r="Q73" i="62"/>
  <c r="O73" i="62"/>
  <c r="N73" i="62"/>
  <c r="J73" i="62"/>
  <c r="E73" i="62"/>
  <c r="W72" i="62"/>
  <c r="V72" i="62"/>
  <c r="U72" i="62"/>
  <c r="T72" i="62"/>
  <c r="R72" i="62"/>
  <c r="Q72" i="62"/>
  <c r="O72" i="62"/>
  <c r="N72" i="62"/>
  <c r="J72" i="62"/>
  <c r="E72" i="62"/>
  <c r="W71" i="62"/>
  <c r="V71" i="62"/>
  <c r="U71" i="62"/>
  <c r="T71" i="62"/>
  <c r="R71" i="62"/>
  <c r="Q71" i="62"/>
  <c r="O71" i="62"/>
  <c r="N71" i="62"/>
  <c r="J71" i="62"/>
  <c r="E71" i="62"/>
  <c r="W70" i="62"/>
  <c r="V70" i="62"/>
  <c r="U70" i="62"/>
  <c r="T70" i="62"/>
  <c r="R70" i="62"/>
  <c r="Q70" i="62"/>
  <c r="O70" i="62"/>
  <c r="N70" i="62"/>
  <c r="J70" i="62"/>
  <c r="E70" i="62"/>
  <c r="W69" i="62"/>
  <c r="V69" i="62"/>
  <c r="U69" i="62"/>
  <c r="T69" i="62"/>
  <c r="R69" i="62"/>
  <c r="Q69" i="62"/>
  <c r="O69" i="62"/>
  <c r="N69" i="62"/>
  <c r="J69" i="62"/>
  <c r="E69" i="62"/>
  <c r="W68" i="62"/>
  <c r="V68" i="62"/>
  <c r="U68" i="62"/>
  <c r="T68" i="62"/>
  <c r="R68" i="62"/>
  <c r="Q68" i="62"/>
  <c r="O68" i="62"/>
  <c r="N68" i="62"/>
  <c r="J68" i="62"/>
  <c r="E68" i="62"/>
  <c r="W67" i="62"/>
  <c r="V67" i="62"/>
  <c r="U67" i="62"/>
  <c r="T67" i="62"/>
  <c r="R67" i="62"/>
  <c r="Q67" i="62"/>
  <c r="O67" i="62"/>
  <c r="N67" i="62"/>
  <c r="J67" i="62"/>
  <c r="E67" i="62"/>
  <c r="W66" i="62"/>
  <c r="V66" i="62"/>
  <c r="U66" i="62"/>
  <c r="T66" i="62"/>
  <c r="R66" i="62"/>
  <c r="Q66" i="62"/>
  <c r="O66" i="62"/>
  <c r="N66" i="62"/>
  <c r="J66" i="62"/>
  <c r="E66" i="62"/>
  <c r="W65" i="62"/>
  <c r="V65" i="62"/>
  <c r="U65" i="62"/>
  <c r="T65" i="62"/>
  <c r="R65" i="62"/>
  <c r="Q65" i="62"/>
  <c r="O65" i="62"/>
  <c r="N65" i="62"/>
  <c r="J65" i="62"/>
  <c r="E65" i="62"/>
  <c r="W64" i="62"/>
  <c r="V64" i="62"/>
  <c r="U64" i="62"/>
  <c r="T64" i="62"/>
  <c r="R64" i="62"/>
  <c r="Q64" i="62"/>
  <c r="O64" i="62"/>
  <c r="N64" i="62"/>
  <c r="J64" i="62"/>
  <c r="E64" i="62"/>
  <c r="W63" i="62"/>
  <c r="V63" i="62"/>
  <c r="U63" i="62"/>
  <c r="T63" i="62"/>
  <c r="R63" i="62"/>
  <c r="Q63" i="62"/>
  <c r="O63" i="62"/>
  <c r="N63" i="62"/>
  <c r="J63" i="62"/>
  <c r="J80" i="62" s="1"/>
  <c r="E63" i="62"/>
  <c r="W62" i="62"/>
  <c r="V62" i="62"/>
  <c r="U62" i="62"/>
  <c r="T62" i="62"/>
  <c r="R62" i="62"/>
  <c r="Q62" i="62"/>
  <c r="O62" i="62"/>
  <c r="N62" i="62"/>
  <c r="J62" i="62"/>
  <c r="E62" i="62"/>
  <c r="W61" i="62"/>
  <c r="V61" i="62"/>
  <c r="U61" i="62"/>
  <c r="T61" i="62"/>
  <c r="R61" i="62"/>
  <c r="Q61" i="62"/>
  <c r="O61" i="62"/>
  <c r="N61" i="62"/>
  <c r="J61" i="62"/>
  <c r="E61" i="62"/>
  <c r="W60" i="62"/>
  <c r="V60" i="62"/>
  <c r="U60" i="62"/>
  <c r="T60" i="62"/>
  <c r="R60" i="62"/>
  <c r="Q60" i="62"/>
  <c r="O60" i="62"/>
  <c r="O80" i="62" s="1"/>
  <c r="N60" i="62"/>
  <c r="J60" i="62"/>
  <c r="E60" i="62"/>
  <c r="W59" i="62"/>
  <c r="V59" i="62"/>
  <c r="U59" i="62"/>
  <c r="T59" i="62"/>
  <c r="R59" i="62"/>
  <c r="Q59" i="62"/>
  <c r="O59" i="62"/>
  <c r="N59" i="62"/>
  <c r="J59" i="62"/>
  <c r="E59" i="62"/>
  <c r="W58" i="62"/>
  <c r="V58" i="62"/>
  <c r="U58" i="62"/>
  <c r="T58" i="62"/>
  <c r="R58" i="62"/>
  <c r="Q58" i="62"/>
  <c r="O58" i="62"/>
  <c r="N58" i="62"/>
  <c r="J58" i="62"/>
  <c r="E58" i="62"/>
  <c r="W57" i="62"/>
  <c r="V57" i="62"/>
  <c r="U57" i="62"/>
  <c r="T57" i="62"/>
  <c r="R57" i="62"/>
  <c r="R80" i="62" s="1"/>
  <c r="Q57" i="62"/>
  <c r="O57" i="62"/>
  <c r="N57" i="62"/>
  <c r="J57" i="62"/>
  <c r="E57" i="62"/>
  <c r="W56" i="62"/>
  <c r="V56" i="62"/>
  <c r="U56" i="62"/>
  <c r="T56" i="62"/>
  <c r="R56" i="62"/>
  <c r="Q56" i="62"/>
  <c r="O56" i="62"/>
  <c r="N56" i="62"/>
  <c r="N80" i="62" s="1"/>
  <c r="J56" i="62"/>
  <c r="E56" i="62"/>
  <c r="W55" i="62"/>
  <c r="V55" i="62"/>
  <c r="U55" i="62"/>
  <c r="T55" i="62"/>
  <c r="R55" i="62"/>
  <c r="Q55" i="62"/>
  <c r="O55" i="62"/>
  <c r="N55" i="62"/>
  <c r="J55" i="62"/>
  <c r="E55" i="62"/>
  <c r="W54" i="62"/>
  <c r="V54" i="62"/>
  <c r="U54" i="62"/>
  <c r="T54" i="62"/>
  <c r="R54" i="62"/>
  <c r="Q54" i="62"/>
  <c r="O54" i="62"/>
  <c r="N54" i="62"/>
  <c r="J54" i="62"/>
  <c r="E54" i="62"/>
  <c r="W53" i="62"/>
  <c r="V53" i="62"/>
  <c r="U53" i="62"/>
  <c r="T53" i="62"/>
  <c r="R53" i="62"/>
  <c r="Q53" i="62"/>
  <c r="O53" i="62"/>
  <c r="N53" i="62"/>
  <c r="J53" i="62"/>
  <c r="E53" i="62"/>
  <c r="W52" i="62"/>
  <c r="V52" i="62"/>
  <c r="U52" i="62"/>
  <c r="T52" i="62"/>
  <c r="R52" i="62"/>
  <c r="Q52" i="62"/>
  <c r="O52" i="62"/>
  <c r="N52" i="62"/>
  <c r="J52" i="62"/>
  <c r="E52" i="62"/>
  <c r="W51" i="62"/>
  <c r="W80" i="62" s="1"/>
  <c r="U80" i="62" s="1"/>
  <c r="V51" i="62"/>
  <c r="U51" i="62"/>
  <c r="T51" i="62"/>
  <c r="R51" i="62"/>
  <c r="Q51" i="62"/>
  <c r="O51" i="62"/>
  <c r="N51" i="62"/>
  <c r="J51" i="62"/>
  <c r="E51" i="62"/>
  <c r="B47" i="62"/>
  <c r="B98" i="62" s="1"/>
  <c r="B149" i="62" s="1"/>
  <c r="B200" i="62" s="1"/>
  <c r="B251" i="62" s="1"/>
  <c r="B302" i="62" s="1"/>
  <c r="B45" i="62"/>
  <c r="B96" i="62" s="1"/>
  <c r="B147" i="62" s="1"/>
  <c r="B198" i="62" s="1"/>
  <c r="B249" i="62" s="1"/>
  <c r="B300" i="62" s="1"/>
  <c r="L34" i="62"/>
  <c r="Z11" i="62"/>
  <c r="Z8" i="62"/>
  <c r="Z5" i="62"/>
  <c r="J5" i="62"/>
  <c r="AA5" i="62" s="1"/>
  <c r="J349" i="61"/>
  <c r="V338" i="61"/>
  <c r="U338" i="61"/>
  <c r="T338" i="61"/>
  <c r="R338" i="61"/>
  <c r="Q338" i="61"/>
  <c r="O338" i="61"/>
  <c r="N338" i="61"/>
  <c r="J338" i="61"/>
  <c r="E338" i="61"/>
  <c r="V337" i="61"/>
  <c r="U337" i="61"/>
  <c r="T337" i="61"/>
  <c r="R337" i="61"/>
  <c r="Q337" i="61"/>
  <c r="O337" i="61"/>
  <c r="N337" i="61"/>
  <c r="J337" i="61"/>
  <c r="E337" i="61"/>
  <c r="V336" i="61"/>
  <c r="U336" i="61"/>
  <c r="T336" i="61"/>
  <c r="R336" i="61"/>
  <c r="Q336" i="61"/>
  <c r="O336" i="61"/>
  <c r="N336" i="61"/>
  <c r="J336" i="61"/>
  <c r="E336" i="61"/>
  <c r="V335" i="61"/>
  <c r="U335" i="61"/>
  <c r="T335" i="61"/>
  <c r="R335" i="61"/>
  <c r="Q335" i="61"/>
  <c r="O335" i="61"/>
  <c r="N335" i="61"/>
  <c r="J335" i="61"/>
  <c r="E335" i="61"/>
  <c r="V334" i="61"/>
  <c r="U334" i="61"/>
  <c r="T334" i="61"/>
  <c r="R334" i="61"/>
  <c r="Q334" i="61"/>
  <c r="O334" i="61"/>
  <c r="N334" i="61"/>
  <c r="J334" i="61"/>
  <c r="E334" i="61"/>
  <c r="V333" i="61"/>
  <c r="U333" i="61"/>
  <c r="T333" i="61"/>
  <c r="R333" i="61"/>
  <c r="Q333" i="61"/>
  <c r="O333" i="61"/>
  <c r="N333" i="61"/>
  <c r="J333" i="61"/>
  <c r="E333" i="61"/>
  <c r="V332" i="61"/>
  <c r="U332" i="61"/>
  <c r="T332" i="61"/>
  <c r="R332" i="61"/>
  <c r="Q332" i="61"/>
  <c r="O332" i="61"/>
  <c r="N332" i="61"/>
  <c r="J332" i="61"/>
  <c r="E332" i="61"/>
  <c r="V331" i="61"/>
  <c r="U331" i="61"/>
  <c r="T331" i="61"/>
  <c r="R331" i="61"/>
  <c r="Q331" i="61"/>
  <c r="O331" i="61"/>
  <c r="N331" i="61"/>
  <c r="J331" i="61"/>
  <c r="E331" i="61"/>
  <c r="V330" i="61"/>
  <c r="U330" i="61"/>
  <c r="T330" i="61"/>
  <c r="R330" i="61"/>
  <c r="Q330" i="61"/>
  <c r="O330" i="61"/>
  <c r="N330" i="61"/>
  <c r="J330" i="61"/>
  <c r="E330" i="61"/>
  <c r="V329" i="61"/>
  <c r="U329" i="61"/>
  <c r="T329" i="61"/>
  <c r="R329" i="61"/>
  <c r="Q329" i="61"/>
  <c r="O329" i="61"/>
  <c r="N329" i="61"/>
  <c r="J329" i="61"/>
  <c r="E329" i="61"/>
  <c r="V328" i="61"/>
  <c r="U328" i="61"/>
  <c r="T328" i="61"/>
  <c r="R328" i="61"/>
  <c r="Q328" i="61"/>
  <c r="O328" i="61"/>
  <c r="N328" i="61"/>
  <c r="J328" i="61"/>
  <c r="E328" i="61"/>
  <c r="V327" i="61"/>
  <c r="U327" i="61"/>
  <c r="T327" i="61"/>
  <c r="R327" i="61"/>
  <c r="Q327" i="61"/>
  <c r="O327" i="61"/>
  <c r="N327" i="61"/>
  <c r="J327" i="61"/>
  <c r="E327" i="61"/>
  <c r="V326" i="61"/>
  <c r="U326" i="61"/>
  <c r="T326" i="61"/>
  <c r="R326" i="61"/>
  <c r="Q326" i="61"/>
  <c r="O326" i="61"/>
  <c r="N326" i="61"/>
  <c r="J326" i="61"/>
  <c r="E326" i="61"/>
  <c r="V325" i="61"/>
  <c r="U325" i="61"/>
  <c r="T325" i="61"/>
  <c r="R325" i="61"/>
  <c r="Q325" i="61"/>
  <c r="O325" i="61"/>
  <c r="N325" i="61"/>
  <c r="J325" i="61"/>
  <c r="E325" i="61"/>
  <c r="V324" i="61"/>
  <c r="U324" i="61"/>
  <c r="T324" i="61"/>
  <c r="R324" i="61"/>
  <c r="Q324" i="61"/>
  <c r="O324" i="61"/>
  <c r="N324" i="61"/>
  <c r="J324" i="61"/>
  <c r="E324" i="61"/>
  <c r="V323" i="61"/>
  <c r="U323" i="61"/>
  <c r="T323" i="61"/>
  <c r="R323" i="61"/>
  <c r="Q323" i="61"/>
  <c r="O323" i="61"/>
  <c r="N323" i="61"/>
  <c r="J323" i="61"/>
  <c r="E323" i="61"/>
  <c r="V322" i="61"/>
  <c r="U322" i="61"/>
  <c r="T322" i="61"/>
  <c r="R322" i="61"/>
  <c r="Q322" i="61"/>
  <c r="O322" i="61"/>
  <c r="N322" i="61"/>
  <c r="J322" i="61"/>
  <c r="E322" i="61"/>
  <c r="V321" i="61"/>
  <c r="U321" i="61"/>
  <c r="T321" i="61"/>
  <c r="R321" i="61"/>
  <c r="Q321" i="61"/>
  <c r="O321" i="61"/>
  <c r="N321" i="61"/>
  <c r="J321" i="61"/>
  <c r="E321" i="61"/>
  <c r="V320" i="61"/>
  <c r="U320" i="61"/>
  <c r="T320" i="61"/>
  <c r="R320" i="61"/>
  <c r="Q320" i="61"/>
  <c r="O320" i="61"/>
  <c r="N320" i="61"/>
  <c r="J320" i="61"/>
  <c r="E320" i="61"/>
  <c r="V319" i="61"/>
  <c r="U319" i="61"/>
  <c r="T319" i="61"/>
  <c r="R319" i="61"/>
  <c r="Q319" i="61"/>
  <c r="O319" i="61"/>
  <c r="N319" i="61"/>
  <c r="J319" i="61"/>
  <c r="E319" i="61"/>
  <c r="V318" i="61"/>
  <c r="U318" i="61"/>
  <c r="T318" i="61"/>
  <c r="R318" i="61"/>
  <c r="Q318" i="61"/>
  <c r="O318" i="61"/>
  <c r="N318" i="61"/>
  <c r="J318" i="61"/>
  <c r="E318" i="61"/>
  <c r="V317" i="61"/>
  <c r="U317" i="61"/>
  <c r="T317" i="61"/>
  <c r="R317" i="61"/>
  <c r="Q317" i="61"/>
  <c r="O317" i="61"/>
  <c r="N317" i="61"/>
  <c r="J317" i="61"/>
  <c r="E317" i="61"/>
  <c r="V316" i="61"/>
  <c r="U316" i="61"/>
  <c r="T316" i="61"/>
  <c r="R316" i="61"/>
  <c r="Q316" i="61"/>
  <c r="O316" i="61"/>
  <c r="N316" i="61"/>
  <c r="J316" i="61"/>
  <c r="E316" i="61"/>
  <c r="V315" i="61"/>
  <c r="U315" i="61"/>
  <c r="T315" i="61"/>
  <c r="R315" i="61"/>
  <c r="Q315" i="61"/>
  <c r="O315" i="61"/>
  <c r="N315" i="61"/>
  <c r="J315" i="61"/>
  <c r="E315" i="61"/>
  <c r="V314" i="61"/>
  <c r="U314" i="61"/>
  <c r="T314" i="61"/>
  <c r="R314" i="61"/>
  <c r="Q314" i="61"/>
  <c r="O314" i="61"/>
  <c r="N314" i="61"/>
  <c r="J314" i="61"/>
  <c r="E314" i="61"/>
  <c r="V313" i="61"/>
  <c r="U313" i="61"/>
  <c r="T313" i="61"/>
  <c r="R313" i="61"/>
  <c r="Q313" i="61"/>
  <c r="O313" i="61"/>
  <c r="N313" i="61"/>
  <c r="J313" i="61"/>
  <c r="E313" i="61"/>
  <c r="V312" i="61"/>
  <c r="U312" i="61"/>
  <c r="T312" i="61"/>
  <c r="R312" i="61"/>
  <c r="Q312" i="61"/>
  <c r="O312" i="61"/>
  <c r="N312" i="61"/>
  <c r="J312" i="61"/>
  <c r="E312" i="61"/>
  <c r="V311" i="61"/>
  <c r="U311" i="61"/>
  <c r="T311" i="61"/>
  <c r="R311" i="61"/>
  <c r="Q311" i="61"/>
  <c r="O311" i="61"/>
  <c r="N311" i="61"/>
  <c r="J311" i="61"/>
  <c r="E311" i="61"/>
  <c r="V310" i="61"/>
  <c r="U310" i="61"/>
  <c r="T310" i="61"/>
  <c r="R310" i="61"/>
  <c r="Q310" i="61"/>
  <c r="O310" i="61"/>
  <c r="N310" i="61"/>
  <c r="J310" i="61"/>
  <c r="E310" i="61"/>
  <c r="V309" i="61"/>
  <c r="U309" i="61"/>
  <c r="T309" i="61"/>
  <c r="R309" i="61"/>
  <c r="Q309" i="61"/>
  <c r="O309" i="61"/>
  <c r="N309" i="61"/>
  <c r="J309" i="61"/>
  <c r="E309" i="61"/>
  <c r="V308" i="61"/>
  <c r="U308" i="61"/>
  <c r="T308" i="61"/>
  <c r="R308" i="61"/>
  <c r="Q308" i="61"/>
  <c r="O308" i="61"/>
  <c r="N308" i="61"/>
  <c r="J308" i="61"/>
  <c r="E308" i="61"/>
  <c r="V307" i="61"/>
  <c r="U307" i="61"/>
  <c r="T307" i="61"/>
  <c r="R307" i="61"/>
  <c r="Q307" i="61"/>
  <c r="O307" i="61"/>
  <c r="N307" i="61"/>
  <c r="J307" i="61"/>
  <c r="E307" i="61"/>
  <c r="V306" i="61"/>
  <c r="U306" i="61"/>
  <c r="T306" i="61"/>
  <c r="R306" i="61"/>
  <c r="Q306" i="61"/>
  <c r="O306" i="61"/>
  <c r="O339" i="61" s="1"/>
  <c r="N306" i="61"/>
  <c r="N339" i="61" s="1"/>
  <c r="J306" i="61"/>
  <c r="J339" i="61" s="1"/>
  <c r="E306" i="61"/>
  <c r="V305" i="61"/>
  <c r="U305" i="61"/>
  <c r="T305" i="61"/>
  <c r="R305" i="61"/>
  <c r="Q305" i="61"/>
  <c r="O305" i="61"/>
  <c r="N305" i="61"/>
  <c r="J305" i="61"/>
  <c r="E305" i="61"/>
  <c r="V304" i="61"/>
  <c r="U304" i="61"/>
  <c r="T304" i="61"/>
  <c r="R304" i="61"/>
  <c r="Q304" i="61"/>
  <c r="O304" i="61"/>
  <c r="N304" i="61"/>
  <c r="J304" i="61"/>
  <c r="E304" i="61"/>
  <c r="B304" i="61"/>
  <c r="M298" i="61"/>
  <c r="M349" i="61" s="1"/>
  <c r="J298" i="61"/>
  <c r="M297" i="61"/>
  <c r="M348" i="61" s="1"/>
  <c r="M296" i="61"/>
  <c r="M347" i="61" s="1"/>
  <c r="M295" i="61"/>
  <c r="M346" i="61" s="1"/>
  <c r="J288" i="61"/>
  <c r="V287" i="61"/>
  <c r="U287" i="61"/>
  <c r="T287" i="61"/>
  <c r="R287" i="61"/>
  <c r="Q287" i="61"/>
  <c r="O287" i="61"/>
  <c r="N287" i="61"/>
  <c r="J287" i="61"/>
  <c r="E287" i="61"/>
  <c r="V286" i="61"/>
  <c r="U286" i="61"/>
  <c r="T286" i="61"/>
  <c r="R286" i="61"/>
  <c r="Q286" i="61"/>
  <c r="O286" i="61"/>
  <c r="N286" i="61"/>
  <c r="J286" i="61"/>
  <c r="E286" i="61"/>
  <c r="V285" i="61"/>
  <c r="U285" i="61"/>
  <c r="T285" i="61"/>
  <c r="R285" i="61"/>
  <c r="Q285" i="61"/>
  <c r="O285" i="61"/>
  <c r="N285" i="61"/>
  <c r="J285" i="61"/>
  <c r="E285" i="61"/>
  <c r="V284" i="61"/>
  <c r="U284" i="61"/>
  <c r="T284" i="61"/>
  <c r="R284" i="61"/>
  <c r="Q284" i="61"/>
  <c r="O284" i="61"/>
  <c r="N284" i="61"/>
  <c r="J284" i="61"/>
  <c r="E284" i="61"/>
  <c r="V283" i="61"/>
  <c r="U283" i="61"/>
  <c r="T283" i="61"/>
  <c r="R283" i="61"/>
  <c r="Q283" i="61"/>
  <c r="O283" i="61"/>
  <c r="N283" i="61"/>
  <c r="J283" i="61"/>
  <c r="E283" i="61"/>
  <c r="V282" i="61"/>
  <c r="U282" i="61"/>
  <c r="T282" i="61"/>
  <c r="R282" i="61"/>
  <c r="Q282" i="61"/>
  <c r="O282" i="61"/>
  <c r="N282" i="61"/>
  <c r="J282" i="61"/>
  <c r="E282" i="61"/>
  <c r="V281" i="61"/>
  <c r="U281" i="61"/>
  <c r="T281" i="61"/>
  <c r="R281" i="61"/>
  <c r="Q281" i="61"/>
  <c r="O281" i="61"/>
  <c r="N281" i="61"/>
  <c r="J281" i="61"/>
  <c r="E281" i="61"/>
  <c r="V280" i="61"/>
  <c r="U280" i="61"/>
  <c r="T280" i="61"/>
  <c r="R280" i="61"/>
  <c r="Q280" i="61"/>
  <c r="O280" i="61"/>
  <c r="N280" i="61"/>
  <c r="J280" i="61"/>
  <c r="E280" i="61"/>
  <c r="V279" i="61"/>
  <c r="U279" i="61"/>
  <c r="T279" i="61"/>
  <c r="R279" i="61"/>
  <c r="Q279" i="61"/>
  <c r="O279" i="61"/>
  <c r="N279" i="61"/>
  <c r="J279" i="61"/>
  <c r="E279" i="61"/>
  <c r="V278" i="61"/>
  <c r="U278" i="61"/>
  <c r="T278" i="61"/>
  <c r="R278" i="61"/>
  <c r="Q278" i="61"/>
  <c r="O278" i="61"/>
  <c r="N278" i="61"/>
  <c r="J278" i="61"/>
  <c r="E278" i="61"/>
  <c r="V277" i="61"/>
  <c r="U277" i="61"/>
  <c r="T277" i="61"/>
  <c r="R277" i="61"/>
  <c r="Q277" i="61"/>
  <c r="O277" i="61"/>
  <c r="N277" i="61"/>
  <c r="J277" i="61"/>
  <c r="E277" i="61"/>
  <c r="V276" i="61"/>
  <c r="U276" i="61"/>
  <c r="T276" i="61"/>
  <c r="R276" i="61"/>
  <c r="Q276" i="61"/>
  <c r="O276" i="61"/>
  <c r="N276" i="61"/>
  <c r="J276" i="61"/>
  <c r="E276" i="61"/>
  <c r="V275" i="61"/>
  <c r="U275" i="61"/>
  <c r="T275" i="61"/>
  <c r="R275" i="61"/>
  <c r="Q275" i="61"/>
  <c r="O275" i="61"/>
  <c r="N275" i="61"/>
  <c r="J275" i="61"/>
  <c r="E275" i="61"/>
  <c r="V274" i="61"/>
  <c r="U274" i="61"/>
  <c r="T274" i="61"/>
  <c r="R274" i="61"/>
  <c r="Q274" i="61"/>
  <c r="O274" i="61"/>
  <c r="N274" i="61"/>
  <c r="J274" i="61"/>
  <c r="E274" i="61"/>
  <c r="V273" i="61"/>
  <c r="U273" i="61"/>
  <c r="T273" i="61"/>
  <c r="R273" i="61"/>
  <c r="Q273" i="61"/>
  <c r="O273" i="61"/>
  <c r="N273" i="61"/>
  <c r="J273" i="61"/>
  <c r="E273" i="61"/>
  <c r="V272" i="61"/>
  <c r="U272" i="61"/>
  <c r="T272" i="61"/>
  <c r="R272" i="61"/>
  <c r="Q272" i="61"/>
  <c r="O272" i="61"/>
  <c r="N272" i="61"/>
  <c r="J272" i="61"/>
  <c r="E272" i="61"/>
  <c r="V271" i="61"/>
  <c r="U271" i="61"/>
  <c r="T271" i="61"/>
  <c r="R271" i="61"/>
  <c r="Q271" i="61"/>
  <c r="O271" i="61"/>
  <c r="N271" i="61"/>
  <c r="J271" i="61"/>
  <c r="E271" i="61"/>
  <c r="V270" i="61"/>
  <c r="U270" i="61"/>
  <c r="T270" i="61"/>
  <c r="R270" i="61"/>
  <c r="Q270" i="61"/>
  <c r="O270" i="61"/>
  <c r="N270" i="61"/>
  <c r="J270" i="61"/>
  <c r="E270" i="61"/>
  <c r="V269" i="61"/>
  <c r="U269" i="61"/>
  <c r="T269" i="61"/>
  <c r="R269" i="61"/>
  <c r="Q269" i="61"/>
  <c r="O269" i="61"/>
  <c r="N269" i="61"/>
  <c r="J269" i="61"/>
  <c r="E269" i="61"/>
  <c r="V268" i="61"/>
  <c r="U268" i="61"/>
  <c r="T268" i="61"/>
  <c r="R268" i="61"/>
  <c r="Q268" i="61"/>
  <c r="O268" i="61"/>
  <c r="N268" i="61"/>
  <c r="J268" i="61"/>
  <c r="E268" i="61"/>
  <c r="V267" i="61"/>
  <c r="U267" i="61"/>
  <c r="T267" i="61"/>
  <c r="R267" i="61"/>
  <c r="Q267" i="61"/>
  <c r="O267" i="61"/>
  <c r="N267" i="61"/>
  <c r="J267" i="61"/>
  <c r="E267" i="61"/>
  <c r="V266" i="61"/>
  <c r="U266" i="61"/>
  <c r="T266" i="61"/>
  <c r="R266" i="61"/>
  <c r="Q266" i="61"/>
  <c r="O266" i="61"/>
  <c r="N266" i="61"/>
  <c r="J266" i="61"/>
  <c r="E266" i="61"/>
  <c r="V265" i="61"/>
  <c r="U265" i="61"/>
  <c r="T265" i="61"/>
  <c r="R265" i="61"/>
  <c r="Q265" i="61"/>
  <c r="O265" i="61"/>
  <c r="N265" i="61"/>
  <c r="J265" i="61"/>
  <c r="E265" i="61"/>
  <c r="V264" i="61"/>
  <c r="U264" i="61"/>
  <c r="T264" i="61"/>
  <c r="R264" i="61"/>
  <c r="Q264" i="61"/>
  <c r="O264" i="61"/>
  <c r="N264" i="61"/>
  <c r="J264" i="61"/>
  <c r="E264" i="61"/>
  <c r="V263" i="61"/>
  <c r="U263" i="61"/>
  <c r="T263" i="61"/>
  <c r="R263" i="61"/>
  <c r="Q263" i="61"/>
  <c r="O263" i="61"/>
  <c r="N263" i="61"/>
  <c r="J263" i="61"/>
  <c r="E263" i="61"/>
  <c r="V262" i="61"/>
  <c r="U262" i="61"/>
  <c r="T262" i="61"/>
  <c r="R262" i="61"/>
  <c r="Q262" i="61"/>
  <c r="O262" i="61"/>
  <c r="N262" i="61"/>
  <c r="J262" i="61"/>
  <c r="E262" i="61"/>
  <c r="V261" i="61"/>
  <c r="U261" i="61"/>
  <c r="T261" i="61"/>
  <c r="R261" i="61"/>
  <c r="Q261" i="61"/>
  <c r="O261" i="61"/>
  <c r="N261" i="61"/>
  <c r="J261" i="61"/>
  <c r="E261" i="61"/>
  <c r="V260" i="61"/>
  <c r="U260" i="61"/>
  <c r="T260" i="61"/>
  <c r="R260" i="61"/>
  <c r="Q260" i="61"/>
  <c r="O260" i="61"/>
  <c r="N260" i="61"/>
  <c r="J260" i="61"/>
  <c r="E260" i="61"/>
  <c r="V259" i="61"/>
  <c r="U259" i="61"/>
  <c r="T259" i="61"/>
  <c r="R259" i="61"/>
  <c r="Q259" i="61"/>
  <c r="O259" i="61"/>
  <c r="N259" i="61"/>
  <c r="J259" i="61"/>
  <c r="E259" i="61"/>
  <c r="V258" i="61"/>
  <c r="U258" i="61"/>
  <c r="T258" i="61"/>
  <c r="R258" i="61"/>
  <c r="Q258" i="61"/>
  <c r="O258" i="61"/>
  <c r="N258" i="61"/>
  <c r="J258" i="61"/>
  <c r="E258" i="61"/>
  <c r="V257" i="61"/>
  <c r="U257" i="61"/>
  <c r="T257" i="61"/>
  <c r="R257" i="61"/>
  <c r="Q257" i="61"/>
  <c r="O257" i="61"/>
  <c r="N257" i="61"/>
  <c r="J257" i="61"/>
  <c r="E257" i="61"/>
  <c r="V256" i="61"/>
  <c r="U256" i="61"/>
  <c r="T256" i="61"/>
  <c r="R256" i="61"/>
  <c r="Q256" i="61"/>
  <c r="O256" i="61"/>
  <c r="N256" i="61"/>
  <c r="J256" i="61"/>
  <c r="E256" i="61"/>
  <c r="V255" i="61"/>
  <c r="U255" i="61"/>
  <c r="T255" i="61"/>
  <c r="R255" i="61"/>
  <c r="Q255" i="61"/>
  <c r="O255" i="61"/>
  <c r="N255" i="61"/>
  <c r="J255" i="61"/>
  <c r="E255" i="61"/>
  <c r="V254" i="61"/>
  <c r="V288" i="61" s="1"/>
  <c r="U254" i="61"/>
  <c r="T254" i="61"/>
  <c r="R254" i="61"/>
  <c r="Q254" i="61"/>
  <c r="O254" i="61"/>
  <c r="N254" i="61"/>
  <c r="J254" i="61"/>
  <c r="E254" i="61"/>
  <c r="V253" i="61"/>
  <c r="U253" i="61"/>
  <c r="T253" i="61"/>
  <c r="R253" i="61"/>
  <c r="Q253" i="61"/>
  <c r="O253" i="61"/>
  <c r="N253" i="61"/>
  <c r="N288" i="61" s="1"/>
  <c r="J253" i="61"/>
  <c r="E253" i="61"/>
  <c r="J247" i="61"/>
  <c r="M244" i="61"/>
  <c r="M243" i="61"/>
  <c r="M294" i="61" s="1"/>
  <c r="M345" i="61" s="1"/>
  <c r="C238" i="61"/>
  <c r="C289" i="61" s="1"/>
  <c r="C340" i="61" s="1"/>
  <c r="V237" i="61"/>
  <c r="U237" i="61"/>
  <c r="R237" i="61"/>
  <c r="O237" i="61"/>
  <c r="V236" i="61"/>
  <c r="U236" i="61"/>
  <c r="T236" i="61"/>
  <c r="R236" i="61"/>
  <c r="Q236" i="61"/>
  <c r="O236" i="61"/>
  <c r="N236" i="61"/>
  <c r="J236" i="61"/>
  <c r="E236" i="61"/>
  <c r="V235" i="61"/>
  <c r="U235" i="61"/>
  <c r="T235" i="61"/>
  <c r="R235" i="61"/>
  <c r="Q235" i="61"/>
  <c r="O235" i="61"/>
  <c r="N235" i="61"/>
  <c r="J235" i="61"/>
  <c r="E235" i="61"/>
  <c r="V234" i="61"/>
  <c r="U234" i="61"/>
  <c r="T234" i="61"/>
  <c r="R234" i="61"/>
  <c r="Q234" i="61"/>
  <c r="O234" i="61"/>
  <c r="N234" i="61"/>
  <c r="J234" i="61"/>
  <c r="E234" i="61"/>
  <c r="V233" i="61"/>
  <c r="U233" i="61"/>
  <c r="T233" i="61"/>
  <c r="R233" i="61"/>
  <c r="Q233" i="61"/>
  <c r="O233" i="61"/>
  <c r="N233" i="61"/>
  <c r="J233" i="61"/>
  <c r="E233" i="61"/>
  <c r="V232" i="61"/>
  <c r="U232" i="61"/>
  <c r="T232" i="61"/>
  <c r="R232" i="61"/>
  <c r="Q232" i="61"/>
  <c r="O232" i="61"/>
  <c r="N232" i="61"/>
  <c r="J232" i="61"/>
  <c r="E232" i="61"/>
  <c r="V231" i="61"/>
  <c r="U231" i="61"/>
  <c r="T231" i="61"/>
  <c r="R231" i="61"/>
  <c r="Q231" i="61"/>
  <c r="O231" i="61"/>
  <c r="N231" i="61"/>
  <c r="J231" i="61"/>
  <c r="E231" i="61"/>
  <c r="V230" i="61"/>
  <c r="U230" i="61"/>
  <c r="T230" i="61"/>
  <c r="R230" i="61"/>
  <c r="Q230" i="61"/>
  <c r="O230" i="61"/>
  <c r="N230" i="61"/>
  <c r="J230" i="61"/>
  <c r="E230" i="61"/>
  <c r="V229" i="61"/>
  <c r="U229" i="61"/>
  <c r="T229" i="61"/>
  <c r="R229" i="61"/>
  <c r="Q229" i="61"/>
  <c r="O229" i="61"/>
  <c r="N229" i="61"/>
  <c r="J229" i="61"/>
  <c r="E229" i="61"/>
  <c r="V228" i="61"/>
  <c r="U228" i="61"/>
  <c r="T228" i="61"/>
  <c r="R228" i="61"/>
  <c r="Q228" i="61"/>
  <c r="O228" i="61"/>
  <c r="N228" i="61"/>
  <c r="J228" i="61"/>
  <c r="E228" i="61"/>
  <c r="V227" i="61"/>
  <c r="U227" i="61"/>
  <c r="T227" i="61"/>
  <c r="R227" i="61"/>
  <c r="Q227" i="61"/>
  <c r="O227" i="61"/>
  <c r="N227" i="61"/>
  <c r="J227" i="61"/>
  <c r="E227" i="61"/>
  <c r="V226" i="61"/>
  <c r="U226" i="61"/>
  <c r="T226" i="61"/>
  <c r="R226" i="61"/>
  <c r="Q226" i="61"/>
  <c r="O226" i="61"/>
  <c r="N226" i="61"/>
  <c r="J226" i="61"/>
  <c r="E226" i="61"/>
  <c r="V225" i="61"/>
  <c r="U225" i="61"/>
  <c r="T225" i="61"/>
  <c r="R225" i="61"/>
  <c r="Q225" i="61"/>
  <c r="O225" i="61"/>
  <c r="N225" i="61"/>
  <c r="J225" i="61"/>
  <c r="E225" i="61"/>
  <c r="V224" i="61"/>
  <c r="U224" i="61"/>
  <c r="T224" i="61"/>
  <c r="R224" i="61"/>
  <c r="Q224" i="61"/>
  <c r="O224" i="61"/>
  <c r="N224" i="61"/>
  <c r="J224" i="61"/>
  <c r="E224" i="61"/>
  <c r="V223" i="61"/>
  <c r="U223" i="61"/>
  <c r="T223" i="61"/>
  <c r="R223" i="61"/>
  <c r="Q223" i="61"/>
  <c r="O223" i="61"/>
  <c r="N223" i="61"/>
  <c r="J223" i="61"/>
  <c r="E223" i="61"/>
  <c r="V222" i="61"/>
  <c r="U222" i="61"/>
  <c r="T222" i="61"/>
  <c r="R222" i="61"/>
  <c r="Q222" i="61"/>
  <c r="O222" i="61"/>
  <c r="N222" i="61"/>
  <c r="J222" i="61"/>
  <c r="E222" i="61"/>
  <c r="V221" i="61"/>
  <c r="U221" i="61"/>
  <c r="T221" i="61"/>
  <c r="R221" i="61"/>
  <c r="Q221" i="61"/>
  <c r="O221" i="61"/>
  <c r="N221" i="61"/>
  <c r="J221" i="61"/>
  <c r="E221" i="61"/>
  <c r="V220" i="61"/>
  <c r="U220" i="61"/>
  <c r="T220" i="61"/>
  <c r="R220" i="61"/>
  <c r="Q220" i="61"/>
  <c r="O220" i="61"/>
  <c r="N220" i="61"/>
  <c r="J220" i="61"/>
  <c r="E220" i="61"/>
  <c r="V219" i="61"/>
  <c r="U219" i="61"/>
  <c r="T219" i="61"/>
  <c r="R219" i="61"/>
  <c r="Q219" i="61"/>
  <c r="O219" i="61"/>
  <c r="N219" i="61"/>
  <c r="J219" i="61"/>
  <c r="E219" i="61"/>
  <c r="V218" i="61"/>
  <c r="U218" i="61"/>
  <c r="T218" i="61"/>
  <c r="R218" i="61"/>
  <c r="Q218" i="61"/>
  <c r="O218" i="61"/>
  <c r="N218" i="61"/>
  <c r="J218" i="61"/>
  <c r="E218" i="61"/>
  <c r="V217" i="61"/>
  <c r="U217" i="61"/>
  <c r="T217" i="61"/>
  <c r="R217" i="61"/>
  <c r="Q217" i="61"/>
  <c r="O217" i="61"/>
  <c r="N217" i="61"/>
  <c r="J217" i="61"/>
  <c r="E217" i="61"/>
  <c r="V216" i="61"/>
  <c r="U216" i="61"/>
  <c r="T216" i="61"/>
  <c r="R216" i="61"/>
  <c r="Q216" i="61"/>
  <c r="O216" i="61"/>
  <c r="N216" i="61"/>
  <c r="J216" i="61"/>
  <c r="E216" i="61"/>
  <c r="V215" i="61"/>
  <c r="U215" i="61"/>
  <c r="T215" i="61"/>
  <c r="R215" i="61"/>
  <c r="Q215" i="61"/>
  <c r="O215" i="61"/>
  <c r="N215" i="61"/>
  <c r="J215" i="61"/>
  <c r="E215" i="61"/>
  <c r="V214" i="61"/>
  <c r="U214" i="61"/>
  <c r="T214" i="61"/>
  <c r="R214" i="61"/>
  <c r="Q214" i="61"/>
  <c r="O214" i="61"/>
  <c r="N214" i="61"/>
  <c r="J214" i="61"/>
  <c r="E214" i="61"/>
  <c r="V213" i="61"/>
  <c r="U213" i="61"/>
  <c r="T213" i="61"/>
  <c r="R213" i="61"/>
  <c r="Q213" i="61"/>
  <c r="O213" i="61"/>
  <c r="N213" i="61"/>
  <c r="J213" i="61"/>
  <c r="E213" i="61"/>
  <c r="V212" i="61"/>
  <c r="U212" i="61"/>
  <c r="T212" i="61"/>
  <c r="R212" i="61"/>
  <c r="Q212" i="61"/>
  <c r="O212" i="61"/>
  <c r="N212" i="61"/>
  <c r="J212" i="61"/>
  <c r="E212" i="61"/>
  <c r="V211" i="61"/>
  <c r="U211" i="61"/>
  <c r="T211" i="61"/>
  <c r="R211" i="61"/>
  <c r="Q211" i="61"/>
  <c r="O211" i="61"/>
  <c r="N211" i="61"/>
  <c r="J211" i="61"/>
  <c r="E211" i="61"/>
  <c r="V210" i="61"/>
  <c r="U210" i="61"/>
  <c r="T210" i="61"/>
  <c r="R210" i="61"/>
  <c r="Q210" i="61"/>
  <c r="O210" i="61"/>
  <c r="N210" i="61"/>
  <c r="J210" i="61"/>
  <c r="E210" i="61"/>
  <c r="V209" i="61"/>
  <c r="U209" i="61"/>
  <c r="T209" i="61"/>
  <c r="R209" i="61"/>
  <c r="Q209" i="61"/>
  <c r="O209" i="61"/>
  <c r="N209" i="61"/>
  <c r="J209" i="61"/>
  <c r="E209" i="61"/>
  <c r="V208" i="61"/>
  <c r="U208" i="61"/>
  <c r="T208" i="61"/>
  <c r="R208" i="61"/>
  <c r="Q208" i="61"/>
  <c r="O208" i="61"/>
  <c r="N208" i="61"/>
  <c r="J208" i="61"/>
  <c r="E208" i="61"/>
  <c r="V207" i="61"/>
  <c r="U207" i="61"/>
  <c r="T207" i="61"/>
  <c r="R207" i="61"/>
  <c r="Q207" i="61"/>
  <c r="O207" i="61"/>
  <c r="N207" i="61"/>
  <c r="J207" i="61"/>
  <c r="E207" i="61"/>
  <c r="V206" i="61"/>
  <c r="U206" i="61"/>
  <c r="T206" i="61"/>
  <c r="R206" i="61"/>
  <c r="Q206" i="61"/>
  <c r="O206" i="61"/>
  <c r="N206" i="61"/>
  <c r="J206" i="61"/>
  <c r="E206" i="61"/>
  <c r="V205" i="61"/>
  <c r="U205" i="61"/>
  <c r="T205" i="61"/>
  <c r="R205" i="61"/>
  <c r="Q205" i="61"/>
  <c r="O205" i="61"/>
  <c r="N205" i="61"/>
  <c r="E205" i="61"/>
  <c r="V204" i="61"/>
  <c r="U204" i="61"/>
  <c r="T204" i="61"/>
  <c r="R204" i="61"/>
  <c r="Q204" i="61"/>
  <c r="O204" i="61"/>
  <c r="N204" i="61"/>
  <c r="J204" i="61"/>
  <c r="E204" i="61"/>
  <c r="V203" i="61"/>
  <c r="U203" i="61"/>
  <c r="T203" i="61"/>
  <c r="R203" i="61"/>
  <c r="Q203" i="61"/>
  <c r="O203" i="61"/>
  <c r="N203" i="61"/>
  <c r="J203" i="61"/>
  <c r="E203" i="61"/>
  <c r="V202" i="61"/>
  <c r="U202" i="61"/>
  <c r="T202" i="61"/>
  <c r="R202" i="61"/>
  <c r="Q202" i="61"/>
  <c r="O202" i="61"/>
  <c r="N202" i="61"/>
  <c r="N237" i="61" s="1"/>
  <c r="J202" i="61"/>
  <c r="J237" i="61" s="1"/>
  <c r="E202" i="61"/>
  <c r="J196" i="61"/>
  <c r="O186" i="61"/>
  <c r="N186" i="61"/>
  <c r="J186" i="61"/>
  <c r="V185" i="61"/>
  <c r="U185" i="61"/>
  <c r="T185" i="61"/>
  <c r="R185" i="61"/>
  <c r="Q185" i="61"/>
  <c r="O185" i="61"/>
  <c r="N185" i="61"/>
  <c r="J185" i="61"/>
  <c r="E185" i="61"/>
  <c r="V184" i="61"/>
  <c r="U184" i="61"/>
  <c r="T184" i="61"/>
  <c r="R184" i="61"/>
  <c r="Q184" i="61"/>
  <c r="O184" i="61"/>
  <c r="N184" i="61"/>
  <c r="J184" i="61"/>
  <c r="E184" i="61"/>
  <c r="V183" i="61"/>
  <c r="U183" i="61"/>
  <c r="T183" i="61"/>
  <c r="R183" i="61"/>
  <c r="Q183" i="61"/>
  <c r="O183" i="61"/>
  <c r="N183" i="61"/>
  <c r="J183" i="61"/>
  <c r="E183" i="61"/>
  <c r="V182" i="61"/>
  <c r="U182" i="61"/>
  <c r="T182" i="61"/>
  <c r="R182" i="61"/>
  <c r="Q182" i="61"/>
  <c r="O182" i="61"/>
  <c r="N182" i="61"/>
  <c r="J182" i="61"/>
  <c r="E182" i="61"/>
  <c r="V181" i="61"/>
  <c r="U181" i="61"/>
  <c r="T181" i="61"/>
  <c r="R181" i="61"/>
  <c r="Q181" i="61"/>
  <c r="O181" i="61"/>
  <c r="N181" i="61"/>
  <c r="J181" i="61"/>
  <c r="E181" i="61"/>
  <c r="V180" i="61"/>
  <c r="U180" i="61"/>
  <c r="T180" i="61"/>
  <c r="R180" i="61"/>
  <c r="Q180" i="61"/>
  <c r="O180" i="61"/>
  <c r="N180" i="61"/>
  <c r="J180" i="61"/>
  <c r="E180" i="61"/>
  <c r="V179" i="61"/>
  <c r="U179" i="61"/>
  <c r="T179" i="61"/>
  <c r="R179" i="61"/>
  <c r="Q179" i="61"/>
  <c r="O179" i="61"/>
  <c r="N179" i="61"/>
  <c r="J179" i="61"/>
  <c r="E179" i="61"/>
  <c r="V178" i="61"/>
  <c r="U178" i="61"/>
  <c r="T178" i="61"/>
  <c r="R178" i="61"/>
  <c r="Q178" i="61"/>
  <c r="O178" i="61"/>
  <c r="N178" i="61"/>
  <c r="J178" i="61"/>
  <c r="E178" i="61"/>
  <c r="V177" i="61"/>
  <c r="U177" i="61"/>
  <c r="T177" i="61"/>
  <c r="R177" i="61"/>
  <c r="Q177" i="61"/>
  <c r="O177" i="61"/>
  <c r="N177" i="61"/>
  <c r="J177" i="61"/>
  <c r="E177" i="61"/>
  <c r="V176" i="61"/>
  <c r="U176" i="61"/>
  <c r="T176" i="61"/>
  <c r="R176" i="61"/>
  <c r="Q176" i="61"/>
  <c r="O176" i="61"/>
  <c r="N176" i="61"/>
  <c r="J176" i="61"/>
  <c r="E176" i="61"/>
  <c r="V175" i="61"/>
  <c r="U175" i="61"/>
  <c r="T175" i="61"/>
  <c r="R175" i="61"/>
  <c r="Q175" i="61"/>
  <c r="O175" i="61"/>
  <c r="N175" i="61"/>
  <c r="J175" i="61"/>
  <c r="E175" i="61"/>
  <c r="V174" i="61"/>
  <c r="U174" i="61"/>
  <c r="T174" i="61"/>
  <c r="R174" i="61"/>
  <c r="Q174" i="61"/>
  <c r="O174" i="61"/>
  <c r="N174" i="61"/>
  <c r="J174" i="61"/>
  <c r="E174" i="61"/>
  <c r="V173" i="61"/>
  <c r="U173" i="61"/>
  <c r="T173" i="61"/>
  <c r="R173" i="61"/>
  <c r="Q173" i="61"/>
  <c r="O173" i="61"/>
  <c r="N173" i="61"/>
  <c r="J173" i="61"/>
  <c r="E173" i="61"/>
  <c r="V172" i="61"/>
  <c r="U172" i="61"/>
  <c r="T172" i="61"/>
  <c r="R172" i="61"/>
  <c r="Q172" i="61"/>
  <c r="O172" i="61"/>
  <c r="N172" i="61"/>
  <c r="J172" i="61"/>
  <c r="E172" i="61"/>
  <c r="V171" i="61"/>
  <c r="U171" i="61"/>
  <c r="T171" i="61"/>
  <c r="R171" i="61"/>
  <c r="Q171" i="61"/>
  <c r="O171" i="61"/>
  <c r="N171" i="61"/>
  <c r="J171" i="61"/>
  <c r="E171" i="61"/>
  <c r="V170" i="61"/>
  <c r="U170" i="61"/>
  <c r="T170" i="61"/>
  <c r="R170" i="61"/>
  <c r="Q170" i="61"/>
  <c r="O170" i="61"/>
  <c r="N170" i="61"/>
  <c r="J170" i="61"/>
  <c r="E170" i="61"/>
  <c r="V169" i="61"/>
  <c r="U169" i="61"/>
  <c r="T169" i="61"/>
  <c r="R169" i="61"/>
  <c r="Q169" i="61"/>
  <c r="O169" i="61"/>
  <c r="N169" i="61"/>
  <c r="J169" i="61"/>
  <c r="E169" i="61"/>
  <c r="V168" i="61"/>
  <c r="U168" i="61"/>
  <c r="T168" i="61"/>
  <c r="R168" i="61"/>
  <c r="Q168" i="61"/>
  <c r="O168" i="61"/>
  <c r="N168" i="61"/>
  <c r="J168" i="61"/>
  <c r="E168" i="61"/>
  <c r="V167" i="61"/>
  <c r="U167" i="61"/>
  <c r="T167" i="61"/>
  <c r="R167" i="61"/>
  <c r="Q167" i="61"/>
  <c r="O167" i="61"/>
  <c r="N167" i="61"/>
  <c r="J167" i="61"/>
  <c r="E167" i="61"/>
  <c r="V166" i="61"/>
  <c r="U166" i="61"/>
  <c r="T166" i="61"/>
  <c r="R166" i="61"/>
  <c r="Q166" i="61"/>
  <c r="O166" i="61"/>
  <c r="N166" i="61"/>
  <c r="J166" i="61"/>
  <c r="E166" i="61"/>
  <c r="V165" i="61"/>
  <c r="U165" i="61"/>
  <c r="T165" i="61"/>
  <c r="R165" i="61"/>
  <c r="Q165" i="61"/>
  <c r="O165" i="61"/>
  <c r="N165" i="61"/>
  <c r="J165" i="61"/>
  <c r="E165" i="61"/>
  <c r="V164" i="61"/>
  <c r="U164" i="61"/>
  <c r="T164" i="61"/>
  <c r="R164" i="61"/>
  <c r="Q164" i="61"/>
  <c r="O164" i="61"/>
  <c r="N164" i="61"/>
  <c r="J164" i="61"/>
  <c r="E164" i="61"/>
  <c r="V163" i="61"/>
  <c r="U163" i="61"/>
  <c r="T163" i="61"/>
  <c r="R163" i="61"/>
  <c r="Q163" i="61"/>
  <c r="O163" i="61"/>
  <c r="N163" i="61"/>
  <c r="J163" i="61"/>
  <c r="E163" i="61"/>
  <c r="V162" i="61"/>
  <c r="U162" i="61"/>
  <c r="T162" i="61"/>
  <c r="R162" i="61"/>
  <c r="Q162" i="61"/>
  <c r="O162" i="61"/>
  <c r="N162" i="61"/>
  <c r="J162" i="61"/>
  <c r="E162" i="61"/>
  <c r="V161" i="61"/>
  <c r="U161" i="61"/>
  <c r="T161" i="61"/>
  <c r="R161" i="61"/>
  <c r="Q161" i="61"/>
  <c r="O161" i="61"/>
  <c r="N161" i="61"/>
  <c r="J161" i="61"/>
  <c r="E161" i="61"/>
  <c r="V160" i="61"/>
  <c r="U160" i="61"/>
  <c r="T160" i="61"/>
  <c r="R160" i="61"/>
  <c r="Q160" i="61"/>
  <c r="O160" i="61"/>
  <c r="N160" i="61"/>
  <c r="J160" i="61"/>
  <c r="E160" i="61"/>
  <c r="V159" i="61"/>
  <c r="U159" i="61"/>
  <c r="T159" i="61"/>
  <c r="R159" i="61"/>
  <c r="Q159" i="61"/>
  <c r="O159" i="61"/>
  <c r="N159" i="61"/>
  <c r="J159" i="61"/>
  <c r="E159" i="61"/>
  <c r="V158" i="61"/>
  <c r="U158" i="61"/>
  <c r="T158" i="61"/>
  <c r="R158" i="61"/>
  <c r="Q158" i="61"/>
  <c r="O158" i="61"/>
  <c r="N158" i="61"/>
  <c r="J158" i="61"/>
  <c r="E158" i="61"/>
  <c r="V157" i="61"/>
  <c r="U157" i="61"/>
  <c r="T157" i="61"/>
  <c r="R157" i="61"/>
  <c r="Q157" i="61"/>
  <c r="O157" i="61"/>
  <c r="N157" i="61"/>
  <c r="J157" i="61"/>
  <c r="E157" i="61"/>
  <c r="V156" i="61"/>
  <c r="U156" i="61"/>
  <c r="T156" i="61"/>
  <c r="R156" i="61"/>
  <c r="Q156" i="61"/>
  <c r="O156" i="61"/>
  <c r="N156" i="61"/>
  <c r="J156" i="61"/>
  <c r="E156" i="61"/>
  <c r="V155" i="61"/>
  <c r="U155" i="61"/>
  <c r="T155" i="61"/>
  <c r="R155" i="61"/>
  <c r="Q155" i="61"/>
  <c r="O155" i="61"/>
  <c r="N155" i="61"/>
  <c r="J155" i="61"/>
  <c r="E155" i="61"/>
  <c r="V154" i="61"/>
  <c r="U154" i="61"/>
  <c r="T154" i="61"/>
  <c r="R154" i="61"/>
  <c r="Q154" i="61"/>
  <c r="O154" i="61"/>
  <c r="N154" i="61"/>
  <c r="J154" i="61"/>
  <c r="E154" i="61"/>
  <c r="V153" i="61"/>
  <c r="U153" i="61"/>
  <c r="T153" i="61"/>
  <c r="R153" i="61"/>
  <c r="Q153" i="61"/>
  <c r="O153" i="61"/>
  <c r="N153" i="61"/>
  <c r="J153" i="61"/>
  <c r="E153" i="61"/>
  <c r="V152" i="61"/>
  <c r="U152" i="61"/>
  <c r="T152" i="61"/>
  <c r="R152" i="61"/>
  <c r="Q152" i="61"/>
  <c r="O152" i="61"/>
  <c r="N152" i="61"/>
  <c r="J152" i="61"/>
  <c r="E152" i="61"/>
  <c r="V151" i="61"/>
  <c r="V186" i="61" s="1"/>
  <c r="U186" i="61" s="1"/>
  <c r="U151" i="61"/>
  <c r="T151" i="61"/>
  <c r="R151" i="61"/>
  <c r="R186" i="61" s="1"/>
  <c r="Q151" i="61"/>
  <c r="O151" i="61"/>
  <c r="N151" i="61"/>
  <c r="J151" i="61"/>
  <c r="E151" i="61"/>
  <c r="M145" i="61"/>
  <c r="M196" i="61" s="1"/>
  <c r="M247" i="61" s="1"/>
  <c r="J145" i="61"/>
  <c r="M144" i="61"/>
  <c r="M195" i="61" s="1"/>
  <c r="M246" i="61" s="1"/>
  <c r="M143" i="61"/>
  <c r="M194" i="61" s="1"/>
  <c r="M245" i="61" s="1"/>
  <c r="C136" i="61"/>
  <c r="C187" i="61" s="1"/>
  <c r="V135" i="61"/>
  <c r="R135" i="61"/>
  <c r="V134" i="61"/>
  <c r="U134" i="61"/>
  <c r="T134" i="61"/>
  <c r="R134" i="61"/>
  <c r="Q134" i="61"/>
  <c r="O134" i="61"/>
  <c r="N134" i="61"/>
  <c r="J134" i="61"/>
  <c r="E134" i="61"/>
  <c r="V133" i="61"/>
  <c r="U133" i="61"/>
  <c r="T133" i="61"/>
  <c r="R133" i="61"/>
  <c r="Q133" i="61"/>
  <c r="O133" i="61"/>
  <c r="N133" i="61"/>
  <c r="J133" i="61"/>
  <c r="E133" i="61"/>
  <c r="V132" i="61"/>
  <c r="U132" i="61"/>
  <c r="T132" i="61"/>
  <c r="R132" i="61"/>
  <c r="Q132" i="61"/>
  <c r="O132" i="61"/>
  <c r="N132" i="61"/>
  <c r="J132" i="61"/>
  <c r="E132" i="61"/>
  <c r="V131" i="61"/>
  <c r="U131" i="61"/>
  <c r="T131" i="61"/>
  <c r="R131" i="61"/>
  <c r="Q131" i="61"/>
  <c r="O131" i="61"/>
  <c r="N131" i="61"/>
  <c r="J131" i="61"/>
  <c r="E131" i="61"/>
  <c r="V130" i="61"/>
  <c r="U130" i="61"/>
  <c r="T130" i="61"/>
  <c r="R130" i="61"/>
  <c r="Q130" i="61"/>
  <c r="O130" i="61"/>
  <c r="N130" i="61"/>
  <c r="J130" i="61"/>
  <c r="E130" i="61"/>
  <c r="V129" i="61"/>
  <c r="U129" i="61"/>
  <c r="T129" i="61"/>
  <c r="R129" i="61"/>
  <c r="Q129" i="61"/>
  <c r="O129" i="61"/>
  <c r="N129" i="61"/>
  <c r="J129" i="61"/>
  <c r="E129" i="61"/>
  <c r="V128" i="61"/>
  <c r="U128" i="61"/>
  <c r="T128" i="61"/>
  <c r="R128" i="61"/>
  <c r="Q128" i="61"/>
  <c r="O128" i="61"/>
  <c r="N128" i="61"/>
  <c r="J128" i="61"/>
  <c r="E128" i="61"/>
  <c r="V127" i="61"/>
  <c r="U127" i="61"/>
  <c r="T127" i="61"/>
  <c r="R127" i="61"/>
  <c r="Q127" i="61"/>
  <c r="O127" i="61"/>
  <c r="N127" i="61"/>
  <c r="J127" i="61"/>
  <c r="E127" i="61"/>
  <c r="V126" i="61"/>
  <c r="U126" i="61"/>
  <c r="T126" i="61"/>
  <c r="R126" i="61"/>
  <c r="Q126" i="61"/>
  <c r="O126" i="61"/>
  <c r="N126" i="61"/>
  <c r="J126" i="61"/>
  <c r="E126" i="61"/>
  <c r="V125" i="61"/>
  <c r="U125" i="61"/>
  <c r="T125" i="61"/>
  <c r="R125" i="61"/>
  <c r="Q125" i="61"/>
  <c r="O125" i="61"/>
  <c r="N125" i="61"/>
  <c r="J125" i="61"/>
  <c r="E125" i="61"/>
  <c r="V124" i="61"/>
  <c r="U124" i="61"/>
  <c r="T124" i="61"/>
  <c r="R124" i="61"/>
  <c r="Q124" i="61"/>
  <c r="O124" i="61"/>
  <c r="N124" i="61"/>
  <c r="J124" i="61"/>
  <c r="E124" i="61"/>
  <c r="V123" i="61"/>
  <c r="U123" i="61"/>
  <c r="T123" i="61"/>
  <c r="R123" i="61"/>
  <c r="Q123" i="61"/>
  <c r="O123" i="61"/>
  <c r="N123" i="61"/>
  <c r="J123" i="61"/>
  <c r="E123" i="61"/>
  <c r="V122" i="61"/>
  <c r="U122" i="61"/>
  <c r="T122" i="61"/>
  <c r="R122" i="61"/>
  <c r="Q122" i="61"/>
  <c r="O122" i="61"/>
  <c r="N122" i="61"/>
  <c r="J122" i="61"/>
  <c r="E122" i="61"/>
  <c r="V121" i="61"/>
  <c r="U121" i="61"/>
  <c r="T121" i="61"/>
  <c r="R121" i="61"/>
  <c r="Q121" i="61"/>
  <c r="O121" i="61"/>
  <c r="N121" i="61"/>
  <c r="J121" i="61"/>
  <c r="E121" i="61"/>
  <c r="V120" i="61"/>
  <c r="U120" i="61"/>
  <c r="T120" i="61"/>
  <c r="R120" i="61"/>
  <c r="Q120" i="61"/>
  <c r="O120" i="61"/>
  <c r="N120" i="61"/>
  <c r="J120" i="61"/>
  <c r="E120" i="61"/>
  <c r="V119" i="61"/>
  <c r="U119" i="61"/>
  <c r="T119" i="61"/>
  <c r="R119" i="61"/>
  <c r="Q119" i="61"/>
  <c r="O119" i="61"/>
  <c r="N119" i="61"/>
  <c r="J119" i="61"/>
  <c r="E119" i="61"/>
  <c r="V118" i="61"/>
  <c r="U118" i="61"/>
  <c r="T118" i="61"/>
  <c r="R118" i="61"/>
  <c r="Q118" i="61"/>
  <c r="O118" i="61"/>
  <c r="N118" i="61"/>
  <c r="J118" i="61"/>
  <c r="E118" i="61"/>
  <c r="V117" i="61"/>
  <c r="U117" i="61"/>
  <c r="T117" i="61"/>
  <c r="R117" i="61"/>
  <c r="Q117" i="61"/>
  <c r="O117" i="61"/>
  <c r="N117" i="61"/>
  <c r="J117" i="61"/>
  <c r="E117" i="61"/>
  <c r="V116" i="61"/>
  <c r="U116" i="61"/>
  <c r="T116" i="61"/>
  <c r="R116" i="61"/>
  <c r="Q116" i="61"/>
  <c r="O116" i="61"/>
  <c r="N116" i="61"/>
  <c r="J116" i="61"/>
  <c r="E116" i="61"/>
  <c r="V115" i="61"/>
  <c r="U115" i="61"/>
  <c r="T115" i="61"/>
  <c r="R115" i="61"/>
  <c r="Q115" i="61"/>
  <c r="O115" i="61"/>
  <c r="N115" i="61"/>
  <c r="J115" i="61"/>
  <c r="E115" i="61"/>
  <c r="V114" i="61"/>
  <c r="U114" i="61"/>
  <c r="T114" i="61"/>
  <c r="R114" i="61"/>
  <c r="Q114" i="61"/>
  <c r="O114" i="61"/>
  <c r="N114" i="61"/>
  <c r="J114" i="61"/>
  <c r="E114" i="61"/>
  <c r="V113" i="61"/>
  <c r="U113" i="61"/>
  <c r="T113" i="61"/>
  <c r="R113" i="61"/>
  <c r="Q113" i="61"/>
  <c r="O113" i="61"/>
  <c r="N113" i="61"/>
  <c r="J113" i="61"/>
  <c r="E113" i="61"/>
  <c r="V112" i="61"/>
  <c r="U112" i="61"/>
  <c r="T112" i="61"/>
  <c r="R112" i="61"/>
  <c r="Q112" i="61"/>
  <c r="O112" i="61"/>
  <c r="N112" i="61"/>
  <c r="J112" i="61"/>
  <c r="E112" i="61"/>
  <c r="V111" i="61"/>
  <c r="U111" i="61"/>
  <c r="T111" i="61"/>
  <c r="R111" i="61"/>
  <c r="Q111" i="61"/>
  <c r="O111" i="61"/>
  <c r="N111" i="61"/>
  <c r="J111" i="61"/>
  <c r="E111" i="61"/>
  <c r="V110" i="61"/>
  <c r="U110" i="61"/>
  <c r="T110" i="61"/>
  <c r="R110" i="61"/>
  <c r="Q110" i="61"/>
  <c r="O110" i="61"/>
  <c r="N110" i="61"/>
  <c r="J110" i="61"/>
  <c r="J135" i="61" s="1"/>
  <c r="E110" i="61"/>
  <c r="V109" i="61"/>
  <c r="U109" i="61"/>
  <c r="T109" i="61"/>
  <c r="R109" i="61"/>
  <c r="Q109" i="61"/>
  <c r="O109" i="61"/>
  <c r="N109" i="61"/>
  <c r="J109" i="61"/>
  <c r="E109" i="61"/>
  <c r="V108" i="61"/>
  <c r="U108" i="61"/>
  <c r="T108" i="61"/>
  <c r="R108" i="61"/>
  <c r="Q108" i="61"/>
  <c r="O108" i="61"/>
  <c r="N108" i="61"/>
  <c r="J108" i="61"/>
  <c r="E108" i="61"/>
  <c r="V107" i="61"/>
  <c r="U107" i="61"/>
  <c r="T107" i="61"/>
  <c r="R107" i="61"/>
  <c r="Q107" i="61"/>
  <c r="O107" i="61"/>
  <c r="N107" i="61"/>
  <c r="J107" i="61"/>
  <c r="E107" i="61"/>
  <c r="V106" i="61"/>
  <c r="U106" i="61"/>
  <c r="T106" i="61"/>
  <c r="R106" i="61"/>
  <c r="Q106" i="61"/>
  <c r="O106" i="61"/>
  <c r="N106" i="61"/>
  <c r="J106" i="61"/>
  <c r="E106" i="61"/>
  <c r="V105" i="61"/>
  <c r="U105" i="61"/>
  <c r="T105" i="61"/>
  <c r="R105" i="61"/>
  <c r="Q105" i="61"/>
  <c r="O105" i="61"/>
  <c r="N105" i="61"/>
  <c r="E105" i="61"/>
  <c r="V104" i="61"/>
  <c r="U104" i="61"/>
  <c r="T104" i="61"/>
  <c r="R104" i="61"/>
  <c r="Q104" i="61"/>
  <c r="O104" i="61"/>
  <c r="N104" i="61"/>
  <c r="E104" i="61"/>
  <c r="V103" i="61"/>
  <c r="U103" i="61"/>
  <c r="T103" i="61"/>
  <c r="R103" i="61"/>
  <c r="Q103" i="61"/>
  <c r="O103" i="61"/>
  <c r="N103" i="61"/>
  <c r="E103" i="61"/>
  <c r="V102" i="61"/>
  <c r="U102" i="61"/>
  <c r="T102" i="61"/>
  <c r="R102" i="61"/>
  <c r="Q102" i="61"/>
  <c r="O102" i="61"/>
  <c r="N102" i="61"/>
  <c r="E102" i="61"/>
  <c r="V101" i="61"/>
  <c r="U101" i="61"/>
  <c r="T101" i="61"/>
  <c r="R101" i="61"/>
  <c r="Q101" i="61"/>
  <c r="O101" i="61"/>
  <c r="N101" i="61"/>
  <c r="E101" i="61"/>
  <c r="V100" i="61"/>
  <c r="U100" i="61"/>
  <c r="T100" i="61"/>
  <c r="R100" i="61"/>
  <c r="Q100" i="61"/>
  <c r="O100" i="61"/>
  <c r="O135" i="61" s="1"/>
  <c r="U135" i="61" s="1"/>
  <c r="N100" i="61"/>
  <c r="N135" i="61" s="1"/>
  <c r="E100" i="61"/>
  <c r="B100" i="61"/>
  <c r="B151" i="61" s="1"/>
  <c r="B202" i="61" s="1"/>
  <c r="B253" i="61" s="1"/>
  <c r="M94" i="61"/>
  <c r="J94" i="61"/>
  <c r="M93" i="61"/>
  <c r="M92" i="61"/>
  <c r="M91" i="61"/>
  <c r="M142" i="61" s="1"/>
  <c r="M193" i="61" s="1"/>
  <c r="M90" i="61"/>
  <c r="M141" i="61" s="1"/>
  <c r="M192" i="61" s="1"/>
  <c r="P85" i="61"/>
  <c r="P136" i="61" s="1"/>
  <c r="C85" i="61"/>
  <c r="V83" i="61"/>
  <c r="U83" i="61"/>
  <c r="T83" i="61"/>
  <c r="R83" i="61"/>
  <c r="Q83" i="61"/>
  <c r="O83" i="61"/>
  <c r="N83" i="61"/>
  <c r="J83" i="61"/>
  <c r="E83" i="61"/>
  <c r="V82" i="61"/>
  <c r="U82" i="61"/>
  <c r="T82" i="61"/>
  <c r="R82" i="61"/>
  <c r="Q82" i="61"/>
  <c r="O82" i="61"/>
  <c r="N82" i="61"/>
  <c r="J82" i="61"/>
  <c r="E82" i="61"/>
  <c r="V81" i="61"/>
  <c r="U81" i="61"/>
  <c r="T81" i="61"/>
  <c r="R81" i="61"/>
  <c r="Q81" i="61"/>
  <c r="O81" i="61"/>
  <c r="N81" i="61"/>
  <c r="J81" i="61"/>
  <c r="E81" i="61"/>
  <c r="V80" i="61"/>
  <c r="U80" i="61"/>
  <c r="T80" i="61"/>
  <c r="R80" i="61"/>
  <c r="Q80" i="61"/>
  <c r="O80" i="61"/>
  <c r="N80" i="61"/>
  <c r="J80" i="61"/>
  <c r="E80" i="61"/>
  <c r="V79" i="61"/>
  <c r="U79" i="61"/>
  <c r="T79" i="61"/>
  <c r="R79" i="61"/>
  <c r="Q79" i="61"/>
  <c r="O79" i="61"/>
  <c r="N79" i="61"/>
  <c r="J79" i="61"/>
  <c r="E79" i="61"/>
  <c r="V78" i="61"/>
  <c r="U78" i="61"/>
  <c r="T78" i="61"/>
  <c r="R78" i="61"/>
  <c r="Q78" i="61"/>
  <c r="O78" i="61"/>
  <c r="N78" i="61"/>
  <c r="J78" i="61"/>
  <c r="E78" i="61"/>
  <c r="V77" i="61"/>
  <c r="U77" i="61"/>
  <c r="T77" i="61"/>
  <c r="R77" i="61"/>
  <c r="Q77" i="61"/>
  <c r="O77" i="61"/>
  <c r="N77" i="61"/>
  <c r="J77" i="61"/>
  <c r="E77" i="61"/>
  <c r="V76" i="61"/>
  <c r="U76" i="61"/>
  <c r="T76" i="61"/>
  <c r="R76" i="61"/>
  <c r="Q76" i="61"/>
  <c r="O76" i="61"/>
  <c r="N76" i="61"/>
  <c r="J76" i="61"/>
  <c r="E76" i="61"/>
  <c r="V75" i="61"/>
  <c r="U75" i="61"/>
  <c r="T75" i="61"/>
  <c r="R75" i="61"/>
  <c r="Q75" i="61"/>
  <c r="O75" i="61"/>
  <c r="N75" i="61"/>
  <c r="J75" i="61"/>
  <c r="E75" i="61"/>
  <c r="V74" i="61"/>
  <c r="U74" i="61"/>
  <c r="T74" i="61"/>
  <c r="R74" i="61"/>
  <c r="Q74" i="61"/>
  <c r="O74" i="61"/>
  <c r="N74" i="61"/>
  <c r="J74" i="61"/>
  <c r="E74" i="61"/>
  <c r="V73" i="61"/>
  <c r="U73" i="61"/>
  <c r="T73" i="61"/>
  <c r="R73" i="61"/>
  <c r="Q73" i="61"/>
  <c r="O73" i="61"/>
  <c r="N73" i="61"/>
  <c r="J73" i="61"/>
  <c r="E73" i="61"/>
  <c r="V72" i="61"/>
  <c r="U72" i="61"/>
  <c r="T72" i="61"/>
  <c r="R72" i="61"/>
  <c r="Q72" i="61"/>
  <c r="O72" i="61"/>
  <c r="N72" i="61"/>
  <c r="J72" i="61"/>
  <c r="E72" i="61"/>
  <c r="V71" i="61"/>
  <c r="U71" i="61"/>
  <c r="T71" i="61"/>
  <c r="R71" i="61"/>
  <c r="Q71" i="61"/>
  <c r="O71" i="61"/>
  <c r="N71" i="61"/>
  <c r="J71" i="61"/>
  <c r="E71" i="61"/>
  <c r="V70" i="61"/>
  <c r="U70" i="61"/>
  <c r="T70" i="61"/>
  <c r="R70" i="61"/>
  <c r="Q70" i="61"/>
  <c r="O70" i="61"/>
  <c r="N70" i="61"/>
  <c r="J70" i="61"/>
  <c r="E70" i="61"/>
  <c r="V69" i="61"/>
  <c r="U69" i="61"/>
  <c r="T69" i="61"/>
  <c r="R69" i="61"/>
  <c r="Q69" i="61"/>
  <c r="O69" i="61"/>
  <c r="N69" i="61"/>
  <c r="J69" i="61"/>
  <c r="E69" i="61"/>
  <c r="V68" i="61"/>
  <c r="U68" i="61"/>
  <c r="T68" i="61"/>
  <c r="R68" i="61"/>
  <c r="Q68" i="61"/>
  <c r="O68" i="61"/>
  <c r="N68" i="61"/>
  <c r="J68" i="61"/>
  <c r="E68" i="61"/>
  <c r="V67" i="61"/>
  <c r="U67" i="61"/>
  <c r="T67" i="61"/>
  <c r="R67" i="61"/>
  <c r="Q67" i="61"/>
  <c r="O67" i="61"/>
  <c r="N67" i="61"/>
  <c r="J67" i="61"/>
  <c r="E67" i="61"/>
  <c r="V66" i="61"/>
  <c r="U66" i="61"/>
  <c r="T66" i="61"/>
  <c r="R66" i="61"/>
  <c r="Q66" i="61"/>
  <c r="O66" i="61"/>
  <c r="N66" i="61"/>
  <c r="J66" i="61"/>
  <c r="E66" i="61"/>
  <c r="V65" i="61"/>
  <c r="U65" i="61"/>
  <c r="T65" i="61"/>
  <c r="R65" i="61"/>
  <c r="Q65" i="61"/>
  <c r="O65" i="61"/>
  <c r="N65" i="61"/>
  <c r="J65" i="61"/>
  <c r="E65" i="61"/>
  <c r="V64" i="61"/>
  <c r="U64" i="61"/>
  <c r="T64" i="61"/>
  <c r="R64" i="61"/>
  <c r="Q64" i="61"/>
  <c r="O64" i="61"/>
  <c r="N64" i="61"/>
  <c r="J64" i="61"/>
  <c r="E64" i="61"/>
  <c r="V63" i="61"/>
  <c r="U63" i="61"/>
  <c r="T63" i="61"/>
  <c r="R63" i="61"/>
  <c r="Q63" i="61"/>
  <c r="O63" i="61"/>
  <c r="N63" i="61"/>
  <c r="J63" i="61"/>
  <c r="E63" i="61"/>
  <c r="V62" i="61"/>
  <c r="U62" i="61"/>
  <c r="T62" i="61"/>
  <c r="R62" i="61"/>
  <c r="Q62" i="61"/>
  <c r="O62" i="61"/>
  <c r="N62" i="61"/>
  <c r="J62" i="61"/>
  <c r="E62" i="61"/>
  <c r="V61" i="61"/>
  <c r="U61" i="61"/>
  <c r="T61" i="61"/>
  <c r="R61" i="61"/>
  <c r="Q61" i="61"/>
  <c r="O61" i="61"/>
  <c r="N61" i="61"/>
  <c r="J61" i="61"/>
  <c r="E61" i="61"/>
  <c r="V60" i="61"/>
  <c r="U60" i="61"/>
  <c r="T60" i="61"/>
  <c r="R60" i="61"/>
  <c r="Q60" i="61"/>
  <c r="O60" i="61"/>
  <c r="N60" i="61"/>
  <c r="J60" i="61"/>
  <c r="E60" i="61"/>
  <c r="V59" i="61"/>
  <c r="U59" i="61"/>
  <c r="T59" i="61"/>
  <c r="R59" i="61"/>
  <c r="Q59" i="61"/>
  <c r="O59" i="61"/>
  <c r="N59" i="61"/>
  <c r="J59" i="61"/>
  <c r="E59" i="61"/>
  <c r="V58" i="61"/>
  <c r="U58" i="61"/>
  <c r="T58" i="61"/>
  <c r="R58" i="61"/>
  <c r="Q58" i="61"/>
  <c r="O58" i="61"/>
  <c r="N58" i="61"/>
  <c r="J58" i="61"/>
  <c r="E58" i="61"/>
  <c r="V57" i="61"/>
  <c r="U57" i="61"/>
  <c r="T57" i="61"/>
  <c r="R57" i="61"/>
  <c r="Q57" i="61"/>
  <c r="O57" i="61"/>
  <c r="N57" i="61"/>
  <c r="J57" i="61"/>
  <c r="E57" i="61"/>
  <c r="V56" i="61"/>
  <c r="U56" i="61"/>
  <c r="T56" i="61"/>
  <c r="R56" i="61"/>
  <c r="Q56" i="61"/>
  <c r="O56" i="61"/>
  <c r="N56" i="61"/>
  <c r="J56" i="61"/>
  <c r="E56" i="61"/>
  <c r="V55" i="61"/>
  <c r="U55" i="61"/>
  <c r="T55" i="61"/>
  <c r="R55" i="61"/>
  <c r="Q55" i="61"/>
  <c r="O55" i="61"/>
  <c r="N55" i="61"/>
  <c r="J55" i="61"/>
  <c r="E55" i="61"/>
  <c r="B51" i="61"/>
  <c r="B102" i="61" s="1"/>
  <c r="B153" i="61" s="1"/>
  <c r="B204" i="61" s="1"/>
  <c r="B255" i="61" s="1"/>
  <c r="B306" i="61" s="1"/>
  <c r="B49" i="61"/>
  <c r="O40" i="61"/>
  <c r="N40" i="61"/>
  <c r="M40" i="61"/>
  <c r="L40" i="61"/>
  <c r="K40" i="61"/>
  <c r="Y14" i="61"/>
  <c r="Y17" i="61" s="1"/>
  <c r="Y11" i="61"/>
  <c r="R5" i="61"/>
  <c r="R40" i="61" s="1"/>
  <c r="J5" i="61"/>
  <c r="J40" i="61" s="1"/>
  <c r="D42" i="60"/>
  <c r="D43" i="60" s="1"/>
  <c r="L28" i="60"/>
  <c r="C71" i="59"/>
  <c r="D66" i="59"/>
  <c r="E71" i="59" s="1"/>
  <c r="E50" i="59"/>
  <c r="E49" i="59"/>
  <c r="E47" i="59"/>
  <c r="N34" i="59"/>
  <c r="M34" i="59"/>
  <c r="L34" i="59"/>
  <c r="K34" i="59"/>
  <c r="J34" i="59"/>
  <c r="D40" i="60" s="1"/>
  <c r="K5" i="60" s="1"/>
  <c r="K28" i="60" s="1"/>
  <c r="O5" i="59"/>
  <c r="P5" i="59" s="1"/>
  <c r="P34" i="59" s="1"/>
  <c r="L5" i="59"/>
  <c r="G30" i="58"/>
  <c r="G29" i="58"/>
  <c r="M23" i="58"/>
  <c r="M24" i="58" s="1"/>
  <c r="M18" i="58"/>
  <c r="D18" i="58"/>
  <c r="D19" i="58" s="1"/>
  <c r="C14" i="58"/>
  <c r="L7" i="58"/>
  <c r="K7" i="58"/>
  <c r="J7" i="58"/>
  <c r="D39" i="60" s="1"/>
  <c r="D41" i="60" s="1"/>
  <c r="M5" i="58"/>
  <c r="M7" i="58" s="1"/>
  <c r="J5" i="58"/>
  <c r="S46" i="57"/>
  <c r="T46" i="57" s="1"/>
  <c r="R46" i="57"/>
  <c r="Q46" i="57"/>
  <c r="L46" i="57"/>
  <c r="J46" i="57"/>
  <c r="M46" i="57" s="1"/>
  <c r="O46" i="57" s="1"/>
  <c r="R45" i="57"/>
  <c r="Q45" i="57"/>
  <c r="S45" i="57" s="1"/>
  <c r="J45" i="57"/>
  <c r="R44" i="57"/>
  <c r="Q44" i="57"/>
  <c r="S44" i="57" s="1"/>
  <c r="L44" i="57"/>
  <c r="M44" i="57" s="1"/>
  <c r="J44" i="57"/>
  <c r="R7" i="57"/>
  <c r="Q7" i="57"/>
  <c r="S7" i="57" s="1"/>
  <c r="J7" i="57"/>
  <c r="M7" i="57" s="1"/>
  <c r="O7" i="57" s="1"/>
  <c r="R6" i="57"/>
  <c r="Q6" i="57"/>
  <c r="S6" i="57" s="1"/>
  <c r="M6" i="57"/>
  <c r="O6" i="57" s="1"/>
  <c r="T6" i="57" s="1"/>
  <c r="J6" i="57"/>
  <c r="R5" i="57"/>
  <c r="Q5" i="57"/>
  <c r="S5" i="57" s="1"/>
  <c r="J5" i="57"/>
  <c r="M5" i="57" s="1"/>
  <c r="M52" i="56"/>
  <c r="T43" i="56"/>
  <c r="S43" i="56"/>
  <c r="U43" i="56" s="1"/>
  <c r="V43" i="56" s="1"/>
  <c r="P43" i="56"/>
  <c r="O43" i="56"/>
  <c r="N43" i="56"/>
  <c r="J43" i="56"/>
  <c r="M43" i="56" s="1"/>
  <c r="Q43" i="56" s="1"/>
  <c r="C43" i="56"/>
  <c r="T42" i="56"/>
  <c r="S42" i="56"/>
  <c r="U42" i="56" s="1"/>
  <c r="Q42" i="56"/>
  <c r="P42" i="56"/>
  <c r="O42" i="56"/>
  <c r="N42" i="56"/>
  <c r="M42" i="56" s="1"/>
  <c r="J42" i="56"/>
  <c r="C42" i="56"/>
  <c r="T41" i="56"/>
  <c r="S41" i="56"/>
  <c r="U41" i="56" s="1"/>
  <c r="P41" i="56"/>
  <c r="O41" i="56"/>
  <c r="N41" i="56"/>
  <c r="J41" i="56"/>
  <c r="M41" i="56" s="1"/>
  <c r="Q41" i="56" s="1"/>
  <c r="V41" i="56" s="1"/>
  <c r="J40" i="56"/>
  <c r="T39" i="56"/>
  <c r="S39" i="56"/>
  <c r="U39" i="56" s="1"/>
  <c r="P39" i="56"/>
  <c r="O39" i="56"/>
  <c r="N39" i="56"/>
  <c r="M39" i="56"/>
  <c r="Q39" i="56" s="1"/>
  <c r="V39" i="56" s="1"/>
  <c r="L39" i="56"/>
  <c r="T38" i="56"/>
  <c r="S38" i="56"/>
  <c r="U38" i="56" s="1"/>
  <c r="Q38" i="56"/>
  <c r="V38" i="56" s="1"/>
  <c r="P38" i="56"/>
  <c r="O38" i="56"/>
  <c r="N38" i="56"/>
  <c r="J38" i="56"/>
  <c r="M38" i="56" s="1"/>
  <c r="T37" i="56"/>
  <c r="S37" i="56"/>
  <c r="U37" i="56" s="1"/>
  <c r="P37" i="56"/>
  <c r="O37" i="56"/>
  <c r="N37" i="56"/>
  <c r="J37" i="56"/>
  <c r="M37" i="56" s="1"/>
  <c r="Q37" i="56" s="1"/>
  <c r="V37" i="56" s="1"/>
  <c r="C37" i="56"/>
  <c r="C38" i="56" s="1"/>
  <c r="T36" i="56"/>
  <c r="S36" i="56"/>
  <c r="U36" i="56" s="1"/>
  <c r="P36" i="56"/>
  <c r="O36" i="56"/>
  <c r="N36" i="56"/>
  <c r="M36" i="56"/>
  <c r="Q36" i="56" s="1"/>
  <c r="V36" i="56" s="1"/>
  <c r="J36" i="56"/>
  <c r="T35" i="56"/>
  <c r="U35" i="56" s="1"/>
  <c r="S35" i="56"/>
  <c r="P35" i="56"/>
  <c r="O35" i="56"/>
  <c r="N35" i="56"/>
  <c r="J35" i="56"/>
  <c r="J45" i="56" s="1"/>
  <c r="O34" i="56"/>
  <c r="T8" i="56"/>
  <c r="S8" i="56"/>
  <c r="U8" i="56" s="1"/>
  <c r="P8" i="56"/>
  <c r="O8" i="56"/>
  <c r="N8" i="56"/>
  <c r="L8" i="56"/>
  <c r="J8" i="56"/>
  <c r="M8" i="56" s="1"/>
  <c r="Q8" i="56" s="1"/>
  <c r="V8" i="56" s="1"/>
  <c r="T7" i="56"/>
  <c r="S7" i="56"/>
  <c r="U7" i="56" s="1"/>
  <c r="V7" i="56" s="1"/>
  <c r="P7" i="56"/>
  <c r="O7" i="56"/>
  <c r="N7" i="56"/>
  <c r="J7" i="56"/>
  <c r="M7" i="56" s="1"/>
  <c r="Q7" i="56" s="1"/>
  <c r="T6" i="56"/>
  <c r="S6" i="56"/>
  <c r="U6" i="56" s="1"/>
  <c r="P6" i="56"/>
  <c r="O6" i="56"/>
  <c r="N6" i="56"/>
  <c r="L6" i="56"/>
  <c r="J6" i="56"/>
  <c r="O5" i="56"/>
  <c r="U152" i="55"/>
  <c r="T152" i="55"/>
  <c r="V152" i="55" s="1"/>
  <c r="J152" i="55"/>
  <c r="M152" i="55" s="1"/>
  <c r="O152" i="55" s="1"/>
  <c r="C152" i="55"/>
  <c r="J149" i="55"/>
  <c r="W136" i="55"/>
  <c r="V136" i="55"/>
  <c r="U136" i="55"/>
  <c r="T136" i="55"/>
  <c r="O136" i="55"/>
  <c r="M136" i="55"/>
  <c r="U129" i="55"/>
  <c r="T129" i="55"/>
  <c r="V129" i="55" s="1"/>
  <c r="J129" i="55"/>
  <c r="M129" i="55" s="1"/>
  <c r="O129" i="55" s="1"/>
  <c r="U127" i="55"/>
  <c r="V127" i="55" s="1"/>
  <c r="T127" i="55"/>
  <c r="J127" i="55"/>
  <c r="J137" i="55" s="1"/>
  <c r="C127" i="55"/>
  <c r="V116" i="55"/>
  <c r="U116" i="55"/>
  <c r="T116" i="55"/>
  <c r="O116" i="55"/>
  <c r="M116" i="55"/>
  <c r="U113" i="55"/>
  <c r="T113" i="55"/>
  <c r="V113" i="55" s="1"/>
  <c r="J113" i="55"/>
  <c r="M113" i="55" s="1"/>
  <c r="O113" i="55" s="1"/>
  <c r="U112" i="55"/>
  <c r="T112" i="55"/>
  <c r="V112" i="55" s="1"/>
  <c r="J112" i="55"/>
  <c r="M112" i="55" s="1"/>
  <c r="O112" i="55" s="1"/>
  <c r="C112" i="55"/>
  <c r="C113" i="55" s="1"/>
  <c r="U111" i="55"/>
  <c r="T111" i="55"/>
  <c r="V111" i="55" s="1"/>
  <c r="J111" i="55"/>
  <c r="M111" i="55" s="1"/>
  <c r="O111" i="55" s="1"/>
  <c r="U110" i="55"/>
  <c r="T110" i="55"/>
  <c r="V110" i="55" s="1"/>
  <c r="M110" i="55"/>
  <c r="O110" i="55" s="1"/>
  <c r="U109" i="55"/>
  <c r="V109" i="55" s="1"/>
  <c r="T109" i="55"/>
  <c r="O109" i="55"/>
  <c r="R109" i="55" s="1"/>
  <c r="J109" i="55"/>
  <c r="C109" i="55"/>
  <c r="U108" i="55"/>
  <c r="V108" i="55" s="1"/>
  <c r="T108" i="55"/>
  <c r="J108" i="55"/>
  <c r="M108" i="55" s="1"/>
  <c r="C108" i="55"/>
  <c r="U107" i="55"/>
  <c r="T107" i="55"/>
  <c r="V107" i="55" s="1"/>
  <c r="O107" i="55"/>
  <c r="J107" i="55"/>
  <c r="U106" i="55"/>
  <c r="T106" i="55"/>
  <c r="V106" i="55" s="1"/>
  <c r="R106" i="55"/>
  <c r="O106" i="55"/>
  <c r="J106" i="55"/>
  <c r="W97" i="55"/>
  <c r="V97" i="55"/>
  <c r="U97" i="55"/>
  <c r="T97" i="55"/>
  <c r="O97" i="55"/>
  <c r="M97" i="55"/>
  <c r="U90" i="55"/>
  <c r="T90" i="55"/>
  <c r="R90" i="55"/>
  <c r="O90" i="55"/>
  <c r="M90" i="55"/>
  <c r="U89" i="55"/>
  <c r="T89" i="55"/>
  <c r="V89" i="55" s="1"/>
  <c r="O89" i="55"/>
  <c r="W89" i="55" s="1"/>
  <c r="J89" i="55"/>
  <c r="U88" i="55"/>
  <c r="T88" i="55"/>
  <c r="V88" i="55" s="1"/>
  <c r="J88" i="55"/>
  <c r="M88" i="55" s="1"/>
  <c r="C88" i="55"/>
  <c r="C89" i="55" s="1"/>
  <c r="W87" i="55"/>
  <c r="U87" i="55"/>
  <c r="T87" i="55"/>
  <c r="V87" i="55" s="1"/>
  <c r="O87" i="55"/>
  <c r="R87" i="55" s="1"/>
  <c r="J87" i="55"/>
  <c r="U86" i="55"/>
  <c r="T86" i="55"/>
  <c r="V86" i="55" s="1"/>
  <c r="W86" i="55" s="1"/>
  <c r="O86" i="55"/>
  <c r="J86" i="55"/>
  <c r="W76" i="55"/>
  <c r="V76" i="55"/>
  <c r="U76" i="55"/>
  <c r="T76" i="55"/>
  <c r="O76" i="55"/>
  <c r="M76" i="55"/>
  <c r="U68" i="55"/>
  <c r="T68" i="55"/>
  <c r="V68" i="55" s="1"/>
  <c r="O68" i="55"/>
  <c r="J68" i="55"/>
  <c r="V67" i="55"/>
  <c r="U67" i="55"/>
  <c r="T67" i="55"/>
  <c r="J67" i="55"/>
  <c r="M67" i="55" s="1"/>
  <c r="C67" i="55"/>
  <c r="C68" i="55" s="1"/>
  <c r="U66" i="55"/>
  <c r="T66" i="55"/>
  <c r="V66" i="55" s="1"/>
  <c r="W66" i="55" s="1"/>
  <c r="O66" i="55"/>
  <c r="R66" i="55" s="1"/>
  <c r="J66" i="55"/>
  <c r="U65" i="55"/>
  <c r="T65" i="55"/>
  <c r="V65" i="55" s="1"/>
  <c r="W65" i="55" s="1"/>
  <c r="O65" i="55"/>
  <c r="R65" i="55" s="1"/>
  <c r="J65" i="55"/>
  <c r="W55" i="55"/>
  <c r="V55" i="55"/>
  <c r="U55" i="55"/>
  <c r="T55" i="55"/>
  <c r="O55" i="55"/>
  <c r="M55" i="55"/>
  <c r="U47" i="55"/>
  <c r="V47" i="55" s="1"/>
  <c r="T47" i="55"/>
  <c r="J47" i="55"/>
  <c r="M47" i="55" s="1"/>
  <c r="O47" i="55" s="1"/>
  <c r="C47" i="55"/>
  <c r="U46" i="55"/>
  <c r="T46" i="55"/>
  <c r="V46" i="55" s="1"/>
  <c r="W46" i="55" s="1"/>
  <c r="J46" i="55"/>
  <c r="M46" i="55" s="1"/>
  <c r="O46" i="55" s="1"/>
  <c r="R46" i="55" s="1"/>
  <c r="C46" i="55"/>
  <c r="U45" i="55"/>
  <c r="T45" i="55"/>
  <c r="V45" i="55" s="1"/>
  <c r="J45" i="55"/>
  <c r="J56" i="55" s="1"/>
  <c r="U44" i="55"/>
  <c r="T44" i="55"/>
  <c r="V44" i="55" s="1"/>
  <c r="W44" i="55" s="1"/>
  <c r="J44" i="55"/>
  <c r="M44" i="55" s="1"/>
  <c r="O44" i="55" s="1"/>
  <c r="R44" i="55" s="1"/>
  <c r="J32" i="55"/>
  <c r="W31" i="55"/>
  <c r="V31" i="55"/>
  <c r="U31" i="55"/>
  <c r="T31" i="55"/>
  <c r="O31" i="55"/>
  <c r="M31" i="55"/>
  <c r="U7" i="55"/>
  <c r="T7" i="55"/>
  <c r="V7" i="55" s="1"/>
  <c r="J7" i="55"/>
  <c r="M7" i="55" s="1"/>
  <c r="O7" i="55" s="1"/>
  <c r="R7" i="55" s="1"/>
  <c r="U6" i="55"/>
  <c r="T6" i="55"/>
  <c r="V6" i="55" s="1"/>
  <c r="J6" i="55"/>
  <c r="M6" i="55" s="1"/>
  <c r="O6" i="55" s="1"/>
  <c r="C6" i="55"/>
  <c r="C7" i="55" s="1"/>
  <c r="U5" i="55"/>
  <c r="T5" i="55"/>
  <c r="V5" i="55" s="1"/>
  <c r="W5" i="55" s="1"/>
  <c r="J5" i="55"/>
  <c r="M5" i="55" s="1"/>
  <c r="O5" i="55" s="1"/>
  <c r="O32" i="55" s="1"/>
  <c r="K82" i="54"/>
  <c r="I69" i="54"/>
  <c r="I76" i="54" s="1"/>
  <c r="I68" i="54"/>
  <c r="L68" i="54" s="1"/>
  <c r="L67" i="54"/>
  <c r="I67" i="54"/>
  <c r="I66" i="54"/>
  <c r="L66" i="54" s="1"/>
  <c r="L47" i="54"/>
  <c r="I47" i="54"/>
  <c r="I46" i="54"/>
  <c r="W46" i="54" s="1"/>
  <c r="I45" i="54"/>
  <c r="L45" i="54" s="1"/>
  <c r="I44" i="54"/>
  <c r="I55" i="54" s="1"/>
  <c r="L33" i="54"/>
  <c r="I7" i="54"/>
  <c r="L7" i="54" s="1"/>
  <c r="W6" i="54"/>
  <c r="L6" i="54"/>
  <c r="I5" i="54"/>
  <c r="L5" i="54" s="1"/>
  <c r="H40" i="68" l="1"/>
  <c r="H14" i="68"/>
  <c r="D3" i="69" s="1"/>
  <c r="D4" i="69"/>
  <c r="H7" i="68"/>
  <c r="H15" i="68" s="1"/>
  <c r="D6" i="69"/>
  <c r="H8" i="68"/>
  <c r="H16" i="68" s="1"/>
  <c r="T7" i="64"/>
  <c r="T12" i="64"/>
  <c r="H8" i="65"/>
  <c r="O44" i="57"/>
  <c r="M77" i="55"/>
  <c r="O67" i="55"/>
  <c r="R110" i="55"/>
  <c r="R111" i="55"/>
  <c r="O146" i="55"/>
  <c r="W152" i="55"/>
  <c r="R152" i="55"/>
  <c r="N84" i="61"/>
  <c r="N355" i="61" s="1"/>
  <c r="R129" i="55"/>
  <c r="O84" i="61"/>
  <c r="U131" i="62"/>
  <c r="N131" i="62"/>
  <c r="N351" i="62" s="1"/>
  <c r="R86" i="55"/>
  <c r="V42" i="56"/>
  <c r="R84" i="61"/>
  <c r="R85" i="61" s="1"/>
  <c r="O85" i="61" s="1"/>
  <c r="V84" i="61"/>
  <c r="R132" i="62"/>
  <c r="O132" i="62" s="1"/>
  <c r="J117" i="55"/>
  <c r="W106" i="55"/>
  <c r="R113" i="55"/>
  <c r="D15" i="64"/>
  <c r="J84" i="61"/>
  <c r="L69" i="54"/>
  <c r="L76" i="54" s="1"/>
  <c r="M45" i="57"/>
  <c r="O45" i="57" s="1"/>
  <c r="T45" i="57" s="1"/>
  <c r="J54" i="57"/>
  <c r="M45" i="55"/>
  <c r="M35" i="56"/>
  <c r="M98" i="55"/>
  <c r="O88" i="55"/>
  <c r="U288" i="61"/>
  <c r="W335" i="62"/>
  <c r="R6" i="55"/>
  <c r="W6" i="55"/>
  <c r="I33" i="54"/>
  <c r="V90" i="55"/>
  <c r="L44" i="54"/>
  <c r="L55" i="54" s="1"/>
  <c r="R112" i="55"/>
  <c r="M27" i="57"/>
  <c r="O5" i="57"/>
  <c r="R47" i="55"/>
  <c r="W47" i="55"/>
  <c r="R107" i="55"/>
  <c r="W7" i="55"/>
  <c r="W32" i="55" s="1"/>
  <c r="U32" i="55" s="1"/>
  <c r="F71" i="59"/>
  <c r="M63" i="59" s="1"/>
  <c r="D23" i="65" s="1"/>
  <c r="D24" i="25" s="1"/>
  <c r="O131" i="62"/>
  <c r="J131" i="62"/>
  <c r="P5" i="58"/>
  <c r="P7" i="58" s="1"/>
  <c r="W68" i="55"/>
  <c r="R68" i="55"/>
  <c r="R335" i="62"/>
  <c r="R351" i="62" s="1"/>
  <c r="T7" i="57"/>
  <c r="R136" i="61"/>
  <c r="O136" i="61" s="1"/>
  <c r="P187" i="61"/>
  <c r="M32" i="55"/>
  <c r="J5" i="60"/>
  <c r="R81" i="62"/>
  <c r="O81" i="62" s="1"/>
  <c r="R5" i="55"/>
  <c r="R32" i="55" s="1"/>
  <c r="J27" i="57"/>
  <c r="R285" i="62"/>
  <c r="O285" i="62" s="1"/>
  <c r="T8" i="64"/>
  <c r="R89" i="55"/>
  <c r="R339" i="61"/>
  <c r="R234" i="62"/>
  <c r="O234" i="62" s="1"/>
  <c r="S5" i="59"/>
  <c r="S34" i="59" s="1"/>
  <c r="D20" i="65" s="1"/>
  <c r="D21" i="25" s="1"/>
  <c r="V339" i="61"/>
  <c r="O108" i="55"/>
  <c r="M117" i="55"/>
  <c r="O288" i="61"/>
  <c r="O355" i="61" s="1"/>
  <c r="J77" i="55"/>
  <c r="J100" i="55" s="1"/>
  <c r="O335" i="62"/>
  <c r="O351" i="62" s="1"/>
  <c r="W90" i="55"/>
  <c r="J16" i="56"/>
  <c r="M6" i="56"/>
  <c r="R288" i="61"/>
  <c r="M127" i="55"/>
  <c r="L46" i="54"/>
  <c r="O77" i="55"/>
  <c r="M34" i="62"/>
  <c r="D19" i="65" s="1"/>
  <c r="F6" i="69" l="1"/>
  <c r="D60" i="25"/>
  <c r="F4" i="69"/>
  <c r="D58" i="25"/>
  <c r="F3" i="69"/>
  <c r="D57" i="25"/>
  <c r="H19" i="65"/>
  <c r="D20" i="25"/>
  <c r="H7" i="65"/>
  <c r="D8" i="53"/>
  <c r="D9" i="53" s="1"/>
  <c r="O45" i="55"/>
  <c r="M56" i="55"/>
  <c r="AA78" i="55" s="1"/>
  <c r="AB79" i="55" s="1"/>
  <c r="C8" i="53"/>
  <c r="C9" i="53" s="1"/>
  <c r="D12" i="65"/>
  <c r="O27" i="57"/>
  <c r="T5" i="57"/>
  <c r="T27" i="57" s="1"/>
  <c r="L82" i="54"/>
  <c r="M79" i="55"/>
  <c r="O54" i="57"/>
  <c r="T44" i="57"/>
  <c r="T54" i="57" s="1"/>
  <c r="R54" i="57" s="1"/>
  <c r="W88" i="55"/>
  <c r="W98" i="55" s="1"/>
  <c r="R88" i="55"/>
  <c r="R98" i="55" s="1"/>
  <c r="M100" i="55"/>
  <c r="Q35" i="56"/>
  <c r="M45" i="56"/>
  <c r="R108" i="55"/>
  <c r="R117" i="55" s="1"/>
  <c r="W117" i="55"/>
  <c r="V355" i="61"/>
  <c r="U355" i="61" s="1"/>
  <c r="U339" i="61"/>
  <c r="O98" i="55"/>
  <c r="R67" i="55"/>
  <c r="R77" i="55" s="1"/>
  <c r="W67" i="55"/>
  <c r="W77" i="55" s="1"/>
  <c r="U77" i="55" s="1"/>
  <c r="AC118" i="55"/>
  <c r="AC119" i="55" s="1"/>
  <c r="O147" i="55" s="1"/>
  <c r="M54" i="57"/>
  <c r="D21" i="65"/>
  <c r="R355" i="61"/>
  <c r="D4" i="65"/>
  <c r="G8" i="53"/>
  <c r="G9" i="53" s="1"/>
  <c r="J28" i="60"/>
  <c r="M5" i="60"/>
  <c r="H20" i="65"/>
  <c r="R187" i="61"/>
  <c r="O187" i="61" s="1"/>
  <c r="P238" i="61"/>
  <c r="O127" i="55"/>
  <c r="M137" i="55"/>
  <c r="Q6" i="56"/>
  <c r="M16" i="56"/>
  <c r="W351" i="62"/>
  <c r="U351" i="62" s="1"/>
  <c r="U335" i="62"/>
  <c r="U84" i="61"/>
  <c r="R336" i="62"/>
  <c r="O336" i="62" s="1"/>
  <c r="H12" i="65" l="1"/>
  <c r="D13" i="25"/>
  <c r="H4" i="65"/>
  <c r="D5" i="25"/>
  <c r="H21" i="65"/>
  <c r="D22" i="25"/>
  <c r="Y115" i="55"/>
  <c r="E8" i="53"/>
  <c r="E9" i="53" s="1"/>
  <c r="H5" i="65"/>
  <c r="Q45" i="56"/>
  <c r="V35" i="56"/>
  <c r="V45" i="56" s="1"/>
  <c r="U98" i="55"/>
  <c r="P289" i="61"/>
  <c r="R238" i="61"/>
  <c r="O238" i="61" s="1"/>
  <c r="R27" i="57"/>
  <c r="K9" i="63" s="1"/>
  <c r="D3" i="65"/>
  <c r="W45" i="55"/>
  <c r="R45" i="55"/>
  <c r="R56" i="55" s="1"/>
  <c r="O56" i="55"/>
  <c r="Q16" i="56"/>
  <c r="F8" i="53" s="1"/>
  <c r="F9" i="53" s="1"/>
  <c r="V6" i="56"/>
  <c r="V16" i="56" s="1"/>
  <c r="T16" i="56" s="1"/>
  <c r="G9" i="63"/>
  <c r="H8" i="53"/>
  <c r="H9" i="53" s="1"/>
  <c r="D2" i="65"/>
  <c r="R127" i="55"/>
  <c r="R137" i="55" s="1"/>
  <c r="W127" i="55"/>
  <c r="W137" i="55" s="1"/>
  <c r="D9" i="65" s="1"/>
  <c r="M28" i="60"/>
  <c r="P5" i="60"/>
  <c r="P28" i="60" s="1"/>
  <c r="H2" i="65" l="1"/>
  <c r="D3" i="25"/>
  <c r="H3" i="65"/>
  <c r="D4" i="25"/>
  <c r="D10" i="25"/>
  <c r="H9" i="65"/>
  <c r="D22" i="65"/>
  <c r="D23" i="25" s="1"/>
  <c r="J18" i="63"/>
  <c r="J6" i="63"/>
  <c r="L6" i="63" s="1"/>
  <c r="G7" i="63"/>
  <c r="L7" i="63" s="1"/>
  <c r="G8" i="63"/>
  <c r="L8" i="63" s="1"/>
  <c r="B8" i="53"/>
  <c r="B9" i="53" s="1"/>
  <c r="U56" i="55"/>
  <c r="L9" i="63"/>
  <c r="K19" i="63"/>
  <c r="P340" i="61"/>
  <c r="R340" i="61" s="1"/>
  <c r="O340" i="61" s="1"/>
  <c r="R289" i="61"/>
  <c r="O289" i="61" s="1"/>
  <c r="D6" i="65"/>
  <c r="T45" i="56"/>
  <c r="D15" i="65"/>
  <c r="D16" i="25" s="1"/>
  <c r="V52" i="56"/>
  <c r="W142" i="55"/>
  <c r="H6" i="65" l="1"/>
  <c r="D7" i="25"/>
  <c r="H11" i="65"/>
  <c r="D12" i="25"/>
  <c r="H10" i="65"/>
  <c r="D11" i="25"/>
  <c r="K15" i="63"/>
  <c r="L15" i="63" s="1"/>
  <c r="R144" i="55"/>
  <c r="D16" i="65"/>
  <c r="H15" i="65"/>
  <c r="G14" i="63"/>
  <c r="L14" i="63" s="1"/>
  <c r="D13" i="65" s="1"/>
  <c r="J13" i="63"/>
  <c r="L13" i="63" s="1"/>
  <c r="D14" i="65" s="1"/>
  <c r="J19" i="63"/>
  <c r="L19" i="63" s="1"/>
  <c r="H22" i="65"/>
  <c r="H18" i="65" l="1"/>
  <c r="H24" i="65" s="1"/>
  <c r="D19" i="25"/>
  <c r="H17" i="65"/>
  <c r="D18" i="25"/>
  <c r="H16" i="65"/>
  <c r="D17" i="25"/>
  <c r="H14" i="65"/>
  <c r="D15" i="25"/>
  <c r="H13" i="65"/>
  <c r="D14" i="25"/>
  <c r="L29" i="63"/>
  <c r="A62" i="25" l="1"/>
  <c r="B62" i="25"/>
  <c r="C62" i="25"/>
  <c r="D62" i="25"/>
  <c r="L24" i="50"/>
  <c r="D28" i="50" s="1"/>
  <c r="J19" i="50"/>
  <c r="I19" i="50"/>
  <c r="K19" i="50" s="1"/>
  <c r="J18" i="50"/>
  <c r="I18" i="50"/>
  <c r="K18" i="50" s="1"/>
  <c r="J17" i="50"/>
  <c r="K17" i="50" s="1"/>
  <c r="I17" i="50"/>
  <c r="J16" i="50"/>
  <c r="I16" i="50"/>
  <c r="K16" i="50" s="1"/>
  <c r="J12" i="50"/>
  <c r="I12" i="50"/>
  <c r="K12" i="50" s="1"/>
  <c r="J11" i="50"/>
  <c r="I11" i="50"/>
  <c r="K11" i="50" s="1"/>
  <c r="J10" i="50"/>
  <c r="I10" i="50"/>
  <c r="K10" i="50" s="1"/>
  <c r="J9" i="50"/>
  <c r="I9" i="50"/>
  <c r="K9" i="50" s="1"/>
  <c r="K8" i="50"/>
  <c r="J8" i="50"/>
  <c r="I8" i="50"/>
  <c r="L35" i="49"/>
  <c r="D39" i="49" s="1"/>
  <c r="J19" i="49"/>
  <c r="I19" i="49"/>
  <c r="K19" i="49" s="1"/>
  <c r="J18" i="49"/>
  <c r="I18" i="49"/>
  <c r="K18" i="49" s="1"/>
  <c r="K17" i="49"/>
  <c r="J17" i="49"/>
  <c r="I17" i="49"/>
  <c r="J16" i="49"/>
  <c r="I16" i="49"/>
  <c r="K16" i="49" s="1"/>
  <c r="J12" i="49"/>
  <c r="I12" i="49"/>
  <c r="K12" i="49" s="1"/>
  <c r="J11" i="49"/>
  <c r="K11" i="49" s="1"/>
  <c r="I11" i="49"/>
  <c r="J10" i="49"/>
  <c r="I10" i="49"/>
  <c r="K10" i="49" s="1"/>
  <c r="J9" i="49"/>
  <c r="I9" i="49"/>
  <c r="K9" i="49" s="1"/>
  <c r="X14" i="48"/>
  <c r="D19" i="48" s="1"/>
  <c r="L14" i="48"/>
  <c r="F2" i="51" s="1"/>
  <c r="U10" i="48"/>
  <c r="W10" i="48" s="1"/>
  <c r="I10" i="48"/>
  <c r="K10" i="48" s="1"/>
  <c r="U9" i="48"/>
  <c r="W9" i="48" s="1"/>
  <c r="K9" i="48"/>
  <c r="I9" i="48"/>
  <c r="BV29" i="47"/>
  <c r="BP29" i="47"/>
  <c r="BK29" i="47"/>
  <c r="BF29" i="47"/>
  <c r="BA29" i="47"/>
  <c r="AV29" i="47"/>
  <c r="AQ29" i="47"/>
  <c r="AL29" i="47"/>
  <c r="AG29" i="47"/>
  <c r="AD29" i="47"/>
  <c r="H29" i="47"/>
  <c r="D29" i="47"/>
  <c r="AZ29" i="47" s="1"/>
  <c r="BV28" i="47"/>
  <c r="BP28" i="47"/>
  <c r="BK28" i="47"/>
  <c r="BF28" i="47"/>
  <c r="BA28" i="47"/>
  <c r="AV28" i="47"/>
  <c r="AQ28" i="47"/>
  <c r="AL28" i="47"/>
  <c r="AG28" i="47"/>
  <c r="AD28" i="47"/>
  <c r="H28" i="47"/>
  <c r="D28" i="47"/>
  <c r="AA28" i="47" s="1"/>
  <c r="BV27" i="47"/>
  <c r="BP27" i="47"/>
  <c r="BK27" i="47"/>
  <c r="BF27" i="47"/>
  <c r="BA27" i="47"/>
  <c r="AV27" i="47"/>
  <c r="AQ27" i="47"/>
  <c r="AL27" i="47"/>
  <c r="AG27" i="47"/>
  <c r="AD27" i="47"/>
  <c r="H27" i="47"/>
  <c r="D27" i="47"/>
  <c r="DJ109" i="46" s="1"/>
  <c r="BV26" i="47"/>
  <c r="BP26" i="47"/>
  <c r="BK26" i="47"/>
  <c r="BF26" i="47"/>
  <c r="BA26" i="47"/>
  <c r="AV26" i="47"/>
  <c r="AQ26" i="47"/>
  <c r="AL26" i="47"/>
  <c r="AG26" i="47"/>
  <c r="AD26" i="47"/>
  <c r="H26" i="47"/>
  <c r="D26" i="47"/>
  <c r="DJ108" i="46" s="1"/>
  <c r="BV25" i="47"/>
  <c r="BP25" i="47"/>
  <c r="BK25" i="47"/>
  <c r="BF25" i="47"/>
  <c r="BA25" i="47"/>
  <c r="AV25" i="47"/>
  <c r="AQ25" i="47"/>
  <c r="AL25" i="47"/>
  <c r="AG25" i="47"/>
  <c r="AD25" i="47"/>
  <c r="H25" i="47"/>
  <c r="D25" i="47"/>
  <c r="BV24" i="47"/>
  <c r="BP24" i="47"/>
  <c r="BK24" i="47"/>
  <c r="AD24" i="47"/>
  <c r="F24" i="47"/>
  <c r="BA24" i="47" s="1"/>
  <c r="B24" i="47"/>
  <c r="BV23" i="47"/>
  <c r="BP23" i="47"/>
  <c r="BK23" i="47"/>
  <c r="BF23" i="47"/>
  <c r="BA23" i="47"/>
  <c r="AV23" i="47"/>
  <c r="AQ23" i="47"/>
  <c r="AD23" i="47"/>
  <c r="F23" i="47"/>
  <c r="AL23" i="47" s="1"/>
  <c r="D23" i="47"/>
  <c r="DJ104" i="46" s="1"/>
  <c r="B23" i="47"/>
  <c r="AD22" i="47"/>
  <c r="F22" i="47"/>
  <c r="B22" i="47"/>
  <c r="AD21" i="47"/>
  <c r="F21" i="47"/>
  <c r="AL21" i="47" s="1"/>
  <c r="C21" i="47"/>
  <c r="B21" i="47"/>
  <c r="BK20" i="47"/>
  <c r="AD20" i="47"/>
  <c r="F20" i="47"/>
  <c r="BF20" i="47" s="1"/>
  <c r="D20" i="47"/>
  <c r="C20" i="47"/>
  <c r="BV19" i="47"/>
  <c r="BP19" i="47"/>
  <c r="BK19" i="47"/>
  <c r="BF19" i="47"/>
  <c r="BA19" i="47"/>
  <c r="AV19" i="47"/>
  <c r="AQ19" i="47"/>
  <c r="AL19" i="47"/>
  <c r="AG19" i="47"/>
  <c r="AD19" i="47"/>
  <c r="H19" i="47"/>
  <c r="D19" i="47"/>
  <c r="C19" i="47"/>
  <c r="AE17" i="47"/>
  <c r="L9" i="47" s="1"/>
  <c r="K17" i="47"/>
  <c r="L5" i="47" s="1"/>
  <c r="DJ112" i="46"/>
  <c r="DG112" i="46"/>
  <c r="DF112" i="46"/>
  <c r="DE112" i="46"/>
  <c r="DD112" i="46"/>
  <c r="DC112" i="46"/>
  <c r="DB112" i="46"/>
  <c r="DH112" i="46" s="1"/>
  <c r="CR112" i="46"/>
  <c r="CQ112" i="46"/>
  <c r="CP112" i="46"/>
  <c r="CO112" i="46"/>
  <c r="CN112" i="46"/>
  <c r="CM112" i="46"/>
  <c r="CL112" i="46"/>
  <c r="CK112" i="46"/>
  <c r="CJ112" i="46"/>
  <c r="CI112" i="46"/>
  <c r="CH112" i="46"/>
  <c r="CG112" i="46"/>
  <c r="CF112" i="46"/>
  <c r="CE112" i="46"/>
  <c r="CD112" i="46"/>
  <c r="CC112" i="46"/>
  <c r="CB112" i="46"/>
  <c r="CA112" i="46"/>
  <c r="BG112" i="46"/>
  <c r="BA112" i="46"/>
  <c r="AZ112" i="46"/>
  <c r="AY112" i="46"/>
  <c r="AT112" i="46"/>
  <c r="DJ111" i="46"/>
  <c r="DG111" i="46"/>
  <c r="DF111" i="46"/>
  <c r="DE111" i="46"/>
  <c r="DD111" i="46"/>
  <c r="DC111" i="46"/>
  <c r="DB111" i="46"/>
  <c r="CR111" i="46"/>
  <c r="CQ111" i="46"/>
  <c r="CP111" i="46"/>
  <c r="CO111" i="46"/>
  <c r="CN111" i="46"/>
  <c r="CM111" i="46"/>
  <c r="CL111" i="46"/>
  <c r="CK111" i="46"/>
  <c r="CJ111" i="46"/>
  <c r="CI111" i="46"/>
  <c r="AX111" i="46" s="1"/>
  <c r="CH111" i="46"/>
  <c r="CG111" i="46"/>
  <c r="CF111" i="46"/>
  <c r="CE111" i="46"/>
  <c r="CD111" i="46"/>
  <c r="CC111" i="46"/>
  <c r="CB111" i="46"/>
  <c r="CA111" i="46"/>
  <c r="BG111" i="46"/>
  <c r="BA111" i="46"/>
  <c r="AZ111" i="46"/>
  <c r="AY111" i="46"/>
  <c r="AT111" i="46"/>
  <c r="DJ110" i="46"/>
  <c r="DG110" i="46"/>
  <c r="DF110" i="46"/>
  <c r="DE110" i="46"/>
  <c r="DD110" i="46"/>
  <c r="DC110" i="46"/>
  <c r="DB110" i="46"/>
  <c r="CR110" i="46"/>
  <c r="CQ110" i="46"/>
  <c r="CP110" i="46"/>
  <c r="CO110" i="46"/>
  <c r="CN110" i="46"/>
  <c r="CM110" i="46"/>
  <c r="CL110" i="46"/>
  <c r="CK110" i="46"/>
  <c r="CJ110" i="46"/>
  <c r="CI110" i="46"/>
  <c r="CH110" i="46"/>
  <c r="CG110" i="46"/>
  <c r="CF110" i="46"/>
  <c r="CE110" i="46"/>
  <c r="CD110" i="46"/>
  <c r="CC110" i="46"/>
  <c r="CB110" i="46"/>
  <c r="CA110" i="46"/>
  <c r="BG110" i="46"/>
  <c r="BA110" i="46"/>
  <c r="AZ110" i="46"/>
  <c r="AY110" i="46"/>
  <c r="AT110" i="46"/>
  <c r="DG109" i="46"/>
  <c r="DF109" i="46"/>
  <c r="DE109" i="46"/>
  <c r="DD109" i="46"/>
  <c r="DC109" i="46"/>
  <c r="DB109" i="46"/>
  <c r="CR109" i="46"/>
  <c r="CQ109" i="46"/>
  <c r="CP109" i="46"/>
  <c r="CO109" i="46"/>
  <c r="CN109" i="46"/>
  <c r="CM109" i="46"/>
  <c r="CL109" i="46"/>
  <c r="CK109" i="46"/>
  <c r="CJ109" i="46"/>
  <c r="CI109" i="46"/>
  <c r="AX109" i="46" s="1"/>
  <c r="CH109" i="46"/>
  <c r="CG109" i="46"/>
  <c r="CF109" i="46"/>
  <c r="CE109" i="46"/>
  <c r="CD109" i="46"/>
  <c r="CC109" i="46"/>
  <c r="CB109" i="46"/>
  <c r="CA109" i="46"/>
  <c r="BG109" i="46"/>
  <c r="BA109" i="46"/>
  <c r="AZ109" i="46"/>
  <c r="AY109" i="46"/>
  <c r="AT109" i="46"/>
  <c r="DG108" i="46"/>
  <c r="DF108" i="46"/>
  <c r="DE108" i="46"/>
  <c r="DD108" i="46"/>
  <c r="DC108" i="46"/>
  <c r="DB108" i="46"/>
  <c r="CR108" i="46"/>
  <c r="CQ108" i="46"/>
  <c r="CP108" i="46"/>
  <c r="CO108" i="46"/>
  <c r="CN108" i="46"/>
  <c r="CM108" i="46"/>
  <c r="CL108" i="46"/>
  <c r="CK108" i="46"/>
  <c r="CJ108" i="46"/>
  <c r="CI108" i="46"/>
  <c r="CH108" i="46"/>
  <c r="CG108" i="46"/>
  <c r="CF108" i="46"/>
  <c r="CE108" i="46"/>
  <c r="CD108" i="46"/>
  <c r="CC108" i="46"/>
  <c r="CB108" i="46"/>
  <c r="CA108" i="46"/>
  <c r="BG108" i="46"/>
  <c r="BA108" i="46"/>
  <c r="AZ108" i="46"/>
  <c r="AY108" i="46"/>
  <c r="AT108" i="46"/>
  <c r="DG107" i="46"/>
  <c r="DF107" i="46"/>
  <c r="DE107" i="46"/>
  <c r="DD107" i="46"/>
  <c r="DC107" i="46"/>
  <c r="DB107" i="46"/>
  <c r="CR107" i="46"/>
  <c r="CQ107" i="46"/>
  <c r="CP107" i="46"/>
  <c r="CO107" i="46"/>
  <c r="CN107" i="46"/>
  <c r="CM107" i="46"/>
  <c r="CL107" i="46"/>
  <c r="CK107" i="46"/>
  <c r="CJ107" i="46"/>
  <c r="CI107" i="46"/>
  <c r="CH107" i="46"/>
  <c r="CG107" i="46"/>
  <c r="CF107" i="46"/>
  <c r="CE107" i="46"/>
  <c r="CD107" i="46"/>
  <c r="CC107" i="46"/>
  <c r="CB107" i="46"/>
  <c r="CA107" i="46"/>
  <c r="BG107" i="46"/>
  <c r="BA107" i="46"/>
  <c r="AZ107" i="46"/>
  <c r="AY107" i="46"/>
  <c r="AT107" i="46"/>
  <c r="DG106" i="46"/>
  <c r="DF106" i="46"/>
  <c r="DE106" i="46"/>
  <c r="DD106" i="46"/>
  <c r="DC106" i="46"/>
  <c r="DB106" i="46"/>
  <c r="CR106" i="46"/>
  <c r="CQ106" i="46"/>
  <c r="CP106" i="46"/>
  <c r="CO106" i="46"/>
  <c r="CN106" i="46"/>
  <c r="CM106" i="46"/>
  <c r="CL106" i="46"/>
  <c r="CK106" i="46"/>
  <c r="CJ106" i="46"/>
  <c r="CI106" i="46"/>
  <c r="CH106" i="46"/>
  <c r="CG106" i="46"/>
  <c r="CF106" i="46"/>
  <c r="CE106" i="46"/>
  <c r="CD106" i="46"/>
  <c r="CC106" i="46"/>
  <c r="CB106" i="46"/>
  <c r="CA106" i="46"/>
  <c r="BG106" i="46"/>
  <c r="BA106" i="46"/>
  <c r="AZ106" i="46"/>
  <c r="AY106" i="46"/>
  <c r="AT106" i="46"/>
  <c r="DG105" i="46"/>
  <c r="DF105" i="46"/>
  <c r="DE105" i="46"/>
  <c r="DD105" i="46"/>
  <c r="DC105" i="46"/>
  <c r="DB105" i="46"/>
  <c r="CR105" i="46"/>
  <c r="CQ105" i="46"/>
  <c r="CP105" i="46"/>
  <c r="CO105" i="46"/>
  <c r="CN105" i="46"/>
  <c r="CM105" i="46"/>
  <c r="CL105" i="46"/>
  <c r="CK105" i="46"/>
  <c r="CJ105" i="46"/>
  <c r="CI105" i="46"/>
  <c r="CH105" i="46"/>
  <c r="CG105" i="46"/>
  <c r="CF105" i="46"/>
  <c r="CE105" i="46"/>
  <c r="CD105" i="46"/>
  <c r="CC105" i="46"/>
  <c r="CB105" i="46"/>
  <c r="CA105" i="46"/>
  <c r="BG105" i="46"/>
  <c r="BA105" i="46"/>
  <c r="AZ105" i="46"/>
  <c r="AY105" i="46"/>
  <c r="AT105" i="46"/>
  <c r="DG104" i="46"/>
  <c r="DF104" i="46"/>
  <c r="DE104" i="46"/>
  <c r="DD104" i="46"/>
  <c r="DC104" i="46"/>
  <c r="DB104" i="46"/>
  <c r="CR104" i="46"/>
  <c r="CQ104" i="46"/>
  <c r="CP104" i="46"/>
  <c r="CO104" i="46"/>
  <c r="CN104" i="46"/>
  <c r="CM104" i="46"/>
  <c r="CL104" i="46"/>
  <c r="CK104" i="46"/>
  <c r="CJ104" i="46"/>
  <c r="CI104" i="46"/>
  <c r="CH104" i="46"/>
  <c r="CG104" i="46"/>
  <c r="CF104" i="46"/>
  <c r="CE104" i="46"/>
  <c r="CD104" i="46"/>
  <c r="CC104" i="46"/>
  <c r="CB104" i="46"/>
  <c r="CA104" i="46"/>
  <c r="BG104" i="46"/>
  <c r="BA104" i="46"/>
  <c r="AZ104" i="46"/>
  <c r="AY104" i="46"/>
  <c r="AT104" i="46"/>
  <c r="DJ103" i="46"/>
  <c r="DG103" i="46"/>
  <c r="DF103" i="46"/>
  <c r="DE103" i="46"/>
  <c r="DD103" i="46"/>
  <c r="DC103" i="46"/>
  <c r="DB103" i="46"/>
  <c r="CR103" i="46"/>
  <c r="CQ103" i="46"/>
  <c r="CP103" i="46"/>
  <c r="CO103" i="46"/>
  <c r="CN103" i="46"/>
  <c r="CM103" i="46"/>
  <c r="CL103" i="46"/>
  <c r="CK103" i="46"/>
  <c r="CJ103" i="46"/>
  <c r="CI103" i="46"/>
  <c r="CH103" i="46"/>
  <c r="CG103" i="46"/>
  <c r="CF103" i="46"/>
  <c r="CE103" i="46"/>
  <c r="CD103" i="46"/>
  <c r="CC103" i="46"/>
  <c r="CB103" i="46"/>
  <c r="CA103" i="46"/>
  <c r="BG103" i="46"/>
  <c r="BA103" i="46"/>
  <c r="AZ103" i="46"/>
  <c r="AY103" i="46"/>
  <c r="AT103" i="46"/>
  <c r="DJ102" i="46"/>
  <c r="DG102" i="46"/>
  <c r="DF102" i="46"/>
  <c r="DE102" i="46"/>
  <c r="DD102" i="46"/>
  <c r="DC102" i="46"/>
  <c r="DB102" i="46"/>
  <c r="DH102" i="46" s="1"/>
  <c r="CR102" i="46"/>
  <c r="CQ102" i="46"/>
  <c r="CP102" i="46"/>
  <c r="CO102" i="46"/>
  <c r="CN102" i="46"/>
  <c r="CM102" i="46"/>
  <c r="CL102" i="46"/>
  <c r="CK102" i="46"/>
  <c r="CJ102" i="46"/>
  <c r="CI102" i="46"/>
  <c r="CH102" i="46"/>
  <c r="CG102" i="46"/>
  <c r="CF102" i="46"/>
  <c r="CE102" i="46"/>
  <c r="CD102" i="46"/>
  <c r="CC102" i="46"/>
  <c r="CB102" i="46"/>
  <c r="CA102" i="46"/>
  <c r="BG102" i="46"/>
  <c r="BA102" i="46"/>
  <c r="AZ102" i="46"/>
  <c r="AY102" i="46"/>
  <c r="AX102" i="46"/>
  <c r="AV102" i="46"/>
  <c r="AT102" i="46"/>
  <c r="AS102" i="46"/>
  <c r="DJ101" i="46"/>
  <c r="DG101" i="46"/>
  <c r="DF101" i="46"/>
  <c r="DE101" i="46"/>
  <c r="DD101" i="46"/>
  <c r="DC101" i="46"/>
  <c r="DB101" i="46"/>
  <c r="CR101" i="46"/>
  <c r="CQ101" i="46"/>
  <c r="CP101" i="46"/>
  <c r="CO101" i="46"/>
  <c r="CN101" i="46"/>
  <c r="CM101" i="46"/>
  <c r="CL101" i="46"/>
  <c r="CK101" i="46"/>
  <c r="CJ101" i="46"/>
  <c r="CI101" i="46"/>
  <c r="CH101" i="46"/>
  <c r="CG101" i="46"/>
  <c r="CF101" i="46"/>
  <c r="CE101" i="46"/>
  <c r="CD101" i="46"/>
  <c r="CC101" i="46"/>
  <c r="CB101" i="46"/>
  <c r="CA101" i="46"/>
  <c r="BG101" i="46"/>
  <c r="BA101" i="46"/>
  <c r="AZ101" i="46"/>
  <c r="AY101" i="46"/>
  <c r="AT101" i="46"/>
  <c r="DJ100" i="46"/>
  <c r="DG100" i="46"/>
  <c r="DF100" i="46"/>
  <c r="DE100" i="46"/>
  <c r="DD100" i="46"/>
  <c r="DC100" i="46"/>
  <c r="DB100" i="46"/>
  <c r="CR100" i="46"/>
  <c r="CQ100" i="46"/>
  <c r="CP100" i="46"/>
  <c r="CO100" i="46"/>
  <c r="CN100" i="46"/>
  <c r="CM100" i="46"/>
  <c r="CL100" i="46"/>
  <c r="CK100" i="46"/>
  <c r="CJ100" i="46"/>
  <c r="CI100" i="46"/>
  <c r="AX100" i="46" s="1"/>
  <c r="CH100" i="46"/>
  <c r="CG100" i="46"/>
  <c r="CF100" i="46"/>
  <c r="CE100" i="46"/>
  <c r="CD100" i="46"/>
  <c r="CC100" i="46"/>
  <c r="CB100" i="46"/>
  <c r="CA100" i="46"/>
  <c r="BG100" i="46"/>
  <c r="BA100" i="46"/>
  <c r="AZ100" i="46"/>
  <c r="AY100" i="46"/>
  <c r="AT100" i="46"/>
  <c r="DJ99" i="46"/>
  <c r="DG99" i="46"/>
  <c r="DF99" i="46"/>
  <c r="DE99" i="46"/>
  <c r="DD99" i="46"/>
  <c r="DC99" i="46"/>
  <c r="DB99" i="46"/>
  <c r="CR99" i="46"/>
  <c r="CQ99" i="46"/>
  <c r="CP99" i="46"/>
  <c r="CO99" i="46"/>
  <c r="CN99" i="46"/>
  <c r="CM99" i="46"/>
  <c r="CL99" i="46"/>
  <c r="CK99" i="46"/>
  <c r="CJ99" i="46"/>
  <c r="CI99" i="46"/>
  <c r="CH99" i="46"/>
  <c r="CG99" i="46"/>
  <c r="CF99" i="46"/>
  <c r="CE99" i="46"/>
  <c r="CD99" i="46"/>
  <c r="CC99" i="46"/>
  <c r="CB99" i="46"/>
  <c r="CA99" i="46"/>
  <c r="BG99" i="46"/>
  <c r="BA99" i="46"/>
  <c r="AZ99" i="46"/>
  <c r="AY99" i="46"/>
  <c r="AT99" i="46"/>
  <c r="DJ98" i="46"/>
  <c r="DG98" i="46"/>
  <c r="DF98" i="46"/>
  <c r="DE98" i="46"/>
  <c r="DD98" i="46"/>
  <c r="DC98" i="46"/>
  <c r="DB98" i="46"/>
  <c r="CR98" i="46"/>
  <c r="CQ98" i="46"/>
  <c r="CP98" i="46"/>
  <c r="CO98" i="46"/>
  <c r="CN98" i="46"/>
  <c r="CM98" i="46"/>
  <c r="CL98" i="46"/>
  <c r="CK98" i="46"/>
  <c r="CJ98" i="46"/>
  <c r="CI98" i="46"/>
  <c r="CH98" i="46"/>
  <c r="CG98" i="46"/>
  <c r="CF98" i="46"/>
  <c r="CE98" i="46"/>
  <c r="CD98" i="46"/>
  <c r="CC98" i="46"/>
  <c r="CB98" i="46"/>
  <c r="CA98" i="46"/>
  <c r="BG98" i="46"/>
  <c r="BA98" i="46"/>
  <c r="AZ98" i="46"/>
  <c r="AY98" i="46"/>
  <c r="AT98" i="46"/>
  <c r="DJ97" i="46"/>
  <c r="DG97" i="46"/>
  <c r="DF97" i="46"/>
  <c r="DE97" i="46"/>
  <c r="DD97" i="46"/>
  <c r="DC97" i="46"/>
  <c r="DB97" i="46"/>
  <c r="DH97" i="46" s="1"/>
  <c r="CR97" i="46"/>
  <c r="CQ97" i="46"/>
  <c r="CP97" i="46"/>
  <c r="CO97" i="46"/>
  <c r="CN97" i="46"/>
  <c r="CM97" i="46"/>
  <c r="CL97" i="46"/>
  <c r="CK97" i="46"/>
  <c r="CJ97" i="46"/>
  <c r="CI97" i="46"/>
  <c r="CH97" i="46"/>
  <c r="CG97" i="46"/>
  <c r="CF97" i="46"/>
  <c r="CE97" i="46"/>
  <c r="CD97" i="46"/>
  <c r="CC97" i="46"/>
  <c r="CB97" i="46"/>
  <c r="CA97" i="46"/>
  <c r="BG97" i="46"/>
  <c r="BA97" i="46"/>
  <c r="AZ97" i="46"/>
  <c r="AY97" i="46"/>
  <c r="AT97" i="46"/>
  <c r="DJ96" i="46"/>
  <c r="DH96" i="46"/>
  <c r="BG96" i="46"/>
  <c r="DJ95" i="46"/>
  <c r="DG95" i="46"/>
  <c r="DF95" i="46"/>
  <c r="DE95" i="46"/>
  <c r="DD95" i="46"/>
  <c r="DC95" i="46"/>
  <c r="DB95" i="46"/>
  <c r="BG95" i="46"/>
  <c r="DJ94" i="46"/>
  <c r="DG94" i="46"/>
  <c r="DF94" i="46"/>
  <c r="DE94" i="46"/>
  <c r="DD94" i="46"/>
  <c r="DC94" i="46"/>
  <c r="DB94" i="46"/>
  <c r="CR94" i="46"/>
  <c r="CQ94" i="46"/>
  <c r="CP94" i="46"/>
  <c r="CO94" i="46"/>
  <c r="CN94" i="46"/>
  <c r="CM94" i="46"/>
  <c r="CL94" i="46"/>
  <c r="CK94" i="46"/>
  <c r="CJ94" i="46"/>
  <c r="CI94" i="46"/>
  <c r="CH94" i="46"/>
  <c r="CG94" i="46"/>
  <c r="CF94" i="46"/>
  <c r="CE94" i="46"/>
  <c r="CD94" i="46"/>
  <c r="CC94" i="46"/>
  <c r="CB94" i="46"/>
  <c r="CA94" i="46"/>
  <c r="BG94" i="46"/>
  <c r="BA94" i="46"/>
  <c r="AZ94" i="46"/>
  <c r="AY94" i="46"/>
  <c r="AT94" i="46"/>
  <c r="DJ93" i="46"/>
  <c r="DG93" i="46"/>
  <c r="DF93" i="46"/>
  <c r="DE93" i="46"/>
  <c r="DD93" i="46"/>
  <c r="DC93" i="46"/>
  <c r="DB93" i="46"/>
  <c r="CR93" i="46"/>
  <c r="CQ93" i="46"/>
  <c r="CP93" i="46"/>
  <c r="CO93" i="46"/>
  <c r="CN93" i="46"/>
  <c r="CM93" i="46"/>
  <c r="CL93" i="46"/>
  <c r="CK93" i="46"/>
  <c r="CJ93" i="46"/>
  <c r="CI93" i="46"/>
  <c r="CH93" i="46"/>
  <c r="CG93" i="46"/>
  <c r="CF93" i="46"/>
  <c r="CE93" i="46"/>
  <c r="CD93" i="46"/>
  <c r="CC93" i="46"/>
  <c r="CB93" i="46"/>
  <c r="CA93" i="46"/>
  <c r="BG93" i="46"/>
  <c r="BA93" i="46"/>
  <c r="AZ93" i="46"/>
  <c r="AY93" i="46"/>
  <c r="AT93" i="46"/>
  <c r="AS93" i="46"/>
  <c r="DJ92" i="46"/>
  <c r="DG92" i="46"/>
  <c r="DF92" i="46"/>
  <c r="DE92" i="46"/>
  <c r="DD92" i="46"/>
  <c r="DC92" i="46"/>
  <c r="DB92" i="46"/>
  <c r="CR92" i="46"/>
  <c r="CQ92" i="46"/>
  <c r="CP92" i="46"/>
  <c r="CO92" i="46"/>
  <c r="CN92" i="46"/>
  <c r="CM92" i="46"/>
  <c r="CL92" i="46"/>
  <c r="CK92" i="46"/>
  <c r="CJ92" i="46"/>
  <c r="CI92" i="46"/>
  <c r="AX92" i="46" s="1"/>
  <c r="CH92" i="46"/>
  <c r="CG92" i="46"/>
  <c r="CF92" i="46"/>
  <c r="CE92" i="46"/>
  <c r="CD92" i="46"/>
  <c r="CC92" i="46"/>
  <c r="CB92" i="46"/>
  <c r="CA92" i="46"/>
  <c r="BG92" i="46"/>
  <c r="BA92" i="46"/>
  <c r="AZ92" i="46"/>
  <c r="AY92" i="46"/>
  <c r="AT92" i="46"/>
  <c r="DG91" i="46"/>
  <c r="DF91" i="46"/>
  <c r="DE91" i="46"/>
  <c r="DD91" i="46"/>
  <c r="DC91" i="46"/>
  <c r="DB91" i="46"/>
  <c r="CR91" i="46"/>
  <c r="CQ91" i="46"/>
  <c r="CP91" i="46"/>
  <c r="CO91" i="46"/>
  <c r="CN91" i="46"/>
  <c r="CM91" i="46"/>
  <c r="CL91" i="46"/>
  <c r="CK91" i="46"/>
  <c r="CJ91" i="46"/>
  <c r="CI91" i="46"/>
  <c r="AX91" i="46" s="1"/>
  <c r="CH91" i="46"/>
  <c r="CG91" i="46"/>
  <c r="CF91" i="46"/>
  <c r="CE91" i="46"/>
  <c r="CD91" i="46"/>
  <c r="CC91" i="46"/>
  <c r="CB91" i="46"/>
  <c r="CA91" i="46"/>
  <c r="BG91" i="46"/>
  <c r="BA91" i="46"/>
  <c r="AZ91" i="46"/>
  <c r="AY91" i="46"/>
  <c r="AT91" i="46"/>
  <c r="DJ90" i="46"/>
  <c r="DG90" i="46"/>
  <c r="DF90" i="46"/>
  <c r="DE90" i="46"/>
  <c r="DD90" i="46"/>
  <c r="DC90" i="46"/>
  <c r="DB90" i="46"/>
  <c r="DH90" i="46" s="1"/>
  <c r="CR90" i="46"/>
  <c r="CQ90" i="46"/>
  <c r="CP90" i="46"/>
  <c r="CO90" i="46"/>
  <c r="CN90" i="46"/>
  <c r="CM90" i="46"/>
  <c r="CL90" i="46"/>
  <c r="CK90" i="46"/>
  <c r="CJ90" i="46"/>
  <c r="CI90" i="46"/>
  <c r="AX90" i="46" s="1"/>
  <c r="CH90" i="46"/>
  <c r="CG90" i="46"/>
  <c r="CF90" i="46"/>
  <c r="CE90" i="46"/>
  <c r="CD90" i="46"/>
  <c r="CC90" i="46"/>
  <c r="CB90" i="46"/>
  <c r="CA90" i="46"/>
  <c r="BG90" i="46"/>
  <c r="BA90" i="46"/>
  <c r="AZ90" i="46"/>
  <c r="AY90" i="46"/>
  <c r="AT90" i="46"/>
  <c r="DJ89" i="46"/>
  <c r="DG89" i="46"/>
  <c r="DF89" i="46"/>
  <c r="DE89" i="46"/>
  <c r="DD89" i="46"/>
  <c r="DC89" i="46"/>
  <c r="DB89" i="46"/>
  <c r="CR89" i="46"/>
  <c r="CQ89" i="46"/>
  <c r="CP89" i="46"/>
  <c r="CO89" i="46"/>
  <c r="CN89" i="46"/>
  <c r="CM89" i="46"/>
  <c r="CL89" i="46"/>
  <c r="CK89" i="46"/>
  <c r="CJ89" i="46"/>
  <c r="CI89" i="46"/>
  <c r="CH89" i="46"/>
  <c r="CG89" i="46"/>
  <c r="CF89" i="46"/>
  <c r="CE89" i="46"/>
  <c r="CD89" i="46"/>
  <c r="CC89" i="46"/>
  <c r="CB89" i="46"/>
  <c r="CA89" i="46"/>
  <c r="BG89" i="46"/>
  <c r="BA89" i="46"/>
  <c r="AZ89" i="46"/>
  <c r="AY89" i="46"/>
  <c r="AT89" i="46"/>
  <c r="DJ88" i="46"/>
  <c r="DG88" i="46"/>
  <c r="DF88" i="46"/>
  <c r="DE88" i="46"/>
  <c r="DD88" i="46"/>
  <c r="DC88" i="46"/>
  <c r="DB88" i="46"/>
  <c r="DH88" i="46" s="1"/>
  <c r="CR88" i="46"/>
  <c r="CQ88" i="46"/>
  <c r="CP88" i="46"/>
  <c r="CO88" i="46"/>
  <c r="CN88" i="46"/>
  <c r="CM88" i="46"/>
  <c r="CL88" i="46"/>
  <c r="CK88" i="46"/>
  <c r="CJ88" i="46"/>
  <c r="CI88" i="46"/>
  <c r="CH88" i="46"/>
  <c r="CG88" i="46"/>
  <c r="CF88" i="46"/>
  <c r="CE88" i="46"/>
  <c r="CD88" i="46"/>
  <c r="CC88" i="46"/>
  <c r="CB88" i="46"/>
  <c r="CA88" i="46"/>
  <c r="BG88" i="46"/>
  <c r="BA88" i="46"/>
  <c r="AZ88" i="46"/>
  <c r="AY88" i="46"/>
  <c r="AT88" i="46"/>
  <c r="DJ87" i="46"/>
  <c r="DG87" i="46"/>
  <c r="DF87" i="46"/>
  <c r="DE87" i="46"/>
  <c r="DD87" i="46"/>
  <c r="DC87" i="46"/>
  <c r="DB87" i="46"/>
  <c r="CR87" i="46"/>
  <c r="CQ87" i="46"/>
  <c r="CP87" i="46"/>
  <c r="CO87" i="46"/>
  <c r="CN87" i="46"/>
  <c r="CM87" i="46"/>
  <c r="CL87" i="46"/>
  <c r="CK87" i="46"/>
  <c r="CJ87" i="46"/>
  <c r="CI87" i="46"/>
  <c r="CH87" i="46"/>
  <c r="CG87" i="46"/>
  <c r="CF87" i="46"/>
  <c r="CE87" i="46"/>
  <c r="CD87" i="46"/>
  <c r="CC87" i="46"/>
  <c r="CB87" i="46"/>
  <c r="CA87" i="46"/>
  <c r="BG87" i="46"/>
  <c r="BA87" i="46"/>
  <c r="AZ87" i="46"/>
  <c r="AY87" i="46"/>
  <c r="AT87" i="46"/>
  <c r="DJ86" i="46"/>
  <c r="DG86" i="46"/>
  <c r="DF86" i="46"/>
  <c r="DE86" i="46"/>
  <c r="DD86" i="46"/>
  <c r="DC86" i="46"/>
  <c r="DB86" i="46"/>
  <c r="CR86" i="46"/>
  <c r="CQ86" i="46"/>
  <c r="CP86" i="46"/>
  <c r="CO86" i="46"/>
  <c r="CN86" i="46"/>
  <c r="CM86" i="46"/>
  <c r="CL86" i="46"/>
  <c r="CK86" i="46"/>
  <c r="CJ86" i="46"/>
  <c r="CI86" i="46"/>
  <c r="AX86" i="46" s="1"/>
  <c r="CH86" i="46"/>
  <c r="CG86" i="46"/>
  <c r="CF86" i="46"/>
  <c r="CE86" i="46"/>
  <c r="CD86" i="46"/>
  <c r="CC86" i="46"/>
  <c r="CB86" i="46"/>
  <c r="CA86" i="46"/>
  <c r="BG86" i="46"/>
  <c r="BA86" i="46"/>
  <c r="AZ86" i="46"/>
  <c r="AY86" i="46"/>
  <c r="AT86" i="46"/>
  <c r="DJ85" i="46"/>
  <c r="DG85" i="46"/>
  <c r="DF85" i="46"/>
  <c r="DE85" i="46"/>
  <c r="DD85" i="46"/>
  <c r="DC85" i="46"/>
  <c r="DB85" i="46"/>
  <c r="CR85" i="46"/>
  <c r="CQ85" i="46"/>
  <c r="CP85" i="46"/>
  <c r="CO85" i="46"/>
  <c r="CN85" i="46"/>
  <c r="CM85" i="46"/>
  <c r="CL85" i="46"/>
  <c r="CK85" i="46"/>
  <c r="AX85" i="46" s="1"/>
  <c r="CJ85" i="46"/>
  <c r="CI85" i="46"/>
  <c r="CH85" i="46"/>
  <c r="CG85" i="46"/>
  <c r="CF85" i="46"/>
  <c r="CE85" i="46"/>
  <c r="CD85" i="46"/>
  <c r="CC85" i="46"/>
  <c r="CB85" i="46"/>
  <c r="CA85" i="46"/>
  <c r="BG85" i="46"/>
  <c r="BA85" i="46"/>
  <c r="AZ85" i="46"/>
  <c r="AY85" i="46"/>
  <c r="AT85" i="46"/>
  <c r="DJ84" i="46"/>
  <c r="DG84" i="46"/>
  <c r="DF84" i="46"/>
  <c r="DE84" i="46"/>
  <c r="DD84" i="46"/>
  <c r="DC84" i="46"/>
  <c r="DB84" i="46"/>
  <c r="CR84" i="46"/>
  <c r="CQ84" i="46"/>
  <c r="CP84" i="46"/>
  <c r="CO84" i="46"/>
  <c r="CN84" i="46"/>
  <c r="CM84" i="46"/>
  <c r="CL84" i="46"/>
  <c r="CK84" i="46"/>
  <c r="CJ84" i="46"/>
  <c r="CI84" i="46"/>
  <c r="CH84" i="46"/>
  <c r="CG84" i="46"/>
  <c r="CF84" i="46"/>
  <c r="CE84" i="46"/>
  <c r="CD84" i="46"/>
  <c r="CC84" i="46"/>
  <c r="CB84" i="46"/>
  <c r="CA84" i="46"/>
  <c r="BG84" i="46"/>
  <c r="BA84" i="46"/>
  <c r="AZ84" i="46"/>
  <c r="AY84" i="46"/>
  <c r="AT84" i="46"/>
  <c r="DJ83" i="46"/>
  <c r="DG83" i="46"/>
  <c r="DF83" i="46"/>
  <c r="DE83" i="46"/>
  <c r="DD83" i="46"/>
  <c r="DC83" i="46"/>
  <c r="DB83" i="46"/>
  <c r="CR83" i="46"/>
  <c r="CQ83" i="46"/>
  <c r="CP83" i="46"/>
  <c r="CO83" i="46"/>
  <c r="CN83" i="46"/>
  <c r="CM83" i="46"/>
  <c r="CL83" i="46"/>
  <c r="CK83" i="46"/>
  <c r="CJ83" i="46"/>
  <c r="CI83" i="46"/>
  <c r="AX83" i="46" s="1"/>
  <c r="CH83" i="46"/>
  <c r="CG83" i="46"/>
  <c r="CF83" i="46"/>
  <c r="CE83" i="46"/>
  <c r="CD83" i="46"/>
  <c r="CC83" i="46"/>
  <c r="CB83" i="46"/>
  <c r="CA83" i="46"/>
  <c r="BG83" i="46"/>
  <c r="BA83" i="46"/>
  <c r="AZ83" i="46"/>
  <c r="AY83" i="46"/>
  <c r="AT83" i="46"/>
  <c r="DJ82" i="46"/>
  <c r="DG82" i="46"/>
  <c r="DF82" i="46"/>
  <c r="DE82" i="46"/>
  <c r="DD82" i="46"/>
  <c r="DC82" i="46"/>
  <c r="DB82" i="46"/>
  <c r="CR82" i="46"/>
  <c r="CQ82" i="46"/>
  <c r="CP82" i="46"/>
  <c r="CO82" i="46"/>
  <c r="CN82" i="46"/>
  <c r="CM82" i="46"/>
  <c r="CL82" i="46"/>
  <c r="CK82" i="46"/>
  <c r="CJ82" i="46"/>
  <c r="CI82" i="46"/>
  <c r="CH82" i="46"/>
  <c r="CG82" i="46"/>
  <c r="CF82" i="46"/>
  <c r="CE82" i="46"/>
  <c r="CD82" i="46"/>
  <c r="CC82" i="46"/>
  <c r="CB82" i="46"/>
  <c r="CA82" i="46"/>
  <c r="BG82" i="46"/>
  <c r="BA82" i="46"/>
  <c r="AZ82" i="46"/>
  <c r="AY82" i="46"/>
  <c r="AT82" i="46"/>
  <c r="DJ81" i="46"/>
  <c r="DG81" i="46"/>
  <c r="DF81" i="46"/>
  <c r="DE81" i="46"/>
  <c r="DD81" i="46"/>
  <c r="DC81" i="46"/>
  <c r="DB81" i="46"/>
  <c r="CR81" i="46"/>
  <c r="CQ81" i="46"/>
  <c r="CP81" i="46"/>
  <c r="CO81" i="46"/>
  <c r="CN81" i="46"/>
  <c r="CM81" i="46"/>
  <c r="CL81" i="46"/>
  <c r="CK81" i="46"/>
  <c r="CJ81" i="46"/>
  <c r="CI81" i="46"/>
  <c r="CH81" i="46"/>
  <c r="CG81" i="46"/>
  <c r="CF81" i="46"/>
  <c r="CE81" i="46"/>
  <c r="CD81" i="46"/>
  <c r="CC81" i="46"/>
  <c r="CB81" i="46"/>
  <c r="CA81" i="46"/>
  <c r="BG81" i="46"/>
  <c r="BA81" i="46"/>
  <c r="AZ81" i="46"/>
  <c r="AY81" i="46"/>
  <c r="AT81" i="46"/>
  <c r="DJ80" i="46"/>
  <c r="DG80" i="46"/>
  <c r="DF80" i="46"/>
  <c r="DE80" i="46"/>
  <c r="DD80" i="46"/>
  <c r="DC80" i="46"/>
  <c r="DB80" i="46"/>
  <c r="CR80" i="46"/>
  <c r="CQ80" i="46"/>
  <c r="CP80" i="46"/>
  <c r="CO80" i="46"/>
  <c r="CN80" i="46"/>
  <c r="CM80" i="46"/>
  <c r="CL80" i="46"/>
  <c r="CK80" i="46"/>
  <c r="CJ80" i="46"/>
  <c r="CI80" i="46"/>
  <c r="AS80" i="46" s="1"/>
  <c r="CH80" i="46"/>
  <c r="CG80" i="46"/>
  <c r="CF80" i="46"/>
  <c r="CE80" i="46"/>
  <c r="CD80" i="46"/>
  <c r="CC80" i="46"/>
  <c r="CB80" i="46"/>
  <c r="CA80" i="46"/>
  <c r="BG80" i="46"/>
  <c r="BA80" i="46"/>
  <c r="AZ80" i="46"/>
  <c r="AY80" i="46"/>
  <c r="AT80" i="46"/>
  <c r="DJ79" i="46"/>
  <c r="DG79" i="46"/>
  <c r="DF79" i="46"/>
  <c r="DE79" i="46"/>
  <c r="DD79" i="46"/>
  <c r="DC79" i="46"/>
  <c r="DB79" i="46"/>
  <c r="CR79" i="46"/>
  <c r="CQ79" i="46"/>
  <c r="CP79" i="46"/>
  <c r="CO79" i="46"/>
  <c r="CN79" i="46"/>
  <c r="CM79" i="46"/>
  <c r="CL79" i="46"/>
  <c r="CK79" i="46"/>
  <c r="CJ79" i="46"/>
  <c r="CI79" i="46"/>
  <c r="CH79" i="46"/>
  <c r="CG79" i="46"/>
  <c r="CF79" i="46"/>
  <c r="CE79" i="46"/>
  <c r="CD79" i="46"/>
  <c r="CC79" i="46"/>
  <c r="CB79" i="46"/>
  <c r="CA79" i="46"/>
  <c r="BG79" i="46"/>
  <c r="BA79" i="46"/>
  <c r="AZ79" i="46"/>
  <c r="AY79" i="46"/>
  <c r="AT79" i="46"/>
  <c r="DJ78" i="46"/>
  <c r="DG78" i="46"/>
  <c r="DF78" i="46"/>
  <c r="DE78" i="46"/>
  <c r="DD78" i="46"/>
  <c r="DC78" i="46"/>
  <c r="DB78" i="46"/>
  <c r="CR78" i="46"/>
  <c r="CQ78" i="46"/>
  <c r="CP78" i="46"/>
  <c r="CO78" i="46"/>
  <c r="CN78" i="46"/>
  <c r="CM78" i="46"/>
  <c r="CL78" i="46"/>
  <c r="CK78" i="46"/>
  <c r="CJ78" i="46"/>
  <c r="CI78" i="46"/>
  <c r="CH78" i="46"/>
  <c r="CG78" i="46"/>
  <c r="CF78" i="46"/>
  <c r="CE78" i="46"/>
  <c r="CD78" i="46"/>
  <c r="CC78" i="46"/>
  <c r="CB78" i="46"/>
  <c r="CA78" i="46"/>
  <c r="BG78" i="46"/>
  <c r="BA78" i="46"/>
  <c r="AZ78" i="46"/>
  <c r="AY78" i="46"/>
  <c r="AT78" i="46"/>
  <c r="DJ77" i="46"/>
  <c r="DG77" i="46"/>
  <c r="DF77" i="46"/>
  <c r="DE77" i="46"/>
  <c r="DD77" i="46"/>
  <c r="DC77" i="46"/>
  <c r="DB77" i="46"/>
  <c r="DH77" i="46" s="1"/>
  <c r="CR77" i="46"/>
  <c r="CQ77" i="46"/>
  <c r="CP77" i="46"/>
  <c r="CO77" i="46"/>
  <c r="CN77" i="46"/>
  <c r="CM77" i="46"/>
  <c r="CL77" i="46"/>
  <c r="CK77" i="46"/>
  <c r="CJ77" i="46"/>
  <c r="CI77" i="46"/>
  <c r="CH77" i="46"/>
  <c r="CG77" i="46"/>
  <c r="CF77" i="46"/>
  <c r="CE77" i="46"/>
  <c r="CD77" i="46"/>
  <c r="CC77" i="46"/>
  <c r="CB77" i="46"/>
  <c r="CA77" i="46"/>
  <c r="BG77" i="46"/>
  <c r="BA77" i="46"/>
  <c r="AZ77" i="46"/>
  <c r="AY77" i="46"/>
  <c r="AT77" i="46"/>
  <c r="DJ76" i="46"/>
  <c r="DG76" i="46"/>
  <c r="DF76" i="46"/>
  <c r="DE76" i="46"/>
  <c r="DD76" i="46"/>
  <c r="DC76" i="46"/>
  <c r="DB76" i="46"/>
  <c r="CR76" i="46"/>
  <c r="CQ76" i="46"/>
  <c r="CP76" i="46"/>
  <c r="CO76" i="46"/>
  <c r="CN76" i="46"/>
  <c r="CM76" i="46"/>
  <c r="CL76" i="46"/>
  <c r="CK76" i="46"/>
  <c r="CJ76" i="46"/>
  <c r="CI76" i="46"/>
  <c r="CH76" i="46"/>
  <c r="CG76" i="46"/>
  <c r="CF76" i="46"/>
  <c r="CE76" i="46"/>
  <c r="CD76" i="46"/>
  <c r="CC76" i="46"/>
  <c r="CB76" i="46"/>
  <c r="CA76" i="46"/>
  <c r="CS76" i="46" s="1"/>
  <c r="BG76" i="46"/>
  <c r="BA76" i="46"/>
  <c r="AZ76" i="46"/>
  <c r="AY76" i="46"/>
  <c r="AT76" i="46"/>
  <c r="DJ75" i="46"/>
  <c r="DG75" i="46"/>
  <c r="DF75" i="46"/>
  <c r="DE75" i="46"/>
  <c r="DD75" i="46"/>
  <c r="DC75" i="46"/>
  <c r="DB75" i="46"/>
  <c r="CR75" i="46"/>
  <c r="CQ75" i="46"/>
  <c r="CP75" i="46"/>
  <c r="CO75" i="46"/>
  <c r="CN75" i="46"/>
  <c r="CM75" i="46"/>
  <c r="CL75" i="46"/>
  <c r="CK75" i="46"/>
  <c r="CJ75" i="46"/>
  <c r="CI75" i="46"/>
  <c r="CH75" i="46"/>
  <c r="CG75" i="46"/>
  <c r="CF75" i="46"/>
  <c r="CE75" i="46"/>
  <c r="CD75" i="46"/>
  <c r="CC75" i="46"/>
  <c r="CB75" i="46"/>
  <c r="CA75" i="46"/>
  <c r="BG75" i="46"/>
  <c r="BA75" i="46"/>
  <c r="AZ75" i="46"/>
  <c r="AY75" i="46"/>
  <c r="AV75" i="46"/>
  <c r="AT75" i="46"/>
  <c r="DJ74" i="46"/>
  <c r="DG74" i="46"/>
  <c r="DF74" i="46"/>
  <c r="DE74" i="46"/>
  <c r="DD74" i="46"/>
  <c r="DC74" i="46"/>
  <c r="DB74" i="46"/>
  <c r="DH74" i="46" s="1"/>
  <c r="CR74" i="46"/>
  <c r="CQ74" i="46"/>
  <c r="CP74" i="46"/>
  <c r="CO74" i="46"/>
  <c r="CN74" i="46"/>
  <c r="CM74" i="46"/>
  <c r="CL74" i="46"/>
  <c r="CK74" i="46"/>
  <c r="CJ74" i="46"/>
  <c r="CI74" i="46"/>
  <c r="AV74" i="46" s="1"/>
  <c r="CH74" i="46"/>
  <c r="CG74" i="46"/>
  <c r="CF74" i="46"/>
  <c r="CE74" i="46"/>
  <c r="CD74" i="46"/>
  <c r="CC74" i="46"/>
  <c r="CB74" i="46"/>
  <c r="CA74" i="46"/>
  <c r="BG74" i="46"/>
  <c r="BA74" i="46"/>
  <c r="AZ74" i="46"/>
  <c r="AY74" i="46"/>
  <c r="AT74" i="46"/>
  <c r="DJ73" i="46"/>
  <c r="DG73" i="46"/>
  <c r="DF73" i="46"/>
  <c r="DE73" i="46"/>
  <c r="DD73" i="46"/>
  <c r="DC73" i="46"/>
  <c r="DB73" i="46"/>
  <c r="CR73" i="46"/>
  <c r="CQ73" i="46"/>
  <c r="CP73" i="46"/>
  <c r="CO73" i="46"/>
  <c r="CN73" i="46"/>
  <c r="CM73" i="46"/>
  <c r="CL73" i="46"/>
  <c r="CK73" i="46"/>
  <c r="CJ73" i="46"/>
  <c r="CI73" i="46"/>
  <c r="CH73" i="46"/>
  <c r="CG73" i="46"/>
  <c r="CF73" i="46"/>
  <c r="CE73" i="46"/>
  <c r="CD73" i="46"/>
  <c r="CC73" i="46"/>
  <c r="CB73" i="46"/>
  <c r="CA73" i="46"/>
  <c r="BG73" i="46"/>
  <c r="BA73" i="46"/>
  <c r="AZ73" i="46"/>
  <c r="AY73" i="46"/>
  <c r="AT73" i="46"/>
  <c r="DJ72" i="46"/>
  <c r="DG72" i="46"/>
  <c r="DF72" i="46"/>
  <c r="DE72" i="46"/>
  <c r="DD72" i="46"/>
  <c r="DC72" i="46"/>
  <c r="DB72" i="46"/>
  <c r="CR72" i="46"/>
  <c r="CQ72" i="46"/>
  <c r="CP72" i="46"/>
  <c r="CO72" i="46"/>
  <c r="CN72" i="46"/>
  <c r="CM72" i="46"/>
  <c r="CL72" i="46"/>
  <c r="CK72" i="46"/>
  <c r="CJ72" i="46"/>
  <c r="CI72" i="46"/>
  <c r="CH72" i="46"/>
  <c r="CG72" i="46"/>
  <c r="CF72" i="46"/>
  <c r="CE72" i="46"/>
  <c r="CD72" i="46"/>
  <c r="CC72" i="46"/>
  <c r="CB72" i="46"/>
  <c r="CA72" i="46"/>
  <c r="BG72" i="46"/>
  <c r="BA72" i="46"/>
  <c r="AZ72" i="46"/>
  <c r="AY72" i="46"/>
  <c r="AT72" i="46"/>
  <c r="DJ71" i="46"/>
  <c r="DG71" i="46"/>
  <c r="DF71" i="46"/>
  <c r="DE71" i="46"/>
  <c r="DD71" i="46"/>
  <c r="DC71" i="46"/>
  <c r="DB71" i="46"/>
  <c r="CR71" i="46"/>
  <c r="CQ71" i="46"/>
  <c r="CP71" i="46"/>
  <c r="CO71" i="46"/>
  <c r="CN71" i="46"/>
  <c r="CM71" i="46"/>
  <c r="CL71" i="46"/>
  <c r="CK71" i="46"/>
  <c r="CJ71" i="46"/>
  <c r="CI71" i="46"/>
  <c r="CH71" i="46"/>
  <c r="CG71" i="46"/>
  <c r="CF71" i="46"/>
  <c r="CE71" i="46"/>
  <c r="CD71" i="46"/>
  <c r="CC71" i="46"/>
  <c r="CB71" i="46"/>
  <c r="CA71" i="46"/>
  <c r="BG71" i="46"/>
  <c r="BA71" i="46"/>
  <c r="AZ71" i="46"/>
  <c r="AY71" i="46"/>
  <c r="AT71" i="46"/>
  <c r="DJ70" i="46"/>
  <c r="DG70" i="46"/>
  <c r="DF70" i="46"/>
  <c r="DE70" i="46"/>
  <c r="DD70" i="46"/>
  <c r="DC70" i="46"/>
  <c r="DB70" i="46"/>
  <c r="DH70" i="46" s="1"/>
  <c r="CR70" i="46"/>
  <c r="CQ70" i="46"/>
  <c r="CP70" i="46"/>
  <c r="CO70" i="46"/>
  <c r="CN70" i="46"/>
  <c r="CM70" i="46"/>
  <c r="CL70" i="46"/>
  <c r="CK70" i="46"/>
  <c r="CJ70" i="46"/>
  <c r="CI70" i="46"/>
  <c r="CH70" i="46"/>
  <c r="CG70" i="46"/>
  <c r="CF70" i="46"/>
  <c r="CE70" i="46"/>
  <c r="CD70" i="46"/>
  <c r="CC70" i="46"/>
  <c r="CB70" i="46"/>
  <c r="CA70" i="46"/>
  <c r="BG70" i="46"/>
  <c r="BA70" i="46"/>
  <c r="AZ70" i="46"/>
  <c r="AY70" i="46"/>
  <c r="AT70" i="46"/>
  <c r="DJ69" i="46"/>
  <c r="DG69" i="46"/>
  <c r="DF69" i="46"/>
  <c r="DE69" i="46"/>
  <c r="DD69" i="46"/>
  <c r="DC69" i="46"/>
  <c r="DB69" i="46"/>
  <c r="DH69" i="46" s="1"/>
  <c r="CR69" i="46"/>
  <c r="CQ69" i="46"/>
  <c r="CP69" i="46"/>
  <c r="CO69" i="46"/>
  <c r="CN69" i="46"/>
  <c r="CM69" i="46"/>
  <c r="CL69" i="46"/>
  <c r="CK69" i="46"/>
  <c r="CJ69" i="46"/>
  <c r="CI69" i="46"/>
  <c r="CH69" i="46"/>
  <c r="CG69" i="46"/>
  <c r="CF69" i="46"/>
  <c r="CE69" i="46"/>
  <c r="CD69" i="46"/>
  <c r="CC69" i="46"/>
  <c r="CB69" i="46"/>
  <c r="CA69" i="46"/>
  <c r="BG69" i="46"/>
  <c r="BA69" i="46"/>
  <c r="AZ69" i="46"/>
  <c r="AY69" i="46"/>
  <c r="AT69" i="46"/>
  <c r="DJ68" i="46"/>
  <c r="DG68" i="46"/>
  <c r="DF68" i="46"/>
  <c r="DE68" i="46"/>
  <c r="DD68" i="46"/>
  <c r="DC68" i="46"/>
  <c r="DB68" i="46"/>
  <c r="DH68" i="46" s="1"/>
  <c r="CR68" i="46"/>
  <c r="CQ68" i="46"/>
  <c r="CP68" i="46"/>
  <c r="CO68" i="46"/>
  <c r="CN68" i="46"/>
  <c r="CM68" i="46"/>
  <c r="CL68" i="46"/>
  <c r="CK68" i="46"/>
  <c r="CJ68" i="46"/>
  <c r="CI68" i="46"/>
  <c r="CH68" i="46"/>
  <c r="CG68" i="46"/>
  <c r="CF68" i="46"/>
  <c r="CE68" i="46"/>
  <c r="CD68" i="46"/>
  <c r="CC68" i="46"/>
  <c r="CB68" i="46"/>
  <c r="CA68" i="46"/>
  <c r="BG68" i="46"/>
  <c r="BA68" i="46"/>
  <c r="AZ68" i="46"/>
  <c r="AY68" i="46"/>
  <c r="AT68" i="46"/>
  <c r="DJ67" i="46"/>
  <c r="DG67" i="46"/>
  <c r="DF67" i="46"/>
  <c r="DE67" i="46"/>
  <c r="DD67" i="46"/>
  <c r="DC67" i="46"/>
  <c r="DB67" i="46"/>
  <c r="CR67" i="46"/>
  <c r="CQ67" i="46"/>
  <c r="CP67" i="46"/>
  <c r="CO67" i="46"/>
  <c r="CN67" i="46"/>
  <c r="CM67" i="46"/>
  <c r="CL67" i="46"/>
  <c r="CK67" i="46"/>
  <c r="CJ67" i="46"/>
  <c r="CI67" i="46"/>
  <c r="CH67" i="46"/>
  <c r="CG67" i="46"/>
  <c r="CF67" i="46"/>
  <c r="CE67" i="46"/>
  <c r="CD67" i="46"/>
  <c r="CC67" i="46"/>
  <c r="CB67" i="46"/>
  <c r="CA67" i="46"/>
  <c r="BG67" i="46"/>
  <c r="BA67" i="46"/>
  <c r="AZ67" i="46"/>
  <c r="AY67" i="46"/>
  <c r="AV67" i="46"/>
  <c r="AT67" i="46"/>
  <c r="AS67" i="46"/>
  <c r="DJ66" i="46"/>
  <c r="DG66" i="46"/>
  <c r="DF66" i="46"/>
  <c r="DE66" i="46"/>
  <c r="DD66" i="46"/>
  <c r="DC66" i="46"/>
  <c r="DB66" i="46"/>
  <c r="CR66" i="46"/>
  <c r="CQ66" i="46"/>
  <c r="CP66" i="46"/>
  <c r="CO66" i="46"/>
  <c r="CN66" i="46"/>
  <c r="CM66" i="46"/>
  <c r="CL66" i="46"/>
  <c r="CK66" i="46"/>
  <c r="CJ66" i="46"/>
  <c r="CI66" i="46"/>
  <c r="AS66" i="46" s="1"/>
  <c r="CH66" i="46"/>
  <c r="CG66" i="46"/>
  <c r="CF66" i="46"/>
  <c r="CE66" i="46"/>
  <c r="CD66" i="46"/>
  <c r="CC66" i="46"/>
  <c r="CB66" i="46"/>
  <c r="CA66" i="46"/>
  <c r="BG66" i="46"/>
  <c r="BA66" i="46"/>
  <c r="AZ66" i="46"/>
  <c r="AY66" i="46"/>
  <c r="AW66" i="46"/>
  <c r="AT66" i="46"/>
  <c r="DJ65" i="46"/>
  <c r="DG65" i="46"/>
  <c r="DF65" i="46"/>
  <c r="DE65" i="46"/>
  <c r="DD65" i="46"/>
  <c r="DC65" i="46"/>
  <c r="DB65" i="46"/>
  <c r="CR65" i="46"/>
  <c r="CQ65" i="46"/>
  <c r="CP65" i="46"/>
  <c r="CO65" i="46"/>
  <c r="CN65" i="46"/>
  <c r="CM65" i="46"/>
  <c r="CL65" i="46"/>
  <c r="CK65" i="46"/>
  <c r="CJ65" i="46"/>
  <c r="CI65" i="46"/>
  <c r="CH65" i="46"/>
  <c r="CG65" i="46"/>
  <c r="CF65" i="46"/>
  <c r="CE65" i="46"/>
  <c r="CD65" i="46"/>
  <c r="CC65" i="46"/>
  <c r="CB65" i="46"/>
  <c r="CA65" i="46"/>
  <c r="BG65" i="46"/>
  <c r="BA65" i="46"/>
  <c r="AZ65" i="46"/>
  <c r="AY65" i="46"/>
  <c r="AT65" i="46"/>
  <c r="DJ64" i="46"/>
  <c r="DG64" i="46"/>
  <c r="DF64" i="46"/>
  <c r="DE64" i="46"/>
  <c r="DD64" i="46"/>
  <c r="DC64" i="46"/>
  <c r="DB64" i="46"/>
  <c r="CR64" i="46"/>
  <c r="CQ64" i="46"/>
  <c r="CP64" i="46"/>
  <c r="CO64" i="46"/>
  <c r="CN64" i="46"/>
  <c r="CM64" i="46"/>
  <c r="CL64" i="46"/>
  <c r="CK64" i="46"/>
  <c r="CJ64" i="46"/>
  <c r="CI64" i="46"/>
  <c r="CH64" i="46"/>
  <c r="CG64" i="46"/>
  <c r="CF64" i="46"/>
  <c r="CE64" i="46"/>
  <c r="CD64" i="46"/>
  <c r="CC64" i="46"/>
  <c r="CB64" i="46"/>
  <c r="CA64" i="46"/>
  <c r="BG64" i="46"/>
  <c r="BA64" i="46"/>
  <c r="AZ64" i="46"/>
  <c r="AY64" i="46"/>
  <c r="AT64" i="46"/>
  <c r="DJ63" i="46"/>
  <c r="DG63" i="46"/>
  <c r="DF63" i="46"/>
  <c r="DE63" i="46"/>
  <c r="DD63" i="46"/>
  <c r="DC63" i="46"/>
  <c r="DB63" i="46"/>
  <c r="CR63" i="46"/>
  <c r="CQ63" i="46"/>
  <c r="CP63" i="46"/>
  <c r="CO63" i="46"/>
  <c r="CN63" i="46"/>
  <c r="CM63" i="46"/>
  <c r="CL63" i="46"/>
  <c r="CK63" i="46"/>
  <c r="CJ63" i="46"/>
  <c r="CI63" i="46"/>
  <c r="AW63" i="46" s="1"/>
  <c r="CH63" i="46"/>
  <c r="CG63" i="46"/>
  <c r="CF63" i="46"/>
  <c r="CE63" i="46"/>
  <c r="CD63" i="46"/>
  <c r="CC63" i="46"/>
  <c r="CB63" i="46"/>
  <c r="CA63" i="46"/>
  <c r="BG63" i="46"/>
  <c r="BA63" i="46"/>
  <c r="AZ63" i="46"/>
  <c r="AY63" i="46"/>
  <c r="AT63" i="46"/>
  <c r="DJ62" i="46"/>
  <c r="DG62" i="46"/>
  <c r="DF62" i="46"/>
  <c r="DE62" i="46"/>
  <c r="DD62" i="46"/>
  <c r="DC62" i="46"/>
  <c r="DB62" i="46"/>
  <c r="CR62" i="46"/>
  <c r="CQ62" i="46"/>
  <c r="CP62" i="46"/>
  <c r="CO62" i="46"/>
  <c r="CN62" i="46"/>
  <c r="CM62" i="46"/>
  <c r="CL62" i="46"/>
  <c r="CK62" i="46"/>
  <c r="CJ62" i="46"/>
  <c r="CI62" i="46"/>
  <c r="CH62" i="46"/>
  <c r="CG62" i="46"/>
  <c r="CF62" i="46"/>
  <c r="CE62" i="46"/>
  <c r="CD62" i="46"/>
  <c r="CC62" i="46"/>
  <c r="CB62" i="46"/>
  <c r="CA62" i="46"/>
  <c r="BG62" i="46"/>
  <c r="BA62" i="46"/>
  <c r="AZ62" i="46"/>
  <c r="AY62" i="46"/>
  <c r="AT62" i="46"/>
  <c r="DJ61" i="46"/>
  <c r="DG61" i="46"/>
  <c r="DF61" i="46"/>
  <c r="DE61" i="46"/>
  <c r="DD61" i="46"/>
  <c r="DC61" i="46"/>
  <c r="DB61" i="46"/>
  <c r="DH61" i="46" s="1"/>
  <c r="CR61" i="46"/>
  <c r="CQ61" i="46"/>
  <c r="CP61" i="46"/>
  <c r="CO61" i="46"/>
  <c r="CN61" i="46"/>
  <c r="CM61" i="46"/>
  <c r="CL61" i="46"/>
  <c r="CK61" i="46"/>
  <c r="CJ61" i="46"/>
  <c r="CI61" i="46"/>
  <c r="AS61" i="46" s="1"/>
  <c r="CH61" i="46"/>
  <c r="CG61" i="46"/>
  <c r="CF61" i="46"/>
  <c r="CE61" i="46"/>
  <c r="CD61" i="46"/>
  <c r="CC61" i="46"/>
  <c r="CB61" i="46"/>
  <c r="CA61" i="46"/>
  <c r="BG61" i="46"/>
  <c r="BA61" i="46"/>
  <c r="AZ61" i="46"/>
  <c r="AY61" i="46"/>
  <c r="AT61" i="46"/>
  <c r="DJ60" i="46"/>
  <c r="DG60" i="46"/>
  <c r="DF60" i="46"/>
  <c r="DE60" i="46"/>
  <c r="DD60" i="46"/>
  <c r="DC60" i="46"/>
  <c r="DB60" i="46"/>
  <c r="CR60" i="46"/>
  <c r="CQ60" i="46"/>
  <c r="CP60" i="46"/>
  <c r="CO60" i="46"/>
  <c r="CN60" i="46"/>
  <c r="CM60" i="46"/>
  <c r="CL60" i="46"/>
  <c r="CK60" i="46"/>
  <c r="CJ60" i="46"/>
  <c r="CI60" i="46"/>
  <c r="CH60" i="46"/>
  <c r="CG60" i="46"/>
  <c r="CF60" i="46"/>
  <c r="CE60" i="46"/>
  <c r="CD60" i="46"/>
  <c r="CC60" i="46"/>
  <c r="CB60" i="46"/>
  <c r="CA60" i="46"/>
  <c r="BG60" i="46"/>
  <c r="BA60" i="46"/>
  <c r="AZ60" i="46"/>
  <c r="AY60" i="46"/>
  <c r="AT60" i="46"/>
  <c r="DJ59" i="46"/>
  <c r="DG59" i="46"/>
  <c r="DF59" i="46"/>
  <c r="DE59" i="46"/>
  <c r="DD59" i="46"/>
  <c r="DC59" i="46"/>
  <c r="DB59" i="46"/>
  <c r="CR59" i="46"/>
  <c r="CQ59" i="46"/>
  <c r="CP59" i="46"/>
  <c r="CO59" i="46"/>
  <c r="CN59" i="46"/>
  <c r="CM59" i="46"/>
  <c r="CL59" i="46"/>
  <c r="CK59" i="46"/>
  <c r="CJ59" i="46"/>
  <c r="CI59" i="46"/>
  <c r="CH59" i="46"/>
  <c r="CG59" i="46"/>
  <c r="CF59" i="46"/>
  <c r="CE59" i="46"/>
  <c r="CD59" i="46"/>
  <c r="CC59" i="46"/>
  <c r="CB59" i="46"/>
  <c r="CA59" i="46"/>
  <c r="BG59" i="46"/>
  <c r="BA59" i="46"/>
  <c r="AZ59" i="46"/>
  <c r="AY59" i="46"/>
  <c r="AT59" i="46"/>
  <c r="DJ58" i="46"/>
  <c r="DG58" i="46"/>
  <c r="DF58" i="46"/>
  <c r="DE58" i="46"/>
  <c r="DD58" i="46"/>
  <c r="DC58" i="46"/>
  <c r="DB58" i="46"/>
  <c r="CR58" i="46"/>
  <c r="CQ58" i="46"/>
  <c r="CP58" i="46"/>
  <c r="CO58" i="46"/>
  <c r="CN58" i="46"/>
  <c r="CM58" i="46"/>
  <c r="CL58" i="46"/>
  <c r="CK58" i="46"/>
  <c r="CJ58" i="46"/>
  <c r="CI58" i="46"/>
  <c r="CH58" i="46"/>
  <c r="CG58" i="46"/>
  <c r="CF58" i="46"/>
  <c r="CE58" i="46"/>
  <c r="CD58" i="46"/>
  <c r="CC58" i="46"/>
  <c r="CB58" i="46"/>
  <c r="CA58" i="46"/>
  <c r="BG58" i="46"/>
  <c r="BA58" i="46"/>
  <c r="AZ58" i="46"/>
  <c r="AY58" i="46"/>
  <c r="AT58" i="46"/>
  <c r="DJ57" i="46"/>
  <c r="DG57" i="46"/>
  <c r="DF57" i="46"/>
  <c r="DE57" i="46"/>
  <c r="DD57" i="46"/>
  <c r="DC57" i="46"/>
  <c r="DB57" i="46"/>
  <c r="CR57" i="46"/>
  <c r="CQ57" i="46"/>
  <c r="CP57" i="46"/>
  <c r="CO57" i="46"/>
  <c r="CN57" i="46"/>
  <c r="CM57" i="46"/>
  <c r="CL57" i="46"/>
  <c r="CK57" i="46"/>
  <c r="CJ57" i="46"/>
  <c r="CI57" i="46"/>
  <c r="CH57" i="46"/>
  <c r="CG57" i="46"/>
  <c r="CF57" i="46"/>
  <c r="CE57" i="46"/>
  <c r="CD57" i="46"/>
  <c r="CC57" i="46"/>
  <c r="CB57" i="46"/>
  <c r="CA57" i="46"/>
  <c r="BG57" i="46"/>
  <c r="BA57" i="46"/>
  <c r="AZ57" i="46"/>
  <c r="AY57" i="46"/>
  <c r="AX57" i="46"/>
  <c r="AT57" i="46"/>
  <c r="DJ56" i="46"/>
  <c r="DG56" i="46"/>
  <c r="DF56" i="46"/>
  <c r="DE56" i="46"/>
  <c r="DD56" i="46"/>
  <c r="DC56" i="46"/>
  <c r="DB56" i="46"/>
  <c r="CR56" i="46"/>
  <c r="CQ56" i="46"/>
  <c r="CP56" i="46"/>
  <c r="CO56" i="46"/>
  <c r="CN56" i="46"/>
  <c r="CM56" i="46"/>
  <c r="CL56" i="46"/>
  <c r="CK56" i="46"/>
  <c r="CJ56" i="46"/>
  <c r="CI56" i="46"/>
  <c r="AX56" i="46" s="1"/>
  <c r="CH56" i="46"/>
  <c r="CG56" i="46"/>
  <c r="CF56" i="46"/>
  <c r="CE56" i="46"/>
  <c r="CD56" i="46"/>
  <c r="CC56" i="46"/>
  <c r="CB56" i="46"/>
  <c r="CA56" i="46"/>
  <c r="BG56" i="46"/>
  <c r="BA56" i="46"/>
  <c r="AZ56" i="46"/>
  <c r="AY56" i="46"/>
  <c r="AT56" i="46"/>
  <c r="DJ55" i="46"/>
  <c r="DG55" i="46"/>
  <c r="DF55" i="46"/>
  <c r="DE55" i="46"/>
  <c r="DD55" i="46"/>
  <c r="DC55" i="46"/>
  <c r="DB55" i="46"/>
  <c r="CR55" i="46"/>
  <c r="CQ55" i="46"/>
  <c r="CP55" i="46"/>
  <c r="CO55" i="46"/>
  <c r="CN55" i="46"/>
  <c r="CM55" i="46"/>
  <c r="CL55" i="46"/>
  <c r="CK55" i="46"/>
  <c r="CJ55" i="46"/>
  <c r="CI55" i="46"/>
  <c r="AX55" i="46" s="1"/>
  <c r="CH55" i="46"/>
  <c r="CG55" i="46"/>
  <c r="CF55" i="46"/>
  <c r="CE55" i="46"/>
  <c r="CD55" i="46"/>
  <c r="CC55" i="46"/>
  <c r="CB55" i="46"/>
  <c r="CA55" i="46"/>
  <c r="BG55" i="46"/>
  <c r="BA55" i="46"/>
  <c r="AZ55" i="46"/>
  <c r="AY55" i="46"/>
  <c r="AT55" i="46"/>
  <c r="DJ54" i="46"/>
  <c r="DG54" i="46"/>
  <c r="DF54" i="46"/>
  <c r="DE54" i="46"/>
  <c r="DD54" i="46"/>
  <c r="DC54" i="46"/>
  <c r="DB54" i="46"/>
  <c r="CR54" i="46"/>
  <c r="CQ54" i="46"/>
  <c r="CP54" i="46"/>
  <c r="CO54" i="46"/>
  <c r="CN54" i="46"/>
  <c r="CM54" i="46"/>
  <c r="CL54" i="46"/>
  <c r="CK54" i="46"/>
  <c r="CJ54" i="46"/>
  <c r="CI54" i="46"/>
  <c r="AX54" i="46" s="1"/>
  <c r="CH54" i="46"/>
  <c r="CG54" i="46"/>
  <c r="CF54" i="46"/>
  <c r="CE54" i="46"/>
  <c r="CD54" i="46"/>
  <c r="CC54" i="46"/>
  <c r="CB54" i="46"/>
  <c r="CA54" i="46"/>
  <c r="BG54" i="46"/>
  <c r="BA54" i="46"/>
  <c r="AZ54" i="46"/>
  <c r="AY54" i="46"/>
  <c r="AT54" i="46"/>
  <c r="DJ53" i="46"/>
  <c r="DG53" i="46"/>
  <c r="DF53" i="46"/>
  <c r="DE53" i="46"/>
  <c r="DD53" i="46"/>
  <c r="DC53" i="46"/>
  <c r="DB53" i="46"/>
  <c r="CR53" i="46"/>
  <c r="CQ53" i="46"/>
  <c r="CP53" i="46"/>
  <c r="CO53" i="46"/>
  <c r="CN53" i="46"/>
  <c r="CM53" i="46"/>
  <c r="CL53" i="46"/>
  <c r="CK53" i="46"/>
  <c r="CJ53" i="46"/>
  <c r="CI53" i="46"/>
  <c r="CH53" i="46"/>
  <c r="CG53" i="46"/>
  <c r="CF53" i="46"/>
  <c r="CE53" i="46"/>
  <c r="CD53" i="46"/>
  <c r="CC53" i="46"/>
  <c r="CB53" i="46"/>
  <c r="CA53" i="46"/>
  <c r="BG53" i="46"/>
  <c r="BA53" i="46"/>
  <c r="AZ53" i="46"/>
  <c r="AY53" i="46"/>
  <c r="AT53" i="46"/>
  <c r="DJ52" i="46"/>
  <c r="DG52" i="46"/>
  <c r="DF52" i="46"/>
  <c r="DE52" i="46"/>
  <c r="DD52" i="46"/>
  <c r="DC52" i="46"/>
  <c r="DB52" i="46"/>
  <c r="CR52" i="46"/>
  <c r="CQ52" i="46"/>
  <c r="CP52" i="46"/>
  <c r="CO52" i="46"/>
  <c r="CN52" i="46"/>
  <c r="CM52" i="46"/>
  <c r="CL52" i="46"/>
  <c r="CK52" i="46"/>
  <c r="CJ52" i="46"/>
  <c r="CI52" i="46"/>
  <c r="CH52" i="46"/>
  <c r="CG52" i="46"/>
  <c r="CF52" i="46"/>
  <c r="CE52" i="46"/>
  <c r="CD52" i="46"/>
  <c r="CC52" i="46"/>
  <c r="CB52" i="46"/>
  <c r="CA52" i="46"/>
  <c r="BG52" i="46"/>
  <c r="BA52" i="46"/>
  <c r="AZ52" i="46"/>
  <c r="AY52" i="46"/>
  <c r="AT52" i="46"/>
  <c r="DG51" i="46"/>
  <c r="DF51" i="46"/>
  <c r="DE51" i="46"/>
  <c r="DD51" i="46"/>
  <c r="DC51" i="46"/>
  <c r="DB51" i="46"/>
  <c r="DH51" i="46" s="1"/>
  <c r="CR51" i="46"/>
  <c r="CQ51" i="46"/>
  <c r="CP51" i="46"/>
  <c r="CO51" i="46"/>
  <c r="CN51" i="46"/>
  <c r="CM51" i="46"/>
  <c r="AW51" i="46" s="1"/>
  <c r="CL51" i="46"/>
  <c r="CK51" i="46"/>
  <c r="CJ51" i="46"/>
  <c r="CI51" i="46"/>
  <c r="AV51" i="46" s="1"/>
  <c r="CH51" i="46"/>
  <c r="CG51" i="46"/>
  <c r="CF51" i="46"/>
  <c r="CE51" i="46"/>
  <c r="CD51" i="46"/>
  <c r="CC51" i="46"/>
  <c r="CB51" i="46"/>
  <c r="CA51" i="46"/>
  <c r="BG51" i="46"/>
  <c r="BA51" i="46"/>
  <c r="AZ51" i="46"/>
  <c r="AY51" i="46"/>
  <c r="AT51" i="46"/>
  <c r="AS51" i="46"/>
  <c r="DJ50" i="46"/>
  <c r="DG50" i="46"/>
  <c r="DF50" i="46"/>
  <c r="DE50" i="46"/>
  <c r="DD50" i="46"/>
  <c r="DC50" i="46"/>
  <c r="DB50" i="46"/>
  <c r="CR50" i="46"/>
  <c r="CQ50" i="46"/>
  <c r="CP50" i="46"/>
  <c r="CO50" i="46"/>
  <c r="CN50" i="46"/>
  <c r="CM50" i="46"/>
  <c r="CL50" i="46"/>
  <c r="CK50" i="46"/>
  <c r="CJ50" i="46"/>
  <c r="CI50" i="46"/>
  <c r="AX50" i="46" s="1"/>
  <c r="CH50" i="46"/>
  <c r="CG50" i="46"/>
  <c r="CF50" i="46"/>
  <c r="CE50" i="46"/>
  <c r="CD50" i="46"/>
  <c r="CC50" i="46"/>
  <c r="CB50" i="46"/>
  <c r="CA50" i="46"/>
  <c r="BG50" i="46"/>
  <c r="BA50" i="46"/>
  <c r="AZ50" i="46"/>
  <c r="AY50" i="46"/>
  <c r="AT50" i="46"/>
  <c r="DG49" i="46"/>
  <c r="DF49" i="46"/>
  <c r="DE49" i="46"/>
  <c r="DD49" i="46"/>
  <c r="DC49" i="46"/>
  <c r="DB49" i="46"/>
  <c r="CR49" i="46"/>
  <c r="CQ49" i="46"/>
  <c r="CP49" i="46"/>
  <c r="CO49" i="46"/>
  <c r="CN49" i="46"/>
  <c r="CM49" i="46"/>
  <c r="CL49" i="46"/>
  <c r="CK49" i="46"/>
  <c r="CJ49" i="46"/>
  <c r="CI49" i="46"/>
  <c r="AX49" i="46" s="1"/>
  <c r="CH49" i="46"/>
  <c r="CG49" i="46"/>
  <c r="CF49" i="46"/>
  <c r="CE49" i="46"/>
  <c r="CD49" i="46"/>
  <c r="CC49" i="46"/>
  <c r="CB49" i="46"/>
  <c r="CA49" i="46"/>
  <c r="BG49" i="46"/>
  <c r="BA49" i="46"/>
  <c r="AZ49" i="46"/>
  <c r="AY49" i="46"/>
  <c r="AT49" i="46"/>
  <c r="DJ48" i="46"/>
  <c r="DG48" i="46"/>
  <c r="DF48" i="46"/>
  <c r="DE48" i="46"/>
  <c r="DD48" i="46"/>
  <c r="DC48" i="46"/>
  <c r="DB48" i="46"/>
  <c r="CR48" i="46"/>
  <c r="CQ48" i="46"/>
  <c r="CP48" i="46"/>
  <c r="CO48" i="46"/>
  <c r="CN48" i="46"/>
  <c r="CM48" i="46"/>
  <c r="CL48" i="46"/>
  <c r="CK48" i="46"/>
  <c r="CJ48" i="46"/>
  <c r="CI48" i="46"/>
  <c r="CH48" i="46"/>
  <c r="CG48" i="46"/>
  <c r="CF48" i="46"/>
  <c r="CE48" i="46"/>
  <c r="CD48" i="46"/>
  <c r="CC48" i="46"/>
  <c r="CB48" i="46"/>
  <c r="CA48" i="46"/>
  <c r="BG48" i="46"/>
  <c r="BA48" i="46"/>
  <c r="AZ48" i="46"/>
  <c r="AY48" i="46"/>
  <c r="AT48" i="46"/>
  <c r="DJ47" i="46"/>
  <c r="DG47" i="46"/>
  <c r="DF47" i="46"/>
  <c r="DE47" i="46"/>
  <c r="DD47" i="46"/>
  <c r="DC47" i="46"/>
  <c r="DB47" i="46"/>
  <c r="CR47" i="46"/>
  <c r="CQ47" i="46"/>
  <c r="CP47" i="46"/>
  <c r="CO47" i="46"/>
  <c r="CN47" i="46"/>
  <c r="CM47" i="46"/>
  <c r="CL47" i="46"/>
  <c r="CK47" i="46"/>
  <c r="CJ47" i="46"/>
  <c r="CI47" i="46"/>
  <c r="CH47" i="46"/>
  <c r="CG47" i="46"/>
  <c r="CF47" i="46"/>
  <c r="CE47" i="46"/>
  <c r="CD47" i="46"/>
  <c r="CC47" i="46"/>
  <c r="CB47" i="46"/>
  <c r="CA47" i="46"/>
  <c r="BG47" i="46"/>
  <c r="BA47" i="46"/>
  <c r="AZ47" i="46"/>
  <c r="AY47" i="46"/>
  <c r="AT47" i="46"/>
  <c r="DJ46" i="46"/>
  <c r="DG46" i="46"/>
  <c r="DF46" i="46"/>
  <c r="DE46" i="46"/>
  <c r="DD46" i="46"/>
  <c r="DC46" i="46"/>
  <c r="DB46" i="46"/>
  <c r="CR46" i="46"/>
  <c r="CQ46" i="46"/>
  <c r="CP46" i="46"/>
  <c r="CO46" i="46"/>
  <c r="CN46" i="46"/>
  <c r="CM46" i="46"/>
  <c r="CL46" i="46"/>
  <c r="CK46" i="46"/>
  <c r="CJ46" i="46"/>
  <c r="CI46" i="46"/>
  <c r="AV46" i="46" s="1"/>
  <c r="CH46" i="46"/>
  <c r="CG46" i="46"/>
  <c r="CF46" i="46"/>
  <c r="CE46" i="46"/>
  <c r="CD46" i="46"/>
  <c r="CC46" i="46"/>
  <c r="CB46" i="46"/>
  <c r="CA46" i="46"/>
  <c r="BG46" i="46"/>
  <c r="BA46" i="46"/>
  <c r="AZ46" i="46"/>
  <c r="AY46" i="46"/>
  <c r="AT46" i="46"/>
  <c r="DJ45" i="46"/>
  <c r="DG45" i="46"/>
  <c r="DF45" i="46"/>
  <c r="DE45" i="46"/>
  <c r="DD45" i="46"/>
  <c r="DC45" i="46"/>
  <c r="DB45" i="46"/>
  <c r="CR45" i="46"/>
  <c r="CQ45" i="46"/>
  <c r="CP45" i="46"/>
  <c r="CO45" i="46"/>
  <c r="CN45" i="46"/>
  <c r="CM45" i="46"/>
  <c r="CL45" i="46"/>
  <c r="CK45" i="46"/>
  <c r="CJ45" i="46"/>
  <c r="CI45" i="46"/>
  <c r="AS45" i="46" s="1"/>
  <c r="CH45" i="46"/>
  <c r="CG45" i="46"/>
  <c r="CF45" i="46"/>
  <c r="CE45" i="46"/>
  <c r="CD45" i="46"/>
  <c r="CC45" i="46"/>
  <c r="CB45" i="46"/>
  <c r="CA45" i="46"/>
  <c r="BG45" i="46"/>
  <c r="BA45" i="46"/>
  <c r="AZ45" i="46"/>
  <c r="AY45" i="46"/>
  <c r="AT45" i="46"/>
  <c r="DJ44" i="46"/>
  <c r="DG44" i="46"/>
  <c r="DF44" i="46"/>
  <c r="DE44" i="46"/>
  <c r="DD44" i="46"/>
  <c r="DC44" i="46"/>
  <c r="DB44" i="46"/>
  <c r="CR44" i="46"/>
  <c r="CQ44" i="46"/>
  <c r="CP44" i="46"/>
  <c r="CO44" i="46"/>
  <c r="CN44" i="46"/>
  <c r="CM44" i="46"/>
  <c r="CL44" i="46"/>
  <c r="CK44" i="46"/>
  <c r="CJ44" i="46"/>
  <c r="CI44" i="46"/>
  <c r="AX44" i="46" s="1"/>
  <c r="CH44" i="46"/>
  <c r="CG44" i="46"/>
  <c r="CF44" i="46"/>
  <c r="CE44" i="46"/>
  <c r="CD44" i="46"/>
  <c r="CC44" i="46"/>
  <c r="CB44" i="46"/>
  <c r="CA44" i="46"/>
  <c r="BG44" i="46"/>
  <c r="BA44" i="46"/>
  <c r="AZ44" i="46"/>
  <c r="AY44" i="46"/>
  <c r="AT44" i="46"/>
  <c r="DJ43" i="46"/>
  <c r="DG43" i="46"/>
  <c r="DF43" i="46"/>
  <c r="DE43" i="46"/>
  <c r="DD43" i="46"/>
  <c r="DC43" i="46"/>
  <c r="DB43" i="46"/>
  <c r="CR43" i="46"/>
  <c r="CQ43" i="46"/>
  <c r="CP43" i="46"/>
  <c r="CO43" i="46"/>
  <c r="CN43" i="46"/>
  <c r="CM43" i="46"/>
  <c r="CL43" i="46"/>
  <c r="CK43" i="46"/>
  <c r="CJ43" i="46"/>
  <c r="CI43" i="46"/>
  <c r="CH43" i="46"/>
  <c r="CG43" i="46"/>
  <c r="CF43" i="46"/>
  <c r="CE43" i="46"/>
  <c r="CD43" i="46"/>
  <c r="CC43" i="46"/>
  <c r="CB43" i="46"/>
  <c r="CA43" i="46"/>
  <c r="BG43" i="46"/>
  <c r="BA43" i="46"/>
  <c r="AZ43" i="46"/>
  <c r="AY43" i="46"/>
  <c r="AT43" i="46"/>
  <c r="DJ42" i="46"/>
  <c r="DG42" i="46"/>
  <c r="DF42" i="46"/>
  <c r="DE42" i="46"/>
  <c r="DD42" i="46"/>
  <c r="DC42" i="46"/>
  <c r="DB42" i="46"/>
  <c r="CR42" i="46"/>
  <c r="CQ42" i="46"/>
  <c r="CP42" i="46"/>
  <c r="CO42" i="46"/>
  <c r="CN42" i="46"/>
  <c r="CM42" i="46"/>
  <c r="CL42" i="46"/>
  <c r="CK42" i="46"/>
  <c r="CJ42" i="46"/>
  <c r="CI42" i="46"/>
  <c r="CH42" i="46"/>
  <c r="CG42" i="46"/>
  <c r="CF42" i="46"/>
  <c r="CE42" i="46"/>
  <c r="CD42" i="46"/>
  <c r="CC42" i="46"/>
  <c r="CB42" i="46"/>
  <c r="CA42" i="46"/>
  <c r="BG42" i="46"/>
  <c r="BA42" i="46"/>
  <c r="AZ42" i="46"/>
  <c r="AY42" i="46"/>
  <c r="AV42" i="46"/>
  <c r="AT42" i="46"/>
  <c r="DJ41" i="46"/>
  <c r="DG41" i="46"/>
  <c r="DF41" i="46"/>
  <c r="DE41" i="46"/>
  <c r="DD41" i="46"/>
  <c r="DC41" i="46"/>
  <c r="DB41" i="46"/>
  <c r="CR41" i="46"/>
  <c r="CQ41" i="46"/>
  <c r="CP41" i="46"/>
  <c r="CO41" i="46"/>
  <c r="CN41" i="46"/>
  <c r="CM41" i="46"/>
  <c r="CL41" i="46"/>
  <c r="CK41" i="46"/>
  <c r="CJ41" i="46"/>
  <c r="CI41" i="46"/>
  <c r="CH41" i="46"/>
  <c r="CG41" i="46"/>
  <c r="CF41" i="46"/>
  <c r="CE41" i="46"/>
  <c r="CD41" i="46"/>
  <c r="CC41" i="46"/>
  <c r="CB41" i="46"/>
  <c r="CA41" i="46"/>
  <c r="BG41" i="46"/>
  <c r="BA41" i="46"/>
  <c r="AZ41" i="46"/>
  <c r="AY41" i="46"/>
  <c r="AT41" i="46"/>
  <c r="DJ40" i="46"/>
  <c r="DG40" i="46"/>
  <c r="DF40" i="46"/>
  <c r="DE40" i="46"/>
  <c r="DD40" i="46"/>
  <c r="DC40" i="46"/>
  <c r="DB40" i="46"/>
  <c r="CR40" i="46"/>
  <c r="CQ40" i="46"/>
  <c r="CP40" i="46"/>
  <c r="CO40" i="46"/>
  <c r="CN40" i="46"/>
  <c r="CM40" i="46"/>
  <c r="CL40" i="46"/>
  <c r="CK40" i="46"/>
  <c r="CJ40" i="46"/>
  <c r="CI40" i="46"/>
  <c r="CH40" i="46"/>
  <c r="CG40" i="46"/>
  <c r="CF40" i="46"/>
  <c r="CE40" i="46"/>
  <c r="CD40" i="46"/>
  <c r="CC40" i="46"/>
  <c r="CB40" i="46"/>
  <c r="CA40" i="46"/>
  <c r="BG40" i="46"/>
  <c r="BA40" i="46"/>
  <c r="AZ40" i="46"/>
  <c r="AY40" i="46"/>
  <c r="AT40" i="46"/>
  <c r="DJ39" i="46"/>
  <c r="DG39" i="46"/>
  <c r="DF39" i="46"/>
  <c r="DE39" i="46"/>
  <c r="DD39" i="46"/>
  <c r="DC39" i="46"/>
  <c r="DB39" i="46"/>
  <c r="CR39" i="46"/>
  <c r="CQ39" i="46"/>
  <c r="CP39" i="46"/>
  <c r="CO39" i="46"/>
  <c r="CN39" i="46"/>
  <c r="CM39" i="46"/>
  <c r="CL39" i="46"/>
  <c r="CK39" i="46"/>
  <c r="CJ39" i="46"/>
  <c r="CI39" i="46"/>
  <c r="CH39" i="46"/>
  <c r="CG39" i="46"/>
  <c r="CF39" i="46"/>
  <c r="CE39" i="46"/>
  <c r="CD39" i="46"/>
  <c r="CC39" i="46"/>
  <c r="CB39" i="46"/>
  <c r="CA39" i="46"/>
  <c r="BG39" i="46"/>
  <c r="BA39" i="46"/>
  <c r="AZ39" i="46"/>
  <c r="AY39" i="46"/>
  <c r="AT39" i="46"/>
  <c r="DJ38" i="46"/>
  <c r="DG38" i="46"/>
  <c r="DF38" i="46"/>
  <c r="DE38" i="46"/>
  <c r="DD38" i="46"/>
  <c r="DC38" i="46"/>
  <c r="DB38" i="46"/>
  <c r="CR38" i="46"/>
  <c r="CQ38" i="46"/>
  <c r="CP38" i="46"/>
  <c r="CO38" i="46"/>
  <c r="CN38" i="46"/>
  <c r="CM38" i="46"/>
  <c r="CL38" i="46"/>
  <c r="CK38" i="46"/>
  <c r="CJ38" i="46"/>
  <c r="CI38" i="46"/>
  <c r="CH38" i="46"/>
  <c r="CG38" i="46"/>
  <c r="CF38" i="46"/>
  <c r="CE38" i="46"/>
  <c r="CD38" i="46"/>
  <c r="CC38" i="46"/>
  <c r="CB38" i="46"/>
  <c r="CA38" i="46"/>
  <c r="BG38" i="46"/>
  <c r="BA38" i="46"/>
  <c r="AZ38" i="46"/>
  <c r="AY38" i="46"/>
  <c r="AT38" i="46"/>
  <c r="DJ37" i="46"/>
  <c r="DG37" i="46"/>
  <c r="DF37" i="46"/>
  <c r="DE37" i="46"/>
  <c r="DD37" i="46"/>
  <c r="DC37" i="46"/>
  <c r="DB37" i="46"/>
  <c r="CR37" i="46"/>
  <c r="CQ37" i="46"/>
  <c r="CP37" i="46"/>
  <c r="CO37" i="46"/>
  <c r="CN37" i="46"/>
  <c r="CM37" i="46"/>
  <c r="CL37" i="46"/>
  <c r="CK37" i="46"/>
  <c r="CJ37" i="46"/>
  <c r="CI37" i="46"/>
  <c r="AW37" i="46" s="1"/>
  <c r="CH37" i="46"/>
  <c r="CG37" i="46"/>
  <c r="CF37" i="46"/>
  <c r="CE37" i="46"/>
  <c r="CD37" i="46"/>
  <c r="CC37" i="46"/>
  <c r="CB37" i="46"/>
  <c r="CA37" i="46"/>
  <c r="BG37" i="46"/>
  <c r="BA37" i="46"/>
  <c r="AZ37" i="46"/>
  <c r="AY37" i="46"/>
  <c r="AT37" i="46"/>
  <c r="DJ36" i="46"/>
  <c r="DG36" i="46"/>
  <c r="DF36" i="46"/>
  <c r="DE36" i="46"/>
  <c r="DD36" i="46"/>
  <c r="DC36" i="46"/>
  <c r="DB36" i="46"/>
  <c r="CR36" i="46"/>
  <c r="CQ36" i="46"/>
  <c r="CP36" i="46"/>
  <c r="CO36" i="46"/>
  <c r="CN36" i="46"/>
  <c r="CM36" i="46"/>
  <c r="CL36" i="46"/>
  <c r="CK36" i="46"/>
  <c r="CJ36" i="46"/>
  <c r="CI36" i="46"/>
  <c r="AX36" i="46" s="1"/>
  <c r="CH36" i="46"/>
  <c r="CG36" i="46"/>
  <c r="CF36" i="46"/>
  <c r="CE36" i="46"/>
  <c r="CD36" i="46"/>
  <c r="CC36" i="46"/>
  <c r="CB36" i="46"/>
  <c r="CA36" i="46"/>
  <c r="BG36" i="46"/>
  <c r="BA36" i="46"/>
  <c r="AZ36" i="46"/>
  <c r="AY36" i="46"/>
  <c r="AT36" i="46"/>
  <c r="DJ35" i="46"/>
  <c r="DG35" i="46"/>
  <c r="DF35" i="46"/>
  <c r="DE35" i="46"/>
  <c r="DD35" i="46"/>
  <c r="DC35" i="46"/>
  <c r="DB35" i="46"/>
  <c r="CR35" i="46"/>
  <c r="CQ35" i="46"/>
  <c r="CP35" i="46"/>
  <c r="CO35" i="46"/>
  <c r="CN35" i="46"/>
  <c r="CM35" i="46"/>
  <c r="CL35" i="46"/>
  <c r="CK35" i="46"/>
  <c r="CJ35" i="46"/>
  <c r="CI35" i="46"/>
  <c r="AX35" i="46" s="1"/>
  <c r="CH35" i="46"/>
  <c r="CG35" i="46"/>
  <c r="CF35" i="46"/>
  <c r="CE35" i="46"/>
  <c r="CD35" i="46"/>
  <c r="CC35" i="46"/>
  <c r="CB35" i="46"/>
  <c r="CA35" i="46"/>
  <c r="BG35" i="46"/>
  <c r="BA35" i="46"/>
  <c r="AZ35" i="46"/>
  <c r="AY35" i="46"/>
  <c r="AT35" i="46"/>
  <c r="DJ34" i="46"/>
  <c r="DG34" i="46"/>
  <c r="DF34" i="46"/>
  <c r="DE34" i="46"/>
  <c r="DD34" i="46"/>
  <c r="DC34" i="46"/>
  <c r="DB34" i="46"/>
  <c r="CR34" i="46"/>
  <c r="CQ34" i="46"/>
  <c r="CP34" i="46"/>
  <c r="CO34" i="46"/>
  <c r="CN34" i="46"/>
  <c r="CM34" i="46"/>
  <c r="CL34" i="46"/>
  <c r="CK34" i="46"/>
  <c r="CJ34" i="46"/>
  <c r="CI34" i="46"/>
  <c r="CH34" i="46"/>
  <c r="CG34" i="46"/>
  <c r="CF34" i="46"/>
  <c r="CE34" i="46"/>
  <c r="CD34" i="46"/>
  <c r="CC34" i="46"/>
  <c r="CB34" i="46"/>
  <c r="CA34" i="46"/>
  <c r="BG34" i="46"/>
  <c r="BA34" i="46"/>
  <c r="AZ34" i="46"/>
  <c r="AY34" i="46"/>
  <c r="AT34" i="46"/>
  <c r="DJ33" i="46"/>
  <c r="DG33" i="46"/>
  <c r="DF33" i="46"/>
  <c r="DE33" i="46"/>
  <c r="DD33" i="46"/>
  <c r="DC33" i="46"/>
  <c r="DB33" i="46"/>
  <c r="CR33" i="46"/>
  <c r="CQ33" i="46"/>
  <c r="CP33" i="46"/>
  <c r="CO33" i="46"/>
  <c r="CN33" i="46"/>
  <c r="CM33" i="46"/>
  <c r="CL33" i="46"/>
  <c r="CK33" i="46"/>
  <c r="CJ33" i="46"/>
  <c r="CI33" i="46"/>
  <c r="CH33" i="46"/>
  <c r="CG33" i="46"/>
  <c r="CF33" i="46"/>
  <c r="CE33" i="46"/>
  <c r="CD33" i="46"/>
  <c r="CC33" i="46"/>
  <c r="CB33" i="46"/>
  <c r="CA33" i="46"/>
  <c r="BG33" i="46"/>
  <c r="BA33" i="46"/>
  <c r="AZ33" i="46"/>
  <c r="AY33" i="46"/>
  <c r="AV33" i="46"/>
  <c r="AT33" i="46"/>
  <c r="AS33" i="46"/>
  <c r="DJ32" i="46"/>
  <c r="DG32" i="46"/>
  <c r="DF32" i="46"/>
  <c r="DE32" i="46"/>
  <c r="DD32" i="46"/>
  <c r="DC32" i="46"/>
  <c r="DB32" i="46"/>
  <c r="DH32" i="46" s="1"/>
  <c r="CR32" i="46"/>
  <c r="CQ32" i="46"/>
  <c r="CP32" i="46"/>
  <c r="CO32" i="46"/>
  <c r="CN32" i="46"/>
  <c r="CM32" i="46"/>
  <c r="CL32" i="46"/>
  <c r="CK32" i="46"/>
  <c r="CJ32" i="46"/>
  <c r="CI32" i="46"/>
  <c r="CH32" i="46"/>
  <c r="CG32" i="46"/>
  <c r="CF32" i="46"/>
  <c r="CE32" i="46"/>
  <c r="CD32" i="46"/>
  <c r="CC32" i="46"/>
  <c r="CB32" i="46"/>
  <c r="CA32" i="46"/>
  <c r="BG32" i="46"/>
  <c r="BA32" i="46"/>
  <c r="AZ32" i="46"/>
  <c r="AY32" i="46"/>
  <c r="AV32" i="46"/>
  <c r="AT32" i="46"/>
  <c r="AS32" i="46"/>
  <c r="DJ31" i="46"/>
  <c r="DG31" i="46"/>
  <c r="DF31" i="46"/>
  <c r="DE31" i="46"/>
  <c r="DD31" i="46"/>
  <c r="DC31" i="46"/>
  <c r="DB31" i="46"/>
  <c r="CR31" i="46"/>
  <c r="CQ31" i="46"/>
  <c r="CP31" i="46"/>
  <c r="CO31" i="46"/>
  <c r="CN31" i="46"/>
  <c r="CM31" i="46"/>
  <c r="CL31" i="46"/>
  <c r="CK31" i="46"/>
  <c r="CJ31" i="46"/>
  <c r="CI31" i="46"/>
  <c r="AS31" i="46" s="1"/>
  <c r="CH31" i="46"/>
  <c r="CG31" i="46"/>
  <c r="CF31" i="46"/>
  <c r="CE31" i="46"/>
  <c r="CD31" i="46"/>
  <c r="CC31" i="46"/>
  <c r="CB31" i="46"/>
  <c r="CA31" i="46"/>
  <c r="BG31" i="46"/>
  <c r="BA31" i="46"/>
  <c r="AZ31" i="46"/>
  <c r="AY31" i="46"/>
  <c r="AX31" i="46"/>
  <c r="AW31" i="46"/>
  <c r="AV31" i="46"/>
  <c r="AT31" i="46"/>
  <c r="DJ30" i="46"/>
  <c r="DG30" i="46"/>
  <c r="DF30" i="46"/>
  <c r="DE30" i="46"/>
  <c r="DD30" i="46"/>
  <c r="DC30" i="46"/>
  <c r="DB30" i="46"/>
  <c r="CR30" i="46"/>
  <c r="CQ30" i="46"/>
  <c r="CP30" i="46"/>
  <c r="CO30" i="46"/>
  <c r="CN30" i="46"/>
  <c r="CM30" i="46"/>
  <c r="CL30" i="46"/>
  <c r="CK30" i="46"/>
  <c r="CJ30" i="46"/>
  <c r="CI30" i="46"/>
  <c r="AV30" i="46" s="1"/>
  <c r="CH30" i="46"/>
  <c r="CG30" i="46"/>
  <c r="CF30" i="46"/>
  <c r="CE30" i="46"/>
  <c r="CD30" i="46"/>
  <c r="CC30" i="46"/>
  <c r="CB30" i="46"/>
  <c r="CA30" i="46"/>
  <c r="BG30" i="46"/>
  <c r="BA30" i="46"/>
  <c r="AZ30" i="46"/>
  <c r="AY30" i="46"/>
  <c r="AT30" i="46"/>
  <c r="DJ29" i="46"/>
  <c r="DG29" i="46"/>
  <c r="DF29" i="46"/>
  <c r="DE29" i="46"/>
  <c r="DD29" i="46"/>
  <c r="DC29" i="46"/>
  <c r="DB29" i="46"/>
  <c r="CR29" i="46"/>
  <c r="CQ29" i="46"/>
  <c r="CP29" i="46"/>
  <c r="CO29" i="46"/>
  <c r="CN29" i="46"/>
  <c r="CM29" i="46"/>
  <c r="CL29" i="46"/>
  <c r="CK29" i="46"/>
  <c r="CJ29" i="46"/>
  <c r="CI29" i="46"/>
  <c r="CH29" i="46"/>
  <c r="CG29" i="46"/>
  <c r="CF29" i="46"/>
  <c r="CE29" i="46"/>
  <c r="CD29" i="46"/>
  <c r="CC29" i="46"/>
  <c r="CB29" i="46"/>
  <c r="CA29" i="46"/>
  <c r="BG29" i="46"/>
  <c r="BA29" i="46"/>
  <c r="AZ29" i="46"/>
  <c r="AY29" i="46"/>
  <c r="AT29" i="46"/>
  <c r="DJ28" i="46"/>
  <c r="DG28" i="46"/>
  <c r="DF28" i="46"/>
  <c r="DE28" i="46"/>
  <c r="DD28" i="46"/>
  <c r="DC28" i="46"/>
  <c r="DB28" i="46"/>
  <c r="CR28" i="46"/>
  <c r="CQ28" i="46"/>
  <c r="CP28" i="46"/>
  <c r="CO28" i="46"/>
  <c r="CN28" i="46"/>
  <c r="CM28" i="46"/>
  <c r="CL28" i="46"/>
  <c r="CK28" i="46"/>
  <c r="CJ28" i="46"/>
  <c r="CI28" i="46"/>
  <c r="AS28" i="46" s="1"/>
  <c r="CH28" i="46"/>
  <c r="CG28" i="46"/>
  <c r="CF28" i="46"/>
  <c r="CE28" i="46"/>
  <c r="CD28" i="46"/>
  <c r="CC28" i="46"/>
  <c r="CB28" i="46"/>
  <c r="CA28" i="46"/>
  <c r="BG28" i="46"/>
  <c r="BA28" i="46"/>
  <c r="AZ28" i="46"/>
  <c r="AY28" i="46"/>
  <c r="AT28" i="46"/>
  <c r="DJ27" i="46"/>
  <c r="DG27" i="46"/>
  <c r="DF27" i="46"/>
  <c r="DE27" i="46"/>
  <c r="DD27" i="46"/>
  <c r="DC27" i="46"/>
  <c r="DB27" i="46"/>
  <c r="CR27" i="46"/>
  <c r="CQ27" i="46"/>
  <c r="CP27" i="46"/>
  <c r="CO27" i="46"/>
  <c r="CN27" i="46"/>
  <c r="CM27" i="46"/>
  <c r="CL27" i="46"/>
  <c r="CK27" i="46"/>
  <c r="CJ27" i="46"/>
  <c r="CI27" i="46"/>
  <c r="CH27" i="46"/>
  <c r="CG27" i="46"/>
  <c r="CF27" i="46"/>
  <c r="CE27" i="46"/>
  <c r="CD27" i="46"/>
  <c r="CC27" i="46"/>
  <c r="CB27" i="46"/>
  <c r="CA27" i="46"/>
  <c r="BG27" i="46"/>
  <c r="BA27" i="46"/>
  <c r="AZ27" i="46"/>
  <c r="AY27" i="46"/>
  <c r="AT27" i="46"/>
  <c r="DJ26" i="46"/>
  <c r="DG26" i="46"/>
  <c r="DF26" i="46"/>
  <c r="DE26" i="46"/>
  <c r="DD26" i="46"/>
  <c r="DC26" i="46"/>
  <c r="DB26" i="46"/>
  <c r="CR26" i="46"/>
  <c r="CQ26" i="46"/>
  <c r="CP26" i="46"/>
  <c r="CO26" i="46"/>
  <c r="CN26" i="46"/>
  <c r="CM26" i="46"/>
  <c r="CL26" i="46"/>
  <c r="CK26" i="46"/>
  <c r="CJ26" i="46"/>
  <c r="CI26" i="46"/>
  <c r="AV26" i="46" s="1"/>
  <c r="CH26" i="46"/>
  <c r="CG26" i="46"/>
  <c r="CF26" i="46"/>
  <c r="CE26" i="46"/>
  <c r="CD26" i="46"/>
  <c r="CC26" i="46"/>
  <c r="CB26" i="46"/>
  <c r="CA26" i="46"/>
  <c r="BG26" i="46"/>
  <c r="BA26" i="46"/>
  <c r="AZ26" i="46"/>
  <c r="AY26" i="46"/>
  <c r="AT26" i="46"/>
  <c r="DJ25" i="46"/>
  <c r="DG25" i="46"/>
  <c r="DF25" i="46"/>
  <c r="DE25" i="46"/>
  <c r="DD25" i="46"/>
  <c r="DC25" i="46"/>
  <c r="DB25" i="46"/>
  <c r="CR25" i="46"/>
  <c r="CQ25" i="46"/>
  <c r="CP25" i="46"/>
  <c r="CO25" i="46"/>
  <c r="CN25" i="46"/>
  <c r="CM25" i="46"/>
  <c r="CL25" i="46"/>
  <c r="CK25" i="46"/>
  <c r="CJ25" i="46"/>
  <c r="CI25" i="46"/>
  <c r="AV25" i="46" s="1"/>
  <c r="CH25" i="46"/>
  <c r="CG25" i="46"/>
  <c r="CF25" i="46"/>
  <c r="CE25" i="46"/>
  <c r="CD25" i="46"/>
  <c r="CC25" i="46"/>
  <c r="CB25" i="46"/>
  <c r="CA25" i="46"/>
  <c r="BG25" i="46"/>
  <c r="BA25" i="46"/>
  <c r="AZ25" i="46"/>
  <c r="AY25" i="46"/>
  <c r="AT25" i="46"/>
  <c r="DJ24" i="46"/>
  <c r="DG24" i="46"/>
  <c r="DF24" i="46"/>
  <c r="DE24" i="46"/>
  <c r="DD24" i="46"/>
  <c r="DC24" i="46"/>
  <c r="DB24" i="46"/>
  <c r="CR24" i="46"/>
  <c r="CQ24" i="46"/>
  <c r="CP24" i="46"/>
  <c r="CO24" i="46"/>
  <c r="CN24" i="46"/>
  <c r="CM24" i="46"/>
  <c r="CL24" i="46"/>
  <c r="CK24" i="46"/>
  <c r="CJ24" i="46"/>
  <c r="CI24" i="46"/>
  <c r="CH24" i="46"/>
  <c r="CG24" i="46"/>
  <c r="CF24" i="46"/>
  <c r="CE24" i="46"/>
  <c r="CD24" i="46"/>
  <c r="CC24" i="46"/>
  <c r="CB24" i="46"/>
  <c r="CA24" i="46"/>
  <c r="BG24" i="46"/>
  <c r="BA24" i="46"/>
  <c r="AZ24" i="46"/>
  <c r="AY24" i="46"/>
  <c r="AT24" i="46"/>
  <c r="DJ23" i="46"/>
  <c r="DG23" i="46"/>
  <c r="DF23" i="46"/>
  <c r="DE23" i="46"/>
  <c r="DD23" i="46"/>
  <c r="DC23" i="46"/>
  <c r="DB23" i="46"/>
  <c r="CR23" i="46"/>
  <c r="CQ23" i="46"/>
  <c r="CP23" i="46"/>
  <c r="CO23" i="46"/>
  <c r="CN23" i="46"/>
  <c r="CM23" i="46"/>
  <c r="CL23" i="46"/>
  <c r="AV23" i="46" s="1"/>
  <c r="CK23" i="46"/>
  <c r="CJ23" i="46"/>
  <c r="CI23" i="46"/>
  <c r="CH23" i="46"/>
  <c r="CG23" i="46"/>
  <c r="CF23" i="46"/>
  <c r="CE23" i="46"/>
  <c r="CD23" i="46"/>
  <c r="CC23" i="46"/>
  <c r="CB23" i="46"/>
  <c r="CA23" i="46"/>
  <c r="BG23" i="46"/>
  <c r="BA23" i="46"/>
  <c r="AZ23" i="46"/>
  <c r="AY23" i="46"/>
  <c r="AT23" i="46"/>
  <c r="DJ22" i="46"/>
  <c r="DG22" i="46"/>
  <c r="DF22" i="46"/>
  <c r="DE22" i="46"/>
  <c r="DD22" i="46"/>
  <c r="DC22" i="46"/>
  <c r="DB22" i="46"/>
  <c r="CR22" i="46"/>
  <c r="CQ22" i="46"/>
  <c r="CP22" i="46"/>
  <c r="CO22" i="46"/>
  <c r="CN22" i="46"/>
  <c r="CM22" i="46"/>
  <c r="CL22" i="46"/>
  <c r="CK22" i="46"/>
  <c r="CJ22" i="46"/>
  <c r="CI22" i="46"/>
  <c r="CH22" i="46"/>
  <c r="CG22" i="46"/>
  <c r="CF22" i="46"/>
  <c r="CE22" i="46"/>
  <c r="CD22" i="46"/>
  <c r="CC22" i="46"/>
  <c r="CB22" i="46"/>
  <c r="CA22" i="46"/>
  <c r="BG22" i="46"/>
  <c r="BA22" i="46"/>
  <c r="AZ22" i="46"/>
  <c r="AY22" i="46"/>
  <c r="AT22" i="46"/>
  <c r="DJ21" i="46"/>
  <c r="DG21" i="46"/>
  <c r="DF21" i="46"/>
  <c r="DE21" i="46"/>
  <c r="DD21" i="46"/>
  <c r="DC21" i="46"/>
  <c r="DB21" i="46"/>
  <c r="CR21" i="46"/>
  <c r="CQ21" i="46"/>
  <c r="CP21" i="46"/>
  <c r="CO21" i="46"/>
  <c r="CN21" i="46"/>
  <c r="CM21" i="46"/>
  <c r="CL21" i="46"/>
  <c r="CK21" i="46"/>
  <c r="CJ21" i="46"/>
  <c r="CI21" i="46"/>
  <c r="AW21" i="46" s="1"/>
  <c r="CH21" i="46"/>
  <c r="CG21" i="46"/>
  <c r="CF21" i="46"/>
  <c r="CE21" i="46"/>
  <c r="CD21" i="46"/>
  <c r="CC21" i="46"/>
  <c r="CB21" i="46"/>
  <c r="CA21" i="46"/>
  <c r="BG21" i="46"/>
  <c r="BA21" i="46"/>
  <c r="AZ21" i="46"/>
  <c r="AY21" i="46"/>
  <c r="AX21" i="46"/>
  <c r="AT21" i="46"/>
  <c r="DJ20" i="46"/>
  <c r="DG20" i="46"/>
  <c r="DF20" i="46"/>
  <c r="DE20" i="46"/>
  <c r="DD20" i="46"/>
  <c r="DC20" i="46"/>
  <c r="DB20" i="46"/>
  <c r="CR20" i="46"/>
  <c r="CQ20" i="46"/>
  <c r="CP20" i="46"/>
  <c r="CO20" i="46"/>
  <c r="CN20" i="46"/>
  <c r="CM20" i="46"/>
  <c r="CL20" i="46"/>
  <c r="CK20" i="46"/>
  <c r="CJ20" i="46"/>
  <c r="CI20" i="46"/>
  <c r="CH20" i="46"/>
  <c r="CG20" i="46"/>
  <c r="CF20" i="46"/>
  <c r="CE20" i="46"/>
  <c r="CD20" i="46"/>
  <c r="CC20" i="46"/>
  <c r="CB20" i="46"/>
  <c r="CA20" i="46"/>
  <c r="BG20" i="46"/>
  <c r="BA20" i="46"/>
  <c r="AZ20" i="46"/>
  <c r="AY20" i="46"/>
  <c r="AT20" i="46"/>
  <c r="DJ19" i="46"/>
  <c r="DG19" i="46"/>
  <c r="DF19" i="46"/>
  <c r="DE19" i="46"/>
  <c r="DD19" i="46"/>
  <c r="DC19" i="46"/>
  <c r="DB19" i="46"/>
  <c r="CR19" i="46"/>
  <c r="CQ19" i="46"/>
  <c r="CP19" i="46"/>
  <c r="CO19" i="46"/>
  <c r="CN19" i="46"/>
  <c r="CM19" i="46"/>
  <c r="CL19" i="46"/>
  <c r="CK19" i="46"/>
  <c r="CJ19" i="46"/>
  <c r="CI19" i="46"/>
  <c r="AS19" i="46" s="1"/>
  <c r="CH19" i="46"/>
  <c r="CG19" i="46"/>
  <c r="CF19" i="46"/>
  <c r="CE19" i="46"/>
  <c r="CD19" i="46"/>
  <c r="CC19" i="46"/>
  <c r="CB19" i="46"/>
  <c r="CA19" i="46"/>
  <c r="BG19" i="46"/>
  <c r="BA19" i="46"/>
  <c r="AZ19" i="46"/>
  <c r="AY19" i="46"/>
  <c r="AT19" i="46"/>
  <c r="DJ18" i="46"/>
  <c r="DG18" i="46"/>
  <c r="DF18" i="46"/>
  <c r="DE18" i="46"/>
  <c r="DD18" i="46"/>
  <c r="DC18" i="46"/>
  <c r="DB18" i="46"/>
  <c r="CR18" i="46"/>
  <c r="CQ18" i="46"/>
  <c r="CP18" i="46"/>
  <c r="CO18" i="46"/>
  <c r="CN18" i="46"/>
  <c r="CM18" i="46"/>
  <c r="CL18" i="46"/>
  <c r="CK18" i="46"/>
  <c r="CJ18" i="46"/>
  <c r="CI18" i="46"/>
  <c r="CH18" i="46"/>
  <c r="CG18" i="46"/>
  <c r="CF18" i="46"/>
  <c r="CE18" i="46"/>
  <c r="CD18" i="46"/>
  <c r="CC18" i="46"/>
  <c r="CB18" i="46"/>
  <c r="CA18" i="46"/>
  <c r="BG18" i="46"/>
  <c r="BA18" i="46"/>
  <c r="AZ18" i="46"/>
  <c r="AY18" i="46"/>
  <c r="AT18" i="46"/>
  <c r="DJ17" i="46"/>
  <c r="DG17" i="46"/>
  <c r="DF17" i="46"/>
  <c r="DE17" i="46"/>
  <c r="DD17" i="46"/>
  <c r="DC17" i="46"/>
  <c r="DB17" i="46"/>
  <c r="CR17" i="46"/>
  <c r="CQ17" i="46"/>
  <c r="CP17" i="46"/>
  <c r="CO17" i="46"/>
  <c r="CN17" i="46"/>
  <c r="CM17" i="46"/>
  <c r="CL17" i="46"/>
  <c r="CK17" i="46"/>
  <c r="CJ17" i="46"/>
  <c r="CI17" i="46"/>
  <c r="CH17" i="46"/>
  <c r="CG17" i="46"/>
  <c r="CF17" i="46"/>
  <c r="CE17" i="46"/>
  <c r="CD17" i="46"/>
  <c r="CC17" i="46"/>
  <c r="CB17" i="46"/>
  <c r="CA17" i="46"/>
  <c r="BG17" i="46"/>
  <c r="BA17" i="46"/>
  <c r="AZ17" i="46"/>
  <c r="AY17" i="46"/>
  <c r="AT17" i="46"/>
  <c r="DJ16" i="46"/>
  <c r="DG16" i="46"/>
  <c r="DF16" i="46"/>
  <c r="DE16" i="46"/>
  <c r="DD16" i="46"/>
  <c r="DC16" i="46"/>
  <c r="DB16" i="46"/>
  <c r="DH16" i="46" s="1"/>
  <c r="CR16" i="46"/>
  <c r="CQ16" i="46"/>
  <c r="CP16" i="46"/>
  <c r="CO16" i="46"/>
  <c r="CN16" i="46"/>
  <c r="CM16" i="46"/>
  <c r="CL16" i="46"/>
  <c r="CK16" i="46"/>
  <c r="AS16" i="46" s="1"/>
  <c r="CJ16" i="46"/>
  <c r="CI16" i="46"/>
  <c r="CH16" i="46"/>
  <c r="CG16" i="46"/>
  <c r="CF16" i="46"/>
  <c r="CE16" i="46"/>
  <c r="CD16" i="46"/>
  <c r="CC16" i="46"/>
  <c r="CB16" i="46"/>
  <c r="CA16" i="46"/>
  <c r="BG16" i="46"/>
  <c r="BA16" i="46"/>
  <c r="AZ16" i="46"/>
  <c r="AY16" i="46"/>
  <c r="AT16" i="46"/>
  <c r="DJ15" i="46"/>
  <c r="DG15" i="46"/>
  <c r="DF15" i="46"/>
  <c r="DE15" i="46"/>
  <c r="DD15" i="46"/>
  <c r="DC15" i="46"/>
  <c r="DB15" i="46"/>
  <c r="CR15" i="46"/>
  <c r="CQ15" i="46"/>
  <c r="CP15" i="46"/>
  <c r="CO15" i="46"/>
  <c r="CN15" i="46"/>
  <c r="CM15" i="46"/>
  <c r="CL15" i="46"/>
  <c r="CK15" i="46"/>
  <c r="CJ15" i="46"/>
  <c r="CI15" i="46"/>
  <c r="CH15" i="46"/>
  <c r="CG15" i="46"/>
  <c r="CF15" i="46"/>
  <c r="CE15" i="46"/>
  <c r="CD15" i="46"/>
  <c r="CC15" i="46"/>
  <c r="CB15" i="46"/>
  <c r="CA15" i="46"/>
  <c r="BG15" i="46"/>
  <c r="BA15" i="46"/>
  <c r="AZ15" i="46"/>
  <c r="AY15" i="46"/>
  <c r="AT15" i="46"/>
  <c r="DJ14" i="46"/>
  <c r="DG14" i="46"/>
  <c r="DF14" i="46"/>
  <c r="DE14" i="46"/>
  <c r="DD14" i="46"/>
  <c r="DC14" i="46"/>
  <c r="DB14" i="46"/>
  <c r="CR14" i="46"/>
  <c r="CQ14" i="46"/>
  <c r="CP14" i="46"/>
  <c r="CO14" i="46"/>
  <c r="CN14" i="46"/>
  <c r="CM14" i="46"/>
  <c r="CL14" i="46"/>
  <c r="CK14" i="46"/>
  <c r="CJ14" i="46"/>
  <c r="CI14" i="46"/>
  <c r="AS14" i="46" s="1"/>
  <c r="CH14" i="46"/>
  <c r="CG14" i="46"/>
  <c r="CF14" i="46"/>
  <c r="CE14" i="46"/>
  <c r="CD14" i="46"/>
  <c r="CC14" i="46"/>
  <c r="CB14" i="46"/>
  <c r="CA14" i="46"/>
  <c r="BG14" i="46"/>
  <c r="BA14" i="46"/>
  <c r="AZ14" i="46"/>
  <c r="AY14" i="46"/>
  <c r="AT14" i="46"/>
  <c r="DJ13" i="46"/>
  <c r="DG13" i="46"/>
  <c r="DF13" i="46"/>
  <c r="DE13" i="46"/>
  <c r="DD13" i="46"/>
  <c r="DC13" i="46"/>
  <c r="DB13" i="46"/>
  <c r="CR13" i="46"/>
  <c r="CQ13" i="46"/>
  <c r="CP13" i="46"/>
  <c r="CO13" i="46"/>
  <c r="CN13" i="46"/>
  <c r="CM13" i="46"/>
  <c r="CL13" i="46"/>
  <c r="CK13" i="46"/>
  <c r="CJ13" i="46"/>
  <c r="CI13" i="46"/>
  <c r="CH13" i="46"/>
  <c r="CG13" i="46"/>
  <c r="CF13" i="46"/>
  <c r="CE13" i="46"/>
  <c r="CD13" i="46"/>
  <c r="CC13" i="46"/>
  <c r="CB13" i="46"/>
  <c r="CA13" i="46"/>
  <c r="BG13" i="46"/>
  <c r="BA13" i="46"/>
  <c r="AZ13" i="46"/>
  <c r="AY13" i="46"/>
  <c r="AT13" i="46"/>
  <c r="DJ12" i="46"/>
  <c r="DG12" i="46"/>
  <c r="DF12" i="46"/>
  <c r="DE12" i="46"/>
  <c r="DD12" i="46"/>
  <c r="DC12" i="46"/>
  <c r="DB12" i="46"/>
  <c r="CR12" i="46"/>
  <c r="CQ12" i="46"/>
  <c r="CP12" i="46"/>
  <c r="CO12" i="46"/>
  <c r="CN12" i="46"/>
  <c r="CM12" i="46"/>
  <c r="CL12" i="46"/>
  <c r="CK12" i="46"/>
  <c r="CJ12" i="46"/>
  <c r="CI12" i="46"/>
  <c r="AX12" i="46" s="1"/>
  <c r="CH12" i="46"/>
  <c r="CG12" i="46"/>
  <c r="CF12" i="46"/>
  <c r="CE12" i="46"/>
  <c r="CD12" i="46"/>
  <c r="CC12" i="46"/>
  <c r="CB12" i="46"/>
  <c r="CA12" i="46"/>
  <c r="BG12" i="46"/>
  <c r="BA12" i="46"/>
  <c r="AZ12" i="46"/>
  <c r="AY12" i="46"/>
  <c r="AT12" i="46"/>
  <c r="DJ11" i="46"/>
  <c r="DG11" i="46"/>
  <c r="DF11" i="46"/>
  <c r="DE11" i="46"/>
  <c r="DD11" i="46"/>
  <c r="DC11" i="46"/>
  <c r="DB11" i="46"/>
  <c r="CR11" i="46"/>
  <c r="CQ11" i="46"/>
  <c r="CP11" i="46"/>
  <c r="CO11" i="46"/>
  <c r="CN11" i="46"/>
  <c r="CM11" i="46"/>
  <c r="CL11" i="46"/>
  <c r="CK11" i="46"/>
  <c r="CJ11" i="46"/>
  <c r="CI11" i="46"/>
  <c r="CH11" i="46"/>
  <c r="CG11" i="46"/>
  <c r="CF11" i="46"/>
  <c r="CE11" i="46"/>
  <c r="CD11" i="46"/>
  <c r="CC11" i="46"/>
  <c r="CB11" i="46"/>
  <c r="CA11" i="46"/>
  <c r="BG11" i="46"/>
  <c r="BA11" i="46"/>
  <c r="AZ11" i="46"/>
  <c r="AY11" i="46"/>
  <c r="AT11" i="46"/>
  <c r="DJ10" i="46"/>
  <c r="DG10" i="46"/>
  <c r="DF10" i="46"/>
  <c r="DE10" i="46"/>
  <c r="DD10" i="46"/>
  <c r="DC10" i="46"/>
  <c r="DB10" i="46"/>
  <c r="CR10" i="46"/>
  <c r="CQ10" i="46"/>
  <c r="CP10" i="46"/>
  <c r="CO10" i="46"/>
  <c r="CN10" i="46"/>
  <c r="CM10" i="46"/>
  <c r="CL10" i="46"/>
  <c r="CK10" i="46"/>
  <c r="CJ10" i="46"/>
  <c r="CI10" i="46"/>
  <c r="CH10" i="46"/>
  <c r="CG10" i="46"/>
  <c r="CF10" i="46"/>
  <c r="CE10" i="46"/>
  <c r="CD10" i="46"/>
  <c r="CC10" i="46"/>
  <c r="CB10" i="46"/>
  <c r="CA10" i="46"/>
  <c r="BG10" i="46"/>
  <c r="BA10" i="46"/>
  <c r="AZ10" i="46"/>
  <c r="AY10" i="46"/>
  <c r="AT10" i="46"/>
  <c r="DJ9" i="46"/>
  <c r="DG9" i="46"/>
  <c r="DF9" i="46"/>
  <c r="DE9" i="46"/>
  <c r="DD9" i="46"/>
  <c r="DC9" i="46"/>
  <c r="DB9" i="46"/>
  <c r="CR9" i="46"/>
  <c r="CQ9" i="46"/>
  <c r="CP9" i="46"/>
  <c r="CO9" i="46"/>
  <c r="CN9" i="46"/>
  <c r="CM9" i="46"/>
  <c r="CL9" i="46"/>
  <c r="CK9" i="46"/>
  <c r="CJ9" i="46"/>
  <c r="CI9" i="46"/>
  <c r="AS9" i="46" s="1"/>
  <c r="CH9" i="46"/>
  <c r="CG9" i="46"/>
  <c r="CF9" i="46"/>
  <c r="CE9" i="46"/>
  <c r="CD9" i="46"/>
  <c r="CC9" i="46"/>
  <c r="CB9" i="46"/>
  <c r="CA9" i="46"/>
  <c r="BG9" i="46"/>
  <c r="BA9" i="46"/>
  <c r="AZ9" i="46"/>
  <c r="AY9" i="46"/>
  <c r="AT9" i="46"/>
  <c r="DJ8" i="46"/>
  <c r="DG8" i="46"/>
  <c r="DF8" i="46"/>
  <c r="DE8" i="46"/>
  <c r="DD8" i="46"/>
  <c r="DC8" i="46"/>
  <c r="DB8" i="46"/>
  <c r="DH8" i="46" s="1"/>
  <c r="CR8" i="46"/>
  <c r="CQ8" i="46"/>
  <c r="CP8" i="46"/>
  <c r="CO8" i="46"/>
  <c r="CN8" i="46"/>
  <c r="CM8" i="46"/>
  <c r="CL8" i="46"/>
  <c r="CK8" i="46"/>
  <c r="CJ8" i="46"/>
  <c r="CI8" i="46"/>
  <c r="AX8" i="46" s="1"/>
  <c r="CH8" i="46"/>
  <c r="CG8" i="46"/>
  <c r="CF8" i="46"/>
  <c r="CE8" i="46"/>
  <c r="CD8" i="46"/>
  <c r="CC8" i="46"/>
  <c r="CB8" i="46"/>
  <c r="CA8" i="46"/>
  <c r="BG8" i="46"/>
  <c r="BA8" i="46"/>
  <c r="AZ8" i="46"/>
  <c r="AY8" i="46"/>
  <c r="AT8" i="46"/>
  <c r="DJ7" i="46"/>
  <c r="DG7" i="46"/>
  <c r="DF7" i="46"/>
  <c r="DE7" i="46"/>
  <c r="DD7" i="46"/>
  <c r="DC7" i="46"/>
  <c r="DB7" i="46"/>
  <c r="CR7" i="46"/>
  <c r="CQ7" i="46"/>
  <c r="CP7" i="46"/>
  <c r="CO7" i="46"/>
  <c r="CN7" i="46"/>
  <c r="CM7" i="46"/>
  <c r="CL7" i="46"/>
  <c r="CK7" i="46"/>
  <c r="CJ7" i="46"/>
  <c r="CI7" i="46"/>
  <c r="AS7" i="46" s="1"/>
  <c r="CH7" i="46"/>
  <c r="CG7" i="46"/>
  <c r="CF7" i="46"/>
  <c r="CE7" i="46"/>
  <c r="CD7" i="46"/>
  <c r="CC7" i="46"/>
  <c r="CB7" i="46"/>
  <c r="CA7" i="46"/>
  <c r="BG7" i="46"/>
  <c r="BA7" i="46"/>
  <c r="AZ7" i="46"/>
  <c r="AY7" i="46"/>
  <c r="AT7" i="46"/>
  <c r="DJ6" i="46"/>
  <c r="DG6" i="46"/>
  <c r="DF6" i="46"/>
  <c r="DE6" i="46"/>
  <c r="DD6" i="46"/>
  <c r="DC6" i="46"/>
  <c r="DB6" i="46"/>
  <c r="CR6" i="46"/>
  <c r="CQ6" i="46"/>
  <c r="CP6" i="46"/>
  <c r="CO6" i="46"/>
  <c r="CN6" i="46"/>
  <c r="CM6" i="46"/>
  <c r="CL6" i="46"/>
  <c r="CK6" i="46"/>
  <c r="CJ6" i="46"/>
  <c r="CI6" i="46"/>
  <c r="CH6" i="46"/>
  <c r="CG6" i="46"/>
  <c r="CF6" i="46"/>
  <c r="CE6" i="46"/>
  <c r="CD6" i="46"/>
  <c r="CC6" i="46"/>
  <c r="CB6" i="46"/>
  <c r="CA6" i="46"/>
  <c r="BG6" i="46"/>
  <c r="BA6" i="46"/>
  <c r="AZ6" i="46"/>
  <c r="AY6" i="46"/>
  <c r="AT6" i="46"/>
  <c r="Z1" i="46"/>
  <c r="AA1" i="46" s="1"/>
  <c r="AB1" i="46" s="1"/>
  <c r="AC1" i="46" s="1"/>
  <c r="AD1" i="46" s="1"/>
  <c r="AE1" i="46" s="1"/>
  <c r="AF1" i="46" s="1"/>
  <c r="AG1" i="46" s="1"/>
  <c r="AH1" i="46" s="1"/>
  <c r="AI1" i="46" s="1"/>
  <c r="AJ1" i="46" s="1"/>
  <c r="AK1" i="46" s="1"/>
  <c r="AL1" i="46" s="1"/>
  <c r="AM1" i="46" s="1"/>
  <c r="AN1" i="46" s="1"/>
  <c r="AO1" i="46" s="1"/>
  <c r="AP1" i="46" s="1"/>
  <c r="AQ1" i="46" s="1"/>
  <c r="AR1" i="46" s="1"/>
  <c r="AS1" i="46" s="1"/>
  <c r="F1" i="46"/>
  <c r="G1" i="46" s="1"/>
  <c r="H1" i="46" s="1"/>
  <c r="I1" i="46" s="1"/>
  <c r="J1" i="46" s="1"/>
  <c r="K1" i="46" s="1"/>
  <c r="L1" i="46" s="1"/>
  <c r="M1" i="46" s="1"/>
  <c r="N1" i="46" s="1"/>
  <c r="O1" i="46" s="1"/>
  <c r="P1" i="46" s="1"/>
  <c r="Q1" i="46" s="1"/>
  <c r="R1" i="46" s="1"/>
  <c r="S1" i="46" s="1"/>
  <c r="T1" i="46" s="1"/>
  <c r="U1" i="46" s="1"/>
  <c r="V1" i="46" s="1"/>
  <c r="W1" i="46" s="1"/>
  <c r="X1" i="46" s="1"/>
  <c r="Y1" i="46" s="1"/>
  <c r="B1" i="46"/>
  <c r="C1" i="46" s="1"/>
  <c r="D1" i="46" s="1"/>
  <c r="E1" i="46" s="1"/>
  <c r="F11" i="45"/>
  <c r="E11" i="45"/>
  <c r="C11" i="45"/>
  <c r="B20" i="47" s="1"/>
  <c r="F10" i="45"/>
  <c r="E10" i="45"/>
  <c r="C10" i="45"/>
  <c r="F8" i="45"/>
  <c r="F7" i="45"/>
  <c r="E31" i="44"/>
  <c r="C19" i="44"/>
  <c r="G16" i="44"/>
  <c r="G15" i="44"/>
  <c r="G14" i="44"/>
  <c r="G13" i="44"/>
  <c r="G12" i="44"/>
  <c r="G11" i="44"/>
  <c r="E46" i="43"/>
  <c r="F15" i="45" s="1"/>
  <c r="D36" i="25" s="1"/>
  <c r="C38" i="42"/>
  <c r="L20" i="42"/>
  <c r="J20" i="42"/>
  <c r="F20" i="42"/>
  <c r="K20" i="42" s="1"/>
  <c r="L19" i="42"/>
  <c r="I19" i="42"/>
  <c r="H19" i="42"/>
  <c r="F19" i="42" s="1"/>
  <c r="J19" i="42" s="1"/>
  <c r="H17" i="42"/>
  <c r="F17" i="42"/>
  <c r="B17" i="42"/>
  <c r="L16" i="42"/>
  <c r="I16" i="42"/>
  <c r="H16" i="42"/>
  <c r="F16" i="42"/>
  <c r="J16" i="42" s="1"/>
  <c r="K16" i="42" s="1"/>
  <c r="H15" i="42"/>
  <c r="F15" i="42"/>
  <c r="E15" i="42"/>
  <c r="D15" i="42"/>
  <c r="B15" i="42"/>
  <c r="L14" i="42"/>
  <c r="H14" i="42"/>
  <c r="F14" i="42" s="1"/>
  <c r="L13" i="42"/>
  <c r="I13" i="42"/>
  <c r="H13" i="42"/>
  <c r="F13" i="42"/>
  <c r="E13" i="42"/>
  <c r="J13" i="42" s="1"/>
  <c r="D13" i="42"/>
  <c r="I12" i="42"/>
  <c r="H12" i="42"/>
  <c r="F12" i="42"/>
  <c r="E12" i="42"/>
  <c r="J12" i="42" s="1"/>
  <c r="D12" i="42"/>
  <c r="D19" i="42" s="1"/>
  <c r="D19" i="44" s="1"/>
  <c r="B12" i="42"/>
  <c r="B19" i="42" s="1"/>
  <c r="B19" i="44" s="1"/>
  <c r="H11" i="42"/>
  <c r="F11" i="42" s="1"/>
  <c r="H10" i="42"/>
  <c r="F10" i="42"/>
  <c r="E10" i="42"/>
  <c r="D10" i="42"/>
  <c r="B10" i="42"/>
  <c r="H9" i="42"/>
  <c r="F9" i="42"/>
  <c r="D9" i="42"/>
  <c r="B9" i="42"/>
  <c r="L8" i="42"/>
  <c r="I8" i="42"/>
  <c r="H8" i="42"/>
  <c r="F8" i="42"/>
  <c r="J8" i="42" s="1"/>
  <c r="L7" i="42"/>
  <c r="I7" i="42"/>
  <c r="H7" i="42"/>
  <c r="F7" i="42" s="1"/>
  <c r="J7" i="42" s="1"/>
  <c r="E7" i="42"/>
  <c r="D7" i="42"/>
  <c r="B7" i="42"/>
  <c r="L6" i="42"/>
  <c r="H6" i="42"/>
  <c r="F6" i="42"/>
  <c r="B6" i="42"/>
  <c r="H5" i="42"/>
  <c r="F5" i="42" s="1"/>
  <c r="O4" i="42"/>
  <c r="D54" i="41"/>
  <c r="F13" i="45" s="1"/>
  <c r="D24" i="47" s="1"/>
  <c r="D53" i="41"/>
  <c r="B127" i="40"/>
  <c r="B63" i="40" s="1"/>
  <c r="B126" i="40"/>
  <c r="B62" i="40" s="1"/>
  <c r="B125" i="40"/>
  <c r="B61" i="40" s="1"/>
  <c r="G124" i="40"/>
  <c r="G60" i="40" s="1"/>
  <c r="B124" i="40"/>
  <c r="B60" i="40" s="1"/>
  <c r="G123" i="40"/>
  <c r="G59" i="40" s="1"/>
  <c r="B123" i="40"/>
  <c r="G122" i="40"/>
  <c r="B122" i="40"/>
  <c r="M121" i="40"/>
  <c r="L121" i="40"/>
  <c r="K121" i="40"/>
  <c r="I121" i="40"/>
  <c r="H121" i="40"/>
  <c r="G121" i="40"/>
  <c r="F121" i="40"/>
  <c r="D121" i="40"/>
  <c r="M120" i="40"/>
  <c r="L120" i="40"/>
  <c r="K120" i="40"/>
  <c r="I120" i="40"/>
  <c r="H120" i="40"/>
  <c r="G120" i="40"/>
  <c r="F120" i="40"/>
  <c r="D120" i="40"/>
  <c r="B120" i="40"/>
  <c r="O119" i="40"/>
  <c r="M119" i="40"/>
  <c r="L119" i="40"/>
  <c r="K119" i="40"/>
  <c r="I119" i="40"/>
  <c r="H119" i="40"/>
  <c r="G119" i="40"/>
  <c r="F119" i="40"/>
  <c r="D119" i="40"/>
  <c r="B119" i="40"/>
  <c r="O118" i="40"/>
  <c r="M118" i="40"/>
  <c r="L118" i="40"/>
  <c r="K118" i="40"/>
  <c r="I118" i="40"/>
  <c r="H118" i="40"/>
  <c r="G118" i="40"/>
  <c r="F118" i="40"/>
  <c r="D118" i="40"/>
  <c r="B118" i="40"/>
  <c r="O117" i="40"/>
  <c r="O116" i="40"/>
  <c r="O115" i="40"/>
  <c r="O114" i="40"/>
  <c r="O113" i="40"/>
  <c r="O112" i="40"/>
  <c r="O111" i="40"/>
  <c r="O110" i="40"/>
  <c r="O109" i="40"/>
  <c r="O108" i="40"/>
  <c r="O107" i="40"/>
  <c r="O106" i="40"/>
  <c r="O105" i="40"/>
  <c r="O104" i="40"/>
  <c r="O103" i="40"/>
  <c r="M103" i="40"/>
  <c r="L103" i="40"/>
  <c r="K103" i="40"/>
  <c r="I103" i="40"/>
  <c r="H103" i="40"/>
  <c r="G103" i="40"/>
  <c r="F103" i="40"/>
  <c r="D103" i="40"/>
  <c r="B103" i="40"/>
  <c r="O102" i="40"/>
  <c r="M102" i="40"/>
  <c r="L102" i="40"/>
  <c r="K102" i="40"/>
  <c r="I102" i="40"/>
  <c r="H102" i="40"/>
  <c r="G102" i="40"/>
  <c r="F102" i="40"/>
  <c r="D102" i="40"/>
  <c r="B102" i="40"/>
  <c r="O101" i="40"/>
  <c r="M101" i="40"/>
  <c r="L101" i="40"/>
  <c r="K101" i="40"/>
  <c r="I101" i="40"/>
  <c r="H101" i="40"/>
  <c r="G101" i="40"/>
  <c r="F101" i="40"/>
  <c r="D101" i="40"/>
  <c r="B101" i="40"/>
  <c r="O100" i="40"/>
  <c r="M100" i="40"/>
  <c r="L100" i="40"/>
  <c r="K100" i="40"/>
  <c r="I100" i="40"/>
  <c r="H100" i="40"/>
  <c r="G100" i="40"/>
  <c r="F100" i="40"/>
  <c r="D100" i="40"/>
  <c r="B100" i="40"/>
  <c r="O99" i="40"/>
  <c r="M99" i="40"/>
  <c r="L99" i="40"/>
  <c r="K99" i="40"/>
  <c r="I99" i="40"/>
  <c r="H99" i="40"/>
  <c r="G99" i="40"/>
  <c r="F99" i="40"/>
  <c r="D99" i="40"/>
  <c r="B99" i="40"/>
  <c r="O98" i="40"/>
  <c r="M98" i="40"/>
  <c r="L98" i="40"/>
  <c r="K98" i="40"/>
  <c r="I98" i="40"/>
  <c r="H98" i="40"/>
  <c r="G98" i="40"/>
  <c r="F98" i="40"/>
  <c r="D98" i="40"/>
  <c r="B98" i="40"/>
  <c r="O97" i="40"/>
  <c r="M97" i="40"/>
  <c r="L97" i="40"/>
  <c r="K97" i="40"/>
  <c r="I97" i="40"/>
  <c r="H97" i="40"/>
  <c r="G97" i="40"/>
  <c r="F97" i="40"/>
  <c r="D97" i="40"/>
  <c r="B97" i="40"/>
  <c r="O96" i="40"/>
  <c r="M96" i="40"/>
  <c r="L96" i="40"/>
  <c r="K96" i="40"/>
  <c r="I96" i="40"/>
  <c r="H96" i="40"/>
  <c r="G96" i="40"/>
  <c r="F96" i="40"/>
  <c r="D96" i="40"/>
  <c r="B96" i="40"/>
  <c r="O95" i="40"/>
  <c r="M95" i="40"/>
  <c r="L95" i="40"/>
  <c r="K95" i="40"/>
  <c r="I95" i="40"/>
  <c r="H95" i="40"/>
  <c r="G95" i="40"/>
  <c r="F95" i="40"/>
  <c r="D95" i="40"/>
  <c r="B95" i="40"/>
  <c r="O94" i="40"/>
  <c r="M94" i="40"/>
  <c r="L94" i="40"/>
  <c r="K94" i="40"/>
  <c r="I94" i="40"/>
  <c r="H94" i="40"/>
  <c r="G94" i="40"/>
  <c r="F94" i="40"/>
  <c r="D94" i="40"/>
  <c r="B94" i="40"/>
  <c r="O93" i="40"/>
  <c r="M93" i="40"/>
  <c r="L93" i="40"/>
  <c r="K93" i="40"/>
  <c r="I93" i="40"/>
  <c r="H93" i="40"/>
  <c r="G93" i="40"/>
  <c r="F93" i="40"/>
  <c r="D93" i="40"/>
  <c r="B93" i="40"/>
  <c r="O92" i="40"/>
  <c r="M92" i="40"/>
  <c r="L92" i="40"/>
  <c r="K92" i="40"/>
  <c r="I92" i="40"/>
  <c r="H92" i="40"/>
  <c r="G92" i="40"/>
  <c r="F92" i="40"/>
  <c r="D92" i="40"/>
  <c r="B92" i="40"/>
  <c r="O91" i="40"/>
  <c r="M91" i="40"/>
  <c r="L91" i="40"/>
  <c r="K91" i="40"/>
  <c r="I91" i="40"/>
  <c r="G91" i="40"/>
  <c r="F91" i="40"/>
  <c r="D91" i="40"/>
  <c r="B91" i="40"/>
  <c r="O90" i="40"/>
  <c r="M90" i="40"/>
  <c r="L90" i="40"/>
  <c r="K90" i="40"/>
  <c r="I90" i="40"/>
  <c r="G90" i="40"/>
  <c r="F90" i="40"/>
  <c r="D90" i="40"/>
  <c r="B90" i="40"/>
  <c r="O89" i="40"/>
  <c r="M89" i="40"/>
  <c r="L89" i="40"/>
  <c r="K89" i="40"/>
  <c r="I89" i="40"/>
  <c r="G89" i="40"/>
  <c r="F89" i="40"/>
  <c r="D89" i="40"/>
  <c r="B89" i="40"/>
  <c r="O88" i="40"/>
  <c r="M88" i="40"/>
  <c r="L88" i="40"/>
  <c r="K88" i="40"/>
  <c r="I88" i="40"/>
  <c r="G88" i="40"/>
  <c r="F88" i="40"/>
  <c r="D88" i="40"/>
  <c r="B88" i="40"/>
  <c r="O87" i="40"/>
  <c r="M87" i="40"/>
  <c r="L87" i="40"/>
  <c r="K87" i="40"/>
  <c r="I87" i="40"/>
  <c r="G87" i="40"/>
  <c r="F87" i="40"/>
  <c r="D87" i="40"/>
  <c r="B87" i="40"/>
  <c r="O86" i="40"/>
  <c r="M86" i="40"/>
  <c r="L86" i="40"/>
  <c r="K86" i="40"/>
  <c r="I86" i="40"/>
  <c r="G86" i="40"/>
  <c r="F86" i="40"/>
  <c r="D86" i="40"/>
  <c r="B86" i="40"/>
  <c r="O85" i="40"/>
  <c r="M85" i="40"/>
  <c r="L85" i="40"/>
  <c r="K85" i="40"/>
  <c r="I85" i="40"/>
  <c r="G85" i="40"/>
  <c r="F85" i="40"/>
  <c r="D85" i="40"/>
  <c r="B85" i="40"/>
  <c r="O84" i="40"/>
  <c r="M84" i="40"/>
  <c r="L84" i="40"/>
  <c r="K84" i="40"/>
  <c r="I84" i="40"/>
  <c r="G84" i="40"/>
  <c r="F84" i="40"/>
  <c r="D84" i="40"/>
  <c r="B84" i="40"/>
  <c r="O83" i="40"/>
  <c r="M83" i="40"/>
  <c r="L83" i="40"/>
  <c r="K83" i="40"/>
  <c r="I83" i="40"/>
  <c r="G83" i="40"/>
  <c r="F83" i="40"/>
  <c r="D83" i="40"/>
  <c r="B83" i="40"/>
  <c r="O82" i="40"/>
  <c r="M82" i="40"/>
  <c r="L82" i="40"/>
  <c r="K82" i="40"/>
  <c r="I82" i="40"/>
  <c r="G82" i="40"/>
  <c r="F82" i="40"/>
  <c r="D82" i="40"/>
  <c r="B82" i="40"/>
  <c r="O81" i="40"/>
  <c r="M81" i="40"/>
  <c r="L81" i="40"/>
  <c r="K81" i="40"/>
  <c r="I81" i="40"/>
  <c r="G81" i="40"/>
  <c r="F81" i="40"/>
  <c r="D81" i="40"/>
  <c r="B81" i="40"/>
  <c r="O80" i="40"/>
  <c r="M80" i="40"/>
  <c r="L80" i="40"/>
  <c r="K80" i="40"/>
  <c r="I80" i="40"/>
  <c r="G80" i="40"/>
  <c r="F80" i="40"/>
  <c r="D80" i="40"/>
  <c r="B80" i="40"/>
  <c r="O79" i="40"/>
  <c r="M79" i="40"/>
  <c r="L79" i="40"/>
  <c r="K79" i="40"/>
  <c r="I79" i="40"/>
  <c r="G79" i="40"/>
  <c r="F79" i="40"/>
  <c r="D79" i="40"/>
  <c r="B79" i="40"/>
  <c r="O78" i="40"/>
  <c r="M78" i="40"/>
  <c r="L78" i="40"/>
  <c r="K78" i="40"/>
  <c r="I78" i="40"/>
  <c r="G78" i="40"/>
  <c r="F78" i="40"/>
  <c r="D78" i="40"/>
  <c r="B78" i="40"/>
  <c r="O77" i="40"/>
  <c r="M77" i="40"/>
  <c r="L77" i="40"/>
  <c r="K77" i="40"/>
  <c r="I77" i="40"/>
  <c r="G77" i="40"/>
  <c r="F77" i="40"/>
  <c r="D77" i="40"/>
  <c r="B77" i="40"/>
  <c r="O76" i="40"/>
  <c r="M76" i="40"/>
  <c r="L76" i="40"/>
  <c r="K76" i="40"/>
  <c r="I76" i="40"/>
  <c r="G76" i="40"/>
  <c r="F76" i="40"/>
  <c r="D76" i="40"/>
  <c r="B76" i="40"/>
  <c r="O75" i="40"/>
  <c r="M75" i="40"/>
  <c r="L75" i="40"/>
  <c r="K75" i="40"/>
  <c r="I75" i="40"/>
  <c r="G75" i="40"/>
  <c r="F75" i="40"/>
  <c r="D75" i="40"/>
  <c r="B75" i="40"/>
  <c r="O74" i="40"/>
  <c r="M74" i="40"/>
  <c r="L74" i="40"/>
  <c r="K74" i="40"/>
  <c r="I74" i="40"/>
  <c r="H74" i="40"/>
  <c r="G74" i="40"/>
  <c r="F74" i="40"/>
  <c r="D74" i="40"/>
  <c r="B74" i="40"/>
  <c r="O73" i="40"/>
  <c r="M73" i="40"/>
  <c r="L73" i="40"/>
  <c r="K73" i="40"/>
  <c r="I73" i="40"/>
  <c r="H73" i="40"/>
  <c r="G73" i="40"/>
  <c r="F73" i="40"/>
  <c r="D73" i="40"/>
  <c r="B73" i="40"/>
  <c r="O72" i="40"/>
  <c r="M72" i="40"/>
  <c r="L72" i="40"/>
  <c r="K72" i="40"/>
  <c r="I72" i="40"/>
  <c r="H72" i="40"/>
  <c r="G72" i="40"/>
  <c r="F72" i="40"/>
  <c r="D72" i="40"/>
  <c r="B72" i="40"/>
  <c r="O71" i="40"/>
  <c r="M71" i="40"/>
  <c r="L71" i="40"/>
  <c r="K71" i="40"/>
  <c r="I71" i="40"/>
  <c r="H71" i="40"/>
  <c r="G71" i="40"/>
  <c r="F71" i="40"/>
  <c r="D71" i="40"/>
  <c r="B71" i="40"/>
  <c r="O70" i="40"/>
  <c r="M70" i="40"/>
  <c r="L70" i="40"/>
  <c r="K70" i="40"/>
  <c r="I70" i="40"/>
  <c r="H70" i="40"/>
  <c r="G70" i="40"/>
  <c r="F70" i="40"/>
  <c r="D70" i="40"/>
  <c r="B70" i="40"/>
  <c r="G62" i="40"/>
  <c r="G61" i="40"/>
  <c r="B59" i="40"/>
  <c r="G58" i="40"/>
  <c r="B58" i="40"/>
  <c r="M57" i="40"/>
  <c r="L57" i="40"/>
  <c r="K57" i="40"/>
  <c r="I57" i="40"/>
  <c r="H57" i="40"/>
  <c r="G57" i="40"/>
  <c r="F57" i="40"/>
  <c r="D57" i="40"/>
  <c r="B57" i="40"/>
  <c r="O56" i="40"/>
  <c r="M56" i="40"/>
  <c r="L56" i="40"/>
  <c r="K56" i="40"/>
  <c r="I56" i="40"/>
  <c r="H56" i="40"/>
  <c r="G56" i="40"/>
  <c r="F56" i="40"/>
  <c r="D56" i="40"/>
  <c r="B56" i="40"/>
  <c r="O55" i="40"/>
  <c r="N55" i="40"/>
  <c r="M55" i="40"/>
  <c r="L55" i="40"/>
  <c r="K55" i="40"/>
  <c r="I55" i="40"/>
  <c r="H55" i="40"/>
  <c r="G55" i="40"/>
  <c r="F55" i="40"/>
  <c r="D55" i="40"/>
  <c r="B55" i="40"/>
  <c r="O54" i="40"/>
  <c r="N54" i="40"/>
  <c r="M54" i="40"/>
  <c r="L54" i="40"/>
  <c r="K54" i="40"/>
  <c r="I54" i="40"/>
  <c r="H54" i="40"/>
  <c r="G54" i="40"/>
  <c r="F54" i="40"/>
  <c r="D54" i="40"/>
  <c r="B54" i="40"/>
  <c r="O53" i="40"/>
  <c r="N53" i="40"/>
  <c r="M53" i="40"/>
  <c r="L53" i="40"/>
  <c r="K53" i="40"/>
  <c r="I53" i="40"/>
  <c r="H53" i="40"/>
  <c r="G53" i="40"/>
  <c r="F53" i="40"/>
  <c r="D53" i="40"/>
  <c r="B53" i="40"/>
  <c r="O52" i="40"/>
  <c r="N52" i="40"/>
  <c r="M52" i="40"/>
  <c r="L52" i="40"/>
  <c r="K52" i="40"/>
  <c r="I52" i="40"/>
  <c r="H52" i="40"/>
  <c r="G52" i="40"/>
  <c r="F52" i="40"/>
  <c r="D52" i="40"/>
  <c r="O51" i="40"/>
  <c r="N51" i="40"/>
  <c r="M51" i="40"/>
  <c r="L51" i="40"/>
  <c r="K51" i="40"/>
  <c r="I51" i="40"/>
  <c r="H51" i="40"/>
  <c r="G51" i="40"/>
  <c r="F51" i="40"/>
  <c r="D51" i="40"/>
  <c r="O50" i="40"/>
  <c r="N50" i="40"/>
  <c r="M50" i="40"/>
  <c r="L50" i="40"/>
  <c r="K50" i="40"/>
  <c r="I50" i="40"/>
  <c r="H50" i="40"/>
  <c r="G50" i="40"/>
  <c r="F50" i="40"/>
  <c r="D50" i="40"/>
  <c r="O49" i="40"/>
  <c r="N49" i="40"/>
  <c r="M49" i="40"/>
  <c r="L49" i="40"/>
  <c r="K49" i="40"/>
  <c r="I49" i="40"/>
  <c r="H49" i="40"/>
  <c r="G49" i="40"/>
  <c r="F49" i="40"/>
  <c r="D49" i="40"/>
  <c r="O48" i="40"/>
  <c r="N48" i="40"/>
  <c r="M48" i="40"/>
  <c r="L48" i="40"/>
  <c r="K48" i="40"/>
  <c r="I48" i="40"/>
  <c r="H48" i="40"/>
  <c r="G48" i="40"/>
  <c r="F48" i="40"/>
  <c r="D48" i="40"/>
  <c r="O47" i="40"/>
  <c r="N47" i="40"/>
  <c r="M47" i="40"/>
  <c r="L47" i="40"/>
  <c r="K47" i="40"/>
  <c r="I47" i="40"/>
  <c r="H47" i="40"/>
  <c r="G47" i="40"/>
  <c r="F47" i="40"/>
  <c r="D47" i="40"/>
  <c r="O46" i="40"/>
  <c r="N46" i="40"/>
  <c r="M46" i="40"/>
  <c r="L46" i="40"/>
  <c r="K46" i="40"/>
  <c r="I46" i="40"/>
  <c r="H46" i="40"/>
  <c r="G46" i="40"/>
  <c r="F46" i="40"/>
  <c r="D46" i="40"/>
  <c r="O45" i="40"/>
  <c r="N45" i="40"/>
  <c r="M45" i="40"/>
  <c r="L45" i="40"/>
  <c r="K45" i="40"/>
  <c r="I45" i="40"/>
  <c r="H45" i="40"/>
  <c r="G45" i="40"/>
  <c r="F45" i="40"/>
  <c r="D45" i="40"/>
  <c r="O44" i="40"/>
  <c r="N44" i="40"/>
  <c r="M44" i="40"/>
  <c r="L44" i="40"/>
  <c r="K44" i="40"/>
  <c r="I44" i="40"/>
  <c r="H44" i="40"/>
  <c r="G44" i="40"/>
  <c r="F44" i="40"/>
  <c r="D44" i="40"/>
  <c r="B44" i="40"/>
  <c r="O43" i="40"/>
  <c r="N43" i="40"/>
  <c r="M43" i="40"/>
  <c r="L43" i="40"/>
  <c r="K43" i="40"/>
  <c r="I43" i="40"/>
  <c r="H43" i="40"/>
  <c r="G43" i="40"/>
  <c r="F43" i="40"/>
  <c r="O42" i="40"/>
  <c r="N42" i="40"/>
  <c r="M42" i="40"/>
  <c r="L42" i="40"/>
  <c r="K42" i="40"/>
  <c r="I42" i="40"/>
  <c r="H42" i="40"/>
  <c r="G42" i="40"/>
  <c r="F42" i="40"/>
  <c r="O41" i="40"/>
  <c r="N41" i="40"/>
  <c r="M41" i="40"/>
  <c r="L41" i="40"/>
  <c r="K41" i="40"/>
  <c r="I41" i="40"/>
  <c r="H41" i="40"/>
  <c r="G41" i="40"/>
  <c r="F41" i="40"/>
  <c r="O40" i="40"/>
  <c r="N40" i="40"/>
  <c r="M40" i="40"/>
  <c r="L40" i="40"/>
  <c r="K40" i="40"/>
  <c r="I40" i="40"/>
  <c r="H40" i="40"/>
  <c r="G40" i="40"/>
  <c r="F40" i="40"/>
  <c r="O39" i="40"/>
  <c r="N39" i="40"/>
  <c r="M39" i="40"/>
  <c r="L39" i="40"/>
  <c r="K39" i="40"/>
  <c r="I39" i="40"/>
  <c r="H39" i="40"/>
  <c r="G39" i="40"/>
  <c r="F39" i="40"/>
  <c r="O38" i="40"/>
  <c r="N38" i="40"/>
  <c r="M38" i="40"/>
  <c r="L38" i="40"/>
  <c r="K38" i="40"/>
  <c r="I38" i="40"/>
  <c r="H38" i="40"/>
  <c r="G38" i="40"/>
  <c r="F38" i="40"/>
  <c r="O37" i="40"/>
  <c r="N37" i="40"/>
  <c r="M37" i="40"/>
  <c r="L37" i="40"/>
  <c r="K37" i="40"/>
  <c r="I37" i="40"/>
  <c r="H37" i="40"/>
  <c r="G37" i="40"/>
  <c r="F37" i="40"/>
  <c r="O36" i="40"/>
  <c r="N36" i="40"/>
  <c r="M36" i="40"/>
  <c r="L36" i="40"/>
  <c r="K36" i="40"/>
  <c r="I36" i="40"/>
  <c r="H36" i="40"/>
  <c r="G36" i="40"/>
  <c r="F36" i="40"/>
  <c r="O35" i="40"/>
  <c r="N35" i="40"/>
  <c r="M35" i="40"/>
  <c r="L35" i="40"/>
  <c r="K35" i="40"/>
  <c r="I35" i="40"/>
  <c r="H35" i="40"/>
  <c r="G35" i="40"/>
  <c r="F35" i="40"/>
  <c r="O34" i="40"/>
  <c r="N34" i="40"/>
  <c r="M34" i="40"/>
  <c r="L34" i="40"/>
  <c r="K34" i="40"/>
  <c r="I34" i="40"/>
  <c r="H34" i="40"/>
  <c r="G34" i="40"/>
  <c r="F34" i="40"/>
  <c r="O33" i="40"/>
  <c r="N33" i="40"/>
  <c r="M33" i="40"/>
  <c r="L33" i="40"/>
  <c r="K33" i="40"/>
  <c r="I33" i="40"/>
  <c r="H33" i="40"/>
  <c r="G33" i="40"/>
  <c r="F33" i="40"/>
  <c r="O32" i="40"/>
  <c r="N32" i="40"/>
  <c r="M32" i="40"/>
  <c r="L32" i="40"/>
  <c r="K32" i="40"/>
  <c r="I32" i="40"/>
  <c r="H32" i="40"/>
  <c r="G32" i="40"/>
  <c r="F32" i="40"/>
  <c r="O31" i="40"/>
  <c r="N31" i="40"/>
  <c r="M31" i="40"/>
  <c r="L31" i="40"/>
  <c r="K31" i="40"/>
  <c r="I31" i="40"/>
  <c r="H31" i="40"/>
  <c r="G31" i="40"/>
  <c r="F31" i="40"/>
  <c r="D31" i="40"/>
  <c r="B31" i="40"/>
  <c r="O30" i="40"/>
  <c r="N30" i="40"/>
  <c r="M30" i="40"/>
  <c r="L30" i="40"/>
  <c r="K30" i="40"/>
  <c r="I30" i="40"/>
  <c r="H30" i="40"/>
  <c r="G30" i="40"/>
  <c r="F30" i="40"/>
  <c r="D30" i="40"/>
  <c r="B30" i="40"/>
  <c r="O29" i="40"/>
  <c r="N29" i="40"/>
  <c r="M29" i="40"/>
  <c r="L29" i="40"/>
  <c r="K29" i="40"/>
  <c r="I29" i="40"/>
  <c r="H29" i="40"/>
  <c r="G29" i="40"/>
  <c r="F29" i="40"/>
  <c r="D29" i="40"/>
  <c r="B29" i="40"/>
  <c r="O28" i="40"/>
  <c r="N28" i="40"/>
  <c r="M28" i="40"/>
  <c r="L28" i="40"/>
  <c r="K28" i="40"/>
  <c r="I28" i="40"/>
  <c r="H28" i="40"/>
  <c r="G28" i="40"/>
  <c r="F28" i="40"/>
  <c r="D28" i="40"/>
  <c r="B28" i="40"/>
  <c r="O27" i="40"/>
  <c r="N27" i="40"/>
  <c r="M27" i="40"/>
  <c r="L27" i="40"/>
  <c r="K27" i="40"/>
  <c r="I27" i="40"/>
  <c r="H27" i="40"/>
  <c r="G27" i="40"/>
  <c r="F27" i="40"/>
  <c r="D27" i="40"/>
  <c r="B27" i="40"/>
  <c r="O26" i="40"/>
  <c r="N26" i="40"/>
  <c r="M26" i="40"/>
  <c r="L26" i="40"/>
  <c r="K26" i="40"/>
  <c r="I26" i="40"/>
  <c r="H26" i="40"/>
  <c r="G26" i="40"/>
  <c r="F26" i="40"/>
  <c r="D26" i="40"/>
  <c r="B26" i="40"/>
  <c r="O25" i="40"/>
  <c r="N25" i="40"/>
  <c r="M25" i="40"/>
  <c r="L25" i="40"/>
  <c r="K25" i="40"/>
  <c r="I25" i="40"/>
  <c r="H25" i="40"/>
  <c r="G25" i="40"/>
  <c r="F25" i="40"/>
  <c r="D25" i="40"/>
  <c r="B25" i="40"/>
  <c r="O24" i="40"/>
  <c r="N24" i="40"/>
  <c r="M24" i="40"/>
  <c r="L24" i="40"/>
  <c r="K24" i="40"/>
  <c r="I24" i="40"/>
  <c r="H24" i="40"/>
  <c r="G24" i="40"/>
  <c r="F24" i="40"/>
  <c r="D24" i="40"/>
  <c r="B24" i="40"/>
  <c r="O23" i="40"/>
  <c r="N23" i="40"/>
  <c r="M23" i="40"/>
  <c r="L23" i="40"/>
  <c r="K23" i="40"/>
  <c r="I23" i="40"/>
  <c r="H23" i="40"/>
  <c r="G23" i="40"/>
  <c r="F23" i="40"/>
  <c r="D23" i="40"/>
  <c r="B23" i="40"/>
  <c r="O22" i="40"/>
  <c r="N22" i="40"/>
  <c r="M22" i="40"/>
  <c r="L22" i="40"/>
  <c r="K22" i="40"/>
  <c r="I22" i="40"/>
  <c r="H22" i="40"/>
  <c r="G22" i="40"/>
  <c r="F22" i="40"/>
  <c r="D22" i="40"/>
  <c r="B22" i="40"/>
  <c r="O20" i="40"/>
  <c r="G20" i="40"/>
  <c r="D20" i="40"/>
  <c r="B20" i="40"/>
  <c r="O18" i="40"/>
  <c r="M18" i="40"/>
  <c r="L18" i="40"/>
  <c r="K18" i="40"/>
  <c r="I18" i="40"/>
  <c r="H18" i="40"/>
  <c r="G18" i="40"/>
  <c r="F18" i="40"/>
  <c r="E18" i="40"/>
  <c r="D18" i="40"/>
  <c r="D17" i="42" s="1"/>
  <c r="B18" i="40"/>
  <c r="O17" i="40"/>
  <c r="N17" i="40"/>
  <c r="M17" i="40"/>
  <c r="E16" i="42" s="1"/>
  <c r="L17" i="40"/>
  <c r="K17" i="40"/>
  <c r="I17" i="40"/>
  <c r="H17" i="40"/>
  <c r="G17" i="40"/>
  <c r="F17" i="40"/>
  <c r="E17" i="40"/>
  <c r="D17" i="40"/>
  <c r="D16" i="42" s="1"/>
  <c r="B17" i="40"/>
  <c r="B16" i="42" s="1"/>
  <c r="O16" i="40"/>
  <c r="N16" i="40"/>
  <c r="M16" i="40"/>
  <c r="L16" i="40"/>
  <c r="K16" i="40"/>
  <c r="I16" i="40"/>
  <c r="H16" i="40"/>
  <c r="G16" i="40"/>
  <c r="F16" i="40"/>
  <c r="E16" i="40"/>
  <c r="D16" i="40"/>
  <c r="B16" i="40"/>
  <c r="O15" i="40"/>
  <c r="N15" i="40"/>
  <c r="M15" i="40"/>
  <c r="E14" i="42" s="1"/>
  <c r="L15" i="40"/>
  <c r="K15" i="40"/>
  <c r="I15" i="40"/>
  <c r="H15" i="40"/>
  <c r="G15" i="40"/>
  <c r="F15" i="40"/>
  <c r="E15" i="40"/>
  <c r="D15" i="40"/>
  <c r="D14" i="42" s="1"/>
  <c r="B15" i="40"/>
  <c r="B14" i="42" s="1"/>
  <c r="O14" i="40"/>
  <c r="M14" i="40"/>
  <c r="L14" i="40"/>
  <c r="K14" i="40"/>
  <c r="I14" i="40"/>
  <c r="H14" i="40"/>
  <c r="G14" i="40"/>
  <c r="F14" i="40"/>
  <c r="E14" i="40"/>
  <c r="D14" i="40"/>
  <c r="B14" i="40"/>
  <c r="B13" i="42" s="1"/>
  <c r="O13" i="40"/>
  <c r="M13" i="40"/>
  <c r="L12" i="42" s="1"/>
  <c r="L13" i="40"/>
  <c r="K13" i="40"/>
  <c r="I13" i="40"/>
  <c r="H13" i="40"/>
  <c r="G13" i="40"/>
  <c r="F13" i="40"/>
  <c r="E13" i="40"/>
  <c r="D13" i="40"/>
  <c r="B13" i="40"/>
  <c r="O12" i="40"/>
  <c r="N12" i="40"/>
  <c r="M12" i="40"/>
  <c r="L11" i="42" s="1"/>
  <c r="L12" i="40"/>
  <c r="K12" i="40"/>
  <c r="I12" i="40"/>
  <c r="H12" i="40"/>
  <c r="G12" i="40"/>
  <c r="F12" i="40"/>
  <c r="E12" i="40"/>
  <c r="D12" i="40"/>
  <c r="D11" i="42" s="1"/>
  <c r="B12" i="40"/>
  <c r="B11" i="42" s="1"/>
  <c r="O11" i="40"/>
  <c r="N11" i="40"/>
  <c r="M11" i="40"/>
  <c r="L10" i="42" s="1"/>
  <c r="L11" i="40"/>
  <c r="K11" i="40"/>
  <c r="I11" i="40"/>
  <c r="H11" i="40"/>
  <c r="G11" i="40"/>
  <c r="F11" i="40"/>
  <c r="E11" i="40"/>
  <c r="D11" i="40"/>
  <c r="B11" i="40"/>
  <c r="O10" i="40"/>
  <c r="M10" i="40"/>
  <c r="L10" i="40"/>
  <c r="K10" i="40"/>
  <c r="I10" i="40"/>
  <c r="H10" i="40"/>
  <c r="G10" i="40"/>
  <c r="F10" i="40"/>
  <c r="E10" i="40"/>
  <c r="D10" i="40"/>
  <c r="B10" i="40"/>
  <c r="O9" i="40"/>
  <c r="M9" i="40"/>
  <c r="E8" i="42" s="1"/>
  <c r="L9" i="40"/>
  <c r="K9" i="40"/>
  <c r="I9" i="40"/>
  <c r="H9" i="40"/>
  <c r="G9" i="40"/>
  <c r="F9" i="40"/>
  <c r="E9" i="40"/>
  <c r="D9" i="40"/>
  <c r="D8" i="42" s="1"/>
  <c r="B9" i="40"/>
  <c r="B8" i="42" s="1"/>
  <c r="O8" i="40"/>
  <c r="M8" i="40"/>
  <c r="L8" i="40"/>
  <c r="K8" i="40"/>
  <c r="I8" i="40"/>
  <c r="H8" i="40"/>
  <c r="G8" i="40"/>
  <c r="F8" i="40"/>
  <c r="E8" i="40"/>
  <c r="D8" i="40"/>
  <c r="B8" i="40"/>
  <c r="O7" i="40"/>
  <c r="N7" i="40"/>
  <c r="M7" i="40"/>
  <c r="L7" i="40"/>
  <c r="K7" i="40"/>
  <c r="I7" i="40"/>
  <c r="H7" i="40"/>
  <c r="G7" i="40"/>
  <c r="F7" i="40"/>
  <c r="E7" i="40"/>
  <c r="D7" i="40"/>
  <c r="D6" i="42" s="1"/>
  <c r="B7" i="40"/>
  <c r="O6" i="40"/>
  <c r="N6" i="40"/>
  <c r="M6" i="40"/>
  <c r="L6" i="40"/>
  <c r="K6" i="40"/>
  <c r="I6" i="40"/>
  <c r="H6" i="40"/>
  <c r="G6" i="40"/>
  <c r="F6" i="40"/>
  <c r="E6" i="40"/>
  <c r="D6" i="40"/>
  <c r="D5" i="42" s="1"/>
  <c r="B6" i="40"/>
  <c r="B5" i="42" s="1"/>
  <c r="A55" i="25"/>
  <c r="B55" i="25"/>
  <c r="C55" i="25"/>
  <c r="A54" i="25"/>
  <c r="B54" i="25"/>
  <c r="C54" i="25"/>
  <c r="D54" i="25"/>
  <c r="A51" i="25"/>
  <c r="B51" i="25"/>
  <c r="C51" i="25"/>
  <c r="D51" i="25"/>
  <c r="A52" i="25"/>
  <c r="B52" i="25"/>
  <c r="C52" i="25"/>
  <c r="D52" i="25"/>
  <c r="A53" i="25"/>
  <c r="B53" i="25"/>
  <c r="C53" i="25"/>
  <c r="D53" i="25"/>
  <c r="A50" i="25"/>
  <c r="B50" i="25"/>
  <c r="C50" i="25"/>
  <c r="D50" i="25"/>
  <c r="M152" i="39"/>
  <c r="M151" i="39"/>
  <c r="M150" i="39"/>
  <c r="M148" i="39"/>
  <c r="M147" i="39"/>
  <c r="M146" i="39"/>
  <c r="M145" i="39"/>
  <c r="M144" i="39"/>
  <c r="M143" i="39"/>
  <c r="M142" i="39"/>
  <c r="M141" i="39"/>
  <c r="M139" i="39"/>
  <c r="M138" i="39"/>
  <c r="M137" i="39"/>
  <c r="M136" i="39"/>
  <c r="M135" i="39"/>
  <c r="M134" i="39"/>
  <c r="M133" i="39"/>
  <c r="M132" i="39"/>
  <c r="M131" i="39"/>
  <c r="M130" i="39"/>
  <c r="M129" i="39"/>
  <c r="M128" i="39"/>
  <c r="M127" i="39"/>
  <c r="M126" i="39"/>
  <c r="M125" i="39"/>
  <c r="M124" i="39"/>
  <c r="M123" i="39"/>
  <c r="M122" i="39"/>
  <c r="M121" i="39"/>
  <c r="M120" i="39"/>
  <c r="M119" i="39"/>
  <c r="M118" i="39"/>
  <c r="M117" i="39"/>
  <c r="M116" i="39"/>
  <c r="M115" i="39"/>
  <c r="M114" i="39"/>
  <c r="M112" i="39"/>
  <c r="K112" i="39"/>
  <c r="K93" i="39"/>
  <c r="M93" i="39" s="1"/>
  <c r="M64" i="39"/>
  <c r="K64" i="39"/>
  <c r="M63" i="39"/>
  <c r="K63" i="39"/>
  <c r="K62" i="39"/>
  <c r="M62" i="39" s="1"/>
  <c r="M61" i="39"/>
  <c r="K61" i="39"/>
  <c r="M60" i="39"/>
  <c r="K60" i="39"/>
  <c r="A54" i="39"/>
  <c r="H40" i="39"/>
  <c r="H37" i="39"/>
  <c r="O26" i="39"/>
  <c r="G19" i="39"/>
  <c r="D19" i="39"/>
  <c r="G18" i="39"/>
  <c r="D18" i="39"/>
  <c r="D17" i="39"/>
  <c r="D16" i="39"/>
  <c r="D15" i="39"/>
  <c r="D14" i="39"/>
  <c r="L8" i="38"/>
  <c r="J8" i="38"/>
  <c r="M4" i="38"/>
  <c r="L197" i="37"/>
  <c r="K197" i="37"/>
  <c r="G197" i="37"/>
  <c r="E197" i="37"/>
  <c r="D197" i="37"/>
  <c r="A197" i="37"/>
  <c r="K196" i="37"/>
  <c r="E196" i="37"/>
  <c r="D196" i="37"/>
  <c r="B196" i="37"/>
  <c r="A196" i="37"/>
  <c r="L195" i="37"/>
  <c r="K195" i="37"/>
  <c r="G195" i="37"/>
  <c r="A195" i="37"/>
  <c r="K194" i="37"/>
  <c r="A194" i="37"/>
  <c r="L193" i="37"/>
  <c r="K193" i="37"/>
  <c r="I193" i="37"/>
  <c r="G193" i="37"/>
  <c r="E193" i="37"/>
  <c r="A193" i="37"/>
  <c r="K192" i="37"/>
  <c r="G192" i="37"/>
  <c r="A192" i="37"/>
  <c r="K191" i="37"/>
  <c r="E191" i="37"/>
  <c r="A191" i="37"/>
  <c r="K190" i="37"/>
  <c r="G190" i="37"/>
  <c r="A190" i="37"/>
  <c r="K189" i="37"/>
  <c r="G189" i="37"/>
  <c r="E189" i="37"/>
  <c r="D189" i="37"/>
  <c r="B189" i="37"/>
  <c r="A189" i="37"/>
  <c r="K188" i="37"/>
  <c r="A188" i="37"/>
  <c r="K187" i="37"/>
  <c r="A187" i="37"/>
  <c r="L186" i="37"/>
  <c r="K186" i="37"/>
  <c r="E186" i="37"/>
  <c r="A186" i="37"/>
  <c r="K185" i="37"/>
  <c r="G185" i="37"/>
  <c r="E185" i="37"/>
  <c r="D185" i="37"/>
  <c r="B185" i="37"/>
  <c r="A185" i="37"/>
  <c r="K184" i="37"/>
  <c r="G184" i="37"/>
  <c r="A184" i="37"/>
  <c r="K183" i="37"/>
  <c r="A183" i="37"/>
  <c r="L182" i="37"/>
  <c r="K182" i="37"/>
  <c r="E182" i="37"/>
  <c r="A182" i="37"/>
  <c r="L181" i="37"/>
  <c r="K181" i="37"/>
  <c r="I181" i="37"/>
  <c r="G181" i="37"/>
  <c r="D181" i="37"/>
  <c r="A181" i="37"/>
  <c r="L162" i="37"/>
  <c r="H162" i="37"/>
  <c r="G162" i="37"/>
  <c r="I162" i="37" s="1"/>
  <c r="E162" i="37"/>
  <c r="D162" i="37"/>
  <c r="B162" i="37"/>
  <c r="L161" i="37"/>
  <c r="H161" i="37"/>
  <c r="G161" i="37"/>
  <c r="E161" i="37"/>
  <c r="I161" i="37" s="1"/>
  <c r="D161" i="37"/>
  <c r="B161" i="37"/>
  <c r="L160" i="37"/>
  <c r="I160" i="37"/>
  <c r="H160" i="37"/>
  <c r="G160" i="37"/>
  <c r="E160" i="37"/>
  <c r="D160" i="37"/>
  <c r="B160" i="37"/>
  <c r="L159" i="37"/>
  <c r="H159" i="37"/>
  <c r="G159" i="37"/>
  <c r="E159" i="37"/>
  <c r="D159" i="37"/>
  <c r="I159" i="37" s="1"/>
  <c r="B159" i="37"/>
  <c r="L158" i="37"/>
  <c r="H158" i="37"/>
  <c r="G158" i="37"/>
  <c r="E158" i="37"/>
  <c r="D158" i="37"/>
  <c r="B158" i="37"/>
  <c r="L157" i="37"/>
  <c r="H157" i="37"/>
  <c r="G157" i="37"/>
  <c r="E157" i="37"/>
  <c r="I157" i="37" s="1"/>
  <c r="D157" i="37"/>
  <c r="B157" i="37"/>
  <c r="L156" i="37"/>
  <c r="I156" i="37"/>
  <c r="H156" i="37"/>
  <c r="G156" i="37"/>
  <c r="E156" i="37"/>
  <c r="D156" i="37"/>
  <c r="B156" i="37"/>
  <c r="L155" i="37"/>
  <c r="H155" i="37"/>
  <c r="G155" i="37"/>
  <c r="E155" i="37"/>
  <c r="D155" i="37"/>
  <c r="I155" i="37" s="1"/>
  <c r="B155" i="37"/>
  <c r="L154" i="37"/>
  <c r="H154" i="37"/>
  <c r="G154" i="37"/>
  <c r="E154" i="37"/>
  <c r="D154" i="37"/>
  <c r="B154" i="37"/>
  <c r="L153" i="37"/>
  <c r="H153" i="37"/>
  <c r="G153" i="37"/>
  <c r="E153" i="37"/>
  <c r="I153" i="37" s="1"/>
  <c r="D153" i="37"/>
  <c r="B153" i="37"/>
  <c r="L152" i="37"/>
  <c r="H152" i="37"/>
  <c r="G152" i="37"/>
  <c r="I152" i="37" s="1"/>
  <c r="E152" i="37"/>
  <c r="D152" i="37"/>
  <c r="B152" i="37"/>
  <c r="L151" i="37"/>
  <c r="H151" i="37"/>
  <c r="G151" i="37"/>
  <c r="E151" i="37"/>
  <c r="D151" i="37"/>
  <c r="B151" i="37"/>
  <c r="I151" i="37" s="1"/>
  <c r="L150" i="37"/>
  <c r="H150" i="37"/>
  <c r="G150" i="37"/>
  <c r="E150" i="37"/>
  <c r="I150" i="37" s="1"/>
  <c r="D150" i="37"/>
  <c r="B150" i="37"/>
  <c r="L149" i="37"/>
  <c r="H149" i="37"/>
  <c r="G149" i="37"/>
  <c r="E149" i="37"/>
  <c r="I149" i="37" s="1"/>
  <c r="D149" i="37"/>
  <c r="B149" i="37"/>
  <c r="L148" i="37"/>
  <c r="H148" i="37"/>
  <c r="G148" i="37"/>
  <c r="E148" i="37"/>
  <c r="D148" i="37"/>
  <c r="B148" i="37"/>
  <c r="L147" i="37"/>
  <c r="L163" i="37" s="1"/>
  <c r="H147" i="37"/>
  <c r="G147" i="37"/>
  <c r="E147" i="37"/>
  <c r="D147" i="37"/>
  <c r="B147" i="37"/>
  <c r="I147" i="37" s="1"/>
  <c r="L146" i="37"/>
  <c r="H146" i="37"/>
  <c r="G146" i="37"/>
  <c r="E146" i="37"/>
  <c r="D146" i="37"/>
  <c r="B146" i="37"/>
  <c r="L140" i="37"/>
  <c r="H140" i="37"/>
  <c r="G140" i="37"/>
  <c r="E140" i="37"/>
  <c r="D140" i="37"/>
  <c r="B140" i="37"/>
  <c r="B197" i="37" s="1"/>
  <c r="L139" i="37"/>
  <c r="L196" i="37" s="1"/>
  <c r="I139" i="37"/>
  <c r="I196" i="37" s="1"/>
  <c r="H139" i="37"/>
  <c r="G139" i="37"/>
  <c r="G196" i="37" s="1"/>
  <c r="E139" i="37"/>
  <c r="D139" i="37"/>
  <c r="B139" i="37"/>
  <c r="L138" i="37"/>
  <c r="H138" i="37"/>
  <c r="G138" i="37"/>
  <c r="E138" i="37"/>
  <c r="D138" i="37"/>
  <c r="D195" i="37" s="1"/>
  <c r="B138" i="37"/>
  <c r="B195" i="37" s="1"/>
  <c r="L137" i="37"/>
  <c r="L194" i="37" s="1"/>
  <c r="H137" i="37"/>
  <c r="G137" i="37"/>
  <c r="G194" i="37" s="1"/>
  <c r="E137" i="37"/>
  <c r="D137" i="37"/>
  <c r="D194" i="37" s="1"/>
  <c r="B137" i="37"/>
  <c r="B194" i="37" s="1"/>
  <c r="L136" i="37"/>
  <c r="H136" i="37"/>
  <c r="G136" i="37"/>
  <c r="I136" i="37" s="1"/>
  <c r="E136" i="37"/>
  <c r="D136" i="37"/>
  <c r="D193" i="37" s="1"/>
  <c r="B136" i="37"/>
  <c r="B193" i="37" s="1"/>
  <c r="L135" i="37"/>
  <c r="L192" i="37" s="1"/>
  <c r="H135" i="37"/>
  <c r="G135" i="37"/>
  <c r="E135" i="37"/>
  <c r="D135" i="37"/>
  <c r="D192" i="37" s="1"/>
  <c r="B135" i="37"/>
  <c r="B192" i="37" s="1"/>
  <c r="L134" i="37"/>
  <c r="L191" i="37" s="1"/>
  <c r="H134" i="37"/>
  <c r="G134" i="37"/>
  <c r="G191" i="37" s="1"/>
  <c r="E134" i="37"/>
  <c r="D134" i="37"/>
  <c r="D191" i="37" s="1"/>
  <c r="B134" i="37"/>
  <c r="B191" i="37" s="1"/>
  <c r="L133" i="37"/>
  <c r="L190" i="37" s="1"/>
  <c r="H133" i="37"/>
  <c r="G133" i="37"/>
  <c r="E133" i="37"/>
  <c r="D133" i="37"/>
  <c r="D190" i="37" s="1"/>
  <c r="B133" i="37"/>
  <c r="B190" i="37" s="1"/>
  <c r="L132" i="37"/>
  <c r="L189" i="37" s="1"/>
  <c r="I132" i="37"/>
  <c r="I189" i="37" s="1"/>
  <c r="H132" i="37"/>
  <c r="G132" i="37"/>
  <c r="E132" i="37"/>
  <c r="D132" i="37"/>
  <c r="B132" i="37"/>
  <c r="L131" i="37"/>
  <c r="L188" i="37" s="1"/>
  <c r="H131" i="37"/>
  <c r="G131" i="37"/>
  <c r="G188" i="37" s="1"/>
  <c r="E131" i="37"/>
  <c r="D131" i="37"/>
  <c r="D188" i="37" s="1"/>
  <c r="B131" i="37"/>
  <c r="B188" i="37" s="1"/>
  <c r="L130" i="37"/>
  <c r="H130" i="37"/>
  <c r="G130" i="37"/>
  <c r="G187" i="37" s="1"/>
  <c r="E130" i="37"/>
  <c r="D130" i="37"/>
  <c r="D187" i="37" s="1"/>
  <c r="B130" i="37"/>
  <c r="B187" i="37" s="1"/>
  <c r="L129" i="37"/>
  <c r="I129" i="37"/>
  <c r="I186" i="37" s="1"/>
  <c r="H129" i="37"/>
  <c r="G129" i="37"/>
  <c r="G186" i="37" s="1"/>
  <c r="E129" i="37"/>
  <c r="D129" i="37"/>
  <c r="D186" i="37" s="1"/>
  <c r="B129" i="37"/>
  <c r="B186" i="37" s="1"/>
  <c r="L128" i="37"/>
  <c r="L185" i="37" s="1"/>
  <c r="I128" i="37"/>
  <c r="I185" i="37" s="1"/>
  <c r="H128" i="37"/>
  <c r="G128" i="37"/>
  <c r="E128" i="37"/>
  <c r="D128" i="37"/>
  <c r="B128" i="37"/>
  <c r="L127" i="37"/>
  <c r="L184" i="37" s="1"/>
  <c r="H127" i="37"/>
  <c r="G127" i="37"/>
  <c r="E127" i="37"/>
  <c r="D127" i="37"/>
  <c r="D184" i="37" s="1"/>
  <c r="B127" i="37"/>
  <c r="B184" i="37" s="1"/>
  <c r="L126" i="37"/>
  <c r="L183" i="37" s="1"/>
  <c r="H126" i="37"/>
  <c r="G126" i="37"/>
  <c r="G183" i="37" s="1"/>
  <c r="E126" i="37"/>
  <c r="D126" i="37"/>
  <c r="D183" i="37" s="1"/>
  <c r="B126" i="37"/>
  <c r="B183" i="37" s="1"/>
  <c r="L125" i="37"/>
  <c r="H125" i="37"/>
  <c r="G125" i="37"/>
  <c r="G182" i="37" s="1"/>
  <c r="E125" i="37"/>
  <c r="D125" i="37"/>
  <c r="D182" i="37" s="1"/>
  <c r="B125" i="37"/>
  <c r="B182" i="37" s="1"/>
  <c r="L124" i="37"/>
  <c r="H124" i="37"/>
  <c r="G124" i="37"/>
  <c r="I124" i="37" s="1"/>
  <c r="E124" i="37"/>
  <c r="E181" i="37" s="1"/>
  <c r="D124" i="37"/>
  <c r="B124" i="37"/>
  <c r="B181" i="37" s="1"/>
  <c r="B83" i="37"/>
  <c r="A83" i="37"/>
  <c r="G82" i="37"/>
  <c r="D82" i="37"/>
  <c r="B82" i="37"/>
  <c r="A82" i="37"/>
  <c r="D81" i="37"/>
  <c r="A81" i="37"/>
  <c r="L80" i="37"/>
  <c r="G80" i="37"/>
  <c r="B80" i="37"/>
  <c r="A80" i="37"/>
  <c r="E79" i="37"/>
  <c r="D79" i="37"/>
  <c r="A79" i="37"/>
  <c r="E78" i="37"/>
  <c r="A78" i="37"/>
  <c r="G77" i="37"/>
  <c r="E77" i="37"/>
  <c r="D77" i="37"/>
  <c r="A77" i="37"/>
  <c r="G76" i="37"/>
  <c r="B76" i="37"/>
  <c r="A76" i="37"/>
  <c r="L75" i="37"/>
  <c r="A75" i="37"/>
  <c r="G74" i="37"/>
  <c r="E74" i="37"/>
  <c r="D74" i="37"/>
  <c r="B74" i="37"/>
  <c r="A74" i="37"/>
  <c r="L73" i="37"/>
  <c r="D73" i="37"/>
  <c r="A73" i="37"/>
  <c r="I72" i="37"/>
  <c r="B72" i="37"/>
  <c r="A72" i="37"/>
  <c r="L57" i="37"/>
  <c r="H57" i="37"/>
  <c r="G57" i="37"/>
  <c r="E57" i="37"/>
  <c r="I57" i="37" s="1"/>
  <c r="D57" i="37"/>
  <c r="B57" i="37"/>
  <c r="L56" i="37"/>
  <c r="H56" i="37"/>
  <c r="G56" i="37"/>
  <c r="E56" i="37"/>
  <c r="I56" i="37" s="1"/>
  <c r="D56" i="37"/>
  <c r="B56" i="37"/>
  <c r="L55" i="37"/>
  <c r="H55" i="37"/>
  <c r="G55" i="37"/>
  <c r="E55" i="37"/>
  <c r="I55" i="37" s="1"/>
  <c r="D55" i="37"/>
  <c r="B55" i="37"/>
  <c r="L54" i="37"/>
  <c r="H54" i="37"/>
  <c r="G54" i="37"/>
  <c r="E54" i="37"/>
  <c r="D54" i="37"/>
  <c r="B54" i="37"/>
  <c r="I54" i="37" s="1"/>
  <c r="L53" i="37"/>
  <c r="H53" i="37"/>
  <c r="G53" i="37"/>
  <c r="E53" i="37"/>
  <c r="D53" i="37"/>
  <c r="I53" i="37" s="1"/>
  <c r="B53" i="37"/>
  <c r="L52" i="37"/>
  <c r="H52" i="37"/>
  <c r="G52" i="37"/>
  <c r="E52" i="37"/>
  <c r="D52" i="37"/>
  <c r="B52" i="37"/>
  <c r="L51" i="37"/>
  <c r="H51" i="37"/>
  <c r="G51" i="37"/>
  <c r="E51" i="37"/>
  <c r="D51" i="37"/>
  <c r="B51" i="37"/>
  <c r="L50" i="37"/>
  <c r="H50" i="37"/>
  <c r="G50" i="37"/>
  <c r="E50" i="37"/>
  <c r="D50" i="37"/>
  <c r="B50" i="37"/>
  <c r="L49" i="37"/>
  <c r="I49" i="37"/>
  <c r="H49" i="37"/>
  <c r="G49" i="37"/>
  <c r="E49" i="37"/>
  <c r="D49" i="37"/>
  <c r="B49" i="37"/>
  <c r="L48" i="37"/>
  <c r="H48" i="37"/>
  <c r="G48" i="37"/>
  <c r="E48" i="37"/>
  <c r="D48" i="37"/>
  <c r="B48" i="37"/>
  <c r="L24" i="37"/>
  <c r="L83" i="37" s="1"/>
  <c r="H24" i="37"/>
  <c r="G24" i="37"/>
  <c r="G83" i="37" s="1"/>
  <c r="E24" i="37"/>
  <c r="D24" i="37"/>
  <c r="D83" i="37" s="1"/>
  <c r="B24" i="37"/>
  <c r="L23" i="37"/>
  <c r="L82" i="37" s="1"/>
  <c r="H23" i="37"/>
  <c r="G23" i="37"/>
  <c r="E23" i="37"/>
  <c r="D23" i="37"/>
  <c r="B23" i="37"/>
  <c r="L22" i="37"/>
  <c r="L81" i="37" s="1"/>
  <c r="H22" i="37"/>
  <c r="G22" i="37"/>
  <c r="G81" i="37" s="1"/>
  <c r="E22" i="37"/>
  <c r="D22" i="37"/>
  <c r="B22" i="37"/>
  <c r="B81" i="37" s="1"/>
  <c r="L21" i="37"/>
  <c r="H21" i="37"/>
  <c r="G21" i="37"/>
  <c r="E21" i="37"/>
  <c r="D21" i="37"/>
  <c r="D80" i="37" s="1"/>
  <c r="B21" i="37"/>
  <c r="L20" i="37"/>
  <c r="L79" i="37" s="1"/>
  <c r="I20" i="37"/>
  <c r="I79" i="37" s="1"/>
  <c r="H20" i="37"/>
  <c r="G20" i="37"/>
  <c r="G79" i="37" s="1"/>
  <c r="E20" i="37"/>
  <c r="D20" i="37"/>
  <c r="B20" i="37"/>
  <c r="B79" i="37" s="1"/>
  <c r="L19" i="37"/>
  <c r="L78" i="37" s="1"/>
  <c r="H19" i="37"/>
  <c r="G19" i="37"/>
  <c r="G78" i="37" s="1"/>
  <c r="E19" i="37"/>
  <c r="D19" i="37"/>
  <c r="D78" i="37" s="1"/>
  <c r="B19" i="37"/>
  <c r="B78" i="37" s="1"/>
  <c r="L18" i="37"/>
  <c r="L77" i="37" s="1"/>
  <c r="H18" i="37"/>
  <c r="G18" i="37"/>
  <c r="E18" i="37"/>
  <c r="D18" i="37"/>
  <c r="B18" i="37"/>
  <c r="B77" i="37" s="1"/>
  <c r="L17" i="37"/>
  <c r="L76" i="37" s="1"/>
  <c r="H17" i="37"/>
  <c r="G17" i="37"/>
  <c r="E17" i="37"/>
  <c r="D17" i="37"/>
  <c r="D76" i="37" s="1"/>
  <c r="B17" i="37"/>
  <c r="L16" i="37"/>
  <c r="H16" i="37"/>
  <c r="G16" i="37"/>
  <c r="E16" i="37"/>
  <c r="E75" i="37" s="1"/>
  <c r="D16" i="37"/>
  <c r="D75" i="37" s="1"/>
  <c r="B16" i="37"/>
  <c r="B75" i="37" s="1"/>
  <c r="L15" i="37"/>
  <c r="L74" i="37" s="1"/>
  <c r="H15" i="37"/>
  <c r="G15" i="37"/>
  <c r="E15" i="37"/>
  <c r="D15" i="37"/>
  <c r="B15" i="37"/>
  <c r="L14" i="37"/>
  <c r="H14" i="37"/>
  <c r="G14" i="37"/>
  <c r="G73" i="37" s="1"/>
  <c r="E14" i="37"/>
  <c r="D14" i="37"/>
  <c r="B14" i="37"/>
  <c r="B73" i="37" s="1"/>
  <c r="L13" i="37"/>
  <c r="L72" i="37" s="1"/>
  <c r="I13" i="37"/>
  <c r="H13" i="37"/>
  <c r="G13" i="37"/>
  <c r="G72" i="37" s="1"/>
  <c r="E13" i="37"/>
  <c r="E72" i="37" s="1"/>
  <c r="D13" i="37"/>
  <c r="D72" i="37" s="1"/>
  <c r="B13" i="37"/>
  <c r="AS198" i="36"/>
  <c r="AJ198" i="36"/>
  <c r="AS197" i="36"/>
  <c r="AJ197" i="36"/>
  <c r="AS196" i="36"/>
  <c r="AJ196" i="36"/>
  <c r="AS195" i="36"/>
  <c r="AJ195" i="36"/>
  <c r="AS194" i="36"/>
  <c r="AJ194" i="36"/>
  <c r="AS193" i="36"/>
  <c r="AJ193" i="36"/>
  <c r="AS192" i="36"/>
  <c r="AJ192" i="36"/>
  <c r="K81" i="36"/>
  <c r="K79" i="36"/>
  <c r="K78" i="36"/>
  <c r="K77" i="36"/>
  <c r="K76" i="36"/>
  <c r="K75" i="36"/>
  <c r="N59" i="36"/>
  <c r="M59" i="36"/>
  <c r="L59" i="36"/>
  <c r="K59" i="36"/>
  <c r="KB57" i="36"/>
  <c r="JM57" i="36"/>
  <c r="IX57" i="36"/>
  <c r="II57" i="36"/>
  <c r="HT57" i="36"/>
  <c r="HE57" i="36"/>
  <c r="GP57" i="36"/>
  <c r="GA57" i="36"/>
  <c r="FL57" i="36"/>
  <c r="EW57" i="36"/>
  <c r="EH57" i="36"/>
  <c r="DS57" i="36"/>
  <c r="DD57" i="36"/>
  <c r="CO57" i="36"/>
  <c r="CG57" i="36"/>
  <c r="BT57" i="36"/>
  <c r="BE57" i="36"/>
  <c r="AP57" i="36"/>
  <c r="KP55" i="36"/>
  <c r="KO55" i="36"/>
  <c r="KN55" i="36"/>
  <c r="KM55" i="36"/>
  <c r="KL55" i="36"/>
  <c r="KK55" i="36"/>
  <c r="KJ55" i="36"/>
  <c r="KI55" i="36"/>
  <c r="KH55" i="36"/>
  <c r="KG55" i="36"/>
  <c r="KF55" i="36"/>
  <c r="KE55" i="36"/>
  <c r="KD55" i="36"/>
  <c r="KC55" i="36"/>
  <c r="KA55" i="36"/>
  <c r="JZ55" i="36"/>
  <c r="JY55" i="36"/>
  <c r="JX55" i="36"/>
  <c r="JW55" i="36"/>
  <c r="JV55" i="36"/>
  <c r="JU55" i="36"/>
  <c r="JT55" i="36"/>
  <c r="JS55" i="36"/>
  <c r="JR55" i="36"/>
  <c r="JQ55" i="36"/>
  <c r="JP55" i="36"/>
  <c r="JO55" i="36"/>
  <c r="JN55" i="36"/>
  <c r="JL55" i="36"/>
  <c r="JK55" i="36"/>
  <c r="JJ55" i="36"/>
  <c r="JI55" i="36"/>
  <c r="JH55" i="36"/>
  <c r="JG55" i="36"/>
  <c r="JF55" i="36"/>
  <c r="JE55" i="36"/>
  <c r="JD55" i="36"/>
  <c r="JC55" i="36"/>
  <c r="JB55" i="36"/>
  <c r="JA55" i="36"/>
  <c r="IZ55" i="36"/>
  <c r="IY55" i="36"/>
  <c r="IW55" i="36"/>
  <c r="IV55" i="36"/>
  <c r="IU55" i="36"/>
  <c r="IT55" i="36"/>
  <c r="IS55" i="36"/>
  <c r="IR55" i="36"/>
  <c r="IQ55" i="36"/>
  <c r="IP55" i="36"/>
  <c r="IO55" i="36"/>
  <c r="IN55" i="36"/>
  <c r="IM55" i="36"/>
  <c r="IL55" i="36"/>
  <c r="IK55" i="36"/>
  <c r="IJ55" i="36"/>
  <c r="IH55" i="36"/>
  <c r="IG55" i="36"/>
  <c r="IF55" i="36"/>
  <c r="HX55" i="36"/>
  <c r="HQ55" i="36"/>
  <c r="HP55" i="36"/>
  <c r="HO55" i="36"/>
  <c r="HN55" i="36"/>
  <c r="HM55" i="36"/>
  <c r="HL55" i="36"/>
  <c r="HK55" i="36"/>
  <c r="HJ55" i="36"/>
  <c r="HH55" i="36"/>
  <c r="HF55" i="36"/>
  <c r="HC55" i="36"/>
  <c r="GX55" i="36"/>
  <c r="GW55" i="36"/>
  <c r="GU55" i="36"/>
  <c r="GS55" i="36"/>
  <c r="GR55" i="36"/>
  <c r="GQ55" i="36"/>
  <c r="GO55" i="36"/>
  <c r="GL55" i="36"/>
  <c r="GK55" i="36"/>
  <c r="GG55" i="36"/>
  <c r="GF55" i="36"/>
  <c r="FZ55" i="36"/>
  <c r="FX55" i="36"/>
  <c r="FS55" i="36"/>
  <c r="FR55" i="36"/>
  <c r="FQ55" i="36"/>
  <c r="FP55" i="36"/>
  <c r="FN55" i="36"/>
  <c r="FG55" i="36"/>
  <c r="FE55" i="36"/>
  <c r="FD55" i="36"/>
  <c r="FB55" i="36"/>
  <c r="FA55" i="36"/>
  <c r="EU55" i="36"/>
  <c r="EL55" i="36"/>
  <c r="EK55" i="36"/>
  <c r="DC55" i="36"/>
  <c r="DA55" i="36"/>
  <c r="CZ55" i="36"/>
  <c r="CY55" i="36"/>
  <c r="CX55" i="36"/>
  <c r="CW55" i="36"/>
  <c r="CV55" i="36"/>
  <c r="CU55" i="36"/>
  <c r="CT55" i="36"/>
  <c r="CM55" i="36"/>
  <c r="CL55" i="36"/>
  <c r="CH55" i="36"/>
  <c r="CD55" i="36"/>
  <c r="CB55" i="36"/>
  <c r="BV55" i="36"/>
  <c r="BU55" i="36"/>
  <c r="BS55" i="36"/>
  <c r="BR55" i="36"/>
  <c r="BQ55" i="36"/>
  <c r="BN55" i="36"/>
  <c r="BM55" i="36"/>
  <c r="BK55" i="36"/>
  <c r="BI55" i="36"/>
  <c r="BH55" i="36"/>
  <c r="BG55" i="36"/>
  <c r="BC55" i="36"/>
  <c r="BB55" i="36"/>
  <c r="BA55" i="36"/>
  <c r="AZ55" i="36"/>
  <c r="AY55" i="36"/>
  <c r="AX55" i="36"/>
  <c r="AJ55" i="36"/>
  <c r="AI55" i="36"/>
  <c r="AH55" i="36"/>
  <c r="AF55" i="36"/>
  <c r="AE55" i="36"/>
  <c r="AC55" i="36" a="1"/>
  <c r="AC55" i="36" s="1"/>
  <c r="DH55" i="36" s="1"/>
  <c r="AB55" i="36"/>
  <c r="W55" i="36"/>
  <c r="U55" i="36"/>
  <c r="T55" i="36"/>
  <c r="R55" i="36"/>
  <c r="H55" i="36"/>
  <c r="F55" i="36"/>
  <c r="E55" i="36"/>
  <c r="C55" i="36"/>
  <c r="KP54" i="36"/>
  <c r="KO54" i="36"/>
  <c r="KN54" i="36"/>
  <c r="KM54" i="36"/>
  <c r="KL54" i="36"/>
  <c r="KK54" i="36"/>
  <c r="KJ54" i="36"/>
  <c r="KI54" i="36"/>
  <c r="KH54" i="36"/>
  <c r="KG54" i="36"/>
  <c r="KF54" i="36"/>
  <c r="KE54" i="36"/>
  <c r="KD54" i="36"/>
  <c r="KC54" i="36"/>
  <c r="KA54" i="36"/>
  <c r="JZ54" i="36"/>
  <c r="JY54" i="36"/>
  <c r="JX54" i="36"/>
  <c r="JW54" i="36"/>
  <c r="JV54" i="36"/>
  <c r="JU54" i="36"/>
  <c r="JT54" i="36"/>
  <c r="JS54" i="36"/>
  <c r="JR54" i="36"/>
  <c r="JQ54" i="36"/>
  <c r="JP54" i="36"/>
  <c r="JO54" i="36"/>
  <c r="JN54" i="36"/>
  <c r="JL54" i="36"/>
  <c r="JK54" i="36"/>
  <c r="JJ54" i="36"/>
  <c r="JI54" i="36"/>
  <c r="JH54" i="36"/>
  <c r="JG54" i="36"/>
  <c r="JF54" i="36"/>
  <c r="JE54" i="36"/>
  <c r="JD54" i="36"/>
  <c r="JC54" i="36"/>
  <c r="JB54" i="36"/>
  <c r="JA54" i="36"/>
  <c r="IZ54" i="36"/>
  <c r="IY54" i="36"/>
  <c r="IW54" i="36"/>
  <c r="IV54" i="36"/>
  <c r="IU54" i="36"/>
  <c r="IT54" i="36"/>
  <c r="IS54" i="36"/>
  <c r="IR54" i="36"/>
  <c r="IQ54" i="36"/>
  <c r="IP54" i="36"/>
  <c r="IO54" i="36"/>
  <c r="IN54" i="36"/>
  <c r="IM54" i="36"/>
  <c r="IL54" i="36"/>
  <c r="IK54" i="36"/>
  <c r="IJ54" i="36"/>
  <c r="IF54" i="36"/>
  <c r="ID54" i="36"/>
  <c r="IC54" i="36"/>
  <c r="IB54" i="36"/>
  <c r="IA54" i="36"/>
  <c r="HZ54" i="36"/>
  <c r="HU54" i="36"/>
  <c r="HK54" i="36"/>
  <c r="HJ54" i="36"/>
  <c r="HI54" i="36"/>
  <c r="HH54" i="36"/>
  <c r="HG54" i="36"/>
  <c r="HF54" i="36"/>
  <c r="HD54" i="36"/>
  <c r="HB54" i="36"/>
  <c r="HA54" i="36"/>
  <c r="GY54" i="36"/>
  <c r="GW54" i="36"/>
  <c r="GV54" i="36"/>
  <c r="GU54" i="36"/>
  <c r="GT54" i="36"/>
  <c r="GR54" i="36"/>
  <c r="GQ54" i="36"/>
  <c r="GO54" i="36"/>
  <c r="GI54" i="36"/>
  <c r="GH54" i="36"/>
  <c r="GG54" i="36"/>
  <c r="GD54" i="36"/>
  <c r="FZ54" i="36"/>
  <c r="FX54" i="36"/>
  <c r="FW54" i="36"/>
  <c r="FR54" i="36"/>
  <c r="FP54" i="36"/>
  <c r="FO54" i="36"/>
  <c r="FN54" i="36"/>
  <c r="FM54" i="36"/>
  <c r="FK54" i="36"/>
  <c r="FJ54" i="36"/>
  <c r="FC54" i="36"/>
  <c r="EQ54" i="36"/>
  <c r="DC54" i="36"/>
  <c r="CW54" i="36"/>
  <c r="CT54" i="36"/>
  <c r="CS54" i="36"/>
  <c r="CR54" i="36"/>
  <c r="CQ54" i="36"/>
  <c r="CP54" i="36"/>
  <c r="CN54" i="36"/>
  <c r="CL54" i="36"/>
  <c r="CK54" i="36"/>
  <c r="CJ54" i="36"/>
  <c r="CA54" i="36"/>
  <c r="BZ54" i="36"/>
  <c r="BY54" i="36"/>
  <c r="BX54" i="36"/>
  <c r="BV54" i="36"/>
  <c r="BQ54" i="36"/>
  <c r="BP54" i="36"/>
  <c r="BO54" i="36"/>
  <c r="BN54" i="36"/>
  <c r="BM54" i="36"/>
  <c r="BL54" i="36"/>
  <c r="BK54" i="36"/>
  <c r="BH54" i="36"/>
  <c r="BD54" i="36"/>
  <c r="BB54" i="36"/>
  <c r="AZ54" i="36"/>
  <c r="AY54" i="36"/>
  <c r="AX54" i="36"/>
  <c r="AW54" i="36"/>
  <c r="AV54" i="36"/>
  <c r="AU54" i="36"/>
  <c r="AN54" i="36"/>
  <c r="AL54" i="36"/>
  <c r="AJ54" i="36"/>
  <c r="AF54" i="36"/>
  <c r="GS54" i="36" s="1"/>
  <c r="AE54" i="36"/>
  <c r="AC54" i="36" a="1"/>
  <c r="AC54" i="36" s="1"/>
  <c r="EG54" i="36" s="1"/>
  <c r="AB54" i="36"/>
  <c r="W54" i="36"/>
  <c r="U54" i="36"/>
  <c r="T54" i="36"/>
  <c r="R54" i="36"/>
  <c r="P54" i="36"/>
  <c r="Q54" i="36" s="1"/>
  <c r="H54" i="36"/>
  <c r="F54" i="36"/>
  <c r="E54" i="36"/>
  <c r="C54" i="36"/>
  <c r="KP53" i="36"/>
  <c r="KO53" i="36"/>
  <c r="KN53" i="36"/>
  <c r="KM53" i="36"/>
  <c r="KL53" i="36"/>
  <c r="KK53" i="36"/>
  <c r="KJ53" i="36"/>
  <c r="KI53" i="36"/>
  <c r="KH53" i="36"/>
  <c r="KG53" i="36"/>
  <c r="KF53" i="36"/>
  <c r="KE53" i="36"/>
  <c r="KD53" i="36"/>
  <c r="KC53" i="36"/>
  <c r="KA53" i="36"/>
  <c r="JZ53" i="36"/>
  <c r="JY53" i="36"/>
  <c r="JX53" i="36"/>
  <c r="JW53" i="36"/>
  <c r="JV53" i="36"/>
  <c r="JU53" i="36"/>
  <c r="JT53" i="36"/>
  <c r="JS53" i="36"/>
  <c r="JR53" i="36"/>
  <c r="JQ53" i="36"/>
  <c r="JP53" i="36"/>
  <c r="JO53" i="36"/>
  <c r="JN53" i="36"/>
  <c r="JL53" i="36"/>
  <c r="JK53" i="36"/>
  <c r="JJ53" i="36"/>
  <c r="JI53" i="36"/>
  <c r="JH53" i="36"/>
  <c r="JG53" i="36"/>
  <c r="JF53" i="36"/>
  <c r="JE53" i="36"/>
  <c r="JD53" i="36"/>
  <c r="JC53" i="36"/>
  <c r="JB53" i="36"/>
  <c r="JA53" i="36"/>
  <c r="IZ53" i="36"/>
  <c r="IY53" i="36"/>
  <c r="IW53" i="36"/>
  <c r="IV53" i="36"/>
  <c r="IU53" i="36"/>
  <c r="IT53" i="36"/>
  <c r="IS53" i="36"/>
  <c r="IR53" i="36"/>
  <c r="IQ53" i="36"/>
  <c r="IP53" i="36"/>
  <c r="IO53" i="36"/>
  <c r="IN53" i="36"/>
  <c r="IM53" i="36"/>
  <c r="IL53" i="36"/>
  <c r="IK53" i="36"/>
  <c r="IJ53" i="36"/>
  <c r="HI53" i="36"/>
  <c r="HH53" i="36"/>
  <c r="HB53" i="36"/>
  <c r="HA53" i="36"/>
  <c r="GF53" i="36"/>
  <c r="GE53" i="36"/>
  <c r="FX53" i="36"/>
  <c r="FQ53" i="36"/>
  <c r="FO53" i="36"/>
  <c r="FN53" i="36"/>
  <c r="FM53" i="36"/>
  <c r="FK53" i="36"/>
  <c r="EM53" i="36"/>
  <c r="EL53" i="36"/>
  <c r="EK53" i="36"/>
  <c r="CZ53" i="36"/>
  <c r="CW53" i="36"/>
  <c r="CL53" i="36"/>
  <c r="CB53" i="36"/>
  <c r="BW53" i="36"/>
  <c r="BK53" i="36"/>
  <c r="BI53" i="36"/>
  <c r="AZ53" i="36"/>
  <c r="AY53" i="36"/>
  <c r="AX53" i="36"/>
  <c r="AU53" i="36"/>
  <c r="AO53" i="36"/>
  <c r="AF53" i="36"/>
  <c r="AE53" i="36"/>
  <c r="AC53" i="36" a="1"/>
  <c r="AC53" i="36" s="1"/>
  <c r="ED53" i="36" s="1"/>
  <c r="AB53" i="36"/>
  <c r="W53" i="36"/>
  <c r="U53" i="36"/>
  <c r="T53" i="36"/>
  <c r="R53" i="36"/>
  <c r="P53" i="36" s="1"/>
  <c r="Q53" i="36" s="1"/>
  <c r="H53" i="36"/>
  <c r="F53" i="36"/>
  <c r="E53" i="36"/>
  <c r="C53" i="36"/>
  <c r="KP52" i="36"/>
  <c r="KO52" i="36"/>
  <c r="KN52" i="36"/>
  <c r="KM52" i="36"/>
  <c r="KL52" i="36"/>
  <c r="KK52" i="36"/>
  <c r="KJ52" i="36"/>
  <c r="KI52" i="36"/>
  <c r="KH52" i="36"/>
  <c r="KG52" i="36"/>
  <c r="KF52" i="36"/>
  <c r="KE52" i="36"/>
  <c r="KD52" i="36"/>
  <c r="KC52" i="36"/>
  <c r="KA52" i="36"/>
  <c r="JZ52" i="36"/>
  <c r="JY52" i="36"/>
  <c r="JX52" i="36"/>
  <c r="JW52" i="36"/>
  <c r="JV52" i="36"/>
  <c r="JU52" i="36"/>
  <c r="JT52" i="36"/>
  <c r="JS52" i="36"/>
  <c r="JR52" i="36"/>
  <c r="JQ52" i="36"/>
  <c r="JP52" i="36"/>
  <c r="JO52" i="36"/>
  <c r="JN52" i="36"/>
  <c r="JL52" i="36"/>
  <c r="JK52" i="36"/>
  <c r="JJ52" i="36"/>
  <c r="JI52" i="36"/>
  <c r="JH52" i="36"/>
  <c r="JG52" i="36"/>
  <c r="JF52" i="36"/>
  <c r="JE52" i="36"/>
  <c r="JD52" i="36"/>
  <c r="JC52" i="36"/>
  <c r="JB52" i="36"/>
  <c r="JA52" i="36"/>
  <c r="IZ52" i="36"/>
  <c r="IY52" i="36"/>
  <c r="IW52" i="36"/>
  <c r="IV52" i="36"/>
  <c r="IU52" i="36"/>
  <c r="IT52" i="36"/>
  <c r="IS52" i="36"/>
  <c r="IR52" i="36"/>
  <c r="IQ52" i="36"/>
  <c r="IP52" i="36"/>
  <c r="IO52" i="36"/>
  <c r="IN52" i="36"/>
  <c r="IM52" i="36"/>
  <c r="IL52" i="36"/>
  <c r="IK52" i="36"/>
  <c r="IJ52" i="36"/>
  <c r="IH52" i="36"/>
  <c r="IF52" i="36"/>
  <c r="GZ52" i="36"/>
  <c r="GY52" i="36"/>
  <c r="GX52" i="36"/>
  <c r="GN52" i="36"/>
  <c r="GI52" i="36"/>
  <c r="GE52" i="36"/>
  <c r="FP52" i="36"/>
  <c r="FK52" i="36"/>
  <c r="FJ52" i="36"/>
  <c r="FI52" i="36"/>
  <c r="FH52" i="36"/>
  <c r="FC52" i="36"/>
  <c r="FB52" i="36"/>
  <c r="EZ52" i="36"/>
  <c r="EX52" i="36"/>
  <c r="EV52" i="36"/>
  <c r="ES52" i="36"/>
  <c r="EQ52" i="36"/>
  <c r="EN52" i="36"/>
  <c r="EM52" i="36"/>
  <c r="EL52" i="36"/>
  <c r="EK52" i="36"/>
  <c r="EI52" i="36"/>
  <c r="CS52" i="36"/>
  <c r="CR52" i="36"/>
  <c r="BZ52" i="36"/>
  <c r="BY52" i="36"/>
  <c r="BX52" i="36"/>
  <c r="BW52" i="36"/>
  <c r="BV52" i="36"/>
  <c r="AZ52" i="36"/>
  <c r="AF52" i="36"/>
  <c r="AT52" i="36" s="1"/>
  <c r="AE52" i="36"/>
  <c r="AC52" i="36" a="1"/>
  <c r="AC52" i="36" s="1"/>
  <c r="EE52" i="36" s="1"/>
  <c r="AB52" i="36"/>
  <c r="P52" i="36"/>
  <c r="Q52" i="36" s="1"/>
  <c r="H52" i="36"/>
  <c r="F52" i="36"/>
  <c r="E52" i="36"/>
  <c r="C52" i="36"/>
  <c r="KP51" i="36"/>
  <c r="KO51" i="36"/>
  <c r="KN51" i="36"/>
  <c r="KM51" i="36"/>
  <c r="KL51" i="36"/>
  <c r="KK51" i="36"/>
  <c r="KJ51" i="36"/>
  <c r="KI51" i="36"/>
  <c r="KH51" i="36"/>
  <c r="KG51" i="36"/>
  <c r="KF51" i="36"/>
  <c r="KE51" i="36"/>
  <c r="KD51" i="36"/>
  <c r="KC51" i="36"/>
  <c r="KA51" i="36"/>
  <c r="JZ51" i="36"/>
  <c r="JY51" i="36"/>
  <c r="JX51" i="36"/>
  <c r="JW51" i="36"/>
  <c r="JV51" i="36"/>
  <c r="JU51" i="36"/>
  <c r="JT51" i="36"/>
  <c r="JS51" i="36"/>
  <c r="JR51" i="36"/>
  <c r="JQ51" i="36"/>
  <c r="JP51" i="36"/>
  <c r="JO51" i="36"/>
  <c r="JN51" i="36"/>
  <c r="JL51" i="36"/>
  <c r="JK51" i="36"/>
  <c r="JJ51" i="36"/>
  <c r="JI51" i="36"/>
  <c r="JH51" i="36"/>
  <c r="JG51" i="36"/>
  <c r="JF51" i="36"/>
  <c r="JE51" i="36"/>
  <c r="JD51" i="36"/>
  <c r="JC51" i="36"/>
  <c r="JB51" i="36"/>
  <c r="JA51" i="36"/>
  <c r="IZ51" i="36"/>
  <c r="IY51" i="36"/>
  <c r="IW51" i="36"/>
  <c r="IV51" i="36"/>
  <c r="IU51" i="36"/>
  <c r="IT51" i="36"/>
  <c r="IS51" i="36"/>
  <c r="IR51" i="36"/>
  <c r="IQ51" i="36"/>
  <c r="IP51" i="36"/>
  <c r="IO51" i="36"/>
  <c r="IN51" i="36"/>
  <c r="IM51" i="36"/>
  <c r="IL51" i="36"/>
  <c r="IK51" i="36"/>
  <c r="IJ51" i="36"/>
  <c r="IA51" i="36"/>
  <c r="HZ51" i="36"/>
  <c r="HU51" i="36"/>
  <c r="HS51" i="36"/>
  <c r="HM51" i="36"/>
  <c r="HL51" i="36"/>
  <c r="HK51" i="36"/>
  <c r="HJ51" i="36"/>
  <c r="HI51" i="36"/>
  <c r="HF51" i="36"/>
  <c r="GZ51" i="36"/>
  <c r="GX51" i="36"/>
  <c r="GV51" i="36"/>
  <c r="GU51" i="36"/>
  <c r="GT51" i="36"/>
  <c r="GN51" i="36"/>
  <c r="GM51" i="36"/>
  <c r="GK51" i="36"/>
  <c r="GG51" i="36"/>
  <c r="GF51" i="36"/>
  <c r="GE51" i="36"/>
  <c r="FZ51" i="36"/>
  <c r="FO51" i="36"/>
  <c r="FN51" i="36"/>
  <c r="FA51" i="36"/>
  <c r="EZ51" i="36"/>
  <c r="EY51" i="36"/>
  <c r="EX51" i="36"/>
  <c r="EV51" i="36"/>
  <c r="EU51" i="36"/>
  <c r="ES51" i="36"/>
  <c r="CV51" i="36"/>
  <c r="CU51" i="36"/>
  <c r="CT51" i="36"/>
  <c r="CP51" i="36"/>
  <c r="CN51" i="36"/>
  <c r="CM51" i="36"/>
  <c r="CI51" i="36"/>
  <c r="CF51" i="36"/>
  <c r="CE51" i="36"/>
  <c r="CD51" i="36"/>
  <c r="CB51" i="36"/>
  <c r="CA51" i="36"/>
  <c r="BZ51" i="36"/>
  <c r="BW51" i="36"/>
  <c r="BI51" i="36"/>
  <c r="BG51" i="36"/>
  <c r="BD51" i="36"/>
  <c r="BA51" i="36"/>
  <c r="AZ51" i="36"/>
  <c r="AW51" i="36"/>
  <c r="AV51" i="36"/>
  <c r="AU51" i="36"/>
  <c r="AT51" i="36"/>
  <c r="AN51" i="36"/>
  <c r="AL51" i="36"/>
  <c r="AF51" i="36"/>
  <c r="AE51" i="36"/>
  <c r="FD51" i="36" s="1"/>
  <c r="AC51" i="36" a="1"/>
  <c r="AC51" i="36" s="1"/>
  <c r="DZ51" i="36" s="1"/>
  <c r="AB51" i="36"/>
  <c r="Q51" i="36"/>
  <c r="B51" i="36"/>
  <c r="KP50" i="36"/>
  <c r="KO50" i="36"/>
  <c r="KN50" i="36"/>
  <c r="KM50" i="36"/>
  <c r="KL50" i="36"/>
  <c r="KK50" i="36"/>
  <c r="KJ50" i="36"/>
  <c r="KI50" i="36"/>
  <c r="KH50" i="36"/>
  <c r="KG50" i="36"/>
  <c r="KF50" i="36"/>
  <c r="KE50" i="36"/>
  <c r="KD50" i="36"/>
  <c r="KC50" i="36"/>
  <c r="KA50" i="36"/>
  <c r="JZ50" i="36"/>
  <c r="JY50" i="36"/>
  <c r="JX50" i="36"/>
  <c r="JW50" i="36"/>
  <c r="JV50" i="36"/>
  <c r="JU50" i="36"/>
  <c r="JT50" i="36"/>
  <c r="JS50" i="36"/>
  <c r="JR50" i="36"/>
  <c r="JQ50" i="36"/>
  <c r="JP50" i="36"/>
  <c r="JO50" i="36"/>
  <c r="JN50" i="36"/>
  <c r="JL50" i="36"/>
  <c r="JK50" i="36"/>
  <c r="JJ50" i="36"/>
  <c r="JI50" i="36"/>
  <c r="JH50" i="36"/>
  <c r="JG50" i="36"/>
  <c r="JF50" i="36"/>
  <c r="JE50" i="36"/>
  <c r="JD50" i="36"/>
  <c r="JC50" i="36"/>
  <c r="JB50" i="36"/>
  <c r="JA50" i="36"/>
  <c r="IZ50" i="36"/>
  <c r="IY50" i="36"/>
  <c r="IW50" i="36"/>
  <c r="IV50" i="36"/>
  <c r="IU50" i="36"/>
  <c r="IT50" i="36"/>
  <c r="IS50" i="36"/>
  <c r="IR50" i="36"/>
  <c r="IQ50" i="36"/>
  <c r="IP50" i="36"/>
  <c r="IO50" i="36"/>
  <c r="IN50" i="36"/>
  <c r="IM50" i="36"/>
  <c r="IL50" i="36"/>
  <c r="IK50" i="36"/>
  <c r="IJ50" i="36"/>
  <c r="IG50" i="36"/>
  <c r="IF50" i="36"/>
  <c r="IE50" i="36"/>
  <c r="ID50" i="36"/>
  <c r="IC50" i="36"/>
  <c r="IB50" i="36"/>
  <c r="IA50" i="36"/>
  <c r="HZ50" i="36"/>
  <c r="HY50" i="36"/>
  <c r="HV50" i="36"/>
  <c r="HS50" i="36"/>
  <c r="HR50" i="36"/>
  <c r="HP50" i="36"/>
  <c r="HN50" i="36"/>
  <c r="HK50" i="36"/>
  <c r="HJ50" i="36"/>
  <c r="HH50" i="36"/>
  <c r="HG50" i="36"/>
  <c r="HD50" i="36"/>
  <c r="HC50" i="36"/>
  <c r="HB50" i="36"/>
  <c r="GW50" i="36"/>
  <c r="GV50" i="36"/>
  <c r="GT50" i="36"/>
  <c r="GS50" i="36"/>
  <c r="GR50" i="36"/>
  <c r="GO50" i="36"/>
  <c r="GN50" i="36"/>
  <c r="GM50" i="36"/>
  <c r="GL50" i="36"/>
  <c r="GK50" i="36"/>
  <c r="GJ50" i="36"/>
  <c r="GI50" i="36"/>
  <c r="FZ50" i="36"/>
  <c r="FX50" i="36"/>
  <c r="FW50" i="36"/>
  <c r="FV50" i="36"/>
  <c r="FU50" i="36"/>
  <c r="FT50" i="36"/>
  <c r="FS50" i="36"/>
  <c r="FR50" i="36"/>
  <c r="FQ50" i="36"/>
  <c r="FK50" i="36"/>
  <c r="EY50" i="36"/>
  <c r="EO50" i="36"/>
  <c r="DC50" i="36"/>
  <c r="DB50" i="36"/>
  <c r="DA50" i="36"/>
  <c r="CZ50" i="36"/>
  <c r="CY50" i="36"/>
  <c r="CX50" i="36"/>
  <c r="CU50" i="36"/>
  <c r="CP50" i="36"/>
  <c r="CN50" i="36"/>
  <c r="CM50" i="36"/>
  <c r="CL50" i="36"/>
  <c r="CJ50" i="36"/>
  <c r="CE50" i="36"/>
  <c r="CD50" i="36"/>
  <c r="CC50" i="36"/>
  <c r="CB50" i="36"/>
  <c r="CA50" i="36"/>
  <c r="BY50" i="36"/>
  <c r="BW50" i="36"/>
  <c r="BV50" i="36"/>
  <c r="BR50" i="36"/>
  <c r="BQ50" i="36"/>
  <c r="BP50" i="36"/>
  <c r="BO50" i="36"/>
  <c r="BM50" i="36"/>
  <c r="BL50" i="36"/>
  <c r="BK50" i="36"/>
  <c r="BJ50" i="36"/>
  <c r="BI50" i="36"/>
  <c r="BD50" i="36"/>
  <c r="AW50" i="36"/>
  <c r="AU50" i="36"/>
  <c r="AT50" i="36"/>
  <c r="AS50" i="36"/>
  <c r="AR50" i="36"/>
  <c r="AQ50" i="36"/>
  <c r="AO50" i="36"/>
  <c r="AN50" i="36"/>
  <c r="AM50" i="36"/>
  <c r="AL50" i="36"/>
  <c r="AK50" i="36"/>
  <c r="AH50" i="36"/>
  <c r="AF50" i="36"/>
  <c r="GU50" i="36" s="1"/>
  <c r="AE50" i="36"/>
  <c r="FC50" i="36" s="1"/>
  <c r="AC50" i="36" a="1"/>
  <c r="AC50" i="36" s="1"/>
  <c r="AB50" i="36"/>
  <c r="Q50" i="36"/>
  <c r="B50" i="36"/>
  <c r="KP49" i="36"/>
  <c r="KO49" i="36"/>
  <c r="KN49" i="36"/>
  <c r="KM49" i="36"/>
  <c r="KL49" i="36"/>
  <c r="KK49" i="36"/>
  <c r="KJ49" i="36"/>
  <c r="KI49" i="36"/>
  <c r="KH49" i="36"/>
  <c r="KG49" i="36"/>
  <c r="KF49" i="36"/>
  <c r="KE49" i="36"/>
  <c r="KD49" i="36"/>
  <c r="KC49" i="36"/>
  <c r="KA49" i="36"/>
  <c r="JZ49" i="36"/>
  <c r="JY49" i="36"/>
  <c r="JX49" i="36"/>
  <c r="JW49" i="36"/>
  <c r="JV49" i="36"/>
  <c r="JU49" i="36"/>
  <c r="JT49" i="36"/>
  <c r="JS49" i="36"/>
  <c r="JR49" i="36"/>
  <c r="JQ49" i="36"/>
  <c r="JP49" i="36"/>
  <c r="JO49" i="36"/>
  <c r="JN49" i="36"/>
  <c r="JL49" i="36"/>
  <c r="JK49" i="36"/>
  <c r="JJ49" i="36"/>
  <c r="JI49" i="36"/>
  <c r="JH49" i="36"/>
  <c r="JG49" i="36"/>
  <c r="JF49" i="36"/>
  <c r="JE49" i="36"/>
  <c r="JD49" i="36"/>
  <c r="JC49" i="36"/>
  <c r="JB49" i="36"/>
  <c r="JA49" i="36"/>
  <c r="IZ49" i="36"/>
  <c r="IY49" i="36"/>
  <c r="IW49" i="36"/>
  <c r="IV49" i="36"/>
  <c r="IU49" i="36"/>
  <c r="IT49" i="36"/>
  <c r="IS49" i="36"/>
  <c r="IR49" i="36"/>
  <c r="IQ49" i="36"/>
  <c r="IP49" i="36"/>
  <c r="IO49" i="36"/>
  <c r="IN49" i="36"/>
  <c r="IM49" i="36"/>
  <c r="IL49" i="36"/>
  <c r="IK49" i="36"/>
  <c r="IJ49" i="36"/>
  <c r="IH49" i="36"/>
  <c r="HV49" i="36"/>
  <c r="HU49" i="36"/>
  <c r="HP49" i="36"/>
  <c r="HN49" i="36"/>
  <c r="HM49" i="36"/>
  <c r="HL49" i="36"/>
  <c r="HK49" i="36"/>
  <c r="HI49" i="36"/>
  <c r="HG49" i="36"/>
  <c r="GY49" i="36"/>
  <c r="GM49" i="36"/>
  <c r="GL49" i="36"/>
  <c r="GJ49" i="36"/>
  <c r="GI49" i="36"/>
  <c r="GH49" i="36"/>
  <c r="GG49" i="36"/>
  <c r="GF49" i="36"/>
  <c r="FZ49" i="36"/>
  <c r="FY49" i="36"/>
  <c r="FT49" i="36"/>
  <c r="FR49" i="36"/>
  <c r="FQ49" i="36"/>
  <c r="FJ49" i="36"/>
  <c r="FI49" i="36"/>
  <c r="FH49" i="36"/>
  <c r="FB49" i="36"/>
  <c r="FA49" i="36"/>
  <c r="EU49" i="36"/>
  <c r="ET49" i="36"/>
  <c r="ES49" i="36"/>
  <c r="ER49" i="36"/>
  <c r="EQ49" i="36"/>
  <c r="CU49" i="36"/>
  <c r="CS49" i="36"/>
  <c r="CP49" i="36"/>
  <c r="CN49" i="36"/>
  <c r="CM49" i="36"/>
  <c r="CL49" i="36"/>
  <c r="CK49" i="36"/>
  <c r="CE49" i="36"/>
  <c r="CC49" i="36"/>
  <c r="CB49" i="36"/>
  <c r="CA49" i="36"/>
  <c r="BS49" i="36"/>
  <c r="BP49" i="36"/>
  <c r="BM49" i="36"/>
  <c r="BJ49" i="36"/>
  <c r="BI49" i="36"/>
  <c r="BF49" i="36"/>
  <c r="AV49" i="36"/>
  <c r="AU49" i="36"/>
  <c r="AT49" i="36"/>
  <c r="AS49" i="36"/>
  <c r="AO49" i="36"/>
  <c r="AN49" i="36"/>
  <c r="AM49" i="36"/>
  <c r="AF49" i="36"/>
  <c r="HJ49" i="36" s="1"/>
  <c r="AE49" i="36"/>
  <c r="AC49" i="36" a="1"/>
  <c r="AC49" i="36" s="1"/>
  <c r="EA49" i="36" s="1"/>
  <c r="AB49" i="36"/>
  <c r="Q49" i="36"/>
  <c r="B49" i="36"/>
  <c r="KP48" i="36"/>
  <c r="KO48" i="36"/>
  <c r="KN48" i="36"/>
  <c r="KM48" i="36"/>
  <c r="KL48" i="36"/>
  <c r="KK48" i="36"/>
  <c r="KJ48" i="36"/>
  <c r="KI48" i="36"/>
  <c r="KH48" i="36"/>
  <c r="KG48" i="36"/>
  <c r="KF48" i="36"/>
  <c r="KE48" i="36"/>
  <c r="KD48" i="36"/>
  <c r="KC48" i="36"/>
  <c r="KA48" i="36"/>
  <c r="JZ48" i="36"/>
  <c r="JY48" i="36"/>
  <c r="JX48" i="36"/>
  <c r="JW48" i="36"/>
  <c r="JV48" i="36"/>
  <c r="JU48" i="36"/>
  <c r="JT48" i="36"/>
  <c r="JS48" i="36"/>
  <c r="JR48" i="36"/>
  <c r="JQ48" i="36"/>
  <c r="JP48" i="36"/>
  <c r="JO48" i="36"/>
  <c r="JN48" i="36"/>
  <c r="JL48" i="36"/>
  <c r="JK48" i="36"/>
  <c r="JJ48" i="36"/>
  <c r="JI48" i="36"/>
  <c r="JH48" i="36"/>
  <c r="JG48" i="36"/>
  <c r="JF48" i="36"/>
  <c r="JE48" i="36"/>
  <c r="JD48" i="36"/>
  <c r="JC48" i="36"/>
  <c r="JB48" i="36"/>
  <c r="JA48" i="36"/>
  <c r="IZ48" i="36"/>
  <c r="IY48" i="36"/>
  <c r="IW48" i="36"/>
  <c r="IV48" i="36"/>
  <c r="IU48" i="36"/>
  <c r="IT48" i="36"/>
  <c r="IS48" i="36"/>
  <c r="IR48" i="36"/>
  <c r="IQ48" i="36"/>
  <c r="IP48" i="36"/>
  <c r="IO48" i="36"/>
  <c r="IN48" i="36"/>
  <c r="IM48" i="36"/>
  <c r="IL48" i="36"/>
  <c r="IK48" i="36"/>
  <c r="IJ48" i="36"/>
  <c r="IH48" i="36"/>
  <c r="IG48" i="36"/>
  <c r="IB48" i="36"/>
  <c r="IA48" i="36"/>
  <c r="HH48" i="36"/>
  <c r="HD48" i="36"/>
  <c r="HC48" i="36"/>
  <c r="HB48" i="36"/>
  <c r="GZ48" i="36"/>
  <c r="GY48" i="36"/>
  <c r="GX48" i="36"/>
  <c r="GD48" i="36"/>
  <c r="FZ48" i="36"/>
  <c r="FY48" i="36"/>
  <c r="FX48" i="36"/>
  <c r="FT48" i="36"/>
  <c r="FH48" i="36"/>
  <c r="FF48" i="36"/>
  <c r="EV48" i="36"/>
  <c r="DC48" i="36"/>
  <c r="DA48" i="36"/>
  <c r="CV48" i="36"/>
  <c r="CR48" i="36"/>
  <c r="CK48" i="36"/>
  <c r="CJ48" i="36"/>
  <c r="BW48" i="36"/>
  <c r="BS48" i="36"/>
  <c r="BR48" i="36"/>
  <c r="BQ48" i="36"/>
  <c r="BP48" i="36"/>
  <c r="BO48" i="36"/>
  <c r="BN48" i="36"/>
  <c r="AR48" i="36"/>
  <c r="AQ48" i="36"/>
  <c r="AN48" i="36"/>
  <c r="AM48" i="36"/>
  <c r="AF48" i="36"/>
  <c r="AE48" i="36"/>
  <c r="AC48" i="36" a="1"/>
  <c r="AC48" i="36" s="1"/>
  <c r="AB48" i="36"/>
  <c r="Q48" i="36"/>
  <c r="B48" i="36"/>
  <c r="KP47" i="36"/>
  <c r="KO47" i="36"/>
  <c r="KN47" i="36"/>
  <c r="KM47" i="36"/>
  <c r="KL47" i="36"/>
  <c r="KK47" i="36"/>
  <c r="KJ47" i="36"/>
  <c r="KI47" i="36"/>
  <c r="KH47" i="36"/>
  <c r="KG47" i="36"/>
  <c r="KF47" i="36"/>
  <c r="KE47" i="36"/>
  <c r="KD47" i="36"/>
  <c r="KC47" i="36"/>
  <c r="KA47" i="36"/>
  <c r="JZ47" i="36"/>
  <c r="JY47" i="36"/>
  <c r="JX47" i="36"/>
  <c r="JW47" i="36"/>
  <c r="JV47" i="36"/>
  <c r="JU47" i="36"/>
  <c r="JT47" i="36"/>
  <c r="JS47" i="36"/>
  <c r="JR47" i="36"/>
  <c r="JQ47" i="36"/>
  <c r="JP47" i="36"/>
  <c r="JO47" i="36"/>
  <c r="JN47" i="36"/>
  <c r="JL47" i="36"/>
  <c r="JK47" i="36"/>
  <c r="JJ47" i="36"/>
  <c r="JI47" i="36"/>
  <c r="JH47" i="36"/>
  <c r="JG47" i="36"/>
  <c r="JF47" i="36"/>
  <c r="JE47" i="36"/>
  <c r="JD47" i="36"/>
  <c r="JC47" i="36"/>
  <c r="JB47" i="36"/>
  <c r="JA47" i="36"/>
  <c r="IZ47" i="36"/>
  <c r="IY47" i="36"/>
  <c r="IW47" i="36"/>
  <c r="IV47" i="36"/>
  <c r="IU47" i="36"/>
  <c r="IT47" i="36"/>
  <c r="IS47" i="36"/>
  <c r="IR47" i="36"/>
  <c r="IQ47" i="36"/>
  <c r="IP47" i="36"/>
  <c r="IO47" i="36"/>
  <c r="IN47" i="36"/>
  <c r="IM47" i="36"/>
  <c r="IL47" i="36"/>
  <c r="IK47" i="36"/>
  <c r="IJ47" i="36"/>
  <c r="IG47" i="36"/>
  <c r="IF47" i="36"/>
  <c r="IE47" i="36"/>
  <c r="ID47" i="36"/>
  <c r="IC47" i="36"/>
  <c r="IA47" i="36"/>
  <c r="HZ47" i="36"/>
  <c r="HV47" i="36"/>
  <c r="HU47" i="36"/>
  <c r="HR47" i="36"/>
  <c r="HQ47" i="36"/>
  <c r="HP47" i="36"/>
  <c r="HO47" i="36"/>
  <c r="HN47" i="36"/>
  <c r="HM47" i="36"/>
  <c r="HL47" i="36"/>
  <c r="HK47" i="36"/>
  <c r="HJ47" i="36"/>
  <c r="HI47" i="36"/>
  <c r="HH47" i="36"/>
  <c r="HG47" i="36"/>
  <c r="HA47" i="36"/>
  <c r="GZ47" i="36"/>
  <c r="GY47" i="36"/>
  <c r="GW47" i="36"/>
  <c r="GV47" i="36"/>
  <c r="GU47" i="36"/>
  <c r="GT47" i="36"/>
  <c r="GS47" i="36"/>
  <c r="GR47" i="36"/>
  <c r="GQ47" i="36"/>
  <c r="GK47" i="36"/>
  <c r="GJ47" i="36"/>
  <c r="GI47" i="36"/>
  <c r="GH47" i="36"/>
  <c r="GG47" i="36"/>
  <c r="GF47" i="36"/>
  <c r="GE47" i="36"/>
  <c r="GD47" i="36"/>
  <c r="GC47" i="36"/>
  <c r="GB47" i="36"/>
  <c r="FZ47" i="36"/>
  <c r="FY47" i="36"/>
  <c r="FX47" i="36"/>
  <c r="FU47" i="36"/>
  <c r="FR47" i="36"/>
  <c r="FQ47" i="36"/>
  <c r="FP47" i="36"/>
  <c r="FO47" i="36"/>
  <c r="FN47" i="36"/>
  <c r="FM47" i="36"/>
  <c r="FK47" i="36"/>
  <c r="FI47" i="36"/>
  <c r="FH47" i="36"/>
  <c r="FD47" i="36"/>
  <c r="FC47" i="36"/>
  <c r="FB47" i="36"/>
  <c r="EY47" i="36"/>
  <c r="ES47" i="36"/>
  <c r="EJ47" i="36"/>
  <c r="EI47" i="36"/>
  <c r="EG47" i="36"/>
  <c r="EF47" i="36"/>
  <c r="EE47" i="36"/>
  <c r="ED47" i="36"/>
  <c r="EC47" i="36"/>
  <c r="EB47" i="36"/>
  <c r="EA47" i="36"/>
  <c r="DZ47" i="36"/>
  <c r="DY47" i="36"/>
  <c r="DX47" i="36"/>
  <c r="DW47" i="36"/>
  <c r="DV47" i="36"/>
  <c r="DU47" i="36"/>
  <c r="DT47" i="36"/>
  <c r="DR47" i="36"/>
  <c r="DQ47" i="36"/>
  <c r="DP47" i="36"/>
  <c r="DO47" i="36"/>
  <c r="DN47" i="36"/>
  <c r="DM47" i="36"/>
  <c r="DL47" i="36"/>
  <c r="DK47" i="36"/>
  <c r="DJ47" i="36"/>
  <c r="DI47" i="36"/>
  <c r="DH47" i="36"/>
  <c r="DG47" i="36"/>
  <c r="DF47" i="36"/>
  <c r="DC47" i="36"/>
  <c r="DB47" i="36"/>
  <c r="DA47" i="36"/>
  <c r="CZ47" i="36"/>
  <c r="CY47" i="36"/>
  <c r="CX47" i="36"/>
  <c r="CW47" i="36"/>
  <c r="CS47" i="36"/>
  <c r="CR47" i="36"/>
  <c r="CQ47" i="36"/>
  <c r="CP47" i="36"/>
  <c r="CN47" i="36"/>
  <c r="CM47" i="36"/>
  <c r="CL47" i="36"/>
  <c r="CK47" i="36"/>
  <c r="CJ47" i="36"/>
  <c r="CI47" i="36"/>
  <c r="CE47" i="36"/>
  <c r="CD47" i="36"/>
  <c r="CC47" i="36"/>
  <c r="CB47" i="36"/>
  <c r="BZ47" i="36"/>
  <c r="BY47" i="36"/>
  <c r="BX47" i="36"/>
  <c r="BW47" i="36"/>
  <c r="BV47" i="36"/>
  <c r="BU47" i="36"/>
  <c r="BS47" i="36"/>
  <c r="BR47" i="36"/>
  <c r="BQ47" i="36"/>
  <c r="BP47" i="36"/>
  <c r="BL47" i="36"/>
  <c r="BK47" i="36"/>
  <c r="BJ47" i="36"/>
  <c r="BI47" i="36"/>
  <c r="BH47" i="36"/>
  <c r="BG47" i="36"/>
  <c r="BF47" i="36"/>
  <c r="BD47" i="36"/>
  <c r="BB47" i="36"/>
  <c r="AZ47" i="36"/>
  <c r="AY47" i="36"/>
  <c r="AX47" i="36"/>
  <c r="AW47" i="36"/>
  <c r="AV47" i="36"/>
  <c r="AT47" i="36"/>
  <c r="AS47" i="36"/>
  <c r="AR47" i="36"/>
  <c r="AQ47" i="36"/>
  <c r="AO47" i="36"/>
  <c r="AN47" i="36"/>
  <c r="AM47" i="36"/>
  <c r="AL47" i="36"/>
  <c r="AK47" i="36"/>
  <c r="AJ47" i="36"/>
  <c r="AF47" i="36"/>
  <c r="HD47" i="36" s="1"/>
  <c r="AE47" i="36"/>
  <c r="AB47" i="36"/>
  <c r="DE47" i="36" s="1"/>
  <c r="Q47" i="36"/>
  <c r="B47" i="36"/>
  <c r="KP46" i="36"/>
  <c r="KO46" i="36"/>
  <c r="KN46" i="36"/>
  <c r="KM46" i="36"/>
  <c r="KL46" i="36"/>
  <c r="KK46" i="36"/>
  <c r="KJ46" i="36"/>
  <c r="KI46" i="36"/>
  <c r="KH46" i="36"/>
  <c r="KG46" i="36"/>
  <c r="KF46" i="36"/>
  <c r="KE46" i="36"/>
  <c r="KD46" i="36"/>
  <c r="KC46" i="36"/>
  <c r="KA46" i="36"/>
  <c r="JZ46" i="36"/>
  <c r="JY46" i="36"/>
  <c r="JX46" i="36"/>
  <c r="JW46" i="36"/>
  <c r="JV46" i="36"/>
  <c r="JU46" i="36"/>
  <c r="JT46" i="36"/>
  <c r="JS46" i="36"/>
  <c r="JR46" i="36"/>
  <c r="JQ46" i="36"/>
  <c r="JP46" i="36"/>
  <c r="JO46" i="36"/>
  <c r="JN46" i="36"/>
  <c r="JL46" i="36"/>
  <c r="JK46" i="36"/>
  <c r="JJ46" i="36"/>
  <c r="JI46" i="36"/>
  <c r="JH46" i="36"/>
  <c r="JG46" i="36"/>
  <c r="JF46" i="36"/>
  <c r="JE46" i="36"/>
  <c r="JD46" i="36"/>
  <c r="JC46" i="36"/>
  <c r="JB46" i="36"/>
  <c r="JA46" i="36"/>
  <c r="IZ46" i="36"/>
  <c r="IY46" i="36"/>
  <c r="IW46" i="36"/>
  <c r="IV46" i="36"/>
  <c r="IU46" i="36"/>
  <c r="IT46" i="36"/>
  <c r="IS46" i="36"/>
  <c r="IR46" i="36"/>
  <c r="IQ46" i="36"/>
  <c r="IP46" i="36"/>
  <c r="IO46" i="36"/>
  <c r="IN46" i="36"/>
  <c r="IM46" i="36"/>
  <c r="IL46" i="36"/>
  <c r="IK46" i="36"/>
  <c r="IJ46" i="36"/>
  <c r="IE46" i="36"/>
  <c r="ID46" i="36"/>
  <c r="IB46" i="36"/>
  <c r="IA46" i="36"/>
  <c r="HZ46" i="36"/>
  <c r="HY46" i="36"/>
  <c r="HX46" i="36"/>
  <c r="HW46" i="36"/>
  <c r="HR46" i="36"/>
  <c r="HQ46" i="36"/>
  <c r="HP46" i="36"/>
  <c r="HO46" i="36"/>
  <c r="HN46" i="36"/>
  <c r="HM46" i="36"/>
  <c r="HK46" i="36"/>
  <c r="HG46" i="36"/>
  <c r="HF46" i="36"/>
  <c r="HD46" i="36"/>
  <c r="HC46" i="36"/>
  <c r="HA46" i="36"/>
  <c r="GZ46" i="36"/>
  <c r="GY46" i="36"/>
  <c r="GW46" i="36"/>
  <c r="GV46" i="36"/>
  <c r="GR46" i="36"/>
  <c r="GO46" i="36"/>
  <c r="GN46" i="36"/>
  <c r="GM46" i="36"/>
  <c r="GL46" i="36"/>
  <c r="GI46" i="36"/>
  <c r="GH46" i="36"/>
  <c r="GG46" i="36"/>
  <c r="GF46" i="36"/>
  <c r="GB46" i="36"/>
  <c r="FZ46" i="36"/>
  <c r="FY46" i="36"/>
  <c r="FW46" i="36"/>
  <c r="FV46" i="36"/>
  <c r="FT46" i="36"/>
  <c r="FS46" i="36"/>
  <c r="FR46" i="36"/>
  <c r="FQ46" i="36"/>
  <c r="FP46" i="36"/>
  <c r="FN46" i="36"/>
  <c r="FM46" i="36"/>
  <c r="FK46" i="36"/>
  <c r="FJ46" i="36"/>
  <c r="FI46" i="36"/>
  <c r="FH46" i="36"/>
  <c r="FG46" i="36"/>
  <c r="FF46" i="36"/>
  <c r="FE46" i="36"/>
  <c r="FD46" i="36"/>
  <c r="FC46" i="36"/>
  <c r="FB46" i="36"/>
  <c r="FA46" i="36"/>
  <c r="EX46" i="36"/>
  <c r="EV46" i="36"/>
  <c r="EU46" i="36"/>
  <c r="ES46" i="36"/>
  <c r="ER46" i="36"/>
  <c r="EQ46" i="36"/>
  <c r="EP46" i="36"/>
  <c r="EO46" i="36"/>
  <c r="EN46" i="36"/>
  <c r="EM46" i="36"/>
  <c r="EL46" i="36"/>
  <c r="EK46" i="36"/>
  <c r="EJ46" i="36"/>
  <c r="EI46" i="36"/>
  <c r="EG46" i="36"/>
  <c r="EF46" i="36"/>
  <c r="EE46" i="36"/>
  <c r="ED46" i="36"/>
  <c r="EC46" i="36"/>
  <c r="EB46" i="36"/>
  <c r="EA46" i="36"/>
  <c r="DZ46" i="36"/>
  <c r="DY46" i="36"/>
  <c r="DX46" i="36"/>
  <c r="DW46" i="36"/>
  <c r="DV46" i="36"/>
  <c r="DU46" i="36"/>
  <c r="DT46" i="36"/>
  <c r="DR46" i="36"/>
  <c r="DQ46" i="36"/>
  <c r="DP46" i="36"/>
  <c r="DO46" i="36"/>
  <c r="DN46" i="36"/>
  <c r="DM46" i="36"/>
  <c r="DL46" i="36"/>
  <c r="DK46" i="36"/>
  <c r="DJ46" i="36"/>
  <c r="DI46" i="36"/>
  <c r="DH46" i="36"/>
  <c r="DG46" i="36"/>
  <c r="DF46" i="36"/>
  <c r="DE46" i="36"/>
  <c r="DA46" i="36"/>
  <c r="CZ46" i="36"/>
  <c r="CY46" i="36"/>
  <c r="CX46" i="36"/>
  <c r="CW46" i="36"/>
  <c r="CV46" i="36"/>
  <c r="CR46" i="36"/>
  <c r="CJ46" i="36"/>
  <c r="CI46" i="36"/>
  <c r="CH46" i="36"/>
  <c r="CF46" i="36"/>
  <c r="CE46" i="36"/>
  <c r="CD46" i="36"/>
  <c r="CC46" i="36"/>
  <c r="CB46" i="36"/>
  <c r="CA46" i="36"/>
  <c r="BZ46" i="36"/>
  <c r="BY46" i="36"/>
  <c r="BX46" i="36"/>
  <c r="BV46" i="36"/>
  <c r="BS46" i="36"/>
  <c r="BQ46" i="36"/>
  <c r="BP46" i="36"/>
  <c r="BO46" i="36"/>
  <c r="BN46" i="36"/>
  <c r="BM46" i="36"/>
  <c r="BL46" i="36"/>
  <c r="BG46" i="36"/>
  <c r="BF46" i="36"/>
  <c r="BD46" i="36"/>
  <c r="AX46" i="36"/>
  <c r="AW46" i="36"/>
  <c r="AV46" i="36"/>
  <c r="AU46" i="36"/>
  <c r="AT46" i="36"/>
  <c r="AS46" i="36"/>
  <c r="AQ46" i="36"/>
  <c r="AO46" i="36"/>
  <c r="AN46" i="36"/>
  <c r="AM46" i="36"/>
  <c r="AL46" i="36"/>
  <c r="AK46" i="36"/>
  <c r="AJ46" i="36"/>
  <c r="AH46" i="36"/>
  <c r="AF46" i="36"/>
  <c r="AE46" i="36"/>
  <c r="ET46" i="36" s="1"/>
  <c r="AB46" i="36"/>
  <c r="Q46" i="36"/>
  <c r="B46" i="36"/>
  <c r="KP45" i="36"/>
  <c r="KO45" i="36"/>
  <c r="KN45" i="36"/>
  <c r="KM45" i="36"/>
  <c r="KL45" i="36"/>
  <c r="KK45" i="36"/>
  <c r="KJ45" i="36"/>
  <c r="KI45" i="36"/>
  <c r="KH45" i="36"/>
  <c r="KG45" i="36"/>
  <c r="KF45" i="36"/>
  <c r="KE45" i="36"/>
  <c r="KD45" i="36"/>
  <c r="KC45" i="36"/>
  <c r="KA45" i="36"/>
  <c r="JZ45" i="36"/>
  <c r="JY45" i="36"/>
  <c r="JX45" i="36"/>
  <c r="JW45" i="36"/>
  <c r="JV45" i="36"/>
  <c r="JU45" i="36"/>
  <c r="JT45" i="36"/>
  <c r="JS45" i="36"/>
  <c r="JR45" i="36"/>
  <c r="JQ45" i="36"/>
  <c r="JP45" i="36"/>
  <c r="JO45" i="36"/>
  <c r="JN45" i="36"/>
  <c r="JL45" i="36"/>
  <c r="JK45" i="36"/>
  <c r="JJ45" i="36"/>
  <c r="JI45" i="36"/>
  <c r="JH45" i="36"/>
  <c r="JG45" i="36"/>
  <c r="JF45" i="36"/>
  <c r="JE45" i="36"/>
  <c r="JD45" i="36"/>
  <c r="JC45" i="36"/>
  <c r="JB45" i="36"/>
  <c r="JA45" i="36"/>
  <c r="IZ45" i="36"/>
  <c r="IY45" i="36"/>
  <c r="IW45" i="36"/>
  <c r="IV45" i="36"/>
  <c r="IU45" i="36"/>
  <c r="IT45" i="36"/>
  <c r="IS45" i="36"/>
  <c r="IR45" i="36"/>
  <c r="IQ45" i="36"/>
  <c r="IP45" i="36"/>
  <c r="IO45" i="36"/>
  <c r="IN45" i="36"/>
  <c r="IM45" i="36"/>
  <c r="IL45" i="36"/>
  <c r="IK45" i="36"/>
  <c r="IJ45" i="36"/>
  <c r="IH45" i="36"/>
  <c r="IG45" i="36"/>
  <c r="IF45" i="36"/>
  <c r="IE45" i="36"/>
  <c r="IB45" i="36"/>
  <c r="IA45" i="36"/>
  <c r="HW45" i="36"/>
  <c r="HV45" i="36"/>
  <c r="HS45" i="36"/>
  <c r="HR45" i="36"/>
  <c r="HQ45" i="36"/>
  <c r="HP45" i="36"/>
  <c r="HO45" i="36"/>
  <c r="HN45" i="36"/>
  <c r="HM45" i="36"/>
  <c r="HL45" i="36"/>
  <c r="HJ45" i="36"/>
  <c r="HD45" i="36"/>
  <c r="HC45" i="36"/>
  <c r="HB45" i="36"/>
  <c r="HA45" i="36"/>
  <c r="GZ45" i="36"/>
  <c r="GY45" i="36"/>
  <c r="GX45" i="36"/>
  <c r="GW45" i="36"/>
  <c r="GV45" i="36"/>
  <c r="GS45" i="36"/>
  <c r="GR45" i="36"/>
  <c r="GQ45" i="36"/>
  <c r="GN45" i="36"/>
  <c r="GM45" i="36"/>
  <c r="GI45" i="36"/>
  <c r="GH45" i="36"/>
  <c r="GG45" i="36"/>
  <c r="GF45" i="36"/>
  <c r="GE45" i="36"/>
  <c r="FY45" i="36"/>
  <c r="FX45" i="36"/>
  <c r="FV45" i="36"/>
  <c r="FU45" i="36"/>
  <c r="FT45" i="36"/>
  <c r="FS45" i="36"/>
  <c r="FR45" i="36"/>
  <c r="FQ45" i="36"/>
  <c r="FP45" i="36"/>
  <c r="FO45" i="36"/>
  <c r="FN45" i="36"/>
  <c r="FM45" i="36"/>
  <c r="FH45" i="36"/>
  <c r="FG45" i="36"/>
  <c r="FF45" i="36"/>
  <c r="FE45" i="36"/>
  <c r="FD45" i="36"/>
  <c r="FC45" i="36"/>
  <c r="FB45" i="36"/>
  <c r="FA45" i="36"/>
  <c r="ER45" i="36"/>
  <c r="EQ45" i="36"/>
  <c r="EP45" i="36"/>
  <c r="EO45" i="36"/>
  <c r="EM45" i="36"/>
  <c r="EL45" i="36"/>
  <c r="EK45" i="36"/>
  <c r="EJ45" i="36"/>
  <c r="EI45" i="36"/>
  <c r="DC45" i="36"/>
  <c r="DB45" i="36"/>
  <c r="DA45" i="36"/>
  <c r="CY45" i="36"/>
  <c r="CX45" i="36"/>
  <c r="CW45" i="36"/>
  <c r="CV45" i="36"/>
  <c r="CU45" i="36"/>
  <c r="CT45" i="36"/>
  <c r="CS45" i="36"/>
  <c r="CN45" i="36"/>
  <c r="CK45" i="36"/>
  <c r="CJ45" i="36"/>
  <c r="CI45" i="36"/>
  <c r="CH45" i="36"/>
  <c r="CF45" i="36"/>
  <c r="CE45" i="36"/>
  <c r="CD45" i="36"/>
  <c r="CC45" i="36"/>
  <c r="CB45" i="36"/>
  <c r="CA45" i="36"/>
  <c r="BZ45" i="36"/>
  <c r="BY45" i="36"/>
  <c r="BX45" i="36"/>
  <c r="BW45" i="36"/>
  <c r="BQ45" i="36"/>
  <c r="BP45" i="36"/>
  <c r="BO45" i="36"/>
  <c r="BN45" i="36"/>
  <c r="BM45" i="36"/>
  <c r="BK45" i="36"/>
  <c r="BJ45" i="36"/>
  <c r="BI45" i="36"/>
  <c r="BC45" i="36"/>
  <c r="BB45" i="36"/>
  <c r="BA45" i="36"/>
  <c r="AZ45" i="36"/>
  <c r="AY45" i="36"/>
  <c r="AX45" i="36"/>
  <c r="AW45" i="36"/>
  <c r="AV45" i="36"/>
  <c r="AU45" i="36"/>
  <c r="AT45" i="36"/>
  <c r="AS45" i="36"/>
  <c r="AR45" i="36"/>
  <c r="AQ45" i="36"/>
  <c r="AN45" i="36"/>
  <c r="AM45" i="36"/>
  <c r="AK45" i="36"/>
  <c r="AJ45" i="36"/>
  <c r="AI45" i="36"/>
  <c r="AF45" i="36"/>
  <c r="HX45" i="36" s="1"/>
  <c r="AE45" i="36"/>
  <c r="AC45" i="36" a="1"/>
  <c r="AC45" i="36" s="1"/>
  <c r="DL45" i="36" s="1"/>
  <c r="AB45" i="36"/>
  <c r="Q45" i="36"/>
  <c r="B45" i="36"/>
  <c r="KP44" i="36"/>
  <c r="KO44" i="36"/>
  <c r="KN44" i="36"/>
  <c r="KM44" i="36"/>
  <c r="KL44" i="36"/>
  <c r="KK44" i="36"/>
  <c r="KJ44" i="36"/>
  <c r="KI44" i="36"/>
  <c r="KH44" i="36"/>
  <c r="KG44" i="36"/>
  <c r="KF44" i="36"/>
  <c r="KE44" i="36"/>
  <c r="KD44" i="36"/>
  <c r="KC44" i="36"/>
  <c r="KA44" i="36"/>
  <c r="JZ44" i="36"/>
  <c r="JY44" i="36"/>
  <c r="JX44" i="36"/>
  <c r="JW44" i="36"/>
  <c r="JV44" i="36"/>
  <c r="JU44" i="36"/>
  <c r="JT44" i="36"/>
  <c r="JS44" i="36"/>
  <c r="JR44" i="36"/>
  <c r="JQ44" i="36"/>
  <c r="JP44" i="36"/>
  <c r="JO44" i="36"/>
  <c r="JN44" i="36"/>
  <c r="JL44" i="36"/>
  <c r="JK44" i="36"/>
  <c r="JJ44" i="36"/>
  <c r="JI44" i="36"/>
  <c r="JH44" i="36"/>
  <c r="JG44" i="36"/>
  <c r="JF44" i="36"/>
  <c r="JE44" i="36"/>
  <c r="JD44" i="36"/>
  <c r="JC44" i="36"/>
  <c r="JB44" i="36"/>
  <c r="JA44" i="36"/>
  <c r="IZ44" i="36"/>
  <c r="IY44" i="36"/>
  <c r="IW44" i="36"/>
  <c r="IV44" i="36"/>
  <c r="IU44" i="36"/>
  <c r="IT44" i="36"/>
  <c r="IS44" i="36"/>
  <c r="IR44" i="36"/>
  <c r="IQ44" i="36"/>
  <c r="IP44" i="36"/>
  <c r="IO44" i="36"/>
  <c r="IN44" i="36"/>
  <c r="IM44" i="36"/>
  <c r="IL44" i="36"/>
  <c r="IK44" i="36"/>
  <c r="IJ44" i="36"/>
  <c r="IH44" i="36"/>
  <c r="IF44" i="36"/>
  <c r="IE44" i="36"/>
  <c r="ID44" i="36"/>
  <c r="IC44" i="36"/>
  <c r="IB44" i="36"/>
  <c r="IA44" i="36"/>
  <c r="HZ44" i="36"/>
  <c r="HY44" i="36"/>
  <c r="HX44" i="36"/>
  <c r="HW44" i="36"/>
  <c r="HV44" i="36"/>
  <c r="HU44" i="36"/>
  <c r="HR44" i="36"/>
  <c r="HQ44" i="36"/>
  <c r="HP44" i="36"/>
  <c r="HO44" i="36"/>
  <c r="HN44" i="36"/>
  <c r="HL44" i="36"/>
  <c r="HK44" i="36"/>
  <c r="HJ44" i="36"/>
  <c r="HI44" i="36"/>
  <c r="HH44" i="36"/>
  <c r="HD44" i="36"/>
  <c r="HC44" i="36"/>
  <c r="HB44" i="36"/>
  <c r="HA44" i="36"/>
  <c r="GZ44" i="36"/>
  <c r="GX44" i="36"/>
  <c r="GW44" i="36"/>
  <c r="GV44" i="36"/>
  <c r="GU44" i="36"/>
  <c r="GT44" i="36"/>
  <c r="GS44" i="36"/>
  <c r="GR44" i="36"/>
  <c r="GQ44" i="36"/>
  <c r="GO44" i="36"/>
  <c r="GM44" i="36"/>
  <c r="GL44" i="36"/>
  <c r="GK44" i="36"/>
  <c r="GJ44" i="36"/>
  <c r="GH44" i="36"/>
  <c r="GG44" i="36"/>
  <c r="GF44" i="36"/>
  <c r="GE44" i="36"/>
  <c r="GD44" i="36"/>
  <c r="GC44" i="36"/>
  <c r="FY44" i="36"/>
  <c r="FX44" i="36"/>
  <c r="FW44" i="36"/>
  <c r="FV44" i="36"/>
  <c r="FU44" i="36"/>
  <c r="FT44" i="36"/>
  <c r="FS44" i="36"/>
  <c r="FR44" i="36"/>
  <c r="FP44" i="36"/>
  <c r="FO44" i="36"/>
  <c r="FN44" i="36"/>
  <c r="FM44" i="36"/>
  <c r="FK44" i="36"/>
  <c r="FJ44" i="36"/>
  <c r="FH44" i="36"/>
  <c r="FG44" i="36"/>
  <c r="FF44" i="36"/>
  <c r="FD44" i="36"/>
  <c r="FC44" i="36"/>
  <c r="FB44" i="36"/>
  <c r="FA44" i="36"/>
  <c r="EZ44" i="36"/>
  <c r="EY44" i="36"/>
  <c r="ET44" i="36"/>
  <c r="ES44" i="36"/>
  <c r="ER44" i="36"/>
  <c r="EQ44" i="36"/>
  <c r="EP44" i="36"/>
  <c r="EO44" i="36"/>
  <c r="EK44" i="36"/>
  <c r="DC44" i="36"/>
  <c r="DB44" i="36"/>
  <c r="DA44" i="36"/>
  <c r="CX44" i="36"/>
  <c r="CV44" i="36"/>
  <c r="CU44" i="36"/>
  <c r="CT44" i="36"/>
  <c r="CS44" i="36"/>
  <c r="CR44" i="36"/>
  <c r="CQ44" i="36"/>
  <c r="CP44" i="36"/>
  <c r="CN44" i="36"/>
  <c r="CM44" i="36"/>
  <c r="CJ44" i="36"/>
  <c r="CI44" i="36"/>
  <c r="CH44" i="36"/>
  <c r="CF44" i="36"/>
  <c r="CE44" i="36"/>
  <c r="CD44" i="36"/>
  <c r="CC44" i="36"/>
  <c r="CB44" i="36"/>
  <c r="CA44" i="36"/>
  <c r="BZ44" i="36"/>
  <c r="BY44" i="36"/>
  <c r="BX44" i="36"/>
  <c r="BW44" i="36"/>
  <c r="BV44" i="36"/>
  <c r="BU44" i="36"/>
  <c r="BQ44" i="36"/>
  <c r="BP44" i="36"/>
  <c r="BN44" i="36"/>
  <c r="BM44" i="36"/>
  <c r="BL44" i="36"/>
  <c r="BK44" i="36"/>
  <c r="BJ44" i="36"/>
  <c r="BI44" i="36"/>
  <c r="BH44" i="36"/>
  <c r="BD44" i="36"/>
  <c r="BC44" i="36"/>
  <c r="BB44" i="36"/>
  <c r="BA44" i="36"/>
  <c r="AZ44" i="36"/>
  <c r="AY44" i="36"/>
  <c r="AX44" i="36"/>
  <c r="AW44" i="36"/>
  <c r="AV44" i="36"/>
  <c r="AU44" i="36"/>
  <c r="AT44" i="36"/>
  <c r="AS44" i="36"/>
  <c r="AR44" i="36"/>
  <c r="AQ44" i="36"/>
  <c r="AO44" i="36"/>
  <c r="AL44" i="36"/>
  <c r="AK44" i="36"/>
  <c r="AJ44" i="36"/>
  <c r="AI44" i="36"/>
  <c r="AH44" i="36"/>
  <c r="AF44" i="36"/>
  <c r="AE44" i="36"/>
  <c r="EL44" i="36" s="1"/>
  <c r="AC44" i="36" a="1"/>
  <c r="AC44" i="36" s="1"/>
  <c r="AB44" i="36"/>
  <c r="Q44" i="36"/>
  <c r="B44" i="36"/>
  <c r="KP43" i="36"/>
  <c r="KO43" i="36"/>
  <c r="KN43" i="36"/>
  <c r="KM43" i="36"/>
  <c r="KL43" i="36"/>
  <c r="KK43" i="36"/>
  <c r="KJ43" i="36"/>
  <c r="KI43" i="36"/>
  <c r="KH43" i="36"/>
  <c r="KG43" i="36"/>
  <c r="KF43" i="36"/>
  <c r="KE43" i="36"/>
  <c r="KD43" i="36"/>
  <c r="KC43" i="36"/>
  <c r="KA43" i="36"/>
  <c r="JZ43" i="36"/>
  <c r="JY43" i="36"/>
  <c r="JX43" i="36"/>
  <c r="JW43" i="36"/>
  <c r="JV43" i="36"/>
  <c r="JU43" i="36"/>
  <c r="JT43" i="36"/>
  <c r="JS43" i="36"/>
  <c r="JR43" i="36"/>
  <c r="JQ43" i="36"/>
  <c r="JP43" i="36"/>
  <c r="JO43" i="36"/>
  <c r="JN43" i="36"/>
  <c r="JL43" i="36"/>
  <c r="JK43" i="36"/>
  <c r="JJ43" i="36"/>
  <c r="JI43" i="36"/>
  <c r="JH43" i="36"/>
  <c r="JG43" i="36"/>
  <c r="JF43" i="36"/>
  <c r="JE43" i="36"/>
  <c r="JD43" i="36"/>
  <c r="JC43" i="36"/>
  <c r="JB43" i="36"/>
  <c r="JA43" i="36"/>
  <c r="IZ43" i="36"/>
  <c r="IY43" i="36"/>
  <c r="IW43" i="36"/>
  <c r="IV43" i="36"/>
  <c r="IU43" i="36"/>
  <c r="IT43" i="36"/>
  <c r="IS43" i="36"/>
  <c r="IR43" i="36"/>
  <c r="IQ43" i="36"/>
  <c r="IP43" i="36"/>
  <c r="IO43" i="36"/>
  <c r="IN43" i="36"/>
  <c r="IM43" i="36"/>
  <c r="IL43" i="36"/>
  <c r="IK43" i="36"/>
  <c r="IJ43" i="36"/>
  <c r="IF43" i="36"/>
  <c r="IE43" i="36"/>
  <c r="IB43" i="36"/>
  <c r="HZ43" i="36"/>
  <c r="HX43" i="36"/>
  <c r="HV43" i="36"/>
  <c r="HU43" i="36"/>
  <c r="HR43" i="36"/>
  <c r="HI43" i="36"/>
  <c r="GZ43" i="36"/>
  <c r="GY43" i="36"/>
  <c r="GX43" i="36"/>
  <c r="GV43" i="36"/>
  <c r="GU43" i="36"/>
  <c r="GT43" i="36"/>
  <c r="GS43" i="36"/>
  <c r="GR43" i="36"/>
  <c r="GK43" i="36"/>
  <c r="GJ43" i="36"/>
  <c r="FX43" i="36"/>
  <c r="FW43" i="36"/>
  <c r="FV43" i="36"/>
  <c r="FU43" i="36"/>
  <c r="FT43" i="36"/>
  <c r="FP43" i="36"/>
  <c r="FO43" i="36"/>
  <c r="FN43" i="36"/>
  <c r="FJ43" i="36"/>
  <c r="FI43" i="36"/>
  <c r="FH43" i="36"/>
  <c r="FE43" i="36"/>
  <c r="FD43" i="36"/>
  <c r="FC43" i="36"/>
  <c r="FB43" i="36"/>
  <c r="FA43" i="36"/>
  <c r="EZ43" i="36"/>
  <c r="EY43" i="36"/>
  <c r="EV43" i="36"/>
  <c r="ES43" i="36"/>
  <c r="EP43" i="36"/>
  <c r="EO43" i="36"/>
  <c r="EN43" i="36"/>
  <c r="EM43" i="36"/>
  <c r="EL43" i="36"/>
  <c r="EK43" i="36"/>
  <c r="EJ43" i="36"/>
  <c r="EI43" i="36"/>
  <c r="DB43" i="36"/>
  <c r="DA43" i="36"/>
  <c r="CX43" i="36"/>
  <c r="CV43" i="36"/>
  <c r="CQ43" i="36"/>
  <c r="CN43" i="36"/>
  <c r="CM43" i="36"/>
  <c r="CL43" i="36"/>
  <c r="CF43" i="36"/>
  <c r="CE43" i="36"/>
  <c r="CB43" i="36"/>
  <c r="BR43" i="36"/>
  <c r="BP43" i="36"/>
  <c r="BO43" i="36"/>
  <c r="BN43" i="36"/>
  <c r="BM43" i="36"/>
  <c r="BL43" i="36"/>
  <c r="AZ43" i="36"/>
  <c r="AY43" i="36"/>
  <c r="AW43" i="36"/>
  <c r="AV43" i="36"/>
  <c r="AT43" i="36"/>
  <c r="AS43" i="36"/>
  <c r="AO43" i="36"/>
  <c r="AN43" i="36"/>
  <c r="AM43" i="36"/>
  <c r="AF43" i="36"/>
  <c r="AE43" i="36"/>
  <c r="AC43" i="36" a="1"/>
  <c r="AC43" i="36" s="1"/>
  <c r="EA43" i="36" s="1"/>
  <c r="AB43" i="36"/>
  <c r="Q43" i="36"/>
  <c r="B43" i="36"/>
  <c r="KP42" i="36"/>
  <c r="KO42" i="36"/>
  <c r="KN42" i="36"/>
  <c r="KM42" i="36"/>
  <c r="KL42" i="36"/>
  <c r="KK42" i="36"/>
  <c r="KJ42" i="36"/>
  <c r="KI42" i="36"/>
  <c r="KH42" i="36"/>
  <c r="KG42" i="36"/>
  <c r="KF42" i="36"/>
  <c r="KE42" i="36"/>
  <c r="KD42" i="36"/>
  <c r="KC42" i="36"/>
  <c r="KA42" i="36"/>
  <c r="JZ42" i="36"/>
  <c r="JY42" i="36"/>
  <c r="JX42" i="36"/>
  <c r="JW42" i="36"/>
  <c r="JV42" i="36"/>
  <c r="JU42" i="36"/>
  <c r="JT42" i="36"/>
  <c r="JS42" i="36"/>
  <c r="JR42" i="36"/>
  <c r="JQ42" i="36"/>
  <c r="JP42" i="36"/>
  <c r="JO42" i="36"/>
  <c r="JN42" i="36"/>
  <c r="JL42" i="36"/>
  <c r="JK42" i="36"/>
  <c r="JJ42" i="36"/>
  <c r="JI42" i="36"/>
  <c r="JH42" i="36"/>
  <c r="JG42" i="36"/>
  <c r="JF42" i="36"/>
  <c r="JE42" i="36"/>
  <c r="JD42" i="36"/>
  <c r="JC42" i="36"/>
  <c r="JB42" i="36"/>
  <c r="JA42" i="36"/>
  <c r="IZ42" i="36"/>
  <c r="IY42" i="36"/>
  <c r="IW42" i="36"/>
  <c r="IV42" i="36"/>
  <c r="IU42" i="36"/>
  <c r="IT42" i="36"/>
  <c r="IS42" i="36"/>
  <c r="IR42" i="36"/>
  <c r="IQ42" i="36"/>
  <c r="IP42" i="36"/>
  <c r="IO42" i="36"/>
  <c r="IN42" i="36"/>
  <c r="IM42" i="36"/>
  <c r="IL42" i="36"/>
  <c r="IK42" i="36"/>
  <c r="IJ42" i="36"/>
  <c r="IG42" i="36"/>
  <c r="IE42" i="36"/>
  <c r="ID42" i="36"/>
  <c r="HY42" i="36"/>
  <c r="HV42" i="36"/>
  <c r="HU42" i="36"/>
  <c r="HO42" i="36"/>
  <c r="HJ42" i="36"/>
  <c r="HI42" i="36"/>
  <c r="HH42" i="36"/>
  <c r="HF42" i="36"/>
  <c r="HB42" i="36"/>
  <c r="HA42" i="36"/>
  <c r="GU42" i="36"/>
  <c r="GT42" i="36"/>
  <c r="GS42" i="36"/>
  <c r="GN42" i="36"/>
  <c r="GM42" i="36"/>
  <c r="GI42" i="36"/>
  <c r="GG42" i="36"/>
  <c r="GD42" i="36"/>
  <c r="GC42" i="36"/>
  <c r="GB42" i="36"/>
  <c r="FX42" i="36"/>
  <c r="FV42" i="36"/>
  <c r="FS42" i="36"/>
  <c r="FR42" i="36"/>
  <c r="FP42" i="36"/>
  <c r="FO42" i="36"/>
  <c r="FK42" i="36"/>
  <c r="FJ42" i="36"/>
  <c r="FI42" i="36"/>
  <c r="FH42" i="36"/>
  <c r="FG42" i="36"/>
  <c r="FF42" i="36"/>
  <c r="FE42" i="36"/>
  <c r="FD42" i="36"/>
  <c r="FC42" i="36"/>
  <c r="FB42" i="36"/>
  <c r="FA42" i="36"/>
  <c r="EZ42" i="36"/>
  <c r="EY42" i="36"/>
  <c r="EX42" i="36"/>
  <c r="ET42" i="36"/>
  <c r="ES42" i="36"/>
  <c r="ER42" i="36"/>
  <c r="EQ42" i="36"/>
  <c r="EP42" i="36"/>
  <c r="EO42" i="36"/>
  <c r="EN42" i="36"/>
  <c r="EM42" i="36"/>
  <c r="EL42" i="36"/>
  <c r="EK42" i="36"/>
  <c r="EJ42" i="36"/>
  <c r="EI42" i="36"/>
  <c r="EG42" i="36"/>
  <c r="EF42" i="36"/>
  <c r="EE42" i="36"/>
  <c r="ED42" i="36"/>
  <c r="EC42" i="36"/>
  <c r="EB42" i="36"/>
  <c r="EA42" i="36"/>
  <c r="DZ42" i="36"/>
  <c r="DY42" i="36"/>
  <c r="DX42" i="36"/>
  <c r="DW42" i="36"/>
  <c r="DV42" i="36"/>
  <c r="DU42" i="36"/>
  <c r="DT42" i="36"/>
  <c r="DR42" i="36"/>
  <c r="DQ42" i="36"/>
  <c r="DP42" i="36"/>
  <c r="DO42" i="36"/>
  <c r="DN42" i="36"/>
  <c r="DM42" i="36"/>
  <c r="DL42" i="36"/>
  <c r="DK42" i="36"/>
  <c r="DJ42" i="36"/>
  <c r="DI42" i="36"/>
  <c r="DH42" i="36"/>
  <c r="DG42" i="36"/>
  <c r="DF42" i="36"/>
  <c r="DE42" i="36"/>
  <c r="CY42" i="36"/>
  <c r="CX42" i="36"/>
  <c r="CI42" i="36"/>
  <c r="CH42" i="36"/>
  <c r="CF42" i="36"/>
  <c r="CE42" i="36"/>
  <c r="CD42" i="36"/>
  <c r="CC42" i="36"/>
  <c r="CB42" i="36"/>
  <c r="CA42" i="36"/>
  <c r="BZ42" i="36"/>
  <c r="BW42" i="36"/>
  <c r="BQ42" i="36"/>
  <c r="BP42" i="36"/>
  <c r="BN42" i="36"/>
  <c r="BM42" i="36"/>
  <c r="BH42" i="36"/>
  <c r="BB42" i="36"/>
  <c r="BA42" i="36"/>
  <c r="AX42" i="36"/>
  <c r="AO42" i="36"/>
  <c r="AN42" i="36"/>
  <c r="AM42" i="36"/>
  <c r="AK42" i="36"/>
  <c r="AJ42" i="36"/>
  <c r="AI42" i="36"/>
  <c r="AH42" i="36"/>
  <c r="AF42" i="36"/>
  <c r="HW42" i="36" s="1"/>
  <c r="AE42" i="36"/>
  <c r="EV42" i="36" s="1"/>
  <c r="AB42" i="36"/>
  <c r="Q42" i="36"/>
  <c r="B42" i="36"/>
  <c r="KP41" i="36"/>
  <c r="KO41" i="36"/>
  <c r="KN41" i="36"/>
  <c r="KM41" i="36"/>
  <c r="KL41" i="36"/>
  <c r="KK41" i="36"/>
  <c r="KJ41" i="36"/>
  <c r="KI41" i="36"/>
  <c r="KH41" i="36"/>
  <c r="KG41" i="36"/>
  <c r="KF41" i="36"/>
  <c r="KE41" i="36"/>
  <c r="KD41" i="36"/>
  <c r="KC41" i="36"/>
  <c r="KA41" i="36"/>
  <c r="JZ41" i="36"/>
  <c r="JY41" i="36"/>
  <c r="JX41" i="36"/>
  <c r="JW41" i="36"/>
  <c r="JV41" i="36"/>
  <c r="JU41" i="36"/>
  <c r="JT41" i="36"/>
  <c r="JS41" i="36"/>
  <c r="JR41" i="36"/>
  <c r="JQ41" i="36"/>
  <c r="JP41" i="36"/>
  <c r="JO41" i="36"/>
  <c r="JN41" i="36"/>
  <c r="JL41" i="36"/>
  <c r="JK41" i="36"/>
  <c r="JJ41" i="36"/>
  <c r="JI41" i="36"/>
  <c r="JH41" i="36"/>
  <c r="JG41" i="36"/>
  <c r="JF41" i="36"/>
  <c r="JE41" i="36"/>
  <c r="JD41" i="36"/>
  <c r="JC41" i="36"/>
  <c r="JB41" i="36"/>
  <c r="JA41" i="36"/>
  <c r="IZ41" i="36"/>
  <c r="IY41" i="36"/>
  <c r="IW41" i="36"/>
  <c r="IV41" i="36"/>
  <c r="IU41" i="36"/>
  <c r="IT41" i="36"/>
  <c r="IS41" i="36"/>
  <c r="IR41" i="36"/>
  <c r="IQ41" i="36"/>
  <c r="IP41" i="36"/>
  <c r="IO41" i="36"/>
  <c r="IN41" i="36"/>
  <c r="IM41" i="36"/>
  <c r="IL41" i="36"/>
  <c r="IK41" i="36"/>
  <c r="IJ41" i="36"/>
  <c r="IH41" i="36"/>
  <c r="ID41" i="36"/>
  <c r="HZ41" i="36"/>
  <c r="HY41" i="36"/>
  <c r="HX41" i="36"/>
  <c r="HS41" i="36"/>
  <c r="GR41" i="36"/>
  <c r="GO41" i="36"/>
  <c r="GN41" i="36"/>
  <c r="GM41" i="36"/>
  <c r="GL41" i="36"/>
  <c r="GJ41" i="36"/>
  <c r="GI41" i="36"/>
  <c r="FH41" i="36"/>
  <c r="FG41" i="36"/>
  <c r="FF41" i="36"/>
  <c r="EX41" i="36"/>
  <c r="EV41" i="36"/>
  <c r="EU41" i="36"/>
  <c r="ET41" i="36"/>
  <c r="ES41" i="36"/>
  <c r="EJ41" i="36"/>
  <c r="EG41" i="36"/>
  <c r="EF41" i="36"/>
  <c r="EE41" i="36"/>
  <c r="ED41" i="36"/>
  <c r="EC41" i="36"/>
  <c r="EB41" i="36"/>
  <c r="EA41" i="36"/>
  <c r="DZ41" i="36"/>
  <c r="DY41" i="36"/>
  <c r="DX41" i="36"/>
  <c r="DW41" i="36"/>
  <c r="DV41" i="36"/>
  <c r="DU41" i="36"/>
  <c r="DT41" i="36"/>
  <c r="DR41" i="36"/>
  <c r="DQ41" i="36"/>
  <c r="DP41" i="36"/>
  <c r="DO41" i="36"/>
  <c r="DN41" i="36"/>
  <c r="DM41" i="36"/>
  <c r="DL41" i="36"/>
  <c r="DK41" i="36"/>
  <c r="DJ41" i="36"/>
  <c r="DI41" i="36"/>
  <c r="DH41" i="36"/>
  <c r="DG41" i="36"/>
  <c r="DF41" i="36"/>
  <c r="CY41" i="36"/>
  <c r="CX41" i="36"/>
  <c r="CW41" i="36"/>
  <c r="CM41" i="36"/>
  <c r="CL41" i="36"/>
  <c r="BX41" i="36"/>
  <c r="BR41" i="36"/>
  <c r="BQ41" i="36"/>
  <c r="BL41" i="36"/>
  <c r="BD41" i="36"/>
  <c r="BB41" i="36"/>
  <c r="BA41" i="36"/>
  <c r="AF41" i="36"/>
  <c r="FS41" i="36" s="1"/>
  <c r="AE41" i="36"/>
  <c r="AB41" i="36"/>
  <c r="DE41" i="36" s="1"/>
  <c r="Q41" i="36"/>
  <c r="B41" i="36"/>
  <c r="KP40" i="36"/>
  <c r="KO40" i="36"/>
  <c r="KN40" i="36"/>
  <c r="KM40" i="36"/>
  <c r="KL40" i="36"/>
  <c r="KK40" i="36"/>
  <c r="KJ40" i="36"/>
  <c r="KI40" i="36"/>
  <c r="KH40" i="36"/>
  <c r="KG40" i="36"/>
  <c r="KF40" i="36"/>
  <c r="KE40" i="36"/>
  <c r="KD40" i="36"/>
  <c r="KC40" i="36"/>
  <c r="KA40" i="36"/>
  <c r="JZ40" i="36"/>
  <c r="JY40" i="36"/>
  <c r="JX40" i="36"/>
  <c r="JW40" i="36"/>
  <c r="JV40" i="36"/>
  <c r="JU40" i="36"/>
  <c r="JT40" i="36"/>
  <c r="JS40" i="36"/>
  <c r="JR40" i="36"/>
  <c r="JQ40" i="36"/>
  <c r="JP40" i="36"/>
  <c r="JO40" i="36"/>
  <c r="JN40" i="36"/>
  <c r="JL40" i="36"/>
  <c r="JK40" i="36"/>
  <c r="JJ40" i="36"/>
  <c r="JI40" i="36"/>
  <c r="JH40" i="36"/>
  <c r="JG40" i="36"/>
  <c r="JF40" i="36"/>
  <c r="JE40" i="36"/>
  <c r="JD40" i="36"/>
  <c r="JC40" i="36"/>
  <c r="JB40" i="36"/>
  <c r="JA40" i="36"/>
  <c r="IZ40" i="36"/>
  <c r="IY40" i="36"/>
  <c r="IW40" i="36"/>
  <c r="IV40" i="36"/>
  <c r="IU40" i="36"/>
  <c r="IT40" i="36"/>
  <c r="IS40" i="36"/>
  <c r="IR40" i="36"/>
  <c r="IQ40" i="36"/>
  <c r="IP40" i="36"/>
  <c r="IO40" i="36"/>
  <c r="IN40" i="36"/>
  <c r="IM40" i="36"/>
  <c r="IL40" i="36"/>
  <c r="IK40" i="36"/>
  <c r="IJ40" i="36"/>
  <c r="IH40" i="36"/>
  <c r="IF40" i="36"/>
  <c r="HQ40" i="36"/>
  <c r="HP40" i="36"/>
  <c r="HN40" i="36"/>
  <c r="HK40" i="36"/>
  <c r="HJ40" i="36"/>
  <c r="GK40" i="36"/>
  <c r="GD40" i="36"/>
  <c r="GC40" i="36"/>
  <c r="FK40" i="36"/>
  <c r="FJ40" i="36"/>
  <c r="FI40" i="36"/>
  <c r="FA40" i="36"/>
  <c r="EZ40" i="36"/>
  <c r="EY40" i="36"/>
  <c r="EX40" i="36"/>
  <c r="EV40" i="36"/>
  <c r="EU40" i="36"/>
  <c r="ET40" i="36"/>
  <c r="ER40" i="36"/>
  <c r="EQ40" i="36"/>
  <c r="EP40" i="36"/>
  <c r="EO40" i="36"/>
  <c r="EN40" i="36"/>
  <c r="EL40" i="36"/>
  <c r="EI40" i="36"/>
  <c r="EG40" i="36"/>
  <c r="EF40" i="36"/>
  <c r="EE40" i="36"/>
  <c r="ED40" i="36"/>
  <c r="EC40" i="36"/>
  <c r="EB40" i="36"/>
  <c r="EA40" i="36"/>
  <c r="DZ40" i="36"/>
  <c r="DY40" i="36"/>
  <c r="DX40" i="36"/>
  <c r="DW40" i="36"/>
  <c r="DV40" i="36"/>
  <c r="DU40" i="36"/>
  <c r="DT40" i="36"/>
  <c r="DR40" i="36"/>
  <c r="DQ40" i="36"/>
  <c r="DP40" i="36"/>
  <c r="DO40" i="36"/>
  <c r="DN40" i="36"/>
  <c r="DM40" i="36"/>
  <c r="DL40" i="36"/>
  <c r="DK40" i="36"/>
  <c r="DJ40" i="36"/>
  <c r="DI40" i="36"/>
  <c r="DH40" i="36"/>
  <c r="DG40" i="36"/>
  <c r="DF40" i="36"/>
  <c r="DE40" i="36"/>
  <c r="CK40" i="36"/>
  <c r="CJ40" i="36"/>
  <c r="CI40" i="36"/>
  <c r="CH40" i="36"/>
  <c r="AY40" i="36"/>
  <c r="AX40" i="36"/>
  <c r="AV40" i="36"/>
  <c r="AT40" i="36"/>
  <c r="AL40" i="36"/>
  <c r="AI40" i="36"/>
  <c r="AF40" i="36"/>
  <c r="AE40" i="36"/>
  <c r="AB40" i="36"/>
  <c r="Q40" i="36"/>
  <c r="B40" i="36"/>
  <c r="KP39" i="36"/>
  <c r="KO39" i="36"/>
  <c r="KN39" i="36"/>
  <c r="KM39" i="36"/>
  <c r="KL39" i="36"/>
  <c r="KK39" i="36"/>
  <c r="KJ39" i="36"/>
  <c r="KI39" i="36"/>
  <c r="KH39" i="36"/>
  <c r="KG39" i="36"/>
  <c r="KF39" i="36"/>
  <c r="KE39" i="36"/>
  <c r="KD39" i="36"/>
  <c r="KC39" i="36"/>
  <c r="KA39" i="36"/>
  <c r="JZ39" i="36"/>
  <c r="JY39" i="36"/>
  <c r="JX39" i="36"/>
  <c r="JW39" i="36"/>
  <c r="JV39" i="36"/>
  <c r="JU39" i="36"/>
  <c r="JT39" i="36"/>
  <c r="JS39" i="36"/>
  <c r="JR39" i="36"/>
  <c r="JQ39" i="36"/>
  <c r="JP39" i="36"/>
  <c r="JO39" i="36"/>
  <c r="JN39" i="36"/>
  <c r="JL39" i="36"/>
  <c r="JK39" i="36"/>
  <c r="JJ39" i="36"/>
  <c r="JI39" i="36"/>
  <c r="JH39" i="36"/>
  <c r="JG39" i="36"/>
  <c r="JF39" i="36"/>
  <c r="JE39" i="36"/>
  <c r="JD39" i="36"/>
  <c r="JC39" i="36"/>
  <c r="JB39" i="36"/>
  <c r="JA39" i="36"/>
  <c r="IZ39" i="36"/>
  <c r="IY39" i="36"/>
  <c r="IW39" i="36"/>
  <c r="IV39" i="36"/>
  <c r="IU39" i="36"/>
  <c r="IT39" i="36"/>
  <c r="IS39" i="36"/>
  <c r="IR39" i="36"/>
  <c r="IQ39" i="36"/>
  <c r="IP39" i="36"/>
  <c r="IO39" i="36"/>
  <c r="IN39" i="36"/>
  <c r="IM39" i="36"/>
  <c r="IL39" i="36"/>
  <c r="IK39" i="36"/>
  <c r="IJ39" i="36"/>
  <c r="IH39" i="36"/>
  <c r="IG39" i="36"/>
  <c r="IF39" i="36"/>
  <c r="IE39" i="36"/>
  <c r="ID39" i="36"/>
  <c r="HY39" i="36"/>
  <c r="HX39" i="36"/>
  <c r="HW39" i="36"/>
  <c r="HV39" i="36"/>
  <c r="HU39" i="36"/>
  <c r="HS39" i="36"/>
  <c r="HR39" i="36"/>
  <c r="HN39" i="36"/>
  <c r="HM39" i="36"/>
  <c r="HL39" i="36"/>
  <c r="HK39" i="36"/>
  <c r="HJ39" i="36"/>
  <c r="HI39" i="36"/>
  <c r="HH39" i="36"/>
  <c r="HF39" i="36"/>
  <c r="HD39" i="36"/>
  <c r="HA39" i="36"/>
  <c r="GZ39" i="36"/>
  <c r="GX39" i="36"/>
  <c r="GW39" i="36"/>
  <c r="GV39" i="36"/>
  <c r="GU39" i="36"/>
  <c r="GT39" i="36"/>
  <c r="GS39" i="36"/>
  <c r="GN39" i="36"/>
  <c r="GK39" i="36"/>
  <c r="GJ39" i="36"/>
  <c r="GI39" i="36"/>
  <c r="GG39" i="36"/>
  <c r="GF39" i="36"/>
  <c r="GE39" i="36"/>
  <c r="GD39" i="36"/>
  <c r="GC39" i="36"/>
  <c r="GB39" i="36"/>
  <c r="FZ39" i="36"/>
  <c r="FY39" i="36"/>
  <c r="FX39" i="36"/>
  <c r="FW39" i="36"/>
  <c r="FR39" i="36"/>
  <c r="FQ39" i="36"/>
  <c r="FP39" i="36"/>
  <c r="FO39" i="36"/>
  <c r="FN39" i="36"/>
  <c r="FM39" i="36"/>
  <c r="FJ39" i="36"/>
  <c r="FG39" i="36"/>
  <c r="ES39" i="36"/>
  <c r="EG39" i="36"/>
  <c r="EF39" i="36"/>
  <c r="EE39" i="36"/>
  <c r="ED39" i="36"/>
  <c r="EC39" i="36"/>
  <c r="EB39" i="36"/>
  <c r="EA39" i="36"/>
  <c r="DZ39" i="36"/>
  <c r="DY39" i="36"/>
  <c r="DX39" i="36"/>
  <c r="DW39" i="36"/>
  <c r="DV39" i="36"/>
  <c r="DU39" i="36"/>
  <c r="DT39" i="36"/>
  <c r="DR39" i="36"/>
  <c r="DQ39" i="36"/>
  <c r="DP39" i="36"/>
  <c r="DO39" i="36"/>
  <c r="DN39" i="36"/>
  <c r="DM39" i="36"/>
  <c r="DL39" i="36"/>
  <c r="DK39" i="36"/>
  <c r="DJ39" i="36"/>
  <c r="DI39" i="36"/>
  <c r="DH39" i="36"/>
  <c r="DG39" i="36"/>
  <c r="DF39" i="36"/>
  <c r="DC39" i="36"/>
  <c r="DB39" i="36"/>
  <c r="CY39" i="36"/>
  <c r="CX39" i="36"/>
  <c r="CW39" i="36"/>
  <c r="CV39" i="36"/>
  <c r="CU39" i="36"/>
  <c r="CT39" i="36"/>
  <c r="CS39" i="36"/>
  <c r="CR39" i="36"/>
  <c r="CL39" i="36"/>
  <c r="CK39" i="36"/>
  <c r="CJ39" i="36"/>
  <c r="CH39" i="36"/>
  <c r="CF39" i="36"/>
  <c r="CE39" i="36"/>
  <c r="CD39" i="36"/>
  <c r="CC39" i="36"/>
  <c r="BZ39" i="36"/>
  <c r="BY39" i="36"/>
  <c r="BX39" i="36"/>
  <c r="BU39" i="36"/>
  <c r="BS39" i="36"/>
  <c r="BR39" i="36"/>
  <c r="BP39" i="36"/>
  <c r="BO39" i="36"/>
  <c r="BN39" i="36"/>
  <c r="BM39" i="36"/>
  <c r="BL39" i="36"/>
  <c r="BK39" i="36"/>
  <c r="BJ39" i="36"/>
  <c r="BI39" i="36"/>
  <c r="BG39" i="36"/>
  <c r="BF39" i="36"/>
  <c r="AZ39" i="36"/>
  <c r="AY39" i="36"/>
  <c r="AX39" i="36"/>
  <c r="AW39" i="36"/>
  <c r="AV39" i="36"/>
  <c r="AQ39" i="36"/>
  <c r="AO39" i="36"/>
  <c r="AN39" i="36"/>
  <c r="AM39" i="36"/>
  <c r="AL39" i="36"/>
  <c r="AK39" i="36"/>
  <c r="AJ39" i="36"/>
  <c r="AI39" i="36"/>
  <c r="AH39" i="36"/>
  <c r="AF39" i="36"/>
  <c r="AE39" i="36"/>
  <c r="AB39" i="36"/>
  <c r="DE39" i="36" s="1"/>
  <c r="Q39" i="36"/>
  <c r="B39" i="36"/>
  <c r="KP38" i="36"/>
  <c r="KO38" i="36"/>
  <c r="KN38" i="36"/>
  <c r="KM38" i="36"/>
  <c r="KL38" i="36"/>
  <c r="KK38" i="36"/>
  <c r="KJ38" i="36"/>
  <c r="KI38" i="36"/>
  <c r="KH38" i="36"/>
  <c r="KG38" i="36"/>
  <c r="KF38" i="36"/>
  <c r="KE38" i="36"/>
  <c r="KD38" i="36"/>
  <c r="KC38" i="36"/>
  <c r="KA38" i="36"/>
  <c r="JZ38" i="36"/>
  <c r="JY38" i="36"/>
  <c r="JX38" i="36"/>
  <c r="JW38" i="36"/>
  <c r="JV38" i="36"/>
  <c r="JU38" i="36"/>
  <c r="JT38" i="36"/>
  <c r="JS38" i="36"/>
  <c r="JR38" i="36"/>
  <c r="JQ38" i="36"/>
  <c r="JP38" i="36"/>
  <c r="JO38" i="36"/>
  <c r="JN38" i="36"/>
  <c r="JL38" i="36"/>
  <c r="JK38" i="36"/>
  <c r="JJ38" i="36"/>
  <c r="JI38" i="36"/>
  <c r="JH38" i="36"/>
  <c r="JG38" i="36"/>
  <c r="JF38" i="36"/>
  <c r="JE38" i="36"/>
  <c r="JD38" i="36"/>
  <c r="JC38" i="36"/>
  <c r="JB38" i="36"/>
  <c r="JA38" i="36"/>
  <c r="IZ38" i="36"/>
  <c r="IY38" i="36"/>
  <c r="IW38" i="36"/>
  <c r="IV38" i="36"/>
  <c r="IU38" i="36"/>
  <c r="IT38" i="36"/>
  <c r="IS38" i="36"/>
  <c r="IR38" i="36"/>
  <c r="IQ38" i="36"/>
  <c r="IP38" i="36"/>
  <c r="IO38" i="36"/>
  <c r="IN38" i="36"/>
  <c r="IM38" i="36"/>
  <c r="IL38" i="36"/>
  <c r="IK38" i="36"/>
  <c r="IJ38" i="36"/>
  <c r="FH38" i="36"/>
  <c r="FG38" i="36"/>
  <c r="ET38" i="36"/>
  <c r="ES38" i="36"/>
  <c r="ER38" i="36"/>
  <c r="EQ38" i="36"/>
  <c r="EP38" i="36"/>
  <c r="EN38" i="36"/>
  <c r="EM38" i="36"/>
  <c r="EL38" i="36"/>
  <c r="AF38" i="36"/>
  <c r="AE38" i="36"/>
  <c r="FI38" i="36" s="1"/>
  <c r="AC38" i="36" a="1"/>
  <c r="AC38" i="36" s="1"/>
  <c r="DJ38" i="36" s="1"/>
  <c r="AB38" i="36"/>
  <c r="Q38" i="36"/>
  <c r="B38" i="36"/>
  <c r="KP37" i="36"/>
  <c r="KO37" i="36"/>
  <c r="KN37" i="36"/>
  <c r="KM37" i="36"/>
  <c r="KL37" i="36"/>
  <c r="KK37" i="36"/>
  <c r="KJ37" i="36"/>
  <c r="KI37" i="36"/>
  <c r="KH37" i="36"/>
  <c r="KG37" i="36"/>
  <c r="KF37" i="36"/>
  <c r="KE37" i="36"/>
  <c r="KD37" i="36"/>
  <c r="KC37" i="36"/>
  <c r="KA37" i="36"/>
  <c r="JZ37" i="36"/>
  <c r="JY37" i="36"/>
  <c r="JX37" i="36"/>
  <c r="JW37" i="36"/>
  <c r="JV37" i="36"/>
  <c r="JU37" i="36"/>
  <c r="JT37" i="36"/>
  <c r="JS37" i="36"/>
  <c r="JR37" i="36"/>
  <c r="JQ37" i="36"/>
  <c r="JP37" i="36"/>
  <c r="JO37" i="36"/>
  <c r="JN37" i="36"/>
  <c r="JL37" i="36"/>
  <c r="JK37" i="36"/>
  <c r="JJ37" i="36"/>
  <c r="JI37" i="36"/>
  <c r="JH37" i="36"/>
  <c r="JG37" i="36"/>
  <c r="JF37" i="36"/>
  <c r="JE37" i="36"/>
  <c r="JD37" i="36"/>
  <c r="JC37" i="36"/>
  <c r="JB37" i="36"/>
  <c r="JA37" i="36"/>
  <c r="IZ37" i="36"/>
  <c r="IY37" i="36"/>
  <c r="IW37" i="36"/>
  <c r="IV37" i="36"/>
  <c r="IU37" i="36"/>
  <c r="IT37" i="36"/>
  <c r="IS37" i="36"/>
  <c r="IR37" i="36"/>
  <c r="IQ37" i="36"/>
  <c r="IP37" i="36"/>
  <c r="IO37" i="36"/>
  <c r="IN37" i="36"/>
  <c r="IM37" i="36"/>
  <c r="IL37" i="36"/>
  <c r="IK37" i="36"/>
  <c r="IJ37" i="36"/>
  <c r="HX37" i="36"/>
  <c r="HW37" i="36"/>
  <c r="HU37" i="36"/>
  <c r="HS37" i="36"/>
  <c r="HL37" i="36"/>
  <c r="HK37" i="36"/>
  <c r="HI37" i="36"/>
  <c r="HH37" i="36"/>
  <c r="HG37" i="36"/>
  <c r="GN37" i="36"/>
  <c r="GL37" i="36"/>
  <c r="GK37" i="36"/>
  <c r="GJ37" i="36"/>
  <c r="GI37" i="36"/>
  <c r="FY37" i="36"/>
  <c r="FV37" i="36"/>
  <c r="FO37" i="36"/>
  <c r="FN37" i="36"/>
  <c r="FM37" i="36"/>
  <c r="FK37" i="36"/>
  <c r="FH37" i="36"/>
  <c r="FF37" i="36"/>
  <c r="EX37" i="36"/>
  <c r="EV37" i="36"/>
  <c r="EU37" i="36"/>
  <c r="DA37" i="36"/>
  <c r="CZ37" i="36"/>
  <c r="CV37" i="36"/>
  <c r="CR37" i="36"/>
  <c r="CQ37" i="36"/>
  <c r="CP37" i="36"/>
  <c r="CN37" i="36"/>
  <c r="CM37" i="36"/>
  <c r="CK37" i="36"/>
  <c r="CE37" i="36"/>
  <c r="BR37" i="36"/>
  <c r="BQ37" i="36"/>
  <c r="BM37" i="36"/>
  <c r="BL37" i="36"/>
  <c r="BK37" i="36"/>
  <c r="BJ37" i="36"/>
  <c r="BI37" i="36"/>
  <c r="BH37" i="36"/>
  <c r="AQ37" i="36"/>
  <c r="AF37" i="36"/>
  <c r="AE37" i="36"/>
  <c r="AC37" i="36" a="1"/>
  <c r="AC37" i="36" s="1"/>
  <c r="AB37" i="36"/>
  <c r="Q37" i="36"/>
  <c r="B37" i="36"/>
  <c r="KP36" i="36"/>
  <c r="KO36" i="36"/>
  <c r="KN36" i="36"/>
  <c r="KM36" i="36"/>
  <c r="KL36" i="36"/>
  <c r="KK36" i="36"/>
  <c r="KJ36" i="36"/>
  <c r="KI36" i="36"/>
  <c r="KH36" i="36"/>
  <c r="KG36" i="36"/>
  <c r="KF36" i="36"/>
  <c r="KE36" i="36"/>
  <c r="KD36" i="36"/>
  <c r="KC36" i="36"/>
  <c r="KA36" i="36"/>
  <c r="JZ36" i="36"/>
  <c r="JY36" i="36"/>
  <c r="JX36" i="36"/>
  <c r="JW36" i="36"/>
  <c r="JV36" i="36"/>
  <c r="JU36" i="36"/>
  <c r="JT36" i="36"/>
  <c r="JS36" i="36"/>
  <c r="JR36" i="36"/>
  <c r="JQ36" i="36"/>
  <c r="JP36" i="36"/>
  <c r="JO36" i="36"/>
  <c r="JN36" i="36"/>
  <c r="JL36" i="36"/>
  <c r="JK36" i="36"/>
  <c r="JJ36" i="36"/>
  <c r="JI36" i="36"/>
  <c r="JH36" i="36"/>
  <c r="JG36" i="36"/>
  <c r="JF36" i="36"/>
  <c r="JE36" i="36"/>
  <c r="JD36" i="36"/>
  <c r="JC36" i="36"/>
  <c r="JB36" i="36"/>
  <c r="JA36" i="36"/>
  <c r="IZ36" i="36"/>
  <c r="IY36" i="36"/>
  <c r="IW36" i="36"/>
  <c r="IV36" i="36"/>
  <c r="IU36" i="36"/>
  <c r="IT36" i="36"/>
  <c r="IS36" i="36"/>
  <c r="IR36" i="36"/>
  <c r="IQ36" i="36"/>
  <c r="IP36" i="36"/>
  <c r="IO36" i="36"/>
  <c r="IN36" i="36"/>
  <c r="IM36" i="36"/>
  <c r="IL36" i="36"/>
  <c r="IK36" i="36"/>
  <c r="IJ36" i="36"/>
  <c r="IF36" i="36"/>
  <c r="IE36" i="36"/>
  <c r="IB36" i="36"/>
  <c r="HW36" i="36"/>
  <c r="HV36" i="36"/>
  <c r="HU36" i="36"/>
  <c r="HS36" i="36"/>
  <c r="HR36" i="36"/>
  <c r="HQ36" i="36"/>
  <c r="HF36" i="36"/>
  <c r="GZ36" i="36"/>
  <c r="GY36" i="36"/>
  <c r="GV36" i="36"/>
  <c r="GU36" i="36"/>
  <c r="GR36" i="36"/>
  <c r="GO36" i="36"/>
  <c r="GN36" i="36"/>
  <c r="GM36" i="36"/>
  <c r="GK36" i="36"/>
  <c r="GJ36" i="36"/>
  <c r="GF36" i="36"/>
  <c r="GC36" i="36"/>
  <c r="FV36" i="36"/>
  <c r="FU36" i="36"/>
  <c r="FT36" i="36"/>
  <c r="FS36" i="36"/>
  <c r="FR36" i="36"/>
  <c r="FK36" i="36"/>
  <c r="FJ36" i="36"/>
  <c r="FI36" i="36"/>
  <c r="FG36" i="36"/>
  <c r="FF36" i="36"/>
  <c r="FE36" i="36"/>
  <c r="FD36" i="36"/>
  <c r="FC36" i="36"/>
  <c r="FB36" i="36"/>
  <c r="FA36" i="36"/>
  <c r="EZ36" i="36"/>
  <c r="EY36" i="36"/>
  <c r="EX36" i="36"/>
  <c r="ET36" i="36"/>
  <c r="ES36" i="36"/>
  <c r="ER36" i="36"/>
  <c r="EQ36" i="36"/>
  <c r="EP36" i="36"/>
  <c r="EO36" i="36"/>
  <c r="EN36" i="36"/>
  <c r="EM36" i="36"/>
  <c r="EL36" i="36"/>
  <c r="EK36" i="36"/>
  <c r="EJ36" i="36"/>
  <c r="EI36" i="36"/>
  <c r="EG36" i="36"/>
  <c r="EF36" i="36"/>
  <c r="EE36" i="36"/>
  <c r="ED36" i="36"/>
  <c r="EC36" i="36"/>
  <c r="EB36" i="36"/>
  <c r="EA36" i="36"/>
  <c r="DZ36" i="36"/>
  <c r="DY36" i="36"/>
  <c r="DX36" i="36"/>
  <c r="DW36" i="36"/>
  <c r="DV36" i="36"/>
  <c r="DU36" i="36"/>
  <c r="DT36" i="36"/>
  <c r="DR36" i="36"/>
  <c r="DQ36" i="36"/>
  <c r="DP36" i="36"/>
  <c r="DO36" i="36"/>
  <c r="DN36" i="36"/>
  <c r="DM36" i="36"/>
  <c r="DL36" i="36"/>
  <c r="DK36" i="36"/>
  <c r="DJ36" i="36"/>
  <c r="DI36" i="36"/>
  <c r="DH36" i="36"/>
  <c r="DG36" i="36"/>
  <c r="DF36" i="36"/>
  <c r="DE36" i="36"/>
  <c r="CY36" i="36"/>
  <c r="CV36" i="36"/>
  <c r="CQ36" i="36"/>
  <c r="CK36" i="36"/>
  <c r="CJ36" i="36"/>
  <c r="CF36" i="36"/>
  <c r="CA36" i="36"/>
  <c r="BZ36" i="36"/>
  <c r="BY36" i="36"/>
  <c r="BX36" i="36"/>
  <c r="BS36" i="36"/>
  <c r="BR36" i="36"/>
  <c r="BQ36" i="36"/>
  <c r="BP36" i="36"/>
  <c r="BH36" i="36"/>
  <c r="BG36" i="36"/>
  <c r="BB36" i="36"/>
  <c r="BA36" i="36"/>
  <c r="AZ36" i="36"/>
  <c r="AY36" i="36"/>
  <c r="AX36" i="36"/>
  <c r="AW36" i="36"/>
  <c r="AV36" i="36"/>
  <c r="AJ36" i="36"/>
  <c r="AI36" i="36"/>
  <c r="AF36" i="36"/>
  <c r="AE36" i="36"/>
  <c r="EV36" i="36" s="1"/>
  <c r="AB36" i="36"/>
  <c r="Q36" i="36"/>
  <c r="B36" i="36"/>
  <c r="KP35" i="36"/>
  <c r="KO35" i="36"/>
  <c r="KN35" i="36"/>
  <c r="KM35" i="36"/>
  <c r="KL35" i="36"/>
  <c r="KK35" i="36"/>
  <c r="KJ35" i="36"/>
  <c r="KI35" i="36"/>
  <c r="KH35" i="36"/>
  <c r="KG35" i="36"/>
  <c r="KF35" i="36"/>
  <c r="KE35" i="36"/>
  <c r="KD35" i="36"/>
  <c r="KC35" i="36"/>
  <c r="KA35" i="36"/>
  <c r="JZ35" i="36"/>
  <c r="JY35" i="36"/>
  <c r="JX35" i="36"/>
  <c r="JW35" i="36"/>
  <c r="JV35" i="36"/>
  <c r="JU35" i="36"/>
  <c r="JT35" i="36"/>
  <c r="JS35" i="36"/>
  <c r="JR35" i="36"/>
  <c r="JQ35" i="36"/>
  <c r="JP35" i="36"/>
  <c r="JO35" i="36"/>
  <c r="JN35" i="36"/>
  <c r="JL35" i="36"/>
  <c r="JK35" i="36"/>
  <c r="JJ35" i="36"/>
  <c r="JI35" i="36"/>
  <c r="JH35" i="36"/>
  <c r="JG35" i="36"/>
  <c r="JF35" i="36"/>
  <c r="JE35" i="36"/>
  <c r="JD35" i="36"/>
  <c r="JC35" i="36"/>
  <c r="JB35" i="36"/>
  <c r="JA35" i="36"/>
  <c r="IZ35" i="36"/>
  <c r="IY35" i="36"/>
  <c r="IW35" i="36"/>
  <c r="IV35" i="36"/>
  <c r="IU35" i="36"/>
  <c r="IT35" i="36"/>
  <c r="IS35" i="36"/>
  <c r="IR35" i="36"/>
  <c r="IQ35" i="36"/>
  <c r="IP35" i="36"/>
  <c r="IO35" i="36"/>
  <c r="IN35" i="36"/>
  <c r="IM35" i="36"/>
  <c r="IL35" i="36"/>
  <c r="IK35" i="36"/>
  <c r="IJ35" i="36"/>
  <c r="IE35" i="36"/>
  <c r="IB35" i="36"/>
  <c r="IA35" i="36"/>
  <c r="HZ35" i="36"/>
  <c r="HY35" i="36"/>
  <c r="HX35" i="36"/>
  <c r="HW35" i="36"/>
  <c r="HV35" i="36"/>
  <c r="HP35" i="36"/>
  <c r="HO35" i="36"/>
  <c r="HN35" i="36"/>
  <c r="HM35" i="36"/>
  <c r="HL35" i="36"/>
  <c r="HK35" i="36"/>
  <c r="HJ35" i="36"/>
  <c r="HF35" i="36"/>
  <c r="HD35" i="36"/>
  <c r="HC35" i="36"/>
  <c r="HA35" i="36"/>
  <c r="GX35" i="36"/>
  <c r="GV35" i="36"/>
  <c r="GU35" i="36"/>
  <c r="GT35" i="36"/>
  <c r="GS35" i="36"/>
  <c r="GR35" i="36"/>
  <c r="GM35" i="36"/>
  <c r="GL35" i="36"/>
  <c r="GK35" i="36"/>
  <c r="GG35" i="36"/>
  <c r="GF35" i="36"/>
  <c r="GC35" i="36"/>
  <c r="GB35" i="36"/>
  <c r="FZ35" i="36"/>
  <c r="FY35" i="36"/>
  <c r="FX35" i="36"/>
  <c r="FW35" i="36"/>
  <c r="FV35" i="36"/>
  <c r="FU35" i="36"/>
  <c r="FT35" i="36"/>
  <c r="FP35" i="36"/>
  <c r="FO35" i="36"/>
  <c r="FK35" i="36"/>
  <c r="FJ35" i="36"/>
  <c r="FI35" i="36"/>
  <c r="FH35" i="36"/>
  <c r="FE35" i="36"/>
  <c r="FD35" i="36"/>
  <c r="FC35" i="36"/>
  <c r="ET35" i="36"/>
  <c r="ES35" i="36"/>
  <c r="ER35" i="36"/>
  <c r="EQ35" i="36"/>
  <c r="EP35" i="36"/>
  <c r="EO35" i="36"/>
  <c r="EN35" i="36"/>
  <c r="EM35" i="36"/>
  <c r="EJ35" i="36"/>
  <c r="EG35" i="36"/>
  <c r="EF35" i="36"/>
  <c r="EE35" i="36"/>
  <c r="ED35" i="36"/>
  <c r="EC35" i="36"/>
  <c r="EB35" i="36"/>
  <c r="EA35" i="36"/>
  <c r="DZ35" i="36"/>
  <c r="DY35" i="36"/>
  <c r="DX35" i="36"/>
  <c r="DW35" i="36"/>
  <c r="DV35" i="36"/>
  <c r="DU35" i="36"/>
  <c r="DT35" i="36"/>
  <c r="DR35" i="36"/>
  <c r="DQ35" i="36"/>
  <c r="DP35" i="36"/>
  <c r="DO35" i="36"/>
  <c r="DN35" i="36"/>
  <c r="DM35" i="36"/>
  <c r="DL35" i="36"/>
  <c r="DK35" i="36"/>
  <c r="DJ35" i="36"/>
  <c r="DI35" i="36"/>
  <c r="DH35" i="36"/>
  <c r="DG35" i="36"/>
  <c r="DF35" i="36"/>
  <c r="DC35" i="36"/>
  <c r="DB35" i="36"/>
  <c r="DA35" i="36"/>
  <c r="CZ35" i="36"/>
  <c r="CY35" i="36"/>
  <c r="CW35" i="36"/>
  <c r="CU35" i="36"/>
  <c r="CT35" i="36"/>
  <c r="CQ35" i="36"/>
  <c r="CP35" i="36"/>
  <c r="CN35" i="36"/>
  <c r="CM35" i="36"/>
  <c r="CL35" i="36"/>
  <c r="CK35" i="36"/>
  <c r="CF35" i="36"/>
  <c r="CD35" i="36"/>
  <c r="CA35" i="36"/>
  <c r="BY35" i="36"/>
  <c r="BV35" i="36"/>
  <c r="BU35" i="36"/>
  <c r="BS35" i="36"/>
  <c r="BR35" i="36"/>
  <c r="BQ35" i="36"/>
  <c r="BP35" i="36"/>
  <c r="BO35" i="36"/>
  <c r="BK35" i="36"/>
  <c r="BJ35" i="36"/>
  <c r="BI35" i="36"/>
  <c r="BH35" i="36"/>
  <c r="BG35" i="36"/>
  <c r="BD35" i="36"/>
  <c r="BC35" i="36"/>
  <c r="BB35" i="36"/>
  <c r="BA35" i="36"/>
  <c r="AW35" i="36"/>
  <c r="AU35" i="36"/>
  <c r="AT35" i="36"/>
  <c r="AS35" i="36"/>
  <c r="AR35" i="36"/>
  <c r="AN35" i="36"/>
  <c r="AM35" i="36"/>
  <c r="AH35" i="36"/>
  <c r="AF35" i="36"/>
  <c r="AE35" i="36"/>
  <c r="AB35" i="36"/>
  <c r="DE35" i="36" s="1"/>
  <c r="Q35" i="36"/>
  <c r="B35" i="36"/>
  <c r="KP34" i="36"/>
  <c r="KO34" i="36"/>
  <c r="KN34" i="36"/>
  <c r="KM34" i="36"/>
  <c r="KL34" i="36"/>
  <c r="KK34" i="36"/>
  <c r="KJ34" i="36"/>
  <c r="KI34" i="36"/>
  <c r="KH34" i="36"/>
  <c r="KG34" i="36"/>
  <c r="KF34" i="36"/>
  <c r="KE34" i="36"/>
  <c r="KD34" i="36"/>
  <c r="KC34" i="36"/>
  <c r="KA34" i="36"/>
  <c r="JZ34" i="36"/>
  <c r="JY34" i="36"/>
  <c r="JX34" i="36"/>
  <c r="JW34" i="36"/>
  <c r="JV34" i="36"/>
  <c r="JU34" i="36"/>
  <c r="JT34" i="36"/>
  <c r="JS34" i="36"/>
  <c r="JR34" i="36"/>
  <c r="JQ34" i="36"/>
  <c r="JP34" i="36"/>
  <c r="JO34" i="36"/>
  <c r="JN34" i="36"/>
  <c r="JL34" i="36"/>
  <c r="JK34" i="36"/>
  <c r="JJ34" i="36"/>
  <c r="JI34" i="36"/>
  <c r="JH34" i="36"/>
  <c r="JG34" i="36"/>
  <c r="JF34" i="36"/>
  <c r="JE34" i="36"/>
  <c r="JD34" i="36"/>
  <c r="JC34" i="36"/>
  <c r="JB34" i="36"/>
  <c r="JA34" i="36"/>
  <c r="IZ34" i="36"/>
  <c r="IY34" i="36"/>
  <c r="IW34" i="36"/>
  <c r="IV34" i="36"/>
  <c r="IU34" i="36"/>
  <c r="IT34" i="36"/>
  <c r="IS34" i="36"/>
  <c r="IR34" i="36"/>
  <c r="IQ34" i="36"/>
  <c r="IP34" i="36"/>
  <c r="IO34" i="36"/>
  <c r="IN34" i="36"/>
  <c r="IM34" i="36"/>
  <c r="IL34" i="36"/>
  <c r="IK34" i="36"/>
  <c r="IJ34" i="36"/>
  <c r="IH34" i="36"/>
  <c r="IG34" i="36"/>
  <c r="IF34" i="36"/>
  <c r="IE34" i="36"/>
  <c r="ID34" i="36"/>
  <c r="IC34" i="36"/>
  <c r="IB34" i="36"/>
  <c r="IA34" i="36"/>
  <c r="HZ34" i="36"/>
  <c r="HX34" i="36"/>
  <c r="HS34" i="36"/>
  <c r="HR34" i="36"/>
  <c r="HQ34" i="36"/>
  <c r="HN34" i="36"/>
  <c r="HK34" i="36"/>
  <c r="HJ34" i="36"/>
  <c r="HI34" i="36"/>
  <c r="HH34" i="36"/>
  <c r="HG34" i="36"/>
  <c r="HF34" i="36"/>
  <c r="HD34" i="36"/>
  <c r="HC34" i="36"/>
  <c r="HB34" i="36"/>
  <c r="HA34" i="36"/>
  <c r="GY34" i="36"/>
  <c r="GX34" i="36"/>
  <c r="GW34" i="36"/>
  <c r="GV34" i="36"/>
  <c r="GT34" i="36"/>
  <c r="GS34" i="36"/>
  <c r="GR34" i="36"/>
  <c r="GQ34" i="36"/>
  <c r="GO34" i="36"/>
  <c r="GN34" i="36"/>
  <c r="GJ34" i="36"/>
  <c r="GE34" i="36"/>
  <c r="GD34" i="36"/>
  <c r="GC34" i="36"/>
  <c r="GB34" i="36"/>
  <c r="FZ34" i="36"/>
  <c r="FY34" i="36"/>
  <c r="FX34" i="36"/>
  <c r="FW34" i="36"/>
  <c r="FV34" i="36"/>
  <c r="FU34" i="36"/>
  <c r="FT34" i="36"/>
  <c r="FS34" i="36"/>
  <c r="FR34" i="36"/>
  <c r="FO34" i="36"/>
  <c r="FN34" i="36"/>
  <c r="FM34" i="36"/>
  <c r="FI34" i="36"/>
  <c r="FH34" i="36"/>
  <c r="FG34" i="36"/>
  <c r="ET34" i="36"/>
  <c r="ER34" i="36"/>
  <c r="EQ34" i="36"/>
  <c r="EL34" i="36"/>
  <c r="EK34" i="36"/>
  <c r="EI34" i="36"/>
  <c r="EG34" i="36"/>
  <c r="EF34" i="36"/>
  <c r="EE34" i="36"/>
  <c r="ED34" i="36"/>
  <c r="EC34" i="36"/>
  <c r="EB34" i="36"/>
  <c r="EA34" i="36"/>
  <c r="DZ34" i="36"/>
  <c r="DY34" i="36"/>
  <c r="DX34" i="36"/>
  <c r="DW34" i="36"/>
  <c r="DV34" i="36"/>
  <c r="DU34" i="36"/>
  <c r="DT34" i="36"/>
  <c r="DR34" i="36"/>
  <c r="DQ34" i="36"/>
  <c r="DP34" i="36"/>
  <c r="DO34" i="36"/>
  <c r="DN34" i="36"/>
  <c r="DM34" i="36"/>
  <c r="DL34" i="36"/>
  <c r="DK34" i="36"/>
  <c r="DJ34" i="36"/>
  <c r="DI34" i="36"/>
  <c r="DH34" i="36"/>
  <c r="DG34" i="36"/>
  <c r="DF34" i="36"/>
  <c r="DE34" i="36"/>
  <c r="DC34" i="36"/>
  <c r="DA34" i="36"/>
  <c r="CZ34" i="36"/>
  <c r="CY34" i="36"/>
  <c r="CX34" i="36"/>
  <c r="CU34" i="36"/>
  <c r="CT34" i="36"/>
  <c r="CS34" i="36"/>
  <c r="CR34" i="36"/>
  <c r="CQ34" i="36"/>
  <c r="CP34" i="36"/>
  <c r="CI34" i="36"/>
  <c r="CH34" i="36"/>
  <c r="CF34" i="36"/>
  <c r="CE34" i="36"/>
  <c r="CC34" i="36"/>
  <c r="CB34" i="36"/>
  <c r="CA34" i="36"/>
  <c r="BZ34" i="36"/>
  <c r="BY34" i="36"/>
  <c r="BX34" i="36"/>
  <c r="BW34" i="36"/>
  <c r="BV34" i="36"/>
  <c r="BU34" i="36"/>
  <c r="BS34" i="36"/>
  <c r="BO34" i="36"/>
  <c r="BN34" i="36"/>
  <c r="BM34" i="36"/>
  <c r="BL34" i="36"/>
  <c r="BK34" i="36"/>
  <c r="BJ34" i="36"/>
  <c r="BI34" i="36"/>
  <c r="BH34" i="36"/>
  <c r="BD34" i="36"/>
  <c r="BC34" i="36"/>
  <c r="AX34" i="36"/>
  <c r="AW34" i="36"/>
  <c r="AV34" i="36"/>
  <c r="AU34" i="36"/>
  <c r="AT34" i="36"/>
  <c r="AS34" i="36"/>
  <c r="AR34" i="36"/>
  <c r="AQ34" i="36"/>
  <c r="AO34" i="36"/>
  <c r="AL34" i="36"/>
  <c r="AK34" i="36"/>
  <c r="AJ34" i="36"/>
  <c r="AI34" i="36"/>
  <c r="AH34" i="36"/>
  <c r="AF34" i="36"/>
  <c r="AE34" i="36"/>
  <c r="AB34" i="36"/>
  <c r="Q34" i="36"/>
  <c r="B34" i="36"/>
  <c r="KP33" i="36"/>
  <c r="KO33" i="36"/>
  <c r="KN33" i="36"/>
  <c r="KM33" i="36"/>
  <c r="KL33" i="36"/>
  <c r="KK33" i="36"/>
  <c r="KJ33" i="36"/>
  <c r="KI33" i="36"/>
  <c r="KH33" i="36"/>
  <c r="KG33" i="36"/>
  <c r="KF33" i="36"/>
  <c r="KE33" i="36"/>
  <c r="KD33" i="36"/>
  <c r="KC33" i="36"/>
  <c r="KA33" i="36"/>
  <c r="JZ33" i="36"/>
  <c r="JY33" i="36"/>
  <c r="JX33" i="36"/>
  <c r="JW33" i="36"/>
  <c r="JV33" i="36"/>
  <c r="JU33" i="36"/>
  <c r="JT33" i="36"/>
  <c r="JS33" i="36"/>
  <c r="JR33" i="36"/>
  <c r="JQ33" i="36"/>
  <c r="JP33" i="36"/>
  <c r="JO33" i="36"/>
  <c r="JN33" i="36"/>
  <c r="JL33" i="36"/>
  <c r="JK33" i="36"/>
  <c r="JJ33" i="36"/>
  <c r="JI33" i="36"/>
  <c r="JH33" i="36"/>
  <c r="JG33" i="36"/>
  <c r="JF33" i="36"/>
  <c r="JE33" i="36"/>
  <c r="JD33" i="36"/>
  <c r="JC33" i="36"/>
  <c r="JB33" i="36"/>
  <c r="JA33" i="36"/>
  <c r="IZ33" i="36"/>
  <c r="IY33" i="36"/>
  <c r="IW33" i="36"/>
  <c r="IV33" i="36"/>
  <c r="IU33" i="36"/>
  <c r="IT33" i="36"/>
  <c r="IS33" i="36"/>
  <c r="IR33" i="36"/>
  <c r="IQ33" i="36"/>
  <c r="IP33" i="36"/>
  <c r="IO33" i="36"/>
  <c r="IN33" i="36"/>
  <c r="IM33" i="36"/>
  <c r="IL33" i="36"/>
  <c r="IK33" i="36"/>
  <c r="IJ33" i="36"/>
  <c r="IG33" i="36"/>
  <c r="ID33" i="36"/>
  <c r="IB33" i="36"/>
  <c r="IA33" i="36"/>
  <c r="HZ33" i="36"/>
  <c r="HV33" i="36"/>
  <c r="HN33" i="36"/>
  <c r="HM33" i="36"/>
  <c r="HJ33" i="36"/>
  <c r="HI33" i="36"/>
  <c r="HH33" i="36"/>
  <c r="HG33" i="36"/>
  <c r="HF33" i="36"/>
  <c r="HC33" i="36"/>
  <c r="HB33" i="36"/>
  <c r="GU33" i="36"/>
  <c r="GT33" i="36"/>
  <c r="GS33" i="36"/>
  <c r="GR33" i="36"/>
  <c r="GQ33" i="36"/>
  <c r="GJ33" i="36"/>
  <c r="GH33" i="36"/>
  <c r="GG33" i="36"/>
  <c r="GF33" i="36"/>
  <c r="GC33" i="36"/>
  <c r="GB33" i="36"/>
  <c r="FZ33" i="36"/>
  <c r="FY33" i="36"/>
  <c r="FX33" i="36"/>
  <c r="FW33" i="36"/>
  <c r="FN33" i="36"/>
  <c r="FM33" i="36"/>
  <c r="FK33" i="36"/>
  <c r="FJ33" i="36"/>
  <c r="FF33" i="36"/>
  <c r="FE33" i="36"/>
  <c r="EY33" i="36"/>
  <c r="ET33" i="36"/>
  <c r="ES33" i="36"/>
  <c r="EL33" i="36"/>
  <c r="EG33" i="36"/>
  <c r="EF33" i="36"/>
  <c r="EE33" i="36"/>
  <c r="ED33" i="36"/>
  <c r="EC33" i="36"/>
  <c r="EB33" i="36"/>
  <c r="EA33" i="36"/>
  <c r="DZ33" i="36"/>
  <c r="DY33" i="36"/>
  <c r="DX33" i="36"/>
  <c r="DW33" i="36"/>
  <c r="DV33" i="36"/>
  <c r="DU33" i="36"/>
  <c r="DT33" i="36"/>
  <c r="DR33" i="36"/>
  <c r="DQ33" i="36"/>
  <c r="DP33" i="36"/>
  <c r="DO33" i="36"/>
  <c r="DN33" i="36"/>
  <c r="DM33" i="36"/>
  <c r="DL33" i="36"/>
  <c r="DK33" i="36"/>
  <c r="DJ33" i="36"/>
  <c r="DI33" i="36"/>
  <c r="DH33" i="36"/>
  <c r="DG33" i="36"/>
  <c r="DF33" i="36"/>
  <c r="DB33" i="36"/>
  <c r="CY33" i="36"/>
  <c r="CX33" i="36"/>
  <c r="CW33" i="36"/>
  <c r="CV33" i="36"/>
  <c r="CU33" i="36"/>
  <c r="CT33" i="36"/>
  <c r="CS33" i="36"/>
  <c r="CL33" i="36"/>
  <c r="CK33" i="36"/>
  <c r="CE33" i="36"/>
  <c r="CD33" i="36"/>
  <c r="CC33" i="36"/>
  <c r="CB33" i="36"/>
  <c r="CA33" i="36"/>
  <c r="BZ33" i="36"/>
  <c r="BY33" i="36"/>
  <c r="BS33" i="36"/>
  <c r="BR33" i="36"/>
  <c r="BK33" i="36"/>
  <c r="BJ33" i="36"/>
  <c r="BI33" i="36"/>
  <c r="BH33" i="36"/>
  <c r="BG33" i="36"/>
  <c r="BA33" i="36"/>
  <c r="AZ33" i="36"/>
  <c r="AY33" i="36"/>
  <c r="AX33" i="36"/>
  <c r="AW33" i="36"/>
  <c r="AQ33" i="36"/>
  <c r="AO33" i="36"/>
  <c r="AL33" i="36"/>
  <c r="AK33" i="36"/>
  <c r="AJ33" i="36"/>
  <c r="AF33" i="36"/>
  <c r="AE33" i="36"/>
  <c r="AB33" i="36"/>
  <c r="DE33" i="36" s="1"/>
  <c r="Q33" i="36"/>
  <c r="B33" i="36"/>
  <c r="KP32" i="36"/>
  <c r="KO32" i="36"/>
  <c r="KN32" i="36"/>
  <c r="KM32" i="36"/>
  <c r="KL32" i="36"/>
  <c r="KK32" i="36"/>
  <c r="KJ32" i="36"/>
  <c r="KI32" i="36"/>
  <c r="KH32" i="36"/>
  <c r="KG32" i="36"/>
  <c r="KF32" i="36"/>
  <c r="KE32" i="36"/>
  <c r="KD32" i="36"/>
  <c r="KC32" i="36"/>
  <c r="KA32" i="36"/>
  <c r="JZ32" i="36"/>
  <c r="JY32" i="36"/>
  <c r="JX32" i="36"/>
  <c r="JW32" i="36"/>
  <c r="JV32" i="36"/>
  <c r="JU32" i="36"/>
  <c r="JT32" i="36"/>
  <c r="JS32" i="36"/>
  <c r="JR32" i="36"/>
  <c r="JQ32" i="36"/>
  <c r="JP32" i="36"/>
  <c r="JO32" i="36"/>
  <c r="JN32" i="36"/>
  <c r="JL32" i="36"/>
  <c r="JK32" i="36"/>
  <c r="JJ32" i="36"/>
  <c r="JI32" i="36"/>
  <c r="JH32" i="36"/>
  <c r="JG32" i="36"/>
  <c r="JF32" i="36"/>
  <c r="JE32" i="36"/>
  <c r="JD32" i="36"/>
  <c r="JC32" i="36"/>
  <c r="JB32" i="36"/>
  <c r="JA32" i="36"/>
  <c r="IZ32" i="36"/>
  <c r="IY32" i="36"/>
  <c r="IW32" i="36"/>
  <c r="IV32" i="36"/>
  <c r="IU32" i="36"/>
  <c r="IT32" i="36"/>
  <c r="IS32" i="36"/>
  <c r="IR32" i="36"/>
  <c r="IQ32" i="36"/>
  <c r="IP32" i="36"/>
  <c r="IO32" i="36"/>
  <c r="IN32" i="36"/>
  <c r="IM32" i="36"/>
  <c r="IL32" i="36"/>
  <c r="IK32" i="36"/>
  <c r="IJ32" i="36"/>
  <c r="IH32" i="36"/>
  <c r="IF32" i="36"/>
  <c r="IE32" i="36"/>
  <c r="ID32" i="36"/>
  <c r="IC32" i="36"/>
  <c r="HY32" i="36"/>
  <c r="HX32" i="36"/>
  <c r="HW32" i="36"/>
  <c r="HS32" i="36"/>
  <c r="HR32" i="36"/>
  <c r="HQ32" i="36"/>
  <c r="HP32" i="36"/>
  <c r="HO32" i="36"/>
  <c r="HL32" i="36"/>
  <c r="HK32" i="36"/>
  <c r="HJ32" i="36"/>
  <c r="HI32" i="36"/>
  <c r="HH32" i="36"/>
  <c r="HG32" i="36"/>
  <c r="HD32" i="36"/>
  <c r="HB32" i="36"/>
  <c r="HA32" i="36"/>
  <c r="GZ32" i="36"/>
  <c r="GY32" i="36"/>
  <c r="GX32" i="36"/>
  <c r="GW32" i="36"/>
  <c r="GV32" i="36"/>
  <c r="GU32" i="36"/>
  <c r="GT32" i="36"/>
  <c r="GM32" i="36"/>
  <c r="GL32" i="36"/>
  <c r="GK32" i="36"/>
  <c r="GJ32" i="36"/>
  <c r="GI32" i="36"/>
  <c r="GH32" i="36"/>
  <c r="GE32" i="36"/>
  <c r="GD32" i="36"/>
  <c r="GC32" i="36"/>
  <c r="GB32" i="36"/>
  <c r="FZ32" i="36"/>
  <c r="FX32" i="36"/>
  <c r="FW32" i="36"/>
  <c r="FV32" i="36"/>
  <c r="FT32" i="36"/>
  <c r="FS32" i="36"/>
  <c r="FR32" i="36"/>
  <c r="FQ32" i="36"/>
  <c r="FP32" i="36"/>
  <c r="FO32" i="36"/>
  <c r="FK32" i="36"/>
  <c r="FJ32" i="36"/>
  <c r="FI32" i="36"/>
  <c r="FH32" i="36"/>
  <c r="FD32" i="36"/>
  <c r="FC32" i="36"/>
  <c r="EX32" i="36"/>
  <c r="EV32" i="36"/>
  <c r="ET32" i="36"/>
  <c r="ES32" i="36"/>
  <c r="ER32" i="36"/>
  <c r="EQ32" i="36"/>
  <c r="EP32" i="36"/>
  <c r="EO32" i="36"/>
  <c r="EN32" i="36"/>
  <c r="EM32" i="36"/>
  <c r="EK32" i="36"/>
  <c r="DC32" i="36"/>
  <c r="DB32" i="36"/>
  <c r="DA32" i="36"/>
  <c r="CY32" i="36"/>
  <c r="CX32" i="36"/>
  <c r="CW32" i="36"/>
  <c r="CV32" i="36"/>
  <c r="CU32" i="36"/>
  <c r="CT32" i="36"/>
  <c r="CS32" i="36"/>
  <c r="CR32" i="36"/>
  <c r="CQ32" i="36"/>
  <c r="CP32" i="36"/>
  <c r="CH32" i="36"/>
  <c r="CF32" i="36"/>
  <c r="CE32" i="36"/>
  <c r="CD32" i="36"/>
  <c r="CC32" i="36"/>
  <c r="CB32" i="36"/>
  <c r="BY32" i="36"/>
  <c r="BX32" i="36"/>
  <c r="BW32" i="36"/>
  <c r="BV32" i="36"/>
  <c r="BU32" i="36"/>
  <c r="BS32" i="36"/>
  <c r="BR32" i="36"/>
  <c r="BQ32" i="36"/>
  <c r="BO32" i="36"/>
  <c r="BN32" i="36"/>
  <c r="BM32" i="36"/>
  <c r="BL32" i="36"/>
  <c r="BK32" i="36"/>
  <c r="BJ32" i="36"/>
  <c r="BH32" i="36"/>
  <c r="BG32" i="36"/>
  <c r="BF32" i="36"/>
  <c r="BD32" i="36"/>
  <c r="AX32" i="36"/>
  <c r="AU32" i="36"/>
  <c r="AT32" i="36"/>
  <c r="AS32" i="36"/>
  <c r="AR32" i="36"/>
  <c r="AQ32" i="36"/>
  <c r="AO32" i="36"/>
  <c r="AN32" i="36"/>
  <c r="AM32" i="36"/>
  <c r="AL32" i="36"/>
  <c r="AK32" i="36"/>
  <c r="AJ32" i="36"/>
  <c r="AI32" i="36"/>
  <c r="AH32" i="36"/>
  <c r="AF32" i="36"/>
  <c r="AE32" i="36"/>
  <c r="AC32" i="36" a="1"/>
  <c r="AC32" i="36" s="1"/>
  <c r="DL32" i="36" s="1"/>
  <c r="AB32" i="36"/>
  <c r="Q32" i="36"/>
  <c r="B32" i="36"/>
  <c r="KP31" i="36"/>
  <c r="KO31" i="36"/>
  <c r="KN31" i="36"/>
  <c r="KM31" i="36"/>
  <c r="KL31" i="36"/>
  <c r="KK31" i="36"/>
  <c r="KJ31" i="36"/>
  <c r="KI31" i="36"/>
  <c r="KH31" i="36"/>
  <c r="KG31" i="36"/>
  <c r="KF31" i="36"/>
  <c r="KE31" i="36"/>
  <c r="KD31" i="36"/>
  <c r="KC31" i="36"/>
  <c r="KA31" i="36"/>
  <c r="JZ31" i="36"/>
  <c r="JY31" i="36"/>
  <c r="JX31" i="36"/>
  <c r="JW31" i="36"/>
  <c r="JV31" i="36"/>
  <c r="JU31" i="36"/>
  <c r="JT31" i="36"/>
  <c r="JS31" i="36"/>
  <c r="JR31" i="36"/>
  <c r="JQ31" i="36"/>
  <c r="JP31" i="36"/>
  <c r="JO31" i="36"/>
  <c r="JN31" i="36"/>
  <c r="JL31" i="36"/>
  <c r="JK31" i="36"/>
  <c r="JJ31" i="36"/>
  <c r="JI31" i="36"/>
  <c r="JH31" i="36"/>
  <c r="JG31" i="36"/>
  <c r="JF31" i="36"/>
  <c r="JE31" i="36"/>
  <c r="JD31" i="36"/>
  <c r="JC31" i="36"/>
  <c r="JB31" i="36"/>
  <c r="JA31" i="36"/>
  <c r="IZ31" i="36"/>
  <c r="IY31" i="36"/>
  <c r="IW31" i="36"/>
  <c r="IV31" i="36"/>
  <c r="IU31" i="36"/>
  <c r="IT31" i="36"/>
  <c r="IS31" i="36"/>
  <c r="IR31" i="36"/>
  <c r="IQ31" i="36"/>
  <c r="IP31" i="36"/>
  <c r="IO31" i="36"/>
  <c r="IN31" i="36"/>
  <c r="IM31" i="36"/>
  <c r="IL31" i="36"/>
  <c r="IK31" i="36"/>
  <c r="IJ31" i="36"/>
  <c r="IH31" i="36"/>
  <c r="IG31" i="36"/>
  <c r="IF31" i="36"/>
  <c r="HV31" i="36"/>
  <c r="HU31" i="36"/>
  <c r="HS31" i="36"/>
  <c r="HN31" i="36"/>
  <c r="HM31" i="36"/>
  <c r="HL31" i="36"/>
  <c r="HK31" i="36"/>
  <c r="HG31" i="36"/>
  <c r="HD31" i="36"/>
  <c r="HC31" i="36"/>
  <c r="HB31" i="36"/>
  <c r="GV31" i="36"/>
  <c r="GS31" i="36"/>
  <c r="GR31" i="36"/>
  <c r="GQ31" i="36"/>
  <c r="GL31" i="36"/>
  <c r="GI31" i="36"/>
  <c r="GH31" i="36"/>
  <c r="GG31" i="36"/>
  <c r="GE31" i="36"/>
  <c r="GD31" i="36"/>
  <c r="GB31" i="36"/>
  <c r="FZ31" i="36"/>
  <c r="FY31" i="36"/>
  <c r="FX31" i="36"/>
  <c r="FS31" i="36"/>
  <c r="FG31" i="36"/>
  <c r="FF31" i="36"/>
  <c r="FE31" i="36"/>
  <c r="FD31" i="36"/>
  <c r="FC31" i="36"/>
  <c r="FB31" i="36"/>
  <c r="FA31" i="36"/>
  <c r="EZ31" i="36"/>
  <c r="EY31" i="36"/>
  <c r="EP31" i="36"/>
  <c r="EO31" i="36"/>
  <c r="EN31" i="36"/>
  <c r="EM31" i="36"/>
  <c r="EK31" i="36"/>
  <c r="EJ31" i="36"/>
  <c r="EI31" i="36"/>
  <c r="EG31" i="36"/>
  <c r="EF31" i="36"/>
  <c r="EE31" i="36"/>
  <c r="ED31" i="36"/>
  <c r="EC31" i="36"/>
  <c r="EB31" i="36"/>
  <c r="EA31" i="36"/>
  <c r="DZ31" i="36"/>
  <c r="DY31" i="36"/>
  <c r="DX31" i="36"/>
  <c r="DW31" i="36"/>
  <c r="DV31" i="36"/>
  <c r="DU31" i="36"/>
  <c r="DT31" i="36"/>
  <c r="DR31" i="36"/>
  <c r="DQ31" i="36"/>
  <c r="DP31" i="36"/>
  <c r="DO31" i="36"/>
  <c r="DN31" i="36"/>
  <c r="DM31" i="36"/>
  <c r="DL31" i="36"/>
  <c r="DK31" i="36"/>
  <c r="DJ31" i="36"/>
  <c r="DI31" i="36"/>
  <c r="DH31" i="36"/>
  <c r="DG31" i="36"/>
  <c r="DF31" i="36"/>
  <c r="DC31" i="36"/>
  <c r="DB31" i="36"/>
  <c r="CQ31" i="36"/>
  <c r="CP31" i="36"/>
  <c r="CN31" i="36"/>
  <c r="CM31" i="36"/>
  <c r="CL31" i="36"/>
  <c r="CK31" i="36"/>
  <c r="CH31" i="36"/>
  <c r="CF31" i="36"/>
  <c r="CE31" i="36"/>
  <c r="CB31" i="36"/>
  <c r="CA31" i="36"/>
  <c r="BZ31" i="36"/>
  <c r="BX31" i="36"/>
  <c r="BQ31" i="36"/>
  <c r="BP31" i="36"/>
  <c r="BO31" i="36"/>
  <c r="BN31" i="36"/>
  <c r="BJ31" i="36"/>
  <c r="BI31" i="36"/>
  <c r="BF31" i="36"/>
  <c r="BD31" i="36"/>
  <c r="AX31" i="36"/>
  <c r="AW31" i="36"/>
  <c r="AV31" i="36"/>
  <c r="AU31" i="36"/>
  <c r="AS31" i="36"/>
  <c r="AR31" i="36"/>
  <c r="AM31" i="36"/>
  <c r="AL31" i="36"/>
  <c r="AK31" i="36"/>
  <c r="AJ31" i="36"/>
  <c r="AH31" i="36"/>
  <c r="AF31" i="36"/>
  <c r="AE31" i="36"/>
  <c r="AB31" i="36"/>
  <c r="DE31" i="36" s="1"/>
  <c r="Q31" i="36"/>
  <c r="B31" i="36"/>
  <c r="KP30" i="36"/>
  <c r="KO30" i="36"/>
  <c r="KN30" i="36"/>
  <c r="KM30" i="36"/>
  <c r="KL30" i="36"/>
  <c r="KK30" i="36"/>
  <c r="KJ30" i="36"/>
  <c r="KI30" i="36"/>
  <c r="KH30" i="36"/>
  <c r="KG30" i="36"/>
  <c r="KF30" i="36"/>
  <c r="KE30" i="36"/>
  <c r="KD30" i="36"/>
  <c r="KC30" i="36"/>
  <c r="KA30" i="36"/>
  <c r="JZ30" i="36"/>
  <c r="JY30" i="36"/>
  <c r="JX30" i="36"/>
  <c r="JW30" i="36"/>
  <c r="JV30" i="36"/>
  <c r="JU30" i="36"/>
  <c r="JT30" i="36"/>
  <c r="JS30" i="36"/>
  <c r="JR30" i="36"/>
  <c r="JQ30" i="36"/>
  <c r="JP30" i="36"/>
  <c r="JO30" i="36"/>
  <c r="JN30" i="36"/>
  <c r="JL30" i="36"/>
  <c r="JK30" i="36"/>
  <c r="JJ30" i="36"/>
  <c r="JI30" i="36"/>
  <c r="JH30" i="36"/>
  <c r="JG30" i="36"/>
  <c r="JF30" i="36"/>
  <c r="JE30" i="36"/>
  <c r="JD30" i="36"/>
  <c r="JC30" i="36"/>
  <c r="JB30" i="36"/>
  <c r="JA30" i="36"/>
  <c r="IZ30" i="36"/>
  <c r="IY30" i="36"/>
  <c r="IW30" i="36"/>
  <c r="IV30" i="36"/>
  <c r="IU30" i="36"/>
  <c r="IT30" i="36"/>
  <c r="IS30" i="36"/>
  <c r="IR30" i="36"/>
  <c r="IQ30" i="36"/>
  <c r="IP30" i="36"/>
  <c r="IO30" i="36"/>
  <c r="IN30" i="36"/>
  <c r="IM30" i="36"/>
  <c r="IL30" i="36"/>
  <c r="IK30" i="36"/>
  <c r="IJ30" i="36"/>
  <c r="IH30" i="36"/>
  <c r="IG30" i="36"/>
  <c r="ID30" i="36"/>
  <c r="HY30" i="36"/>
  <c r="HV30" i="36"/>
  <c r="HM30" i="36"/>
  <c r="HL30" i="36"/>
  <c r="HK30" i="36"/>
  <c r="HJ30" i="36"/>
  <c r="HI30" i="36"/>
  <c r="HH30" i="36"/>
  <c r="HG30" i="36"/>
  <c r="HD30" i="36"/>
  <c r="HC30" i="36"/>
  <c r="HB30" i="36"/>
  <c r="GW30" i="36"/>
  <c r="GV30" i="36"/>
  <c r="GU30" i="36"/>
  <c r="GT30" i="36"/>
  <c r="GI30" i="36"/>
  <c r="GH30" i="36"/>
  <c r="GG30" i="36"/>
  <c r="GF30" i="36"/>
  <c r="GD30" i="36"/>
  <c r="GC30" i="36"/>
  <c r="GB30" i="36"/>
  <c r="FW30" i="36"/>
  <c r="FV30" i="36"/>
  <c r="FM30" i="36"/>
  <c r="FK30" i="36"/>
  <c r="FJ30" i="36"/>
  <c r="FI30" i="36"/>
  <c r="FE30" i="36"/>
  <c r="FD30" i="36"/>
  <c r="FC30" i="36"/>
  <c r="FB30" i="36"/>
  <c r="FA30" i="36"/>
  <c r="EZ30" i="36"/>
  <c r="EY30" i="36"/>
  <c r="EX30" i="36"/>
  <c r="EV30" i="36"/>
  <c r="EU30" i="36"/>
  <c r="ET30" i="36"/>
  <c r="ES30" i="36"/>
  <c r="ER30" i="36"/>
  <c r="EQ30" i="36"/>
  <c r="EN30" i="36"/>
  <c r="EM30" i="36"/>
  <c r="EL30" i="36"/>
  <c r="EK30" i="36"/>
  <c r="EJ30" i="36"/>
  <c r="EI30" i="36"/>
  <c r="EG30" i="36"/>
  <c r="EF30" i="36"/>
  <c r="EE30" i="36"/>
  <c r="ED30" i="36"/>
  <c r="EC30" i="36"/>
  <c r="EB30" i="36"/>
  <c r="EA30" i="36"/>
  <c r="DZ30" i="36"/>
  <c r="DY30" i="36"/>
  <c r="DX30" i="36"/>
  <c r="DW30" i="36"/>
  <c r="DV30" i="36"/>
  <c r="DU30" i="36"/>
  <c r="DT30" i="36"/>
  <c r="DR30" i="36"/>
  <c r="DQ30" i="36"/>
  <c r="DP30" i="36"/>
  <c r="DO30" i="36"/>
  <c r="DN30" i="36"/>
  <c r="DM30" i="36"/>
  <c r="DL30" i="36"/>
  <c r="DK30" i="36"/>
  <c r="DJ30" i="36"/>
  <c r="DI30" i="36"/>
  <c r="DH30" i="36"/>
  <c r="DG30" i="36"/>
  <c r="DF30" i="36"/>
  <c r="DE30" i="36"/>
  <c r="DC30" i="36"/>
  <c r="CT30" i="36"/>
  <c r="CS30" i="36"/>
  <c r="CQ30" i="36"/>
  <c r="CN30" i="36"/>
  <c r="CM30" i="36"/>
  <c r="CL30" i="36"/>
  <c r="CK30" i="36"/>
  <c r="CD30" i="36"/>
  <c r="CA30" i="36"/>
  <c r="BZ30" i="36"/>
  <c r="BY30" i="36"/>
  <c r="BX30" i="36"/>
  <c r="BW30" i="36"/>
  <c r="BP30" i="36"/>
  <c r="BM30" i="36"/>
  <c r="BH30" i="36"/>
  <c r="BG30" i="36"/>
  <c r="BF30" i="36"/>
  <c r="BD30" i="36"/>
  <c r="BB30" i="36"/>
  <c r="BA30" i="36"/>
  <c r="AY30" i="36"/>
  <c r="AU30" i="36"/>
  <c r="AR30" i="36"/>
  <c r="AQ30" i="36"/>
  <c r="AO30" i="36"/>
  <c r="AK30" i="36"/>
  <c r="AH30" i="36"/>
  <c r="AF30" i="36"/>
  <c r="HZ30" i="36" s="1"/>
  <c r="AE30" i="36"/>
  <c r="AB30" i="36"/>
  <c r="Q30" i="36"/>
  <c r="B30" i="36"/>
  <c r="KP29" i="36"/>
  <c r="KO29" i="36"/>
  <c r="KN29" i="36"/>
  <c r="KM29" i="36"/>
  <c r="KL29" i="36"/>
  <c r="KK29" i="36"/>
  <c r="KJ29" i="36"/>
  <c r="KI29" i="36"/>
  <c r="KH29" i="36"/>
  <c r="KG29" i="36"/>
  <c r="KF29" i="36"/>
  <c r="KE29" i="36"/>
  <c r="KD29" i="36"/>
  <c r="KC29" i="36"/>
  <c r="KA29" i="36"/>
  <c r="JZ29" i="36"/>
  <c r="JY29" i="36"/>
  <c r="JX29" i="36"/>
  <c r="JW29" i="36"/>
  <c r="JV29" i="36"/>
  <c r="JU29" i="36"/>
  <c r="JT29" i="36"/>
  <c r="JS29" i="36"/>
  <c r="JR29" i="36"/>
  <c r="JQ29" i="36"/>
  <c r="JP29" i="36"/>
  <c r="JO29" i="36"/>
  <c r="JN29" i="36"/>
  <c r="JL29" i="36"/>
  <c r="JK29" i="36"/>
  <c r="JJ29" i="36"/>
  <c r="JI29" i="36"/>
  <c r="JH29" i="36"/>
  <c r="JG29" i="36"/>
  <c r="JF29" i="36"/>
  <c r="JE29" i="36"/>
  <c r="JD29" i="36"/>
  <c r="JC29" i="36"/>
  <c r="JB29" i="36"/>
  <c r="JA29" i="36"/>
  <c r="IZ29" i="36"/>
  <c r="IY29" i="36"/>
  <c r="IW29" i="36"/>
  <c r="IV29" i="36"/>
  <c r="IU29" i="36"/>
  <c r="IT29" i="36"/>
  <c r="IS29" i="36"/>
  <c r="IR29" i="36"/>
  <c r="IQ29" i="36"/>
  <c r="IP29" i="36"/>
  <c r="IO29" i="36"/>
  <c r="IN29" i="36"/>
  <c r="IM29" i="36"/>
  <c r="IL29" i="36"/>
  <c r="IK29" i="36"/>
  <c r="IJ29" i="36"/>
  <c r="IH29" i="36"/>
  <c r="IG29" i="36"/>
  <c r="IE29" i="36"/>
  <c r="ID29" i="36"/>
  <c r="IC29" i="36"/>
  <c r="IA29" i="36"/>
  <c r="HZ29" i="36"/>
  <c r="HY29" i="36"/>
  <c r="HX29" i="36"/>
  <c r="HW29" i="36"/>
  <c r="HV29" i="36"/>
  <c r="HU29" i="36"/>
  <c r="HR29" i="36"/>
  <c r="HQ29" i="36"/>
  <c r="HM29" i="36"/>
  <c r="HL29" i="36"/>
  <c r="HK29" i="36"/>
  <c r="HJ29" i="36"/>
  <c r="HI29" i="36"/>
  <c r="HH29" i="36"/>
  <c r="HG29" i="36"/>
  <c r="HF29" i="36"/>
  <c r="HD29" i="36"/>
  <c r="GZ29" i="36"/>
  <c r="GY29" i="36"/>
  <c r="GX29" i="36"/>
  <c r="GV29" i="36"/>
  <c r="GU29" i="36"/>
  <c r="GT29" i="36"/>
  <c r="GS29" i="36"/>
  <c r="GR29" i="36"/>
  <c r="GQ29" i="36"/>
  <c r="GO29" i="36"/>
  <c r="GN29" i="36"/>
  <c r="GM29" i="36"/>
  <c r="GL29" i="36"/>
  <c r="GH29" i="36"/>
  <c r="GF29" i="36"/>
  <c r="GE29" i="36"/>
  <c r="GD29" i="36"/>
  <c r="GC29" i="36"/>
  <c r="GB29" i="36"/>
  <c r="FZ29" i="36"/>
  <c r="FY29" i="36"/>
  <c r="FW29" i="36"/>
  <c r="FV29" i="36"/>
  <c r="FU29" i="36"/>
  <c r="FT29" i="36"/>
  <c r="FP29" i="36"/>
  <c r="FO29" i="36"/>
  <c r="FN29" i="36"/>
  <c r="FM29" i="36"/>
  <c r="FK29" i="36"/>
  <c r="FJ29" i="36"/>
  <c r="FI29" i="36"/>
  <c r="FH29" i="36"/>
  <c r="FG29" i="36"/>
  <c r="FC29" i="36"/>
  <c r="FB29" i="36"/>
  <c r="EU29" i="36"/>
  <c r="EQ29" i="36"/>
  <c r="EP29" i="36"/>
  <c r="EO29" i="36"/>
  <c r="EN29" i="36"/>
  <c r="EJ29" i="36"/>
  <c r="EG29" i="36"/>
  <c r="EF29" i="36"/>
  <c r="EE29" i="36"/>
  <c r="ED29" i="36"/>
  <c r="EC29" i="36"/>
  <c r="EB29" i="36"/>
  <c r="EA29" i="36"/>
  <c r="DZ29" i="36"/>
  <c r="DY29" i="36"/>
  <c r="DX29" i="36"/>
  <c r="DW29" i="36"/>
  <c r="DV29" i="36"/>
  <c r="DU29" i="36"/>
  <c r="DT29" i="36"/>
  <c r="DR29" i="36"/>
  <c r="DQ29" i="36"/>
  <c r="DP29" i="36"/>
  <c r="DO29" i="36"/>
  <c r="DN29" i="36"/>
  <c r="DM29" i="36"/>
  <c r="DL29" i="36"/>
  <c r="DK29" i="36"/>
  <c r="DJ29" i="36"/>
  <c r="DI29" i="36"/>
  <c r="DH29" i="36"/>
  <c r="DG29" i="36"/>
  <c r="DF29" i="36"/>
  <c r="DB29" i="36"/>
  <c r="DA29" i="36"/>
  <c r="CZ29" i="36"/>
  <c r="CY29" i="36"/>
  <c r="CX29" i="36"/>
  <c r="CT29" i="36"/>
  <c r="CS29" i="36"/>
  <c r="CR29" i="36"/>
  <c r="CQ29" i="36"/>
  <c r="CP29" i="36"/>
  <c r="CN29" i="36"/>
  <c r="CM29" i="36"/>
  <c r="CK29" i="36"/>
  <c r="CJ29" i="36"/>
  <c r="CH29" i="36"/>
  <c r="CF29" i="36"/>
  <c r="CE29" i="36"/>
  <c r="CD29" i="36"/>
  <c r="CB29" i="36"/>
  <c r="CA29" i="36"/>
  <c r="BZ29" i="36"/>
  <c r="BY29" i="36"/>
  <c r="BX29" i="36"/>
  <c r="BW29" i="36"/>
  <c r="BV29" i="36"/>
  <c r="BR29" i="36"/>
  <c r="BN29" i="36"/>
  <c r="BM29" i="36"/>
  <c r="BL29" i="36"/>
  <c r="BK29" i="36"/>
  <c r="BJ29" i="36"/>
  <c r="BI29" i="36"/>
  <c r="BG29" i="36"/>
  <c r="BF29" i="36"/>
  <c r="BD29" i="36"/>
  <c r="BC29" i="36"/>
  <c r="BB29" i="36"/>
  <c r="BA29" i="36"/>
  <c r="AZ29" i="36"/>
  <c r="AW29" i="36"/>
  <c r="AV29" i="36"/>
  <c r="AU29" i="36"/>
  <c r="AT29" i="36"/>
  <c r="AS29" i="36"/>
  <c r="AR29" i="36"/>
  <c r="AQ29" i="36"/>
  <c r="AO29" i="36"/>
  <c r="AN29" i="36"/>
  <c r="AM29" i="36"/>
  <c r="AI29" i="36"/>
  <c r="AF29" i="36"/>
  <c r="HS29" i="36" s="1"/>
  <c r="AE29" i="36"/>
  <c r="AB29" i="36"/>
  <c r="DE29" i="36" s="1"/>
  <c r="Q29" i="36"/>
  <c r="B29" i="36"/>
  <c r="KP28" i="36"/>
  <c r="KO28" i="36"/>
  <c r="KN28" i="36"/>
  <c r="KM28" i="36"/>
  <c r="KL28" i="36"/>
  <c r="KK28" i="36"/>
  <c r="KJ28" i="36"/>
  <c r="KI28" i="36"/>
  <c r="KH28" i="36"/>
  <c r="KG28" i="36"/>
  <c r="KF28" i="36"/>
  <c r="KE28" i="36"/>
  <c r="KD28" i="36"/>
  <c r="KC28" i="36"/>
  <c r="KA28" i="36"/>
  <c r="JZ28" i="36"/>
  <c r="JY28" i="36"/>
  <c r="JX28" i="36"/>
  <c r="JW28" i="36"/>
  <c r="JV28" i="36"/>
  <c r="JU28" i="36"/>
  <c r="JT28" i="36"/>
  <c r="JS28" i="36"/>
  <c r="JR28" i="36"/>
  <c r="JQ28" i="36"/>
  <c r="JP28" i="36"/>
  <c r="JO28" i="36"/>
  <c r="JN28" i="36"/>
  <c r="JL28" i="36"/>
  <c r="JK28" i="36"/>
  <c r="JJ28" i="36"/>
  <c r="JI28" i="36"/>
  <c r="JH28" i="36"/>
  <c r="JG28" i="36"/>
  <c r="JF28" i="36"/>
  <c r="JE28" i="36"/>
  <c r="JD28" i="36"/>
  <c r="JC28" i="36"/>
  <c r="JB28" i="36"/>
  <c r="JA28" i="36"/>
  <c r="IZ28" i="36"/>
  <c r="IY28" i="36"/>
  <c r="IW28" i="36"/>
  <c r="IV28" i="36"/>
  <c r="IU28" i="36"/>
  <c r="IT28" i="36"/>
  <c r="IS28" i="36"/>
  <c r="IR28" i="36"/>
  <c r="IQ28" i="36"/>
  <c r="IP28" i="36"/>
  <c r="IO28" i="36"/>
  <c r="IN28" i="36"/>
  <c r="IM28" i="36"/>
  <c r="IL28" i="36"/>
  <c r="IK28" i="36"/>
  <c r="IJ28" i="36"/>
  <c r="IH28" i="36"/>
  <c r="IG28" i="36"/>
  <c r="IF28" i="36"/>
  <c r="IE28" i="36"/>
  <c r="ID28" i="36"/>
  <c r="IC28" i="36"/>
  <c r="IB28" i="36"/>
  <c r="HZ28" i="36"/>
  <c r="HY28" i="36"/>
  <c r="HX28" i="36"/>
  <c r="HW28" i="36"/>
  <c r="HV28" i="36"/>
  <c r="HU28" i="36"/>
  <c r="HS28" i="36"/>
  <c r="HR28" i="36"/>
  <c r="HQ28" i="36"/>
  <c r="HP28" i="36"/>
  <c r="HL28" i="36"/>
  <c r="HK28" i="36"/>
  <c r="HJ28" i="36"/>
  <c r="HI28" i="36"/>
  <c r="HH28" i="36"/>
  <c r="HF28" i="36"/>
  <c r="HD28" i="36"/>
  <c r="HC28" i="36"/>
  <c r="HB28" i="36"/>
  <c r="HA28" i="36"/>
  <c r="GZ28" i="36"/>
  <c r="GY28" i="36"/>
  <c r="GX28" i="36"/>
  <c r="GW28" i="36"/>
  <c r="GU28" i="36"/>
  <c r="GT28" i="36"/>
  <c r="GS28" i="36"/>
  <c r="GR28" i="36"/>
  <c r="GQ28" i="36"/>
  <c r="GO28" i="36"/>
  <c r="GN28" i="36"/>
  <c r="GM28" i="36"/>
  <c r="GL28" i="36"/>
  <c r="GK28" i="36"/>
  <c r="GG28" i="36"/>
  <c r="GF28" i="36"/>
  <c r="GE28" i="36"/>
  <c r="GD28" i="36"/>
  <c r="GB28" i="36"/>
  <c r="FZ28" i="36"/>
  <c r="FY28" i="36"/>
  <c r="FX28" i="36"/>
  <c r="FW28" i="36"/>
  <c r="FV28" i="36"/>
  <c r="FU28" i="36"/>
  <c r="FT28" i="36"/>
  <c r="FS28" i="36"/>
  <c r="FR28" i="36"/>
  <c r="FP28" i="36"/>
  <c r="FO28" i="36"/>
  <c r="FN28" i="36"/>
  <c r="FM28" i="36"/>
  <c r="FK28" i="36"/>
  <c r="FJ28" i="36"/>
  <c r="EZ28" i="36"/>
  <c r="EX28" i="36"/>
  <c r="EV28" i="36"/>
  <c r="EU28" i="36"/>
  <c r="ET28" i="36"/>
  <c r="ES28" i="36"/>
  <c r="EQ28" i="36"/>
  <c r="EP28" i="36"/>
  <c r="EO28" i="36"/>
  <c r="DC28" i="36"/>
  <c r="DB28" i="36"/>
  <c r="DA28" i="36"/>
  <c r="CZ28" i="36"/>
  <c r="CY28" i="36"/>
  <c r="CX28" i="36"/>
  <c r="CW28" i="36"/>
  <c r="CV28" i="36"/>
  <c r="CR28" i="36"/>
  <c r="CP28" i="36"/>
  <c r="CN28" i="36"/>
  <c r="CM28" i="36"/>
  <c r="CL28" i="36"/>
  <c r="CK28" i="36"/>
  <c r="CJ28" i="36"/>
  <c r="CI28" i="36"/>
  <c r="CH28" i="36"/>
  <c r="CF28" i="36"/>
  <c r="CE28" i="36"/>
  <c r="CD28" i="36"/>
  <c r="CC28" i="36"/>
  <c r="CB28" i="36"/>
  <c r="CA28" i="36"/>
  <c r="BZ28" i="36"/>
  <c r="BY28" i="36"/>
  <c r="BX28" i="36"/>
  <c r="BW28" i="36"/>
  <c r="BV28" i="36"/>
  <c r="BU28" i="36"/>
  <c r="BS28" i="36"/>
  <c r="BR28" i="36"/>
  <c r="BQ28" i="36"/>
  <c r="BP28" i="36"/>
  <c r="BK28" i="36"/>
  <c r="BJ28" i="36"/>
  <c r="BI28" i="36"/>
  <c r="BH28" i="36"/>
  <c r="BG28" i="36"/>
  <c r="BF28" i="36"/>
  <c r="BD28" i="36"/>
  <c r="BC28" i="36"/>
  <c r="BB28" i="36"/>
  <c r="BA28" i="36"/>
  <c r="AZ28" i="36"/>
  <c r="AY28" i="36"/>
  <c r="AX28" i="36"/>
  <c r="AW28" i="36"/>
  <c r="AV28" i="36"/>
  <c r="AU28" i="36"/>
  <c r="AT28" i="36"/>
  <c r="AS28" i="36"/>
  <c r="AR28" i="36"/>
  <c r="AQ28" i="36"/>
  <c r="AO28" i="36"/>
  <c r="AN28" i="36"/>
  <c r="AM28" i="36"/>
  <c r="AL28" i="36"/>
  <c r="AK28" i="36"/>
  <c r="AF28" i="36"/>
  <c r="IA28" i="36" s="1"/>
  <c r="AE28" i="36"/>
  <c r="AC28" i="36" a="1"/>
  <c r="AC28" i="36" s="1"/>
  <c r="DL28" i="36" s="1"/>
  <c r="AB28" i="36"/>
  <c r="Q28" i="36"/>
  <c r="B28" i="36"/>
  <c r="KP27" i="36"/>
  <c r="KO27" i="36"/>
  <c r="KN27" i="36"/>
  <c r="KM27" i="36"/>
  <c r="KL27" i="36"/>
  <c r="KK27" i="36"/>
  <c r="KJ27" i="36"/>
  <c r="KI27" i="36"/>
  <c r="KH27" i="36"/>
  <c r="KG27" i="36"/>
  <c r="KF27" i="36"/>
  <c r="KE27" i="36"/>
  <c r="KD27" i="36"/>
  <c r="KC27" i="36"/>
  <c r="KA27" i="36"/>
  <c r="JZ27" i="36"/>
  <c r="JY27" i="36"/>
  <c r="JX27" i="36"/>
  <c r="JW27" i="36"/>
  <c r="JV27" i="36"/>
  <c r="JU27" i="36"/>
  <c r="JT27" i="36"/>
  <c r="JS27" i="36"/>
  <c r="JR27" i="36"/>
  <c r="JQ27" i="36"/>
  <c r="JP27" i="36"/>
  <c r="JO27" i="36"/>
  <c r="JN27" i="36"/>
  <c r="JL27" i="36"/>
  <c r="JK27" i="36"/>
  <c r="JJ27" i="36"/>
  <c r="JI27" i="36"/>
  <c r="JH27" i="36"/>
  <c r="JG27" i="36"/>
  <c r="JF27" i="36"/>
  <c r="JE27" i="36"/>
  <c r="JD27" i="36"/>
  <c r="JC27" i="36"/>
  <c r="JB27" i="36"/>
  <c r="JA27" i="36"/>
  <c r="IZ27" i="36"/>
  <c r="IY27" i="36"/>
  <c r="IW27" i="36"/>
  <c r="IV27" i="36"/>
  <c r="IU27" i="36"/>
  <c r="IT27" i="36"/>
  <c r="IS27" i="36"/>
  <c r="IR27" i="36"/>
  <c r="IQ27" i="36"/>
  <c r="IP27" i="36"/>
  <c r="IO27" i="36"/>
  <c r="IN27" i="36"/>
  <c r="IM27" i="36"/>
  <c r="IL27" i="36"/>
  <c r="IK27" i="36"/>
  <c r="IJ27" i="36"/>
  <c r="IH27" i="36"/>
  <c r="IE27" i="36"/>
  <c r="ID27" i="36"/>
  <c r="IC27" i="36"/>
  <c r="IB27" i="36"/>
  <c r="IA27" i="36"/>
  <c r="HX27" i="36"/>
  <c r="HW27" i="36"/>
  <c r="HV27" i="36"/>
  <c r="HU27" i="36"/>
  <c r="HS27" i="36"/>
  <c r="HR27" i="36"/>
  <c r="HQ27" i="36"/>
  <c r="HP27" i="36"/>
  <c r="HJ27" i="36"/>
  <c r="HF27" i="36"/>
  <c r="HD27" i="36"/>
  <c r="HC27" i="36"/>
  <c r="HB27" i="36"/>
  <c r="HA27" i="36"/>
  <c r="GZ27" i="36"/>
  <c r="GY27" i="36"/>
  <c r="GX27" i="36"/>
  <c r="GW27" i="36"/>
  <c r="GQ27" i="36"/>
  <c r="GN27" i="36"/>
  <c r="GM27" i="36"/>
  <c r="GL27" i="36"/>
  <c r="GK27" i="36"/>
  <c r="GJ27" i="36"/>
  <c r="GE27" i="36"/>
  <c r="GD27" i="36"/>
  <c r="GC27" i="36"/>
  <c r="GB27" i="36"/>
  <c r="FZ27" i="36"/>
  <c r="FY27" i="36"/>
  <c r="FV27" i="36"/>
  <c r="FU27" i="36"/>
  <c r="FS27" i="36"/>
  <c r="FQ27" i="36"/>
  <c r="FO27" i="36"/>
  <c r="FN27" i="36"/>
  <c r="FM27" i="36"/>
  <c r="FK27" i="36"/>
  <c r="FJ27" i="36"/>
  <c r="FI27" i="36"/>
  <c r="FH27" i="36"/>
  <c r="EZ27" i="36"/>
  <c r="EY27" i="36"/>
  <c r="ET27" i="36"/>
  <c r="ES27" i="36"/>
  <c r="ER27" i="36"/>
  <c r="EQ27" i="36"/>
  <c r="EP27" i="36"/>
  <c r="EM27" i="36"/>
  <c r="EL27" i="36"/>
  <c r="EJ27" i="36"/>
  <c r="EI27" i="36"/>
  <c r="EG27" i="36"/>
  <c r="EF27" i="36"/>
  <c r="EE27" i="36"/>
  <c r="ED27" i="36"/>
  <c r="EC27" i="36"/>
  <c r="EB27" i="36"/>
  <c r="EA27" i="36"/>
  <c r="DZ27" i="36"/>
  <c r="DY27" i="36"/>
  <c r="DX27" i="36"/>
  <c r="DW27" i="36"/>
  <c r="DV27" i="36"/>
  <c r="DU27" i="36"/>
  <c r="DT27" i="36"/>
  <c r="DR27" i="36"/>
  <c r="DQ27" i="36"/>
  <c r="DP27" i="36"/>
  <c r="DO27" i="36"/>
  <c r="DN27" i="36"/>
  <c r="DM27" i="36"/>
  <c r="DL27" i="36"/>
  <c r="DK27" i="36"/>
  <c r="DJ27" i="36"/>
  <c r="DI27" i="36"/>
  <c r="DH27" i="36"/>
  <c r="DG27" i="36"/>
  <c r="DF27" i="36"/>
  <c r="DC27" i="36"/>
  <c r="DA27" i="36"/>
  <c r="CZ27" i="36"/>
  <c r="CY27" i="36"/>
  <c r="CX27" i="36"/>
  <c r="CV27" i="36"/>
  <c r="CU27" i="36"/>
  <c r="CQ27" i="36"/>
  <c r="CP27" i="36"/>
  <c r="CM27" i="36"/>
  <c r="CL27" i="36"/>
  <c r="CI27" i="36"/>
  <c r="CH27" i="36"/>
  <c r="CF27" i="36"/>
  <c r="CE27" i="36"/>
  <c r="CD27" i="36"/>
  <c r="BX27" i="36"/>
  <c r="BW27" i="36"/>
  <c r="BV27" i="36"/>
  <c r="BU27" i="36"/>
  <c r="BS27" i="36"/>
  <c r="BR27" i="36"/>
  <c r="BQ27" i="36"/>
  <c r="BP27" i="36"/>
  <c r="BK27" i="36"/>
  <c r="BJ27" i="36"/>
  <c r="BI27" i="36"/>
  <c r="BH27" i="36"/>
  <c r="BG27" i="36"/>
  <c r="BD27" i="36"/>
  <c r="BC27" i="36"/>
  <c r="BB27" i="36"/>
  <c r="BA27" i="36"/>
  <c r="AZ27" i="36"/>
  <c r="AV27" i="36"/>
  <c r="AU27" i="36"/>
  <c r="AT27" i="36"/>
  <c r="AS27" i="36"/>
  <c r="AO27" i="36"/>
  <c r="AN27" i="36"/>
  <c r="AM27" i="36"/>
  <c r="AL27" i="36"/>
  <c r="AF27" i="36"/>
  <c r="HO27" i="36" s="1"/>
  <c r="AE27" i="36"/>
  <c r="AB27" i="36"/>
  <c r="DE27" i="36" s="1"/>
  <c r="Q27" i="36"/>
  <c r="B27" i="36"/>
  <c r="KP26" i="36"/>
  <c r="KO26" i="36"/>
  <c r="KN26" i="36"/>
  <c r="KM26" i="36"/>
  <c r="KL26" i="36"/>
  <c r="KK26" i="36"/>
  <c r="KJ26" i="36"/>
  <c r="KI26" i="36"/>
  <c r="KH26" i="36"/>
  <c r="KG26" i="36"/>
  <c r="KF26" i="36"/>
  <c r="KE26" i="36"/>
  <c r="KD26" i="36"/>
  <c r="KC26" i="36"/>
  <c r="KA26" i="36"/>
  <c r="JZ26" i="36"/>
  <c r="JY26" i="36"/>
  <c r="JX26" i="36"/>
  <c r="JW26" i="36"/>
  <c r="JV26" i="36"/>
  <c r="JU26" i="36"/>
  <c r="JT26" i="36"/>
  <c r="JS26" i="36"/>
  <c r="JR26" i="36"/>
  <c r="JQ26" i="36"/>
  <c r="JP26" i="36"/>
  <c r="JO26" i="36"/>
  <c r="JN26" i="36"/>
  <c r="JL26" i="36"/>
  <c r="JK26" i="36"/>
  <c r="JJ26" i="36"/>
  <c r="JI26" i="36"/>
  <c r="JH26" i="36"/>
  <c r="JG26" i="36"/>
  <c r="JF26" i="36"/>
  <c r="JE26" i="36"/>
  <c r="JD26" i="36"/>
  <c r="JC26" i="36"/>
  <c r="JB26" i="36"/>
  <c r="JA26" i="36"/>
  <c r="IZ26" i="36"/>
  <c r="IY26" i="36"/>
  <c r="IW26" i="36"/>
  <c r="IV26" i="36"/>
  <c r="IU26" i="36"/>
  <c r="IT26" i="36"/>
  <c r="IS26" i="36"/>
  <c r="IR26" i="36"/>
  <c r="IQ26" i="36"/>
  <c r="IP26" i="36"/>
  <c r="IO26" i="36"/>
  <c r="IN26" i="36"/>
  <c r="IM26" i="36"/>
  <c r="IL26" i="36"/>
  <c r="IK26" i="36"/>
  <c r="IJ26" i="36"/>
  <c r="IH26" i="36"/>
  <c r="IC26" i="36"/>
  <c r="IB26" i="36"/>
  <c r="HW26" i="36"/>
  <c r="HV26" i="36"/>
  <c r="HU26" i="36"/>
  <c r="HJ26" i="36"/>
  <c r="HB26" i="36"/>
  <c r="HA26" i="36"/>
  <c r="GW26" i="36"/>
  <c r="GS26" i="36"/>
  <c r="GR26" i="36"/>
  <c r="GQ26" i="36"/>
  <c r="GO26" i="36"/>
  <c r="GN26" i="36"/>
  <c r="GK26" i="36"/>
  <c r="GG26" i="36"/>
  <c r="FZ26" i="36"/>
  <c r="FY26" i="36"/>
  <c r="FT26" i="36"/>
  <c r="FS26" i="36"/>
  <c r="FQ26" i="36"/>
  <c r="FP26" i="36"/>
  <c r="FO26" i="36"/>
  <c r="FN26" i="36"/>
  <c r="FK26" i="36"/>
  <c r="FJ26" i="36"/>
  <c r="FI26" i="36"/>
  <c r="FH26" i="36"/>
  <c r="FG26" i="36"/>
  <c r="FC26" i="36"/>
  <c r="FB26" i="36"/>
  <c r="FA26" i="36"/>
  <c r="EZ26" i="36"/>
  <c r="EY26" i="36"/>
  <c r="EX26" i="36"/>
  <c r="ET26" i="36"/>
  <c r="ES26" i="36"/>
  <c r="ER26" i="36"/>
  <c r="EQ26" i="36"/>
  <c r="EP26" i="36"/>
  <c r="EO26" i="36"/>
  <c r="EM26" i="36"/>
  <c r="EL26" i="36"/>
  <c r="EK26" i="36"/>
  <c r="EJ26" i="36"/>
  <c r="EI26" i="36"/>
  <c r="EG26" i="36"/>
  <c r="EF26" i="36"/>
  <c r="EE26" i="36"/>
  <c r="ED26" i="36"/>
  <c r="EC26" i="36"/>
  <c r="EB26" i="36"/>
  <c r="EA26" i="36"/>
  <c r="DZ26" i="36"/>
  <c r="DY26" i="36"/>
  <c r="DX26" i="36"/>
  <c r="DW26" i="36"/>
  <c r="DV26" i="36"/>
  <c r="DU26" i="36"/>
  <c r="DT26" i="36"/>
  <c r="DR26" i="36"/>
  <c r="DQ26" i="36"/>
  <c r="DP26" i="36"/>
  <c r="DO26" i="36"/>
  <c r="DN26" i="36"/>
  <c r="DM26" i="36"/>
  <c r="DL26" i="36"/>
  <c r="DK26" i="36"/>
  <c r="DJ26" i="36"/>
  <c r="DI26" i="36"/>
  <c r="DH26" i="36"/>
  <c r="DG26" i="36"/>
  <c r="DF26" i="36"/>
  <c r="DC26" i="36"/>
  <c r="DB26" i="36"/>
  <c r="DA26" i="36"/>
  <c r="CY26" i="36"/>
  <c r="CU26" i="36"/>
  <c r="CT26" i="36"/>
  <c r="CS26" i="36"/>
  <c r="CR26" i="36"/>
  <c r="CH26" i="36"/>
  <c r="BV26" i="36"/>
  <c r="BO26" i="36"/>
  <c r="BK26" i="36"/>
  <c r="BJ26" i="36"/>
  <c r="BI26" i="36"/>
  <c r="BH26" i="36"/>
  <c r="BG26" i="36"/>
  <c r="BF26" i="36"/>
  <c r="BD26" i="36"/>
  <c r="BB26" i="36"/>
  <c r="AS26" i="36"/>
  <c r="AR26" i="36"/>
  <c r="AQ26" i="36"/>
  <c r="AL26" i="36"/>
  <c r="AF26" i="36"/>
  <c r="AE26" i="36"/>
  <c r="AB26" i="36"/>
  <c r="DE26" i="36" s="1"/>
  <c r="Q26" i="36"/>
  <c r="B26" i="36"/>
  <c r="KP25" i="36"/>
  <c r="KO25" i="36"/>
  <c r="KN25" i="36"/>
  <c r="KM25" i="36"/>
  <c r="KL25" i="36"/>
  <c r="KK25" i="36"/>
  <c r="KJ25" i="36"/>
  <c r="KI25" i="36"/>
  <c r="KH25" i="36"/>
  <c r="KG25" i="36"/>
  <c r="KF25" i="36"/>
  <c r="KE25" i="36"/>
  <c r="KD25" i="36"/>
  <c r="KC25" i="36"/>
  <c r="KA25" i="36"/>
  <c r="JZ25" i="36"/>
  <c r="JY25" i="36"/>
  <c r="JX25" i="36"/>
  <c r="JW25" i="36"/>
  <c r="JV25" i="36"/>
  <c r="JU25" i="36"/>
  <c r="JT25" i="36"/>
  <c r="JS25" i="36"/>
  <c r="JR25" i="36"/>
  <c r="JQ25" i="36"/>
  <c r="JP25" i="36"/>
  <c r="JO25" i="36"/>
  <c r="JN25" i="36"/>
  <c r="JL25" i="36"/>
  <c r="JK25" i="36"/>
  <c r="JJ25" i="36"/>
  <c r="JI25" i="36"/>
  <c r="JH25" i="36"/>
  <c r="JG25" i="36"/>
  <c r="JF25" i="36"/>
  <c r="JE25" i="36"/>
  <c r="JD25" i="36"/>
  <c r="JC25" i="36"/>
  <c r="JB25" i="36"/>
  <c r="JA25" i="36"/>
  <c r="IZ25" i="36"/>
  <c r="IY25" i="36"/>
  <c r="IW25" i="36"/>
  <c r="IV25" i="36"/>
  <c r="IU25" i="36"/>
  <c r="IT25" i="36"/>
  <c r="IS25" i="36"/>
  <c r="IR25" i="36"/>
  <c r="IQ25" i="36"/>
  <c r="IP25" i="36"/>
  <c r="IO25" i="36"/>
  <c r="IN25" i="36"/>
  <c r="IM25" i="36"/>
  <c r="IL25" i="36"/>
  <c r="IK25" i="36"/>
  <c r="IJ25" i="36"/>
  <c r="IH25" i="36"/>
  <c r="IG25" i="36"/>
  <c r="IE25" i="36"/>
  <c r="IC25" i="36"/>
  <c r="IB25" i="36"/>
  <c r="IA25" i="36"/>
  <c r="HZ25" i="36"/>
  <c r="HV25" i="36"/>
  <c r="HU25" i="36"/>
  <c r="HS25" i="36"/>
  <c r="HO25" i="36"/>
  <c r="HN25" i="36"/>
  <c r="HK25" i="36"/>
  <c r="HJ25" i="36"/>
  <c r="HI25" i="36"/>
  <c r="HF25" i="36"/>
  <c r="HC25" i="36"/>
  <c r="HB25" i="36"/>
  <c r="HA25" i="36"/>
  <c r="GY25" i="36"/>
  <c r="GX25" i="36"/>
  <c r="GW25" i="36"/>
  <c r="GV25" i="36"/>
  <c r="GU25" i="36"/>
  <c r="GT25" i="36"/>
  <c r="GS25" i="36"/>
  <c r="GR25" i="36"/>
  <c r="GJ25" i="36"/>
  <c r="GI25" i="36"/>
  <c r="GG25" i="36"/>
  <c r="GF25" i="36"/>
  <c r="GE25" i="36"/>
  <c r="GD25" i="36"/>
  <c r="GC25" i="36"/>
  <c r="GB25" i="36"/>
  <c r="FZ25" i="36"/>
  <c r="FY25" i="36"/>
  <c r="FR25" i="36"/>
  <c r="FQ25" i="36"/>
  <c r="FP25" i="36"/>
  <c r="FO25" i="36"/>
  <c r="FN25" i="36"/>
  <c r="FM25" i="36"/>
  <c r="FK25" i="36"/>
  <c r="FG25" i="36"/>
  <c r="FF25" i="36"/>
  <c r="FC25" i="36"/>
  <c r="FB25" i="36"/>
  <c r="FA25" i="36"/>
  <c r="EZ25" i="36"/>
  <c r="EY25" i="36"/>
  <c r="EX25" i="36"/>
  <c r="ES25" i="36"/>
  <c r="EQ25" i="36"/>
  <c r="EP25" i="36"/>
  <c r="EO25" i="36"/>
  <c r="EN25" i="36"/>
  <c r="EL25" i="36"/>
  <c r="EK25" i="36"/>
  <c r="EJ25" i="36"/>
  <c r="EG25" i="36"/>
  <c r="EF25" i="36"/>
  <c r="EE25" i="36"/>
  <c r="ED25" i="36"/>
  <c r="EC25" i="36"/>
  <c r="EB25" i="36"/>
  <c r="EA25" i="36"/>
  <c r="DZ25" i="36"/>
  <c r="DY25" i="36"/>
  <c r="DX25" i="36"/>
  <c r="DW25" i="36"/>
  <c r="DV25" i="36"/>
  <c r="DU25" i="36"/>
  <c r="DT25" i="36"/>
  <c r="DR25" i="36"/>
  <c r="DQ25" i="36"/>
  <c r="DP25" i="36"/>
  <c r="DO25" i="36"/>
  <c r="DN25" i="36"/>
  <c r="DM25" i="36"/>
  <c r="DL25" i="36"/>
  <c r="DK25" i="36"/>
  <c r="DJ25" i="36"/>
  <c r="DI25" i="36"/>
  <c r="DH25" i="36"/>
  <c r="DG25" i="36"/>
  <c r="DF25" i="36"/>
  <c r="CY25" i="36"/>
  <c r="CX25" i="36"/>
  <c r="CU25" i="36"/>
  <c r="CT25" i="36"/>
  <c r="CQ25" i="36"/>
  <c r="CP25" i="36"/>
  <c r="CN25" i="36"/>
  <c r="CM25" i="36"/>
  <c r="CL25" i="36"/>
  <c r="CK25" i="36"/>
  <c r="CI25" i="36"/>
  <c r="CH25" i="36"/>
  <c r="CF25" i="36"/>
  <c r="CD25" i="36"/>
  <c r="CC25" i="36"/>
  <c r="CB25" i="36"/>
  <c r="CA25" i="36"/>
  <c r="BU25" i="36"/>
  <c r="BS25" i="36"/>
  <c r="BR25" i="36"/>
  <c r="BQ25" i="36"/>
  <c r="BP25" i="36"/>
  <c r="BM25" i="36"/>
  <c r="BL25" i="36"/>
  <c r="BK25" i="36"/>
  <c r="BH25" i="36"/>
  <c r="BG25" i="36"/>
  <c r="BB25" i="36"/>
  <c r="BA25" i="36"/>
  <c r="AZ25" i="36"/>
  <c r="AY25" i="36"/>
  <c r="AX25" i="36"/>
  <c r="AW25" i="36"/>
  <c r="AV25" i="36"/>
  <c r="AU25" i="36"/>
  <c r="AO25" i="36"/>
  <c r="AM25" i="36"/>
  <c r="AL25" i="36"/>
  <c r="AK25" i="36"/>
  <c r="AJ25" i="36"/>
  <c r="AI25" i="36"/>
  <c r="AH25" i="36"/>
  <c r="AF25" i="36"/>
  <c r="AE25" i="36"/>
  <c r="AB25" i="36"/>
  <c r="DE25" i="36" s="1"/>
  <c r="Q25" i="36"/>
  <c r="B25" i="36"/>
  <c r="KP24" i="36"/>
  <c r="KO24" i="36"/>
  <c r="KN24" i="36"/>
  <c r="KM24" i="36"/>
  <c r="KL24" i="36"/>
  <c r="KK24" i="36"/>
  <c r="KJ24" i="36"/>
  <c r="KI24" i="36"/>
  <c r="KH24" i="36"/>
  <c r="KG24" i="36"/>
  <c r="KF24" i="36"/>
  <c r="KE24" i="36"/>
  <c r="KD24" i="36"/>
  <c r="KC24" i="36"/>
  <c r="KA24" i="36"/>
  <c r="JZ24" i="36"/>
  <c r="JY24" i="36"/>
  <c r="JX24" i="36"/>
  <c r="JW24" i="36"/>
  <c r="JV24" i="36"/>
  <c r="JU24" i="36"/>
  <c r="JT24" i="36"/>
  <c r="JS24" i="36"/>
  <c r="JR24" i="36"/>
  <c r="JQ24" i="36"/>
  <c r="JP24" i="36"/>
  <c r="JO24" i="36"/>
  <c r="JN24" i="36"/>
  <c r="JL24" i="36"/>
  <c r="JK24" i="36"/>
  <c r="JJ24" i="36"/>
  <c r="JI24" i="36"/>
  <c r="JH24" i="36"/>
  <c r="JG24" i="36"/>
  <c r="JF24" i="36"/>
  <c r="JE24" i="36"/>
  <c r="JD24" i="36"/>
  <c r="JC24" i="36"/>
  <c r="JB24" i="36"/>
  <c r="JA24" i="36"/>
  <c r="IZ24" i="36"/>
  <c r="IY24" i="36"/>
  <c r="IW24" i="36"/>
  <c r="IV24" i="36"/>
  <c r="IU24" i="36"/>
  <c r="IT24" i="36"/>
  <c r="IS24" i="36"/>
  <c r="IR24" i="36"/>
  <c r="IQ24" i="36"/>
  <c r="IP24" i="36"/>
  <c r="IO24" i="36"/>
  <c r="IN24" i="36"/>
  <c r="IM24" i="36"/>
  <c r="IL24" i="36"/>
  <c r="IK24" i="36"/>
  <c r="IJ24" i="36"/>
  <c r="ID24" i="36"/>
  <c r="IC24" i="36"/>
  <c r="IB24" i="36"/>
  <c r="IA24" i="36"/>
  <c r="HZ24" i="36"/>
  <c r="HR24" i="36"/>
  <c r="HJ24" i="36"/>
  <c r="HI24" i="36"/>
  <c r="HH24" i="36"/>
  <c r="HG24" i="36"/>
  <c r="HF24" i="36"/>
  <c r="HC24" i="36"/>
  <c r="HB24" i="36"/>
  <c r="HA24" i="36"/>
  <c r="GT24" i="36"/>
  <c r="GO24" i="36"/>
  <c r="GN24" i="36"/>
  <c r="GM24" i="36"/>
  <c r="GL24" i="36"/>
  <c r="GK24" i="36"/>
  <c r="GJ24" i="36"/>
  <c r="GC24" i="36"/>
  <c r="GB24" i="36"/>
  <c r="FY24" i="36"/>
  <c r="FW24" i="36"/>
  <c r="FV24" i="36"/>
  <c r="FU24" i="36"/>
  <c r="FT24" i="36"/>
  <c r="FS24" i="36"/>
  <c r="FR24" i="36"/>
  <c r="FK24" i="36"/>
  <c r="FJ24" i="36"/>
  <c r="FI24" i="36"/>
  <c r="FH24" i="36"/>
  <c r="FG24" i="36"/>
  <c r="FF24" i="36"/>
  <c r="FE24" i="36"/>
  <c r="FD24" i="36"/>
  <c r="FC24" i="36"/>
  <c r="FB24" i="36"/>
  <c r="FA24" i="36"/>
  <c r="EZ24" i="36"/>
  <c r="EY24" i="36"/>
  <c r="EX24" i="36"/>
  <c r="EU24" i="36"/>
  <c r="ET24" i="36"/>
  <c r="ES24" i="36"/>
  <c r="ER24" i="36"/>
  <c r="EQ24" i="36"/>
  <c r="EP24" i="36"/>
  <c r="EO24" i="36"/>
  <c r="EN24" i="36"/>
  <c r="EM24" i="36"/>
  <c r="EL24" i="36"/>
  <c r="EG24" i="36"/>
  <c r="EF24" i="36"/>
  <c r="EE24" i="36"/>
  <c r="ED24" i="36"/>
  <c r="EC24" i="36"/>
  <c r="EB24" i="36"/>
  <c r="EA24" i="36"/>
  <c r="DZ24" i="36"/>
  <c r="DY24" i="36"/>
  <c r="DX24" i="36"/>
  <c r="DW24" i="36"/>
  <c r="DV24" i="36"/>
  <c r="DU24" i="36"/>
  <c r="DT24" i="36"/>
  <c r="DR24" i="36"/>
  <c r="DQ24" i="36"/>
  <c r="DP24" i="36"/>
  <c r="DO24" i="36"/>
  <c r="DN24" i="36"/>
  <c r="DM24" i="36"/>
  <c r="DL24" i="36"/>
  <c r="DK24" i="36"/>
  <c r="DJ24" i="36"/>
  <c r="DI24" i="36"/>
  <c r="DH24" i="36"/>
  <c r="DG24" i="36"/>
  <c r="DF24" i="36"/>
  <c r="DC24" i="36"/>
  <c r="DB24" i="36"/>
  <c r="DA24" i="36"/>
  <c r="CX24" i="36"/>
  <c r="CW24" i="36"/>
  <c r="CT24" i="36"/>
  <c r="CJ24" i="36"/>
  <c r="CI24" i="36"/>
  <c r="CF24" i="36"/>
  <c r="CE24" i="36"/>
  <c r="CD24" i="36"/>
  <c r="CC24" i="36"/>
  <c r="BY24" i="36"/>
  <c r="BX24" i="36"/>
  <c r="BR24" i="36"/>
  <c r="BO24" i="36"/>
  <c r="BN24" i="36"/>
  <c r="BK24" i="36"/>
  <c r="BI24" i="36"/>
  <c r="BH24" i="36"/>
  <c r="BG24" i="36"/>
  <c r="BF24" i="36"/>
  <c r="BB24" i="36"/>
  <c r="BA24" i="36"/>
  <c r="AZ24" i="36"/>
  <c r="AU24" i="36"/>
  <c r="AO24" i="36"/>
  <c r="AN24" i="36"/>
  <c r="AM24" i="36"/>
  <c r="AL24" i="36"/>
  <c r="AK24" i="36"/>
  <c r="AF24" i="36"/>
  <c r="HO24" i="36" s="1"/>
  <c r="AE24" i="36"/>
  <c r="EK24" i="36" s="1"/>
  <c r="AB24" i="36"/>
  <c r="DE24" i="36" s="1"/>
  <c r="Q24" i="36"/>
  <c r="B24" i="36"/>
  <c r="KP23" i="36"/>
  <c r="KO23" i="36"/>
  <c r="KN23" i="36"/>
  <c r="KM23" i="36"/>
  <c r="KL23" i="36"/>
  <c r="KK23" i="36"/>
  <c r="KJ23" i="36"/>
  <c r="KI23" i="36"/>
  <c r="KH23" i="36"/>
  <c r="KG23" i="36"/>
  <c r="KF23" i="36"/>
  <c r="KE23" i="36"/>
  <c r="KD23" i="36"/>
  <c r="KC23" i="36"/>
  <c r="KA23" i="36"/>
  <c r="JZ23" i="36"/>
  <c r="JY23" i="36"/>
  <c r="JX23" i="36"/>
  <c r="JW23" i="36"/>
  <c r="JV23" i="36"/>
  <c r="JU23" i="36"/>
  <c r="JT23" i="36"/>
  <c r="JS23" i="36"/>
  <c r="JR23" i="36"/>
  <c r="JQ23" i="36"/>
  <c r="JP23" i="36"/>
  <c r="JO23" i="36"/>
  <c r="JN23" i="36"/>
  <c r="JL23" i="36"/>
  <c r="JK23" i="36"/>
  <c r="JJ23" i="36"/>
  <c r="JI23" i="36"/>
  <c r="JH23" i="36"/>
  <c r="JG23" i="36"/>
  <c r="JF23" i="36"/>
  <c r="JE23" i="36"/>
  <c r="JD23" i="36"/>
  <c r="JC23" i="36"/>
  <c r="JB23" i="36"/>
  <c r="JA23" i="36"/>
  <c r="IZ23" i="36"/>
  <c r="IY23" i="36"/>
  <c r="IW23" i="36"/>
  <c r="IV23" i="36"/>
  <c r="IU23" i="36"/>
  <c r="IT23" i="36"/>
  <c r="IS23" i="36"/>
  <c r="IR23" i="36"/>
  <c r="IQ23" i="36"/>
  <c r="IP23" i="36"/>
  <c r="IO23" i="36"/>
  <c r="IN23" i="36"/>
  <c r="IM23" i="36"/>
  <c r="IL23" i="36"/>
  <c r="IK23" i="36"/>
  <c r="IJ23" i="36"/>
  <c r="FK23" i="36"/>
  <c r="FJ23" i="36"/>
  <c r="FI23" i="36"/>
  <c r="FB23" i="36"/>
  <c r="EZ23" i="36"/>
  <c r="EU23" i="36"/>
  <c r="ET23" i="36"/>
  <c r="ES23" i="36"/>
  <c r="ER23" i="36"/>
  <c r="EL23" i="36"/>
  <c r="EK23" i="36"/>
  <c r="EJ23" i="36"/>
  <c r="EI23" i="36"/>
  <c r="AF23" i="36"/>
  <c r="AE23" i="36"/>
  <c r="AC23" i="36" a="1"/>
  <c r="AC23" i="36" s="1"/>
  <c r="DT23" i="36" s="1"/>
  <c r="AB23" i="36"/>
  <c r="Q23" i="36"/>
  <c r="B23" i="36"/>
  <c r="KP22" i="36"/>
  <c r="KO22" i="36"/>
  <c r="KN22" i="36"/>
  <c r="KM22" i="36"/>
  <c r="KL22" i="36"/>
  <c r="KK22" i="36"/>
  <c r="KJ22" i="36"/>
  <c r="KI22" i="36"/>
  <c r="KH22" i="36"/>
  <c r="KG22" i="36"/>
  <c r="KF22" i="36"/>
  <c r="KE22" i="36"/>
  <c r="KD22" i="36"/>
  <c r="KC22" i="36"/>
  <c r="KA22" i="36"/>
  <c r="JZ22" i="36"/>
  <c r="JY22" i="36"/>
  <c r="JX22" i="36"/>
  <c r="JW22" i="36"/>
  <c r="JV22" i="36"/>
  <c r="JU22" i="36"/>
  <c r="JT22" i="36"/>
  <c r="JS22" i="36"/>
  <c r="JR22" i="36"/>
  <c r="JQ22" i="36"/>
  <c r="JP22" i="36"/>
  <c r="JO22" i="36"/>
  <c r="JN22" i="36"/>
  <c r="JL22" i="36"/>
  <c r="JK22" i="36"/>
  <c r="JJ22" i="36"/>
  <c r="JI22" i="36"/>
  <c r="JH22" i="36"/>
  <c r="JG22" i="36"/>
  <c r="JF22" i="36"/>
  <c r="JE22" i="36"/>
  <c r="JD22" i="36"/>
  <c r="JC22" i="36"/>
  <c r="JB22" i="36"/>
  <c r="JA22" i="36"/>
  <c r="IZ22" i="36"/>
  <c r="IY22" i="36"/>
  <c r="IW22" i="36"/>
  <c r="IV22" i="36"/>
  <c r="IU22" i="36"/>
  <c r="IT22" i="36"/>
  <c r="IS22" i="36"/>
  <c r="IR22" i="36"/>
  <c r="IQ22" i="36"/>
  <c r="IP22" i="36"/>
  <c r="IO22" i="36"/>
  <c r="IN22" i="36"/>
  <c r="IM22" i="36"/>
  <c r="IL22" i="36"/>
  <c r="IK22" i="36"/>
  <c r="IJ22" i="36"/>
  <c r="ID22" i="36"/>
  <c r="IC22" i="36"/>
  <c r="IA22" i="36"/>
  <c r="HZ22" i="36"/>
  <c r="HY22" i="36"/>
  <c r="HP22" i="36"/>
  <c r="HM22" i="36"/>
  <c r="HJ22" i="36"/>
  <c r="HI22" i="36"/>
  <c r="HF22" i="36"/>
  <c r="HD22" i="36"/>
  <c r="HA22" i="36"/>
  <c r="GZ22" i="36"/>
  <c r="GY22" i="36"/>
  <c r="GX22" i="36"/>
  <c r="GW22" i="36"/>
  <c r="GS22" i="36"/>
  <c r="GR22" i="36"/>
  <c r="GK22" i="36"/>
  <c r="GJ22" i="36"/>
  <c r="GG22" i="36"/>
  <c r="GF22" i="36"/>
  <c r="GE22" i="36"/>
  <c r="GD22" i="36"/>
  <c r="GC22" i="36"/>
  <c r="GB22" i="36"/>
  <c r="FZ22" i="36"/>
  <c r="EG22" i="36"/>
  <c r="EF22" i="36"/>
  <c r="EE22" i="36"/>
  <c r="ED22" i="36"/>
  <c r="EC22" i="36"/>
  <c r="EB22" i="36"/>
  <c r="EA22" i="36"/>
  <c r="DZ22" i="36"/>
  <c r="DY22" i="36"/>
  <c r="DX22" i="36"/>
  <c r="DW22" i="36"/>
  <c r="DV22" i="36"/>
  <c r="DU22" i="36"/>
  <c r="DT22" i="36"/>
  <c r="DR22" i="36"/>
  <c r="DQ22" i="36"/>
  <c r="DP22" i="36"/>
  <c r="DO22" i="36"/>
  <c r="DN22" i="36"/>
  <c r="DM22" i="36"/>
  <c r="DL22" i="36"/>
  <c r="DK22" i="36"/>
  <c r="DJ22" i="36"/>
  <c r="DI22" i="36"/>
  <c r="DH22" i="36"/>
  <c r="DG22" i="36"/>
  <c r="DF22" i="36"/>
  <c r="DB22" i="36"/>
  <c r="DA22" i="36"/>
  <c r="CZ22" i="36"/>
  <c r="CY22" i="36"/>
  <c r="CX22" i="36"/>
  <c r="CU22" i="36"/>
  <c r="CR22" i="36"/>
  <c r="CM22" i="36"/>
  <c r="CK22" i="36"/>
  <c r="CE22" i="36"/>
  <c r="CD22" i="36"/>
  <c r="CC22" i="36"/>
  <c r="CB22" i="36"/>
  <c r="BX22" i="36"/>
  <c r="BW22" i="36"/>
  <c r="BV22" i="36"/>
  <c r="BP22" i="36"/>
  <c r="BO22" i="36"/>
  <c r="BL22" i="36"/>
  <c r="BK22" i="36"/>
  <c r="BJ22" i="36"/>
  <c r="BI22" i="36"/>
  <c r="BC22" i="36"/>
  <c r="AX22" i="36"/>
  <c r="AW22" i="36"/>
  <c r="AU22" i="36"/>
  <c r="AT22" i="36"/>
  <c r="AS22" i="36"/>
  <c r="AO22" i="36"/>
  <c r="AN22" i="36"/>
  <c r="AM22" i="36"/>
  <c r="AF22" i="36"/>
  <c r="HW22" i="36" s="1"/>
  <c r="AE22" i="36"/>
  <c r="AB22" i="36"/>
  <c r="DE22" i="36" s="1"/>
  <c r="Q22" i="36"/>
  <c r="B22" i="36"/>
  <c r="KP21" i="36"/>
  <c r="KO21" i="36"/>
  <c r="KN21" i="36"/>
  <c r="KM21" i="36"/>
  <c r="KL21" i="36"/>
  <c r="KK21" i="36"/>
  <c r="KJ21" i="36"/>
  <c r="KI21" i="36"/>
  <c r="KH21" i="36"/>
  <c r="KG21" i="36"/>
  <c r="KF21" i="36"/>
  <c r="KE21" i="36"/>
  <c r="KD21" i="36"/>
  <c r="KC21" i="36"/>
  <c r="KA21" i="36"/>
  <c r="JZ21" i="36"/>
  <c r="JY21" i="36"/>
  <c r="JX21" i="36"/>
  <c r="JW21" i="36"/>
  <c r="JV21" i="36"/>
  <c r="JU21" i="36"/>
  <c r="JT21" i="36"/>
  <c r="JS21" i="36"/>
  <c r="JR21" i="36"/>
  <c r="JQ21" i="36"/>
  <c r="JP21" i="36"/>
  <c r="JO21" i="36"/>
  <c r="JN21" i="36"/>
  <c r="JL21" i="36"/>
  <c r="JK21" i="36"/>
  <c r="JJ21" i="36"/>
  <c r="JI21" i="36"/>
  <c r="JH21" i="36"/>
  <c r="JG21" i="36"/>
  <c r="JF21" i="36"/>
  <c r="JE21" i="36"/>
  <c r="JD21" i="36"/>
  <c r="JC21" i="36"/>
  <c r="JB21" i="36"/>
  <c r="JA21" i="36"/>
  <c r="IZ21" i="36"/>
  <c r="IY21" i="36"/>
  <c r="IY57" i="36" s="1"/>
  <c r="IW21" i="36"/>
  <c r="IV21" i="36"/>
  <c r="IU21" i="36"/>
  <c r="IT21" i="36"/>
  <c r="IS21" i="36"/>
  <c r="IR21" i="36"/>
  <c r="IQ21" i="36"/>
  <c r="IP21" i="36"/>
  <c r="IO21" i="36"/>
  <c r="IN21" i="36"/>
  <c r="IM21" i="36"/>
  <c r="IL21" i="36"/>
  <c r="IK21" i="36"/>
  <c r="IJ21" i="36"/>
  <c r="IH21" i="36"/>
  <c r="IG21" i="36"/>
  <c r="IF21" i="36"/>
  <c r="IE21" i="36"/>
  <c r="ID21" i="36"/>
  <c r="IC21" i="36"/>
  <c r="IB21" i="36"/>
  <c r="IA21" i="36"/>
  <c r="HZ21" i="36"/>
  <c r="HY21" i="36"/>
  <c r="HX21" i="36"/>
  <c r="HW21" i="36"/>
  <c r="HV21" i="36"/>
  <c r="HU21" i="36"/>
  <c r="HS21" i="36"/>
  <c r="HR21" i="36"/>
  <c r="HQ21" i="36"/>
  <c r="HP21" i="36"/>
  <c r="HO21" i="36"/>
  <c r="HN21" i="36"/>
  <c r="HM21" i="36"/>
  <c r="HK21" i="36"/>
  <c r="HJ21" i="36"/>
  <c r="HI21" i="36"/>
  <c r="HH21" i="36"/>
  <c r="HF21" i="36"/>
  <c r="HD21" i="36"/>
  <c r="HC21" i="36"/>
  <c r="HB21" i="36"/>
  <c r="HA21" i="36"/>
  <c r="GZ21" i="36"/>
  <c r="GY21" i="36"/>
  <c r="GX21" i="36"/>
  <c r="GW21" i="36"/>
  <c r="GV21" i="36"/>
  <c r="GU21" i="36"/>
  <c r="GT21" i="36"/>
  <c r="GS21" i="36"/>
  <c r="GR21" i="36"/>
  <c r="GQ21" i="36"/>
  <c r="GO21" i="36"/>
  <c r="GN21" i="36"/>
  <c r="GM21" i="36"/>
  <c r="GL21" i="36"/>
  <c r="GK21" i="36"/>
  <c r="GJ21" i="36"/>
  <c r="GI21" i="36"/>
  <c r="GH21" i="36"/>
  <c r="GF21" i="36"/>
  <c r="GE21" i="36"/>
  <c r="GD21" i="36"/>
  <c r="GB21" i="36"/>
  <c r="FZ21" i="36"/>
  <c r="FY21" i="36"/>
  <c r="FX21" i="36"/>
  <c r="FW21" i="36"/>
  <c r="FV21" i="36"/>
  <c r="FU21" i="36"/>
  <c r="FT21" i="36"/>
  <c r="FS21" i="36"/>
  <c r="FR21" i="36"/>
  <c r="FQ21" i="36"/>
  <c r="FP21" i="36"/>
  <c r="FO21" i="36"/>
  <c r="FN21" i="36"/>
  <c r="FM21" i="36"/>
  <c r="FK21" i="36"/>
  <c r="FJ21" i="36"/>
  <c r="FI21" i="36"/>
  <c r="FH21" i="36"/>
  <c r="FG21" i="36"/>
  <c r="FF21" i="36"/>
  <c r="FE21" i="36"/>
  <c r="FD21" i="36"/>
  <c r="FC21" i="36"/>
  <c r="EZ21" i="36"/>
  <c r="EX21" i="36"/>
  <c r="EV21" i="36"/>
  <c r="EU21" i="36"/>
  <c r="ET21" i="36"/>
  <c r="ES21" i="36"/>
  <c r="ER21" i="36"/>
  <c r="EQ21" i="36"/>
  <c r="EP21" i="36"/>
  <c r="EO21" i="36"/>
  <c r="EN21" i="36"/>
  <c r="EM21" i="36"/>
  <c r="EL21" i="36"/>
  <c r="EK21" i="36"/>
  <c r="EI21" i="36"/>
  <c r="EG21" i="36"/>
  <c r="EF21" i="36"/>
  <c r="EE21" i="36"/>
  <c r="ED21" i="36"/>
  <c r="EC21" i="36"/>
  <c r="EB21" i="36"/>
  <c r="EA21" i="36"/>
  <c r="DZ21" i="36"/>
  <c r="DY21" i="36"/>
  <c r="DX21" i="36"/>
  <c r="DW21" i="36"/>
  <c r="DV21" i="36"/>
  <c r="DU21" i="36"/>
  <c r="DT21" i="36"/>
  <c r="DR21" i="36"/>
  <c r="DQ21" i="36"/>
  <c r="DP21" i="36"/>
  <c r="DO21" i="36"/>
  <c r="DN21" i="36"/>
  <c r="DM21" i="36"/>
  <c r="DL21" i="36"/>
  <c r="DK21" i="36"/>
  <c r="DJ21" i="36"/>
  <c r="DI21" i="36"/>
  <c r="DH21" i="36"/>
  <c r="DG21" i="36"/>
  <c r="DF21" i="36"/>
  <c r="DE21" i="36"/>
  <c r="DC21" i="36"/>
  <c r="DB21" i="36"/>
  <c r="DA21" i="36"/>
  <c r="CZ21" i="36"/>
  <c r="CY21" i="36"/>
  <c r="CX21" i="36"/>
  <c r="CW21" i="36"/>
  <c r="CV21" i="36"/>
  <c r="CU21" i="36"/>
  <c r="CT21" i="36"/>
  <c r="CR21" i="36"/>
  <c r="CP21" i="36"/>
  <c r="CN21" i="36"/>
  <c r="CM21" i="36"/>
  <c r="CL21" i="36"/>
  <c r="CK21" i="36"/>
  <c r="CJ21" i="36"/>
  <c r="CI21" i="36"/>
  <c r="CH21" i="36"/>
  <c r="CF21" i="36"/>
  <c r="CE21" i="36"/>
  <c r="CD21" i="36"/>
  <c r="CC21" i="36"/>
  <c r="CB21" i="36"/>
  <c r="CA21" i="36"/>
  <c r="BZ21" i="36"/>
  <c r="BY21" i="36"/>
  <c r="BX21" i="36"/>
  <c r="BW21" i="36"/>
  <c r="BV21" i="36"/>
  <c r="BU21" i="36"/>
  <c r="BS21" i="36"/>
  <c r="BR21" i="36"/>
  <c r="BQ21" i="36"/>
  <c r="BP21" i="36"/>
  <c r="BO21" i="36"/>
  <c r="BN21" i="36"/>
  <c r="BK21" i="36"/>
  <c r="BJ21" i="36"/>
  <c r="BI21" i="36"/>
  <c r="BH21" i="36"/>
  <c r="BG21" i="36"/>
  <c r="BF21" i="36"/>
  <c r="BD21" i="36"/>
  <c r="BC21" i="36"/>
  <c r="BB21" i="36"/>
  <c r="BA21" i="36"/>
  <c r="AZ21" i="36"/>
  <c r="AY21" i="36"/>
  <c r="AX21" i="36"/>
  <c r="AW21" i="36"/>
  <c r="AV21" i="36"/>
  <c r="AU21" i="36"/>
  <c r="AT21" i="36"/>
  <c r="AS21" i="36"/>
  <c r="AR21" i="36"/>
  <c r="AQ21" i="36"/>
  <c r="AO21" i="36"/>
  <c r="AN21" i="36"/>
  <c r="AM21" i="36"/>
  <c r="AL21" i="36"/>
  <c r="AK21" i="36"/>
  <c r="AJ21" i="36"/>
  <c r="AI21" i="36"/>
  <c r="AF21" i="36"/>
  <c r="AE21" i="36"/>
  <c r="EY21" i="36" s="1"/>
  <c r="AB21" i="36"/>
  <c r="Q21" i="36"/>
  <c r="B21" i="36"/>
  <c r="KP20" i="36"/>
  <c r="KO20" i="36"/>
  <c r="KN20" i="36"/>
  <c r="KM20" i="36"/>
  <c r="KL20" i="36"/>
  <c r="KK20" i="36"/>
  <c r="KJ20" i="36"/>
  <c r="KI20" i="36"/>
  <c r="KH20" i="36"/>
  <c r="KG20" i="36"/>
  <c r="KF20" i="36"/>
  <c r="KE20" i="36"/>
  <c r="KD20" i="36"/>
  <c r="KC20" i="36"/>
  <c r="KA20" i="36"/>
  <c r="JZ20" i="36"/>
  <c r="JY20" i="36"/>
  <c r="JX20" i="36"/>
  <c r="JW20" i="36"/>
  <c r="JV20" i="36"/>
  <c r="JU20" i="36"/>
  <c r="JT20" i="36"/>
  <c r="JS20" i="36"/>
  <c r="JR20" i="36"/>
  <c r="JQ20" i="36"/>
  <c r="JP20" i="36"/>
  <c r="JO20" i="36"/>
  <c r="JN20" i="36"/>
  <c r="JL20" i="36"/>
  <c r="JK20" i="36"/>
  <c r="JJ20" i="36"/>
  <c r="JI20" i="36"/>
  <c r="JH20" i="36"/>
  <c r="JG20" i="36"/>
  <c r="JF20" i="36"/>
  <c r="JE20" i="36"/>
  <c r="JD20" i="36"/>
  <c r="JC20" i="36"/>
  <c r="JB20" i="36"/>
  <c r="JA20" i="36"/>
  <c r="IZ20" i="36"/>
  <c r="IY20" i="36"/>
  <c r="IW20" i="36"/>
  <c r="IV20" i="36"/>
  <c r="IU20" i="36"/>
  <c r="IT20" i="36"/>
  <c r="IS20" i="36"/>
  <c r="IR20" i="36"/>
  <c r="IQ20" i="36"/>
  <c r="IP20" i="36"/>
  <c r="IO20" i="36"/>
  <c r="IN20" i="36"/>
  <c r="IM20" i="36"/>
  <c r="IL20" i="36"/>
  <c r="IK20" i="36"/>
  <c r="IJ20" i="36"/>
  <c r="IH20" i="36"/>
  <c r="IG20" i="36"/>
  <c r="IF20" i="36"/>
  <c r="IE20" i="36"/>
  <c r="ID20" i="36"/>
  <c r="IC20" i="36"/>
  <c r="IA20" i="36"/>
  <c r="HZ20" i="36"/>
  <c r="HY20" i="36"/>
  <c r="HX20" i="36"/>
  <c r="HV20" i="36"/>
  <c r="HU20" i="36"/>
  <c r="HR20" i="36"/>
  <c r="HQ20" i="36"/>
  <c r="HP20" i="36"/>
  <c r="HO20" i="36"/>
  <c r="HL20" i="36"/>
  <c r="HJ20" i="36"/>
  <c r="HG20" i="36"/>
  <c r="HF20" i="36"/>
  <c r="HB20" i="36"/>
  <c r="HA20" i="36"/>
  <c r="GZ20" i="36"/>
  <c r="GY20" i="36"/>
  <c r="GX20" i="36"/>
  <c r="GW20" i="36"/>
  <c r="GV20" i="36"/>
  <c r="GU20" i="36"/>
  <c r="GT20" i="36"/>
  <c r="GS20" i="36"/>
  <c r="GQ20" i="36"/>
  <c r="GN20" i="36"/>
  <c r="GM20" i="36"/>
  <c r="GL20" i="36"/>
  <c r="GJ20" i="36"/>
  <c r="GI20" i="36"/>
  <c r="GH20" i="36"/>
  <c r="GF20" i="36"/>
  <c r="GE20" i="36"/>
  <c r="GB20" i="36"/>
  <c r="FZ20" i="36"/>
  <c r="FW20" i="36"/>
  <c r="FT20" i="36"/>
  <c r="FS20" i="36"/>
  <c r="FR20" i="36"/>
  <c r="FQ20" i="36"/>
  <c r="FP20" i="36"/>
  <c r="FO20" i="36"/>
  <c r="FN20" i="36"/>
  <c r="FK20" i="36"/>
  <c r="FJ20" i="36"/>
  <c r="FI20" i="36"/>
  <c r="FH20" i="36"/>
  <c r="FG20" i="36"/>
  <c r="FF20" i="36"/>
  <c r="FE20" i="36"/>
  <c r="EZ20" i="36"/>
  <c r="ER20" i="36"/>
  <c r="EQ20" i="36"/>
  <c r="EP20" i="36"/>
  <c r="EI20" i="36"/>
  <c r="EG20" i="36"/>
  <c r="EF20" i="36"/>
  <c r="EE20" i="36"/>
  <c r="ED20" i="36"/>
  <c r="EC20" i="36"/>
  <c r="EB20" i="36"/>
  <c r="EA20" i="36"/>
  <c r="DZ20" i="36"/>
  <c r="DY20" i="36"/>
  <c r="DX20" i="36"/>
  <c r="DW20" i="36"/>
  <c r="DV20" i="36"/>
  <c r="DU20" i="36"/>
  <c r="DT20" i="36"/>
  <c r="DR20" i="36"/>
  <c r="DQ20" i="36"/>
  <c r="DP20" i="36"/>
  <c r="DO20" i="36"/>
  <c r="DN20" i="36"/>
  <c r="DM20" i="36"/>
  <c r="DL20" i="36"/>
  <c r="DK20" i="36"/>
  <c r="DJ20" i="36"/>
  <c r="DI20" i="36"/>
  <c r="DH20" i="36"/>
  <c r="DG20" i="36"/>
  <c r="DF20" i="36"/>
  <c r="DE20" i="36"/>
  <c r="DB20" i="36"/>
  <c r="DA20" i="36"/>
  <c r="CZ20" i="36"/>
  <c r="CY20" i="36"/>
  <c r="CX20" i="36"/>
  <c r="CW20" i="36"/>
  <c r="CV20" i="36"/>
  <c r="CT20" i="36"/>
  <c r="CS20" i="36"/>
  <c r="CR20" i="36"/>
  <c r="CQ20" i="36"/>
  <c r="CL20" i="36"/>
  <c r="CK20" i="36"/>
  <c r="CJ20" i="36"/>
  <c r="CI20" i="36"/>
  <c r="CH20" i="36"/>
  <c r="CF20" i="36"/>
  <c r="CE20" i="36"/>
  <c r="CD20" i="36"/>
  <c r="CC20" i="36"/>
  <c r="CB20" i="36"/>
  <c r="BY20" i="36"/>
  <c r="BW20" i="36"/>
  <c r="BV20" i="36"/>
  <c r="BR20" i="36"/>
  <c r="BQ20" i="36"/>
  <c r="BO20" i="36"/>
  <c r="BN20" i="36"/>
  <c r="BM20" i="36"/>
  <c r="BL20" i="36"/>
  <c r="BK20" i="36"/>
  <c r="BH20" i="36"/>
  <c r="BG20" i="36"/>
  <c r="BF20" i="36"/>
  <c r="BC20" i="36"/>
  <c r="BB20" i="36"/>
  <c r="BA20" i="36"/>
  <c r="AZ20" i="36"/>
  <c r="AY20" i="36"/>
  <c r="AX20" i="36"/>
  <c r="AW20" i="36"/>
  <c r="AV20" i="36"/>
  <c r="AU20" i="36"/>
  <c r="AT20" i="36"/>
  <c r="AO20" i="36"/>
  <c r="AN20" i="36"/>
  <c r="AM20" i="36"/>
  <c r="AK20" i="36"/>
  <c r="AJ20" i="36"/>
  <c r="AI20" i="36"/>
  <c r="AF20" i="36"/>
  <c r="IB20" i="36" s="1"/>
  <c r="AE20" i="36"/>
  <c r="EU20" i="36" s="1"/>
  <c r="AB20" i="36"/>
  <c r="Q20" i="36"/>
  <c r="B20" i="36"/>
  <c r="KP19" i="36"/>
  <c r="KO19" i="36"/>
  <c r="KN19" i="36"/>
  <c r="KM19" i="36"/>
  <c r="KL19" i="36"/>
  <c r="KK19" i="36"/>
  <c r="KJ19" i="36"/>
  <c r="KI19" i="36"/>
  <c r="KH19" i="36"/>
  <c r="KG19" i="36"/>
  <c r="KF19" i="36"/>
  <c r="KE19" i="36"/>
  <c r="KD19" i="36"/>
  <c r="KC19" i="36"/>
  <c r="KA19" i="36"/>
  <c r="JZ19" i="36"/>
  <c r="JY19" i="36"/>
  <c r="JY57" i="36" s="1"/>
  <c r="JX19" i="36"/>
  <c r="JW19" i="36"/>
  <c r="JV19" i="36"/>
  <c r="JU19" i="36"/>
  <c r="JT19" i="36"/>
  <c r="JS19" i="36"/>
  <c r="JR19" i="36"/>
  <c r="JQ19" i="36"/>
  <c r="JP19" i="36"/>
  <c r="JO19" i="36"/>
  <c r="JN19" i="36"/>
  <c r="JL19" i="36"/>
  <c r="JK19" i="36"/>
  <c r="JJ19" i="36"/>
  <c r="JI19" i="36"/>
  <c r="JH19" i="36"/>
  <c r="JG19" i="36"/>
  <c r="JF19" i="36"/>
  <c r="JE19" i="36"/>
  <c r="JD19" i="36"/>
  <c r="JC19" i="36"/>
  <c r="JB19" i="36"/>
  <c r="JA19" i="36"/>
  <c r="IZ19" i="36"/>
  <c r="IY19" i="36"/>
  <c r="IW19" i="36"/>
  <c r="IV19" i="36"/>
  <c r="IU19" i="36"/>
  <c r="IT19" i="36"/>
  <c r="IS19" i="36"/>
  <c r="IR19" i="36"/>
  <c r="IQ19" i="36"/>
  <c r="IP19" i="36"/>
  <c r="IO19" i="36"/>
  <c r="IN19" i="36"/>
  <c r="IM19" i="36"/>
  <c r="IL19" i="36"/>
  <c r="IK19" i="36"/>
  <c r="IJ19" i="36"/>
  <c r="IH19" i="36"/>
  <c r="IG19" i="36"/>
  <c r="IF19" i="36"/>
  <c r="ID19" i="36"/>
  <c r="IC19" i="36"/>
  <c r="IB19" i="36"/>
  <c r="IA19" i="36"/>
  <c r="HZ19" i="36"/>
  <c r="HY19" i="36"/>
  <c r="HP19" i="36"/>
  <c r="HM19" i="36"/>
  <c r="HL19" i="36"/>
  <c r="HK19" i="36"/>
  <c r="HJ19" i="36"/>
  <c r="HI19" i="36"/>
  <c r="HF19" i="36"/>
  <c r="HB19" i="36"/>
  <c r="HA19" i="36"/>
  <c r="GZ19" i="36"/>
  <c r="GR19" i="36"/>
  <c r="GO19" i="36"/>
  <c r="GM19" i="36"/>
  <c r="GL19" i="36"/>
  <c r="GI19" i="36"/>
  <c r="GF19" i="36"/>
  <c r="GE19" i="36"/>
  <c r="FY19" i="36"/>
  <c r="FX19" i="36"/>
  <c r="FW19" i="36"/>
  <c r="FV19" i="36"/>
  <c r="FU19" i="36"/>
  <c r="FO19" i="36"/>
  <c r="FN19" i="36"/>
  <c r="FK19" i="36"/>
  <c r="FJ19" i="36"/>
  <c r="FI19" i="36"/>
  <c r="FH19" i="36"/>
  <c r="FF19" i="36"/>
  <c r="FA19" i="36"/>
  <c r="EQ19" i="36"/>
  <c r="EP19" i="36"/>
  <c r="EO19" i="36"/>
  <c r="EN19" i="36"/>
  <c r="EK19" i="36"/>
  <c r="EG19" i="36"/>
  <c r="EF19" i="36"/>
  <c r="EE19" i="36"/>
  <c r="ED19" i="36"/>
  <c r="EC19" i="36"/>
  <c r="EB19" i="36"/>
  <c r="EA19" i="36"/>
  <c r="DZ19" i="36"/>
  <c r="DY19" i="36"/>
  <c r="DX19" i="36"/>
  <c r="DW19" i="36"/>
  <c r="DV19" i="36"/>
  <c r="DU19" i="36"/>
  <c r="DT19" i="36"/>
  <c r="DR19" i="36"/>
  <c r="DQ19" i="36"/>
  <c r="DP19" i="36"/>
  <c r="DO19" i="36"/>
  <c r="DN19" i="36"/>
  <c r="DM19" i="36"/>
  <c r="DL19" i="36"/>
  <c r="DK19" i="36"/>
  <c r="DJ19" i="36"/>
  <c r="DI19" i="36"/>
  <c r="DH19" i="36"/>
  <c r="DG19" i="36"/>
  <c r="DF19" i="36"/>
  <c r="DB19" i="36"/>
  <c r="CY19" i="36"/>
  <c r="CX19" i="36"/>
  <c r="CW19" i="36"/>
  <c r="CU19" i="36"/>
  <c r="CT19" i="36"/>
  <c r="CS19" i="36"/>
  <c r="CM19" i="36"/>
  <c r="CJ19" i="36"/>
  <c r="CI19" i="36"/>
  <c r="CH19" i="36"/>
  <c r="CF19" i="36"/>
  <c r="CA19" i="36"/>
  <c r="BY19" i="36"/>
  <c r="BX19" i="36"/>
  <c r="BW19" i="36"/>
  <c r="BU19" i="36"/>
  <c r="BI19" i="36"/>
  <c r="BF19" i="36"/>
  <c r="BD19" i="36"/>
  <c r="BC19" i="36"/>
  <c r="BB19" i="36"/>
  <c r="BA19" i="36"/>
  <c r="AZ19" i="36"/>
  <c r="AY19" i="36"/>
  <c r="AX19" i="36"/>
  <c r="AW19" i="36"/>
  <c r="AU19" i="36"/>
  <c r="AT19" i="36"/>
  <c r="AQ19" i="36"/>
  <c r="AJ19" i="36"/>
  <c r="AF19" i="36"/>
  <c r="AE19" i="36"/>
  <c r="FG19" i="36" s="1"/>
  <c r="AB19" i="36"/>
  <c r="DE19" i="36" s="1"/>
  <c r="Q19" i="36"/>
  <c r="B19" i="36"/>
  <c r="KP18" i="36"/>
  <c r="KO18" i="36"/>
  <c r="KN18" i="36"/>
  <c r="KM18" i="36"/>
  <c r="KL18" i="36"/>
  <c r="KK18" i="36"/>
  <c r="KJ18" i="36"/>
  <c r="KI18" i="36"/>
  <c r="KH18" i="36"/>
  <c r="KG18" i="36"/>
  <c r="KF18" i="36"/>
  <c r="KE18" i="36"/>
  <c r="KD18" i="36"/>
  <c r="KC18" i="36"/>
  <c r="KA18" i="36"/>
  <c r="JZ18" i="36"/>
  <c r="JY18" i="36"/>
  <c r="JX18" i="36"/>
  <c r="JW18" i="36"/>
  <c r="JV18" i="36"/>
  <c r="JU18" i="36"/>
  <c r="JT18" i="36"/>
  <c r="JS18" i="36"/>
  <c r="JR18" i="36"/>
  <c r="JQ18" i="36"/>
  <c r="JP18" i="36"/>
  <c r="JO18" i="36"/>
  <c r="JN18" i="36"/>
  <c r="JL18" i="36"/>
  <c r="JK18" i="36"/>
  <c r="JJ18" i="36"/>
  <c r="JI18" i="36"/>
  <c r="JH18" i="36"/>
  <c r="JG18" i="36"/>
  <c r="JF18" i="36"/>
  <c r="JE18" i="36"/>
  <c r="JD18" i="36"/>
  <c r="JC18" i="36"/>
  <c r="JB18" i="36"/>
  <c r="JA18" i="36"/>
  <c r="IZ18" i="36"/>
  <c r="IY18" i="36"/>
  <c r="IW18" i="36"/>
  <c r="IV18" i="36"/>
  <c r="IU18" i="36"/>
  <c r="IT18" i="36"/>
  <c r="IS18" i="36"/>
  <c r="IR18" i="36"/>
  <c r="IQ18" i="36"/>
  <c r="IP18" i="36"/>
  <c r="IO18" i="36"/>
  <c r="IN18" i="36"/>
  <c r="IM18" i="36"/>
  <c r="IL18" i="36"/>
  <c r="IK18" i="36"/>
  <c r="IJ18" i="36"/>
  <c r="IH18" i="36"/>
  <c r="IE18" i="36"/>
  <c r="ID18" i="36"/>
  <c r="HV18" i="36"/>
  <c r="HU18" i="36"/>
  <c r="HS18" i="36"/>
  <c r="HR18" i="36"/>
  <c r="HQ18" i="36"/>
  <c r="HP18" i="36"/>
  <c r="HJ18" i="36"/>
  <c r="HI18" i="36"/>
  <c r="HH18" i="36"/>
  <c r="HG18" i="36"/>
  <c r="HF18" i="36"/>
  <c r="HB18" i="36"/>
  <c r="HA18" i="36"/>
  <c r="GS18" i="36"/>
  <c r="GR18" i="36"/>
  <c r="GQ18" i="36"/>
  <c r="GO18" i="36"/>
  <c r="GN18" i="36"/>
  <c r="GK18" i="36"/>
  <c r="GJ18" i="36"/>
  <c r="GF18" i="36"/>
  <c r="FW18" i="36"/>
  <c r="FV18" i="36"/>
  <c r="FU18" i="36"/>
  <c r="FT18" i="36"/>
  <c r="FP18" i="36"/>
  <c r="FO18" i="36"/>
  <c r="FN18" i="36"/>
  <c r="FI18" i="36"/>
  <c r="FH18" i="36"/>
  <c r="FG18" i="36"/>
  <c r="FF18" i="36"/>
  <c r="FE18" i="36"/>
  <c r="FB18" i="36"/>
  <c r="FA18" i="36"/>
  <c r="EZ18" i="36"/>
  <c r="EY18" i="36"/>
  <c r="EV18" i="36"/>
  <c r="ES18" i="36"/>
  <c r="ER18" i="36"/>
  <c r="EO18" i="36"/>
  <c r="EN18" i="36"/>
  <c r="EL18" i="36"/>
  <c r="EI18" i="36"/>
  <c r="EG18" i="36"/>
  <c r="EF18" i="36"/>
  <c r="EE18" i="36"/>
  <c r="ED18" i="36"/>
  <c r="EC18" i="36"/>
  <c r="EB18" i="36"/>
  <c r="EA18" i="36"/>
  <c r="DZ18" i="36"/>
  <c r="DY18" i="36"/>
  <c r="DX18" i="36"/>
  <c r="DW18" i="36"/>
  <c r="DV18" i="36"/>
  <c r="DU18" i="36"/>
  <c r="DT18" i="36"/>
  <c r="DR18" i="36"/>
  <c r="DQ18" i="36"/>
  <c r="DP18" i="36"/>
  <c r="DO18" i="36"/>
  <c r="DN18" i="36"/>
  <c r="DM18" i="36"/>
  <c r="DL18" i="36"/>
  <c r="DK18" i="36"/>
  <c r="DJ18" i="36"/>
  <c r="DI18" i="36"/>
  <c r="DH18" i="36"/>
  <c r="DG18" i="36"/>
  <c r="DF18" i="36"/>
  <c r="DE18" i="36"/>
  <c r="DC18" i="36"/>
  <c r="CT18" i="36"/>
  <c r="CS18" i="36"/>
  <c r="CQ18" i="36"/>
  <c r="CM18" i="36"/>
  <c r="CK18" i="36"/>
  <c r="CJ18" i="36"/>
  <c r="CI18" i="36"/>
  <c r="CH18" i="36"/>
  <c r="CF18" i="36"/>
  <c r="CE18" i="36"/>
  <c r="CC18" i="36"/>
  <c r="CB18" i="36"/>
  <c r="BR18" i="36"/>
  <c r="BO18" i="36"/>
  <c r="BN18" i="36"/>
  <c r="BM18" i="36"/>
  <c r="BL18" i="36"/>
  <c r="BI18" i="36"/>
  <c r="BH18" i="36"/>
  <c r="BG18" i="36"/>
  <c r="BF18" i="36"/>
  <c r="AV18" i="36"/>
  <c r="AU18" i="36"/>
  <c r="AT18" i="36"/>
  <c r="AS18" i="36"/>
  <c r="AO18" i="36"/>
  <c r="AJ18" i="36"/>
  <c r="AI18" i="36"/>
  <c r="AH18" i="36"/>
  <c r="AF18" i="36"/>
  <c r="AE18" i="36"/>
  <c r="ET18" i="36" s="1"/>
  <c r="AB18" i="36"/>
  <c r="Q18" i="36"/>
  <c r="B18" i="36"/>
  <c r="KP17" i="36"/>
  <c r="KO17" i="36"/>
  <c r="KN17" i="36"/>
  <c r="KM17" i="36"/>
  <c r="KL17" i="36"/>
  <c r="KK17" i="36"/>
  <c r="KJ17" i="36"/>
  <c r="KI17" i="36"/>
  <c r="KH17" i="36"/>
  <c r="KG17" i="36"/>
  <c r="KF17" i="36"/>
  <c r="KE17" i="36"/>
  <c r="KD17" i="36"/>
  <c r="KC17" i="36"/>
  <c r="KA17" i="36"/>
  <c r="JZ17" i="36"/>
  <c r="JY17" i="36"/>
  <c r="JX17" i="36"/>
  <c r="JW17" i="36"/>
  <c r="JV17" i="36"/>
  <c r="JU17" i="36"/>
  <c r="JT17" i="36"/>
  <c r="JS17" i="36"/>
  <c r="JR17" i="36"/>
  <c r="JQ17" i="36"/>
  <c r="JP17" i="36"/>
  <c r="JO17" i="36"/>
  <c r="JN17" i="36"/>
  <c r="JL17" i="36"/>
  <c r="JK17" i="36"/>
  <c r="JJ17" i="36"/>
  <c r="JI17" i="36"/>
  <c r="JH17" i="36"/>
  <c r="JG17" i="36"/>
  <c r="JF17" i="36"/>
  <c r="JE17" i="36"/>
  <c r="JD17" i="36"/>
  <c r="JC17" i="36"/>
  <c r="JB17" i="36"/>
  <c r="JA17" i="36"/>
  <c r="IZ17" i="36"/>
  <c r="IY17" i="36"/>
  <c r="IW17" i="36"/>
  <c r="IV17" i="36"/>
  <c r="IU17" i="36"/>
  <c r="IT17" i="36"/>
  <c r="IS17" i="36"/>
  <c r="IR17" i="36"/>
  <c r="IQ17" i="36"/>
  <c r="IP17" i="36"/>
  <c r="IO17" i="36"/>
  <c r="IN17" i="36"/>
  <c r="IM17" i="36"/>
  <c r="IL17" i="36"/>
  <c r="IK17" i="36"/>
  <c r="IJ17" i="36"/>
  <c r="IE17" i="36"/>
  <c r="IB17" i="36"/>
  <c r="IA17" i="36"/>
  <c r="HZ17" i="36"/>
  <c r="HY17" i="36"/>
  <c r="HX17" i="36"/>
  <c r="HW17" i="36"/>
  <c r="HV17" i="36"/>
  <c r="HU17" i="36"/>
  <c r="HS17" i="36"/>
  <c r="HG17" i="36"/>
  <c r="HF17" i="36"/>
  <c r="HD17" i="36"/>
  <c r="HC17" i="36"/>
  <c r="HB17" i="36"/>
  <c r="HA17" i="36"/>
  <c r="GZ17" i="36"/>
  <c r="GX17" i="36"/>
  <c r="GR17" i="36"/>
  <c r="GQ17" i="36"/>
  <c r="GO17" i="36"/>
  <c r="GN17" i="36"/>
  <c r="GM17" i="36"/>
  <c r="GJ17" i="36"/>
  <c r="GF17" i="36"/>
  <c r="GE17" i="36"/>
  <c r="GD17" i="36"/>
  <c r="GC17" i="36"/>
  <c r="GB17" i="36"/>
  <c r="FZ17" i="36"/>
  <c r="FY17" i="36"/>
  <c r="FV17" i="36"/>
  <c r="FR17" i="36"/>
  <c r="FQ17" i="36"/>
  <c r="FF17" i="36"/>
  <c r="FE17" i="36"/>
  <c r="FD17" i="36"/>
  <c r="EY17" i="36"/>
  <c r="EX17" i="36"/>
  <c r="EV17" i="36"/>
  <c r="EU17" i="36"/>
  <c r="ET17" i="36"/>
  <c r="ES17" i="36"/>
  <c r="ER17" i="36"/>
  <c r="EP17" i="36"/>
  <c r="EO17" i="36"/>
  <c r="EN17" i="36"/>
  <c r="EI17" i="36"/>
  <c r="EG17" i="36"/>
  <c r="EF17" i="36"/>
  <c r="EE17" i="36"/>
  <c r="ED17" i="36"/>
  <c r="EC17" i="36"/>
  <c r="EB17" i="36"/>
  <c r="EA17" i="36"/>
  <c r="DZ17" i="36"/>
  <c r="DY17" i="36"/>
  <c r="DX17" i="36"/>
  <c r="DW17" i="36"/>
  <c r="DV17" i="36"/>
  <c r="DU17" i="36"/>
  <c r="DT17" i="36"/>
  <c r="DR17" i="36"/>
  <c r="DQ17" i="36"/>
  <c r="DP17" i="36"/>
  <c r="DO17" i="36"/>
  <c r="DN17" i="36"/>
  <c r="DM17" i="36"/>
  <c r="DL17" i="36"/>
  <c r="DK17" i="36"/>
  <c r="DJ17" i="36"/>
  <c r="DI17" i="36"/>
  <c r="DH17" i="36"/>
  <c r="DG17" i="36"/>
  <c r="DF17" i="36"/>
  <c r="DE17" i="36"/>
  <c r="DB17" i="36"/>
  <c r="DA17" i="36"/>
  <c r="CV17" i="36"/>
  <c r="CU17" i="36"/>
  <c r="CR17" i="36"/>
  <c r="CQ17" i="36"/>
  <c r="CM17" i="36"/>
  <c r="CL17" i="36"/>
  <c r="CD17" i="36"/>
  <c r="CC17" i="36"/>
  <c r="CB17" i="36"/>
  <c r="CA17" i="36"/>
  <c r="BZ17" i="36"/>
  <c r="BY17" i="36"/>
  <c r="BR17" i="36"/>
  <c r="BQ17" i="36"/>
  <c r="BP17" i="36"/>
  <c r="BO17" i="36"/>
  <c r="BN17" i="36"/>
  <c r="BM17" i="36"/>
  <c r="BL17" i="36"/>
  <c r="BK17" i="36"/>
  <c r="BA17" i="36"/>
  <c r="AZ17" i="36"/>
  <c r="AY17" i="36"/>
  <c r="AX17" i="36"/>
  <c r="AW17" i="36"/>
  <c r="AV17" i="36"/>
  <c r="AU17" i="36"/>
  <c r="AT17" i="36"/>
  <c r="AS17" i="36"/>
  <c r="AM17" i="36"/>
  <c r="AF17" i="36"/>
  <c r="IH17" i="36" s="1"/>
  <c r="AE17" i="36"/>
  <c r="EK17" i="36" s="1"/>
  <c r="AB17" i="36"/>
  <c r="Q17" i="36"/>
  <c r="B17" i="36"/>
  <c r="KP16" i="36"/>
  <c r="KO16" i="36"/>
  <c r="KN16" i="36"/>
  <c r="KM16" i="36"/>
  <c r="KL16" i="36"/>
  <c r="KK16" i="36"/>
  <c r="KJ16" i="36"/>
  <c r="KI16" i="36"/>
  <c r="KH16" i="36"/>
  <c r="KG16" i="36"/>
  <c r="KF16" i="36"/>
  <c r="KE16" i="36"/>
  <c r="KD16" i="36"/>
  <c r="KC16" i="36"/>
  <c r="KA16" i="36"/>
  <c r="JZ16" i="36"/>
  <c r="JY16" i="36"/>
  <c r="JX16" i="36"/>
  <c r="JW16" i="36"/>
  <c r="JV16" i="36"/>
  <c r="JU16" i="36"/>
  <c r="JT16" i="36"/>
  <c r="JS16" i="36"/>
  <c r="JR16" i="36"/>
  <c r="JQ16" i="36"/>
  <c r="JP16" i="36"/>
  <c r="JO16" i="36"/>
  <c r="JN16" i="36"/>
  <c r="JL16" i="36"/>
  <c r="JK16" i="36"/>
  <c r="JJ16" i="36"/>
  <c r="JI16" i="36"/>
  <c r="JH16" i="36"/>
  <c r="JG16" i="36"/>
  <c r="JF16" i="36"/>
  <c r="JE16" i="36"/>
  <c r="JD16" i="36"/>
  <c r="JC16" i="36"/>
  <c r="JB16" i="36"/>
  <c r="JA16" i="36"/>
  <c r="IZ16" i="36"/>
  <c r="IY16" i="36"/>
  <c r="IW16" i="36"/>
  <c r="IV16" i="36"/>
  <c r="IU16" i="36"/>
  <c r="IT16" i="36"/>
  <c r="IS16" i="36"/>
  <c r="IR16" i="36"/>
  <c r="IQ16" i="36"/>
  <c r="IP16" i="36"/>
  <c r="IO16" i="36"/>
  <c r="IN16" i="36"/>
  <c r="IM16" i="36"/>
  <c r="IL16" i="36"/>
  <c r="IK16" i="36"/>
  <c r="IJ16" i="36"/>
  <c r="FH16" i="36"/>
  <c r="FA16" i="36"/>
  <c r="EZ16" i="36"/>
  <c r="EG16" i="36"/>
  <c r="EF16" i="36"/>
  <c r="EE16" i="36"/>
  <c r="ED16" i="36"/>
  <c r="EC16" i="36"/>
  <c r="EB16" i="36"/>
  <c r="EA16" i="36"/>
  <c r="DZ16" i="36"/>
  <c r="DY16" i="36"/>
  <c r="DX16" i="36"/>
  <c r="DW16" i="36"/>
  <c r="DV16" i="36"/>
  <c r="DU16" i="36"/>
  <c r="DT16" i="36"/>
  <c r="DR16" i="36"/>
  <c r="DQ16" i="36"/>
  <c r="DP16" i="36"/>
  <c r="DO16" i="36"/>
  <c r="DN16" i="36"/>
  <c r="DM16" i="36"/>
  <c r="DL16" i="36"/>
  <c r="DK16" i="36"/>
  <c r="DJ16" i="36"/>
  <c r="DI16" i="36"/>
  <c r="DH16" i="36"/>
  <c r="DG16" i="36"/>
  <c r="DF16" i="36"/>
  <c r="CU16" i="36"/>
  <c r="AF16" i="36"/>
  <c r="AE16" i="36"/>
  <c r="AB16" i="36"/>
  <c r="DE16" i="36" s="1"/>
  <c r="Q16" i="36"/>
  <c r="B16" i="36"/>
  <c r="KP15" i="36"/>
  <c r="KO15" i="36"/>
  <c r="KN15" i="36"/>
  <c r="KM15" i="36"/>
  <c r="KL15" i="36"/>
  <c r="KK15" i="36"/>
  <c r="KJ15" i="36"/>
  <c r="KI15" i="36"/>
  <c r="KH15" i="36"/>
  <c r="KG15" i="36"/>
  <c r="KF15" i="36"/>
  <c r="KE15" i="36"/>
  <c r="KD15" i="36"/>
  <c r="KC15" i="36"/>
  <c r="KA15" i="36"/>
  <c r="JZ15" i="36"/>
  <c r="JY15" i="36"/>
  <c r="JX15" i="36"/>
  <c r="JW15" i="36"/>
  <c r="JV15" i="36"/>
  <c r="JU15" i="36"/>
  <c r="JT15" i="36"/>
  <c r="JS15" i="36"/>
  <c r="JR15" i="36"/>
  <c r="JQ15" i="36"/>
  <c r="JP15" i="36"/>
  <c r="JO15" i="36"/>
  <c r="JN15" i="36"/>
  <c r="JL15" i="36"/>
  <c r="JK15" i="36"/>
  <c r="JJ15" i="36"/>
  <c r="JI15" i="36"/>
  <c r="JH15" i="36"/>
  <c r="JG15" i="36"/>
  <c r="JF15" i="36"/>
  <c r="JE15" i="36"/>
  <c r="JD15" i="36"/>
  <c r="JC15" i="36"/>
  <c r="JB15" i="36"/>
  <c r="JA15" i="36"/>
  <c r="IZ15" i="36"/>
  <c r="IY15" i="36"/>
  <c r="IW15" i="36"/>
  <c r="IV15" i="36"/>
  <c r="IU15" i="36"/>
  <c r="IT15" i="36"/>
  <c r="IS15" i="36"/>
  <c r="IR15" i="36"/>
  <c r="IQ15" i="36"/>
  <c r="IP15" i="36"/>
  <c r="IO15" i="36"/>
  <c r="IN15" i="36"/>
  <c r="IM15" i="36"/>
  <c r="IL15" i="36"/>
  <c r="IK15" i="36"/>
  <c r="IJ15" i="36"/>
  <c r="IH15" i="36"/>
  <c r="IG15" i="36"/>
  <c r="ID15" i="36"/>
  <c r="IB15" i="36"/>
  <c r="IA15" i="36"/>
  <c r="HZ15" i="36"/>
  <c r="HU15" i="36"/>
  <c r="HS15" i="36"/>
  <c r="HR15" i="36"/>
  <c r="HQ15" i="36"/>
  <c r="HP15" i="36"/>
  <c r="HK15" i="36"/>
  <c r="HJ15" i="36"/>
  <c r="HI15" i="36"/>
  <c r="HG15" i="36"/>
  <c r="HF15" i="36"/>
  <c r="HD15" i="36"/>
  <c r="HC15" i="36"/>
  <c r="HB15" i="36"/>
  <c r="GY15" i="36"/>
  <c r="GX15" i="36"/>
  <c r="GW15" i="36"/>
  <c r="GS15" i="36"/>
  <c r="GR15" i="36"/>
  <c r="GQ15" i="36"/>
  <c r="GO15" i="36"/>
  <c r="GJ15" i="36"/>
  <c r="GI15" i="36"/>
  <c r="GF15" i="36"/>
  <c r="GE15" i="36"/>
  <c r="GC15" i="36"/>
  <c r="GB15" i="36"/>
  <c r="FZ15" i="36"/>
  <c r="FY15" i="36"/>
  <c r="FX15" i="36"/>
  <c r="FU15" i="36"/>
  <c r="FT15" i="36"/>
  <c r="FS15" i="36"/>
  <c r="FR15" i="36"/>
  <c r="FK15" i="36"/>
  <c r="FJ15" i="36"/>
  <c r="FI15" i="36"/>
  <c r="EO15" i="36"/>
  <c r="EN15" i="36"/>
  <c r="EG15" i="36"/>
  <c r="EF15" i="36"/>
  <c r="EE15" i="36"/>
  <c r="ED15" i="36"/>
  <c r="EC15" i="36"/>
  <c r="EB15" i="36"/>
  <c r="EA15" i="36"/>
  <c r="DZ15" i="36"/>
  <c r="DY15" i="36"/>
  <c r="DX15" i="36"/>
  <c r="DW15" i="36"/>
  <c r="DV15" i="36"/>
  <c r="DU15" i="36"/>
  <c r="DT15" i="36"/>
  <c r="DR15" i="36"/>
  <c r="DQ15" i="36"/>
  <c r="DP15" i="36"/>
  <c r="DO15" i="36"/>
  <c r="DN15" i="36"/>
  <c r="DM15" i="36"/>
  <c r="DL15" i="36"/>
  <c r="DK15" i="36"/>
  <c r="DJ15" i="36"/>
  <c r="DI15" i="36"/>
  <c r="DH15" i="36"/>
  <c r="DG15" i="36"/>
  <c r="DF15" i="36"/>
  <c r="DE15" i="36"/>
  <c r="DC15" i="36"/>
  <c r="CW15" i="36"/>
  <c r="CV15" i="36"/>
  <c r="CU15" i="36"/>
  <c r="CT15" i="36"/>
  <c r="CS15" i="36"/>
  <c r="CQ15" i="36"/>
  <c r="CP15" i="36"/>
  <c r="CL15" i="36"/>
  <c r="CK15" i="36"/>
  <c r="CH15" i="36"/>
  <c r="CF15" i="36"/>
  <c r="CE15" i="36"/>
  <c r="CB15" i="36"/>
  <c r="CA15" i="36"/>
  <c r="BZ15" i="36"/>
  <c r="BW15" i="36"/>
  <c r="BV15" i="36"/>
  <c r="BU15" i="36"/>
  <c r="BR15" i="36"/>
  <c r="BQ15" i="36"/>
  <c r="BP15" i="36"/>
  <c r="BO15" i="36"/>
  <c r="BK15" i="36"/>
  <c r="BJ15" i="36"/>
  <c r="BD15" i="36"/>
  <c r="BC15" i="36"/>
  <c r="BB15" i="36"/>
  <c r="BA15" i="36"/>
  <c r="AX15" i="36"/>
  <c r="AU15" i="36"/>
  <c r="AT15" i="36"/>
  <c r="AS15" i="36"/>
  <c r="AR15" i="36"/>
  <c r="AQ15" i="36"/>
  <c r="AO15" i="36"/>
  <c r="AN15" i="36"/>
  <c r="AM15" i="36"/>
  <c r="AK15" i="36"/>
  <c r="AJ15" i="36"/>
  <c r="AF15" i="36"/>
  <c r="AE15" i="36"/>
  <c r="AB15" i="36"/>
  <c r="Q15" i="36"/>
  <c r="B15" i="36"/>
  <c r="KP14" i="36"/>
  <c r="KO14" i="36"/>
  <c r="KN14" i="36"/>
  <c r="KM14" i="36"/>
  <c r="KL14" i="36"/>
  <c r="KK14" i="36"/>
  <c r="KJ14" i="36"/>
  <c r="KI14" i="36"/>
  <c r="KH14" i="36"/>
  <c r="KG14" i="36"/>
  <c r="KF14" i="36"/>
  <c r="KE14" i="36"/>
  <c r="KD14" i="36"/>
  <c r="KC14" i="36"/>
  <c r="KA14" i="36"/>
  <c r="JZ14" i="36"/>
  <c r="JY14" i="36"/>
  <c r="JX14" i="36"/>
  <c r="JW14" i="36"/>
  <c r="JV14" i="36"/>
  <c r="JU14" i="36"/>
  <c r="JT14" i="36"/>
  <c r="JS14" i="36"/>
  <c r="JR14" i="36"/>
  <c r="JQ14" i="36"/>
  <c r="JP14" i="36"/>
  <c r="JO14" i="36"/>
  <c r="JN14" i="36"/>
  <c r="JL14" i="36"/>
  <c r="JK14" i="36"/>
  <c r="JJ14" i="36"/>
  <c r="JI14" i="36"/>
  <c r="JH14" i="36"/>
  <c r="JG14" i="36"/>
  <c r="JF14" i="36"/>
  <c r="JE14" i="36"/>
  <c r="JD14" i="36"/>
  <c r="JC14" i="36"/>
  <c r="JB14" i="36"/>
  <c r="JA14" i="36"/>
  <c r="IZ14" i="36"/>
  <c r="IY14" i="36"/>
  <c r="IW14" i="36"/>
  <c r="IV14" i="36"/>
  <c r="IU14" i="36"/>
  <c r="IT14" i="36"/>
  <c r="IS14" i="36"/>
  <c r="IR14" i="36"/>
  <c r="IQ14" i="36"/>
  <c r="IP14" i="36"/>
  <c r="IO14" i="36"/>
  <c r="IN14" i="36"/>
  <c r="IM14" i="36"/>
  <c r="IL14" i="36"/>
  <c r="IK14" i="36"/>
  <c r="IJ14" i="36"/>
  <c r="HU14" i="36"/>
  <c r="HQ14" i="36"/>
  <c r="HP14" i="36"/>
  <c r="HO14" i="36"/>
  <c r="GQ14" i="36"/>
  <c r="GO14" i="36"/>
  <c r="GN14" i="36"/>
  <c r="GJ14" i="36"/>
  <c r="FH14" i="36"/>
  <c r="FG14" i="36"/>
  <c r="FC14" i="36"/>
  <c r="FB14" i="36"/>
  <c r="FA14" i="36"/>
  <c r="EZ14" i="36"/>
  <c r="EY14" i="36"/>
  <c r="ET14" i="36"/>
  <c r="ES14" i="36"/>
  <c r="ER14" i="36"/>
  <c r="EO14" i="36"/>
  <c r="EL14" i="36"/>
  <c r="EK14" i="36"/>
  <c r="EJ14" i="36"/>
  <c r="EG14" i="36"/>
  <c r="EF14" i="36"/>
  <c r="EE14" i="36"/>
  <c r="ED14" i="36"/>
  <c r="EC14" i="36"/>
  <c r="EB14" i="36"/>
  <c r="EA14" i="36"/>
  <c r="DZ14" i="36"/>
  <c r="DY14" i="36"/>
  <c r="DX14" i="36"/>
  <c r="DW14" i="36"/>
  <c r="DV14" i="36"/>
  <c r="DU14" i="36"/>
  <c r="DT14" i="36"/>
  <c r="DR14" i="36"/>
  <c r="DQ14" i="36"/>
  <c r="DP14" i="36"/>
  <c r="DO14" i="36"/>
  <c r="DN14" i="36"/>
  <c r="DM14" i="36"/>
  <c r="DL14" i="36"/>
  <c r="DK14" i="36"/>
  <c r="DJ14" i="36"/>
  <c r="DI14" i="36"/>
  <c r="DH14" i="36"/>
  <c r="DG14" i="36"/>
  <c r="DF14" i="36"/>
  <c r="CZ14" i="36"/>
  <c r="CW14" i="36"/>
  <c r="CU14" i="36"/>
  <c r="CR14" i="36"/>
  <c r="CQ14" i="36"/>
  <c r="BS14" i="36"/>
  <c r="AV14" i="36"/>
  <c r="AU14" i="36"/>
  <c r="AR14" i="36"/>
  <c r="AK14" i="36"/>
  <c r="AJ14" i="36"/>
  <c r="AF14" i="36"/>
  <c r="AE14" i="36"/>
  <c r="AB14" i="36"/>
  <c r="DE14" i="36" s="1"/>
  <c r="Q14" i="36"/>
  <c r="B14" i="36"/>
  <c r="KP13" i="36"/>
  <c r="KO13" i="36"/>
  <c r="KN13" i="36"/>
  <c r="KM13" i="36"/>
  <c r="KL13" i="36"/>
  <c r="KK13" i="36"/>
  <c r="KJ13" i="36"/>
  <c r="KI13" i="36"/>
  <c r="KH13" i="36"/>
  <c r="KG13" i="36"/>
  <c r="KF13" i="36"/>
  <c r="KE13" i="36"/>
  <c r="KD13" i="36"/>
  <c r="KC13" i="36"/>
  <c r="KA13" i="36"/>
  <c r="JZ13" i="36"/>
  <c r="JY13" i="36"/>
  <c r="JX13" i="36"/>
  <c r="JW13" i="36"/>
  <c r="JV13" i="36"/>
  <c r="JU13" i="36"/>
  <c r="JT13" i="36"/>
  <c r="JS13" i="36"/>
  <c r="JR13" i="36"/>
  <c r="JQ13" i="36"/>
  <c r="JP13" i="36"/>
  <c r="JO13" i="36"/>
  <c r="JN13" i="36"/>
  <c r="JL13" i="36"/>
  <c r="JK13" i="36"/>
  <c r="JJ13" i="36"/>
  <c r="JI13" i="36"/>
  <c r="JH13" i="36"/>
  <c r="JG13" i="36"/>
  <c r="JF13" i="36"/>
  <c r="JE13" i="36"/>
  <c r="JD13" i="36"/>
  <c r="JC13" i="36"/>
  <c r="JB13" i="36"/>
  <c r="JA13" i="36"/>
  <c r="IZ13" i="36"/>
  <c r="IY13" i="36"/>
  <c r="IW13" i="36"/>
  <c r="IV13" i="36"/>
  <c r="IU13" i="36"/>
  <c r="IT13" i="36"/>
  <c r="IS13" i="36"/>
  <c r="IR13" i="36"/>
  <c r="IQ13" i="36"/>
  <c r="IP13" i="36"/>
  <c r="IO13" i="36"/>
  <c r="IN13" i="36"/>
  <c r="IM13" i="36"/>
  <c r="IL13" i="36"/>
  <c r="IK13" i="36"/>
  <c r="IJ13" i="36"/>
  <c r="IH13" i="36"/>
  <c r="IF13" i="36"/>
  <c r="IE13" i="36"/>
  <c r="IC13" i="36"/>
  <c r="IA13" i="36"/>
  <c r="HZ13" i="36"/>
  <c r="HY13" i="36"/>
  <c r="HX13" i="36"/>
  <c r="HW13" i="36"/>
  <c r="HV13" i="36"/>
  <c r="HU13" i="36"/>
  <c r="HS13" i="36"/>
  <c r="HR13" i="36"/>
  <c r="HM13" i="36"/>
  <c r="HL13" i="36"/>
  <c r="HK13" i="36"/>
  <c r="HJ13" i="36"/>
  <c r="HI13" i="36"/>
  <c r="HH13" i="36"/>
  <c r="HG13" i="36"/>
  <c r="HF13" i="36"/>
  <c r="HD13" i="36"/>
  <c r="HB13" i="36"/>
  <c r="HA13" i="36"/>
  <c r="GZ13" i="36"/>
  <c r="GY13" i="36"/>
  <c r="GX13" i="36"/>
  <c r="GV13" i="36"/>
  <c r="GT13" i="36"/>
  <c r="GS13" i="36"/>
  <c r="GR13" i="36"/>
  <c r="GQ13" i="36"/>
  <c r="GO13" i="36"/>
  <c r="GN13" i="36"/>
  <c r="GM13" i="36"/>
  <c r="GL13" i="36"/>
  <c r="GI13" i="36"/>
  <c r="GH13" i="36"/>
  <c r="GE13" i="36"/>
  <c r="GD13" i="36"/>
  <c r="GC13" i="36"/>
  <c r="GB13" i="36"/>
  <c r="FZ13" i="36"/>
  <c r="FX13" i="36"/>
  <c r="FW13" i="36"/>
  <c r="FV13" i="36"/>
  <c r="FU13" i="36"/>
  <c r="FT13" i="36"/>
  <c r="FS13" i="36"/>
  <c r="FQ13" i="36"/>
  <c r="FP13" i="36"/>
  <c r="FO13" i="36"/>
  <c r="FN13" i="36"/>
  <c r="FJ13" i="36"/>
  <c r="FI13" i="36"/>
  <c r="FH13" i="36"/>
  <c r="FG13" i="36"/>
  <c r="FD13" i="36"/>
  <c r="FC13" i="36"/>
  <c r="FB13" i="36"/>
  <c r="FA13" i="36"/>
  <c r="EZ13" i="36"/>
  <c r="EV13" i="36"/>
  <c r="ET13" i="36"/>
  <c r="ES13" i="36"/>
  <c r="ER13" i="36"/>
  <c r="EQ13" i="36"/>
  <c r="EP13" i="36"/>
  <c r="EO13" i="36"/>
  <c r="EN13" i="36"/>
  <c r="EL13" i="36"/>
  <c r="EK13" i="36"/>
  <c r="EJ13" i="36"/>
  <c r="EI13" i="36"/>
  <c r="EG13" i="36"/>
  <c r="EF13" i="36"/>
  <c r="EE13" i="36"/>
  <c r="ED13" i="36"/>
  <c r="EC13" i="36"/>
  <c r="EB13" i="36"/>
  <c r="EA13" i="36"/>
  <c r="DZ13" i="36"/>
  <c r="DY13" i="36"/>
  <c r="DX13" i="36"/>
  <c r="DW13" i="36"/>
  <c r="DV13" i="36"/>
  <c r="DU13" i="36"/>
  <c r="DT13" i="36"/>
  <c r="DR13" i="36"/>
  <c r="DQ13" i="36"/>
  <c r="DP13" i="36"/>
  <c r="DO13" i="36"/>
  <c r="DN13" i="36"/>
  <c r="DM13" i="36"/>
  <c r="DL13" i="36"/>
  <c r="DK13" i="36"/>
  <c r="DJ13" i="36"/>
  <c r="DI13" i="36"/>
  <c r="DH13" i="36"/>
  <c r="DG13" i="36"/>
  <c r="DF13" i="36"/>
  <c r="DE13" i="36"/>
  <c r="DC13" i="36"/>
  <c r="DB13" i="36"/>
  <c r="DA13" i="36"/>
  <c r="CY13" i="36"/>
  <c r="CX13" i="36"/>
  <c r="CU13" i="36"/>
  <c r="CT13" i="36"/>
  <c r="CS13" i="36"/>
  <c r="CR13" i="36"/>
  <c r="CQ13" i="36"/>
  <c r="CP13" i="36"/>
  <c r="CN13" i="36"/>
  <c r="CL13" i="36"/>
  <c r="CI13" i="36"/>
  <c r="CH13" i="36"/>
  <c r="CF13" i="36"/>
  <c r="CE13" i="36"/>
  <c r="CD13" i="36"/>
  <c r="CB13" i="36"/>
  <c r="CA13" i="36"/>
  <c r="BZ13" i="36"/>
  <c r="BY13" i="36"/>
  <c r="BX13" i="36"/>
  <c r="BW13" i="36"/>
  <c r="BV13" i="36"/>
  <c r="BU13" i="36"/>
  <c r="BS13" i="36"/>
  <c r="BR13" i="36"/>
  <c r="BN13" i="36"/>
  <c r="BM13" i="36"/>
  <c r="BL13" i="36"/>
  <c r="BK13" i="36"/>
  <c r="BJ13" i="36"/>
  <c r="BH13" i="36"/>
  <c r="BG13" i="36"/>
  <c r="BF13" i="36"/>
  <c r="BD13" i="36"/>
  <c r="BC13" i="36"/>
  <c r="AZ13" i="36"/>
  <c r="AY13" i="36"/>
  <c r="AW13" i="36"/>
  <c r="AV13" i="36"/>
  <c r="AU13" i="36"/>
  <c r="AT13" i="36"/>
  <c r="AS13" i="36"/>
  <c r="AR13" i="36"/>
  <c r="AQ13" i="36"/>
  <c r="AO13" i="36"/>
  <c r="AN13" i="36"/>
  <c r="AM13" i="36"/>
  <c r="AJ13" i="36"/>
  <c r="AI13" i="36"/>
  <c r="AH13" i="36"/>
  <c r="AF13" i="36"/>
  <c r="AE13" i="36"/>
  <c r="AB13" i="36"/>
  <c r="Q13" i="36"/>
  <c r="B13" i="36"/>
  <c r="KP12" i="36"/>
  <c r="KO12" i="36"/>
  <c r="KN12" i="36"/>
  <c r="KM12" i="36"/>
  <c r="KL12" i="36"/>
  <c r="KK12" i="36"/>
  <c r="KJ12" i="36"/>
  <c r="KI12" i="36"/>
  <c r="KH12" i="36"/>
  <c r="KG12" i="36"/>
  <c r="KF12" i="36"/>
  <c r="KE12" i="36"/>
  <c r="KD12" i="36"/>
  <c r="KC12" i="36"/>
  <c r="KA12" i="36"/>
  <c r="JZ12" i="36"/>
  <c r="JY12" i="36"/>
  <c r="JX12" i="36"/>
  <c r="JW12" i="36"/>
  <c r="JV12" i="36"/>
  <c r="JU12" i="36"/>
  <c r="JT12" i="36"/>
  <c r="JS12" i="36"/>
  <c r="JR12" i="36"/>
  <c r="JQ12" i="36"/>
  <c r="JP12" i="36"/>
  <c r="JO12" i="36"/>
  <c r="JN12" i="36"/>
  <c r="JL12" i="36"/>
  <c r="JK12" i="36"/>
  <c r="JJ12" i="36"/>
  <c r="JI12" i="36"/>
  <c r="JH12" i="36"/>
  <c r="JG12" i="36"/>
  <c r="JF12" i="36"/>
  <c r="JE12" i="36"/>
  <c r="JD12" i="36"/>
  <c r="JC12" i="36"/>
  <c r="JB12" i="36"/>
  <c r="JA12" i="36"/>
  <c r="IZ12" i="36"/>
  <c r="IY12" i="36"/>
  <c r="IW12" i="36"/>
  <c r="IV12" i="36"/>
  <c r="IU12" i="36"/>
  <c r="IT12" i="36"/>
  <c r="IS12" i="36"/>
  <c r="IR12" i="36"/>
  <c r="IQ12" i="36"/>
  <c r="IP12" i="36"/>
  <c r="IO12" i="36"/>
  <c r="IN12" i="36"/>
  <c r="IM12" i="36"/>
  <c r="IL12" i="36"/>
  <c r="IK12" i="36"/>
  <c r="IJ12" i="36"/>
  <c r="IH12" i="36"/>
  <c r="IG12" i="36"/>
  <c r="IF12" i="36"/>
  <c r="IE12" i="36"/>
  <c r="HU12" i="36"/>
  <c r="HJ12" i="36"/>
  <c r="HI12" i="36"/>
  <c r="GL12" i="36"/>
  <c r="FX12" i="36"/>
  <c r="FU12" i="36"/>
  <c r="FT12" i="36"/>
  <c r="FS12" i="36"/>
  <c r="FR12" i="36"/>
  <c r="EG12" i="36"/>
  <c r="EF12" i="36"/>
  <c r="EE12" i="36"/>
  <c r="ED12" i="36"/>
  <c r="EC12" i="36"/>
  <c r="EB12" i="36"/>
  <c r="EA12" i="36"/>
  <c r="DZ12" i="36"/>
  <c r="DY12" i="36"/>
  <c r="DX12" i="36"/>
  <c r="DW12" i="36"/>
  <c r="DV12" i="36"/>
  <c r="DU12" i="36"/>
  <c r="DT12" i="36"/>
  <c r="DR12" i="36"/>
  <c r="DQ12" i="36"/>
  <c r="DP12" i="36"/>
  <c r="DO12" i="36"/>
  <c r="DN12" i="36"/>
  <c r="DM12" i="36"/>
  <c r="DL12" i="36"/>
  <c r="DK12" i="36"/>
  <c r="DJ12" i="36"/>
  <c r="DI12" i="36"/>
  <c r="DH12" i="36"/>
  <c r="DG12" i="36"/>
  <c r="DF12" i="36"/>
  <c r="CM12" i="36"/>
  <c r="CL12" i="36"/>
  <c r="CK12" i="36"/>
  <c r="CJ12" i="36"/>
  <c r="CI12" i="36"/>
  <c r="CE12" i="36"/>
  <c r="BQ12" i="36"/>
  <c r="BG12" i="36"/>
  <c r="BF12" i="36"/>
  <c r="BD12" i="36"/>
  <c r="AQ12" i="36"/>
  <c r="AF12" i="36"/>
  <c r="GK12" i="36" s="1"/>
  <c r="AE12" i="36"/>
  <c r="EV12" i="36" s="1"/>
  <c r="AB12" i="36"/>
  <c r="DE12" i="36" s="1"/>
  <c r="Q12" i="36"/>
  <c r="B12" i="36"/>
  <c r="KP11" i="36"/>
  <c r="KO11" i="36"/>
  <c r="KN11" i="36"/>
  <c r="KM11" i="36"/>
  <c r="KL11" i="36"/>
  <c r="KK11" i="36"/>
  <c r="KJ11" i="36"/>
  <c r="KI11" i="36"/>
  <c r="KH11" i="36"/>
  <c r="KG11" i="36"/>
  <c r="KF11" i="36"/>
  <c r="KE11" i="36"/>
  <c r="KD11" i="36"/>
  <c r="KC11" i="36"/>
  <c r="KA11" i="36"/>
  <c r="JZ11" i="36"/>
  <c r="JY11" i="36"/>
  <c r="JX11" i="36"/>
  <c r="JW11" i="36"/>
  <c r="JV11" i="36"/>
  <c r="JU11" i="36"/>
  <c r="JT11" i="36"/>
  <c r="JS11" i="36"/>
  <c r="JR11" i="36"/>
  <c r="JQ11" i="36"/>
  <c r="JP11" i="36"/>
  <c r="JO11" i="36"/>
  <c r="JN11" i="36"/>
  <c r="JL11" i="36"/>
  <c r="JK11" i="36"/>
  <c r="JJ11" i="36"/>
  <c r="JI11" i="36"/>
  <c r="JH11" i="36"/>
  <c r="JG11" i="36"/>
  <c r="JF11" i="36"/>
  <c r="JE11" i="36"/>
  <c r="JD11" i="36"/>
  <c r="JC11" i="36"/>
  <c r="JB11" i="36"/>
  <c r="JA11" i="36"/>
  <c r="IZ11" i="36"/>
  <c r="IY11" i="36"/>
  <c r="IW11" i="36"/>
  <c r="IV11" i="36"/>
  <c r="IU11" i="36"/>
  <c r="IT11" i="36"/>
  <c r="IS11" i="36"/>
  <c r="IR11" i="36"/>
  <c r="IQ11" i="36"/>
  <c r="IP11" i="36"/>
  <c r="IO11" i="36"/>
  <c r="IN11" i="36"/>
  <c r="IM11" i="36"/>
  <c r="IL11" i="36"/>
  <c r="IK11" i="36"/>
  <c r="IJ11" i="36"/>
  <c r="IH11" i="36"/>
  <c r="IG11" i="36"/>
  <c r="IF11" i="36"/>
  <c r="IE11" i="36"/>
  <c r="ID11" i="36"/>
  <c r="IC11" i="36"/>
  <c r="IB11" i="36"/>
  <c r="IA11" i="36"/>
  <c r="HZ11" i="36"/>
  <c r="HX11" i="36"/>
  <c r="HW11" i="36"/>
  <c r="HV11" i="36"/>
  <c r="HU11" i="36"/>
  <c r="HS11" i="36"/>
  <c r="HR11" i="36"/>
  <c r="HQ11" i="36"/>
  <c r="HP11" i="36"/>
  <c r="HO11" i="36"/>
  <c r="HN11" i="36"/>
  <c r="HJ11" i="36"/>
  <c r="HI11" i="36"/>
  <c r="HH11" i="36"/>
  <c r="HG11" i="36"/>
  <c r="HF11" i="36"/>
  <c r="HD11" i="36"/>
  <c r="HC11" i="36"/>
  <c r="HB11" i="36"/>
  <c r="HA11" i="36"/>
  <c r="GZ11" i="36"/>
  <c r="GY11" i="36"/>
  <c r="GX11" i="36"/>
  <c r="GW11" i="36"/>
  <c r="GV11" i="36"/>
  <c r="GU11" i="36"/>
  <c r="GS11" i="36"/>
  <c r="GR11" i="36"/>
  <c r="GQ11" i="36"/>
  <c r="GO11" i="36"/>
  <c r="GN11" i="36"/>
  <c r="GM11" i="36"/>
  <c r="GL11" i="36"/>
  <c r="GK11" i="36"/>
  <c r="GJ11" i="36"/>
  <c r="GI11" i="36"/>
  <c r="GE11" i="36"/>
  <c r="GD11" i="36"/>
  <c r="GC11" i="36"/>
  <c r="GB11" i="36"/>
  <c r="FZ11" i="36"/>
  <c r="FY11" i="36"/>
  <c r="FX11" i="36"/>
  <c r="FW11" i="36"/>
  <c r="FV11" i="36"/>
  <c r="FU11" i="36"/>
  <c r="FT11" i="36"/>
  <c r="FS11" i="36"/>
  <c r="FR11" i="36"/>
  <c r="FQ11" i="36"/>
  <c r="FP11" i="36"/>
  <c r="FN11" i="36"/>
  <c r="FM11" i="36"/>
  <c r="EZ11" i="36"/>
  <c r="EY11" i="36"/>
  <c r="EU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C11" i="36"/>
  <c r="DB11" i="36"/>
  <c r="DA11" i="36"/>
  <c r="CZ11" i="36"/>
  <c r="CY11" i="36"/>
  <c r="CX11" i="36"/>
  <c r="CW11" i="36"/>
  <c r="CU11" i="36"/>
  <c r="CT11" i="36"/>
  <c r="CQ11" i="36"/>
  <c r="CP11" i="36"/>
  <c r="CN11" i="36"/>
  <c r="CM11" i="36"/>
  <c r="CL11" i="36"/>
  <c r="CK11" i="36"/>
  <c r="CJ11" i="36"/>
  <c r="CI11" i="36"/>
  <c r="CH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S11" i="36"/>
  <c r="BR11" i="36"/>
  <c r="BP11" i="36"/>
  <c r="BO11" i="36"/>
  <c r="BN11" i="36"/>
  <c r="BK11" i="36"/>
  <c r="BJ11" i="36"/>
  <c r="BI11" i="36"/>
  <c r="BH11" i="36"/>
  <c r="BG11" i="36"/>
  <c r="BF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O11" i="36"/>
  <c r="AN11" i="36"/>
  <c r="AL11" i="36"/>
  <c r="AK11" i="36"/>
  <c r="AJ11" i="36"/>
  <c r="AI11" i="36"/>
  <c r="AF11" i="36"/>
  <c r="HY11" i="36" s="1"/>
  <c r="AE11" i="36"/>
  <c r="AB11" i="36"/>
  <c r="Q11" i="36"/>
  <c r="B11" i="36"/>
  <c r="KP10" i="36"/>
  <c r="KO10" i="36"/>
  <c r="KN10" i="36"/>
  <c r="KM10" i="36"/>
  <c r="KL10" i="36"/>
  <c r="KK10" i="36"/>
  <c r="KJ10" i="36"/>
  <c r="KI10" i="36"/>
  <c r="KH10" i="36"/>
  <c r="KG10" i="36"/>
  <c r="KF10" i="36"/>
  <c r="KE10" i="36"/>
  <c r="KD10" i="36"/>
  <c r="KC10" i="36"/>
  <c r="KA10" i="36"/>
  <c r="JZ10" i="36"/>
  <c r="JY10" i="36"/>
  <c r="JX10" i="36"/>
  <c r="JW10" i="36"/>
  <c r="JV10" i="36"/>
  <c r="JU10" i="36"/>
  <c r="JT10" i="36"/>
  <c r="JS10" i="36"/>
  <c r="JR10" i="36"/>
  <c r="JQ10" i="36"/>
  <c r="JP10" i="36"/>
  <c r="JO10" i="36"/>
  <c r="JN10" i="36"/>
  <c r="JL10" i="36"/>
  <c r="JK10" i="36"/>
  <c r="JJ10" i="36"/>
  <c r="JI10" i="36"/>
  <c r="JH10" i="36"/>
  <c r="JG10" i="36"/>
  <c r="JF10" i="36"/>
  <c r="JE10" i="36"/>
  <c r="JD10" i="36"/>
  <c r="JC10" i="36"/>
  <c r="JB10" i="36"/>
  <c r="JA10" i="36"/>
  <c r="IZ10" i="36"/>
  <c r="IZ57" i="36" s="1"/>
  <c r="IY10" i="36"/>
  <c r="IW10" i="36"/>
  <c r="IV10" i="36"/>
  <c r="IU10" i="36"/>
  <c r="IT10" i="36"/>
  <c r="IS10" i="36"/>
  <c r="IR10" i="36"/>
  <c r="IQ10" i="36"/>
  <c r="IP10" i="36"/>
  <c r="IO10" i="36"/>
  <c r="IN10" i="36"/>
  <c r="IM10" i="36"/>
  <c r="IL10" i="36"/>
  <c r="IK10" i="36"/>
  <c r="IJ10" i="36"/>
  <c r="IH10" i="36"/>
  <c r="IG10" i="36"/>
  <c r="IF10" i="36"/>
  <c r="IE10" i="36"/>
  <c r="IB10" i="36"/>
  <c r="IA10" i="36"/>
  <c r="HZ10" i="36"/>
  <c r="HY10" i="36"/>
  <c r="HX10" i="36"/>
  <c r="HV10" i="36"/>
  <c r="HU10" i="36"/>
  <c r="HS10" i="36"/>
  <c r="HR10" i="36"/>
  <c r="HN10" i="36"/>
  <c r="HM10" i="36"/>
  <c r="HL10" i="36"/>
  <c r="HK10" i="36"/>
  <c r="HH10" i="36"/>
  <c r="HG10" i="36"/>
  <c r="HF10" i="36"/>
  <c r="HD10" i="36"/>
  <c r="HC10" i="36"/>
  <c r="HB10" i="36"/>
  <c r="HA10" i="36"/>
  <c r="GZ10" i="36"/>
  <c r="GY10" i="36"/>
  <c r="GX10" i="36"/>
  <c r="GW10" i="36"/>
  <c r="GT10" i="36"/>
  <c r="GS10" i="36"/>
  <c r="GQ10" i="36"/>
  <c r="GO10" i="36"/>
  <c r="GN10" i="36"/>
  <c r="GM10" i="36"/>
  <c r="GK10" i="36"/>
  <c r="GJ10" i="36"/>
  <c r="GI10" i="36"/>
  <c r="GF10" i="36"/>
  <c r="GC10" i="36"/>
  <c r="GB10" i="36"/>
  <c r="FZ10" i="36"/>
  <c r="FY10" i="36"/>
  <c r="FX10" i="36"/>
  <c r="FW10" i="36"/>
  <c r="FV10" i="36"/>
  <c r="FU10" i="36"/>
  <c r="FT10" i="36"/>
  <c r="FS10" i="36"/>
  <c r="FR10" i="36"/>
  <c r="FQ10" i="36"/>
  <c r="FP10" i="36"/>
  <c r="FO10" i="36"/>
  <c r="FK10" i="36"/>
  <c r="FJ10" i="36"/>
  <c r="FI10" i="36"/>
  <c r="FG10" i="36"/>
  <c r="FF10" i="36"/>
  <c r="FE10" i="36"/>
  <c r="FD10" i="36"/>
  <c r="FC10" i="36"/>
  <c r="FB10" i="36"/>
  <c r="FA10" i="36"/>
  <c r="EX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B10" i="36"/>
  <c r="DA10" i="36"/>
  <c r="CW10" i="36"/>
  <c r="CV10" i="36"/>
  <c r="CU10" i="36"/>
  <c r="CT10" i="36"/>
  <c r="CS10" i="36"/>
  <c r="CR10" i="36"/>
  <c r="CN10" i="36"/>
  <c r="CM10" i="36"/>
  <c r="CL10" i="36"/>
  <c r="CI10" i="36"/>
  <c r="CH10" i="36"/>
  <c r="CF10" i="36"/>
  <c r="CE10" i="36"/>
  <c r="CD10" i="36"/>
  <c r="CC10" i="36"/>
  <c r="CB10" i="36"/>
  <c r="CA10" i="36"/>
  <c r="BZ10" i="36"/>
  <c r="BY10" i="36"/>
  <c r="BW10" i="36"/>
  <c r="BU10" i="36"/>
  <c r="BS10" i="36"/>
  <c r="BR10" i="36"/>
  <c r="BQ10" i="36"/>
  <c r="BN10" i="36"/>
  <c r="BM10" i="36"/>
  <c r="BL10" i="36"/>
  <c r="BI10" i="36"/>
  <c r="BH10" i="36"/>
  <c r="BG10" i="36"/>
  <c r="BF10" i="36"/>
  <c r="BD10" i="36"/>
  <c r="BC10" i="36"/>
  <c r="AZ10" i="36"/>
  <c r="AY10" i="36"/>
  <c r="AX10" i="36"/>
  <c r="AW10" i="36"/>
  <c r="AV10" i="36"/>
  <c r="AU10" i="36"/>
  <c r="AT10" i="36"/>
  <c r="AQ10" i="36"/>
  <c r="AO10" i="36"/>
  <c r="AN10" i="36"/>
  <c r="AM10" i="36"/>
  <c r="AL10" i="36"/>
  <c r="AK10" i="36"/>
  <c r="AJ10" i="36"/>
  <c r="AI10" i="36"/>
  <c r="AF10" i="36"/>
  <c r="AE10" i="36"/>
  <c r="EY10" i="36" s="1"/>
  <c r="AB10" i="36"/>
  <c r="Q10" i="36"/>
  <c r="B10" i="36"/>
  <c r="J6" i="36"/>
  <c r="H64" i="35"/>
  <c r="G64" i="35"/>
  <c r="E64" i="35"/>
  <c r="D64" i="35"/>
  <c r="B64" i="35"/>
  <c r="H63" i="35"/>
  <c r="H65" i="35" s="1"/>
  <c r="G63" i="35"/>
  <c r="E63" i="35"/>
  <c r="D63" i="35"/>
  <c r="B63" i="35"/>
  <c r="H62" i="35"/>
  <c r="G62" i="35"/>
  <c r="E62" i="35"/>
  <c r="D62" i="35"/>
  <c r="B62" i="35"/>
  <c r="AG15" i="35"/>
  <c r="AE15" i="35"/>
  <c r="AF14" i="35"/>
  <c r="AF13" i="35"/>
  <c r="N11" i="35"/>
  <c r="G10" i="35"/>
  <c r="E10" i="35"/>
  <c r="D10" i="35"/>
  <c r="B10" i="35"/>
  <c r="AG9" i="35"/>
  <c r="AE9" i="35"/>
  <c r="G9" i="35"/>
  <c r="E9" i="35"/>
  <c r="D9" i="35"/>
  <c r="B9" i="35"/>
  <c r="AI8" i="35"/>
  <c r="AF8" i="35"/>
  <c r="AI7" i="35"/>
  <c r="AF7" i="35"/>
  <c r="AI6" i="35"/>
  <c r="AF6" i="35"/>
  <c r="AI5" i="35"/>
  <c r="AF5" i="35"/>
  <c r="AI4" i="35"/>
  <c r="AF4" i="35"/>
  <c r="AI3" i="35"/>
  <c r="AF3" i="35"/>
  <c r="I125" i="34"/>
  <c r="I124" i="34"/>
  <c r="I123" i="34"/>
  <c r="H123" i="34"/>
  <c r="L116" i="34"/>
  <c r="G116" i="34"/>
  <c r="F116" i="34"/>
  <c r="G115" i="34"/>
  <c r="F115" i="34"/>
  <c r="G114" i="34"/>
  <c r="F114" i="34"/>
  <c r="K113" i="34"/>
  <c r="J113" i="34"/>
  <c r="G113" i="34"/>
  <c r="F113" i="34"/>
  <c r="L112" i="34"/>
  <c r="O113" i="34" s="1"/>
  <c r="G112" i="34"/>
  <c r="F112" i="34"/>
  <c r="K111" i="34"/>
  <c r="G111" i="34"/>
  <c r="F111" i="34"/>
  <c r="G110" i="34"/>
  <c r="F110" i="34"/>
  <c r="K109" i="34"/>
  <c r="G109" i="34"/>
  <c r="F109" i="34"/>
  <c r="G108" i="34"/>
  <c r="F108" i="34"/>
  <c r="G107" i="34"/>
  <c r="F107" i="34"/>
  <c r="G106" i="34"/>
  <c r="F106" i="34"/>
  <c r="L105" i="34"/>
  <c r="G105" i="34"/>
  <c r="F105" i="34"/>
  <c r="G104" i="34"/>
  <c r="F104" i="34"/>
  <c r="G103" i="34"/>
  <c r="F103" i="34"/>
  <c r="G102" i="34"/>
  <c r="F102" i="34"/>
  <c r="L101" i="34"/>
  <c r="O102" i="34" s="1"/>
  <c r="G101" i="34"/>
  <c r="F101" i="34"/>
  <c r="G100" i="34"/>
  <c r="F100" i="34"/>
  <c r="K99" i="34"/>
  <c r="J99" i="34"/>
  <c r="G99" i="34"/>
  <c r="F99" i="34"/>
  <c r="L98" i="34"/>
  <c r="G98" i="34"/>
  <c r="F98" i="34"/>
  <c r="K97" i="34"/>
  <c r="J97" i="34"/>
  <c r="G97" i="34"/>
  <c r="F97" i="34"/>
  <c r="L96" i="34"/>
  <c r="K96" i="34"/>
  <c r="G96" i="34"/>
  <c r="F96" i="34"/>
  <c r="G95" i="34"/>
  <c r="F95" i="34"/>
  <c r="G94" i="34"/>
  <c r="F94" i="34"/>
  <c r="G93" i="34"/>
  <c r="F93" i="34"/>
  <c r="G92" i="34"/>
  <c r="F92" i="34"/>
  <c r="L91" i="34"/>
  <c r="O92" i="34" s="1"/>
  <c r="G91" i="34"/>
  <c r="F91" i="34"/>
  <c r="Q90" i="34"/>
  <c r="O90" i="34"/>
  <c r="R90" i="34" s="1"/>
  <c r="N90" i="34"/>
  <c r="G90" i="34"/>
  <c r="I90" i="34" s="1"/>
  <c r="F90" i="34"/>
  <c r="H90" i="34" s="1"/>
  <c r="O88" i="34"/>
  <c r="L88" i="34"/>
  <c r="G88" i="34"/>
  <c r="F88" i="34"/>
  <c r="N87" i="34"/>
  <c r="L87" i="34"/>
  <c r="K87" i="34"/>
  <c r="G87" i="34"/>
  <c r="F87" i="34"/>
  <c r="K86" i="34"/>
  <c r="J86" i="34"/>
  <c r="G86" i="34"/>
  <c r="F86" i="34"/>
  <c r="L85" i="34"/>
  <c r="G85" i="34"/>
  <c r="F85" i="34"/>
  <c r="L84" i="34"/>
  <c r="O85" i="34" s="1"/>
  <c r="K84" i="34"/>
  <c r="G84" i="34"/>
  <c r="F84" i="34"/>
  <c r="G83" i="34"/>
  <c r="F83" i="34"/>
  <c r="G82" i="34"/>
  <c r="F82" i="34"/>
  <c r="G81" i="34"/>
  <c r="F81" i="34"/>
  <c r="G80" i="34"/>
  <c r="F80" i="34"/>
  <c r="G79" i="34"/>
  <c r="F79" i="34"/>
  <c r="G78" i="34"/>
  <c r="F78" i="34"/>
  <c r="L77" i="34"/>
  <c r="G77" i="34"/>
  <c r="I77" i="34" s="1"/>
  <c r="F77" i="34"/>
  <c r="H77" i="34" s="1"/>
  <c r="H78" i="34" s="1"/>
  <c r="H79" i="34" s="1"/>
  <c r="O76" i="34"/>
  <c r="R76" i="34" s="1"/>
  <c r="N76" i="34"/>
  <c r="Q76" i="34" s="1"/>
  <c r="G76" i="34"/>
  <c r="I76" i="34" s="1"/>
  <c r="F76" i="34"/>
  <c r="H76" i="34" s="1"/>
  <c r="G74" i="34"/>
  <c r="F74" i="34"/>
  <c r="G73" i="34"/>
  <c r="F73" i="34"/>
  <c r="L72" i="34"/>
  <c r="K72" i="34"/>
  <c r="J72" i="34"/>
  <c r="G72" i="34"/>
  <c r="F72" i="34"/>
  <c r="G71" i="34"/>
  <c r="F71" i="34"/>
  <c r="L70" i="34"/>
  <c r="G70" i="34"/>
  <c r="F70" i="34"/>
  <c r="L69" i="34"/>
  <c r="K69" i="34"/>
  <c r="J69" i="34"/>
  <c r="G69" i="34"/>
  <c r="F69" i="34"/>
  <c r="G68" i="34"/>
  <c r="F68" i="34"/>
  <c r="L67" i="34"/>
  <c r="G67" i="34"/>
  <c r="F67" i="34"/>
  <c r="G66" i="34"/>
  <c r="F66" i="34"/>
  <c r="G65" i="34"/>
  <c r="F65" i="34"/>
  <c r="L64" i="34"/>
  <c r="K64" i="34"/>
  <c r="J64" i="34" s="1"/>
  <c r="G64" i="34"/>
  <c r="F64" i="34"/>
  <c r="G63" i="34"/>
  <c r="F63" i="34"/>
  <c r="G62" i="34"/>
  <c r="F62" i="34"/>
  <c r="G61" i="34"/>
  <c r="F61" i="34"/>
  <c r="L60" i="34"/>
  <c r="G60" i="34"/>
  <c r="F60" i="34"/>
  <c r="G59" i="34"/>
  <c r="F59" i="34"/>
  <c r="L58" i="34"/>
  <c r="G58" i="34"/>
  <c r="F58" i="34"/>
  <c r="G57" i="34"/>
  <c r="F57" i="34"/>
  <c r="O56" i="34"/>
  <c r="G56" i="34"/>
  <c r="F56" i="34"/>
  <c r="O55" i="34"/>
  <c r="R55" i="34" s="1"/>
  <c r="N55" i="34"/>
  <c r="Q55" i="34" s="1"/>
  <c r="G55" i="34"/>
  <c r="I55" i="34" s="1"/>
  <c r="I56" i="34" s="1"/>
  <c r="F55" i="34"/>
  <c r="H55" i="34" s="1"/>
  <c r="H56" i="34" s="1"/>
  <c r="K53" i="34"/>
  <c r="J53" i="34"/>
  <c r="G53" i="34"/>
  <c r="F53" i="34"/>
  <c r="O52" i="34"/>
  <c r="G52" i="34"/>
  <c r="F52" i="34"/>
  <c r="L51" i="34"/>
  <c r="K51" i="34"/>
  <c r="J51" i="34"/>
  <c r="G51" i="34"/>
  <c r="F51" i="34"/>
  <c r="G50" i="34"/>
  <c r="F50" i="34"/>
  <c r="K49" i="34"/>
  <c r="J49" i="34"/>
  <c r="G49" i="34"/>
  <c r="F49" i="34"/>
  <c r="L48" i="34"/>
  <c r="G48" i="34"/>
  <c r="F48" i="34"/>
  <c r="G47" i="34"/>
  <c r="F47" i="34"/>
  <c r="G46" i="34"/>
  <c r="F46" i="34"/>
  <c r="G45" i="34"/>
  <c r="F45" i="34"/>
  <c r="G44" i="34"/>
  <c r="F44" i="34"/>
  <c r="G43" i="34"/>
  <c r="F43" i="34"/>
  <c r="G42" i="34"/>
  <c r="F42" i="34"/>
  <c r="K41" i="34"/>
  <c r="G41" i="34"/>
  <c r="F41" i="34"/>
  <c r="G40" i="34"/>
  <c r="F40" i="34"/>
  <c r="G39" i="34"/>
  <c r="F39" i="34"/>
  <c r="G38" i="34"/>
  <c r="F38" i="34"/>
  <c r="L37" i="34"/>
  <c r="K37" i="34"/>
  <c r="J37" i="34"/>
  <c r="G37" i="34"/>
  <c r="F37" i="34"/>
  <c r="K36" i="34"/>
  <c r="N37" i="34" s="1"/>
  <c r="J36" i="34"/>
  <c r="M37" i="34" s="1"/>
  <c r="G36" i="34"/>
  <c r="F36" i="34"/>
  <c r="G35" i="34"/>
  <c r="F35" i="34"/>
  <c r="L34" i="34"/>
  <c r="J34" i="34"/>
  <c r="G34" i="34"/>
  <c r="F34" i="34"/>
  <c r="O33" i="34"/>
  <c r="K33" i="34"/>
  <c r="N34" i="34" s="1"/>
  <c r="J33" i="34"/>
  <c r="M34" i="34" s="1"/>
  <c r="G33" i="34"/>
  <c r="F33" i="34"/>
  <c r="L32" i="34"/>
  <c r="K32" i="34"/>
  <c r="N33" i="34" s="1"/>
  <c r="J32" i="34"/>
  <c r="M33" i="34" s="1"/>
  <c r="G32" i="34"/>
  <c r="F32" i="34"/>
  <c r="G31" i="34"/>
  <c r="F31" i="34"/>
  <c r="L30" i="34"/>
  <c r="K30" i="34"/>
  <c r="J30" i="34"/>
  <c r="G30" i="34"/>
  <c r="F30" i="34"/>
  <c r="L29" i="34"/>
  <c r="J29" i="34"/>
  <c r="M30" i="34" s="1"/>
  <c r="G29" i="34"/>
  <c r="F29" i="34"/>
  <c r="L28" i="34"/>
  <c r="G28" i="34"/>
  <c r="F28" i="34"/>
  <c r="K27" i="34"/>
  <c r="J27" i="34"/>
  <c r="G27" i="34"/>
  <c r="F27" i="34"/>
  <c r="G26" i="34"/>
  <c r="F26" i="34"/>
  <c r="L25" i="34"/>
  <c r="K25" i="34"/>
  <c r="J25" i="34"/>
  <c r="G25" i="34"/>
  <c r="F25" i="34"/>
  <c r="G24" i="34"/>
  <c r="F24" i="34"/>
  <c r="G23" i="34"/>
  <c r="F23" i="34"/>
  <c r="G22" i="34"/>
  <c r="F22" i="34"/>
  <c r="G21" i="34"/>
  <c r="F21" i="34"/>
  <c r="G20" i="34"/>
  <c r="F20" i="34"/>
  <c r="L19" i="34"/>
  <c r="G19" i="34"/>
  <c r="F19" i="34"/>
  <c r="G18" i="34"/>
  <c r="F18" i="34"/>
  <c r="F121" i="34" s="1"/>
  <c r="O17" i="34"/>
  <c r="G17" i="34"/>
  <c r="F17" i="34"/>
  <c r="G16" i="34"/>
  <c r="F16" i="34"/>
  <c r="L15" i="34"/>
  <c r="G15" i="34"/>
  <c r="F15" i="34"/>
  <c r="G14" i="34"/>
  <c r="F14" i="34"/>
  <c r="H13" i="34"/>
  <c r="G13" i="34"/>
  <c r="F13" i="34"/>
  <c r="G12" i="34"/>
  <c r="F12" i="34"/>
  <c r="L11" i="34"/>
  <c r="O12" i="34" s="1"/>
  <c r="K11" i="34"/>
  <c r="G11" i="34"/>
  <c r="F11" i="34"/>
  <c r="G10" i="34"/>
  <c r="F10" i="34"/>
  <c r="H10" i="34" s="1"/>
  <c r="H11" i="34" s="1"/>
  <c r="H12" i="34" s="1"/>
  <c r="G9" i="34"/>
  <c r="F9" i="34"/>
  <c r="H9" i="34" s="1"/>
  <c r="G8" i="34"/>
  <c r="F8" i="34"/>
  <c r="H8" i="34" s="1"/>
  <c r="R7" i="34"/>
  <c r="Q7" i="34"/>
  <c r="O7" i="34"/>
  <c r="N7" i="34"/>
  <c r="L7" i="34"/>
  <c r="O8" i="34" s="1"/>
  <c r="R8" i="34" s="1"/>
  <c r="K7" i="34"/>
  <c r="N8" i="34" s="1"/>
  <c r="J7" i="34"/>
  <c r="M8" i="34" s="1"/>
  <c r="G7" i="34"/>
  <c r="I7" i="34" s="1"/>
  <c r="I8" i="34" s="1"/>
  <c r="F7" i="34"/>
  <c r="H7" i="34" s="1"/>
  <c r="BD115" i="33"/>
  <c r="BE115" i="33" s="1"/>
  <c r="BA115" i="33"/>
  <c r="BB115" i="33" s="1"/>
  <c r="AT115" i="33"/>
  <c r="AS115" i="33"/>
  <c r="AR115" i="33"/>
  <c r="T115" i="33" s="1"/>
  <c r="AQ115" i="33"/>
  <c r="AN115" i="33"/>
  <c r="AM115" i="33"/>
  <c r="AF115" i="33"/>
  <c r="V115" i="33"/>
  <c r="U115" i="33"/>
  <c r="K116" i="34" s="1"/>
  <c r="J116" i="34" s="1"/>
  <c r="R115" i="33"/>
  <c r="Q115" i="33" s="1"/>
  <c r="L115" i="34" s="1"/>
  <c r="O116" i="34" s="1"/>
  <c r="BD114" i="33"/>
  <c r="BE114" i="33" s="1"/>
  <c r="BA114" i="33"/>
  <c r="BB114" i="33" s="1"/>
  <c r="AT114" i="33"/>
  <c r="AS114" i="33"/>
  <c r="AR114" i="33"/>
  <c r="AQ114" i="33"/>
  <c r="R114" i="33"/>
  <c r="Q114" i="33"/>
  <c r="L114" i="34" s="1"/>
  <c r="O115" i="34" s="1"/>
  <c r="BE113" i="33"/>
  <c r="BD113" i="33"/>
  <c r="BA113" i="33"/>
  <c r="BB113" i="33" s="1"/>
  <c r="AT113" i="33"/>
  <c r="AS113" i="33"/>
  <c r="AR113" i="33"/>
  <c r="AQ113" i="33"/>
  <c r="AN113" i="33"/>
  <c r="AM113" i="33"/>
  <c r="R113" i="33"/>
  <c r="S113" i="33" s="1"/>
  <c r="Q113" i="33"/>
  <c r="L113" i="34" s="1"/>
  <c r="BD112" i="33"/>
  <c r="BE112" i="33" s="1"/>
  <c r="BB112" i="33"/>
  <c r="BA112" i="33"/>
  <c r="AT112" i="33"/>
  <c r="AS112" i="33"/>
  <c r="AR112" i="33"/>
  <c r="V112" i="33" s="1"/>
  <c r="AQ112" i="33"/>
  <c r="AN112" i="33"/>
  <c r="AJ112" i="33"/>
  <c r="AI112" i="33" s="1"/>
  <c r="AF112" i="33"/>
  <c r="AE112" i="33"/>
  <c r="U112" i="33"/>
  <c r="R112" i="33"/>
  <c r="Q112" i="33"/>
  <c r="BD111" i="33"/>
  <c r="BE111" i="33" s="1"/>
  <c r="BA111" i="33"/>
  <c r="BB111" i="33" s="1"/>
  <c r="AT111" i="33"/>
  <c r="AS111" i="33"/>
  <c r="AR111" i="33"/>
  <c r="AQ111" i="33"/>
  <c r="AN111" i="33"/>
  <c r="AM111" i="33"/>
  <c r="AL111" i="33"/>
  <c r="AK112" i="33" s="1"/>
  <c r="AF111" i="33"/>
  <c r="AE111" i="33"/>
  <c r="V111" i="33"/>
  <c r="R111" i="33"/>
  <c r="BD110" i="33"/>
  <c r="BE110" i="33" s="1"/>
  <c r="BA110" i="33"/>
  <c r="BB110" i="33" s="1"/>
  <c r="AT110" i="33"/>
  <c r="AS110" i="33"/>
  <c r="AR110" i="33"/>
  <c r="AQ110" i="33"/>
  <c r="AN110" i="33"/>
  <c r="V110" i="33"/>
  <c r="U110" i="33"/>
  <c r="R110" i="33"/>
  <c r="Q110" i="33"/>
  <c r="L110" i="34" s="1"/>
  <c r="BE109" i="33"/>
  <c r="BD109" i="33"/>
  <c r="BA109" i="33"/>
  <c r="BB109" i="33" s="1"/>
  <c r="AT109" i="33"/>
  <c r="AS109" i="33"/>
  <c r="AR109" i="33"/>
  <c r="AQ109" i="33"/>
  <c r="AM109" i="33"/>
  <c r="AF109" i="33"/>
  <c r="AE109" i="33"/>
  <c r="R109" i="33"/>
  <c r="V109" i="33" s="1"/>
  <c r="BD108" i="33"/>
  <c r="BE108" i="33" s="1"/>
  <c r="BA108" i="33"/>
  <c r="BB108" i="33" s="1"/>
  <c r="AT108" i="33"/>
  <c r="AS108" i="33"/>
  <c r="AR108" i="33"/>
  <c r="AQ108" i="33"/>
  <c r="AF108" i="33"/>
  <c r="S108" i="33"/>
  <c r="R108" i="33"/>
  <c r="Q108" i="33"/>
  <c r="L108" i="34" s="1"/>
  <c r="BE107" i="33"/>
  <c r="BD107" i="33"/>
  <c r="BA107" i="33"/>
  <c r="BB107" i="33" s="1"/>
  <c r="AT107" i="33"/>
  <c r="AS107" i="33"/>
  <c r="AR107" i="33"/>
  <c r="AQ107" i="33"/>
  <c r="AM107" i="33"/>
  <c r="AE107" i="33"/>
  <c r="R107" i="33"/>
  <c r="BD106" i="33"/>
  <c r="BE106" i="33" s="1"/>
  <c r="BB106" i="33"/>
  <c r="BA106" i="33"/>
  <c r="AT106" i="33"/>
  <c r="AS106" i="33"/>
  <c r="AR106" i="33"/>
  <c r="AQ106" i="33"/>
  <c r="R106" i="33"/>
  <c r="BD105" i="33"/>
  <c r="BE105" i="33" s="1"/>
  <c r="BB105" i="33"/>
  <c r="BA105" i="33"/>
  <c r="AT105" i="33"/>
  <c r="AS105" i="33"/>
  <c r="AR105" i="33"/>
  <c r="AQ105" i="33"/>
  <c r="AM105" i="33"/>
  <c r="V105" i="33"/>
  <c r="R105" i="33"/>
  <c r="Q105" i="33"/>
  <c r="BD104" i="33"/>
  <c r="BE104" i="33" s="1"/>
  <c r="BA104" i="33"/>
  <c r="BB104" i="33" s="1"/>
  <c r="AT104" i="33"/>
  <c r="AS104" i="33"/>
  <c r="AR104" i="33"/>
  <c r="AQ104" i="33"/>
  <c r="AN104" i="33"/>
  <c r="AM104" i="33"/>
  <c r="AF104" i="33"/>
  <c r="AE104" i="33"/>
  <c r="R104" i="33"/>
  <c r="BD103" i="33"/>
  <c r="BE103" i="33" s="1"/>
  <c r="BA103" i="33"/>
  <c r="BB103" i="33" s="1"/>
  <c r="AT103" i="33"/>
  <c r="AS103" i="33"/>
  <c r="AR103" i="33"/>
  <c r="AQ103" i="33"/>
  <c r="R103" i="33"/>
  <c r="Q103" i="33"/>
  <c r="L103" i="34" s="1"/>
  <c r="BE102" i="33"/>
  <c r="BD102" i="33"/>
  <c r="BB102" i="33"/>
  <c r="BA102" i="33"/>
  <c r="AT102" i="33"/>
  <c r="AS102" i="33"/>
  <c r="AR102" i="33"/>
  <c r="AQ102" i="33"/>
  <c r="AN102" i="33"/>
  <c r="AF102" i="33"/>
  <c r="V102" i="33"/>
  <c r="R102" i="33"/>
  <c r="Q102" i="33"/>
  <c r="L102" i="34" s="1"/>
  <c r="BD101" i="33"/>
  <c r="BE101" i="33" s="1"/>
  <c r="BA101" i="33"/>
  <c r="BB101" i="33" s="1"/>
  <c r="AT101" i="33"/>
  <c r="AS101" i="33"/>
  <c r="AR101" i="33"/>
  <c r="AQ101" i="33"/>
  <c r="AN101" i="33"/>
  <c r="AM101" i="33"/>
  <c r="AF101" i="33"/>
  <c r="V101" i="33"/>
  <c r="U101" i="33"/>
  <c r="K102" i="34" s="1"/>
  <c r="T101" i="33"/>
  <c r="R101" i="33"/>
  <c r="Q101" i="33"/>
  <c r="BE100" i="33"/>
  <c r="BD100" i="33"/>
  <c r="BA100" i="33"/>
  <c r="BB100" i="33" s="1"/>
  <c r="AT100" i="33"/>
  <c r="AS100" i="33"/>
  <c r="AR100" i="33"/>
  <c r="AQ100" i="33"/>
  <c r="AN100" i="33"/>
  <c r="AM100" i="33"/>
  <c r="V100" i="33"/>
  <c r="R100" i="33"/>
  <c r="BD99" i="33"/>
  <c r="BE99" i="33" s="1"/>
  <c r="BA99" i="33"/>
  <c r="BB99" i="33" s="1"/>
  <c r="AT99" i="33"/>
  <c r="AS99" i="33"/>
  <c r="AR99" i="33"/>
  <c r="AQ99" i="33"/>
  <c r="R99" i="33"/>
  <c r="Q99" i="33"/>
  <c r="L99" i="34" s="1"/>
  <c r="BE98" i="33"/>
  <c r="BD98" i="33"/>
  <c r="BA98" i="33"/>
  <c r="BB98" i="33" s="1"/>
  <c r="AT98" i="33"/>
  <c r="AS98" i="33"/>
  <c r="AR98" i="33"/>
  <c r="AQ98" i="33"/>
  <c r="AN98" i="33"/>
  <c r="AF98" i="33"/>
  <c r="V98" i="33"/>
  <c r="U98" i="33"/>
  <c r="R98" i="33"/>
  <c r="Q98" i="33"/>
  <c r="BD97" i="33"/>
  <c r="BE97" i="33" s="1"/>
  <c r="BB97" i="33"/>
  <c r="BA97" i="33"/>
  <c r="AT97" i="33"/>
  <c r="AS97" i="33"/>
  <c r="AR97" i="33"/>
  <c r="AQ97" i="33"/>
  <c r="R97" i="33"/>
  <c r="BD96" i="33"/>
  <c r="BE96" i="33" s="1"/>
  <c r="BA96" i="33"/>
  <c r="BB96" i="33" s="1"/>
  <c r="AT96" i="33"/>
  <c r="AS96" i="33"/>
  <c r="AR96" i="33"/>
  <c r="AQ96" i="33"/>
  <c r="AN96" i="33"/>
  <c r="AM96" i="33"/>
  <c r="V96" i="33"/>
  <c r="U96" i="33"/>
  <c r="R96" i="33"/>
  <c r="Q96" i="33"/>
  <c r="BD95" i="33"/>
  <c r="BE95" i="33" s="1"/>
  <c r="BA95" i="33"/>
  <c r="BB95" i="33" s="1"/>
  <c r="AT95" i="33"/>
  <c r="AS95" i="33"/>
  <c r="V95" i="33" s="1"/>
  <c r="AR95" i="33"/>
  <c r="AQ95" i="33"/>
  <c r="AN95" i="33"/>
  <c r="AM95" i="33"/>
  <c r="AF95" i="33"/>
  <c r="T95" i="33"/>
  <c r="S95" i="33"/>
  <c r="R95" i="33"/>
  <c r="AE95" i="33" s="1"/>
  <c r="Q95" i="33"/>
  <c r="L95" i="34" s="1"/>
  <c r="BE94" i="33"/>
  <c r="BD94" i="33"/>
  <c r="BB94" i="33"/>
  <c r="BA94" i="33"/>
  <c r="AT94" i="33"/>
  <c r="AS94" i="33"/>
  <c r="AR94" i="33"/>
  <c r="AQ94" i="33"/>
  <c r="AF94" i="33"/>
  <c r="V94" i="33"/>
  <c r="U94" i="33"/>
  <c r="T94" i="33"/>
  <c r="S94" i="33"/>
  <c r="R94" i="33"/>
  <c r="Q94" i="33"/>
  <c r="L94" i="34" s="1"/>
  <c r="O95" i="34" s="1"/>
  <c r="BD93" i="33"/>
  <c r="BE93" i="33" s="1"/>
  <c r="BA93" i="33"/>
  <c r="BB93" i="33" s="1"/>
  <c r="AT93" i="33"/>
  <c r="AS93" i="33"/>
  <c r="T93" i="33" s="1"/>
  <c r="AR93" i="33"/>
  <c r="AQ93" i="33"/>
  <c r="U93" i="33"/>
  <c r="R93" i="33"/>
  <c r="Q93" i="33"/>
  <c r="L93" i="34" s="1"/>
  <c r="BD92" i="33"/>
  <c r="BE92" i="33" s="1"/>
  <c r="BA92" i="33"/>
  <c r="BB92" i="33" s="1"/>
  <c r="AT92" i="33"/>
  <c r="AS92" i="33"/>
  <c r="AR92" i="33"/>
  <c r="AQ92" i="33"/>
  <c r="AN92" i="33"/>
  <c r="AM92" i="33"/>
  <c r="AF92" i="33"/>
  <c r="U92" i="33"/>
  <c r="T92" i="33"/>
  <c r="S92" i="33"/>
  <c r="R92" i="33"/>
  <c r="Q92" i="33"/>
  <c r="L92" i="34" s="1"/>
  <c r="BD91" i="33"/>
  <c r="BE91" i="33" s="1"/>
  <c r="BA91" i="33"/>
  <c r="BB91" i="33" s="1"/>
  <c r="AT91" i="33"/>
  <c r="AS91" i="33"/>
  <c r="AR91" i="33"/>
  <c r="AQ91" i="33"/>
  <c r="AM91" i="33"/>
  <c r="V91" i="33"/>
  <c r="R91" i="33"/>
  <c r="Q91" i="33"/>
  <c r="BD90" i="33"/>
  <c r="BE90" i="33" s="1"/>
  <c r="BA90" i="33"/>
  <c r="BB90" i="33" s="1"/>
  <c r="AT90" i="33"/>
  <c r="AS90" i="33"/>
  <c r="AR90" i="33"/>
  <c r="AQ90" i="33"/>
  <c r="AN90" i="33"/>
  <c r="AM90" i="33"/>
  <c r="AO90" i="33" s="1"/>
  <c r="AK90" i="33"/>
  <c r="AF90" i="33"/>
  <c r="V90" i="33"/>
  <c r="R90" i="33"/>
  <c r="T90" i="33" s="1"/>
  <c r="BD89" i="33"/>
  <c r="BE89" i="33" s="1"/>
  <c r="BA89" i="33"/>
  <c r="BB89" i="33" s="1"/>
  <c r="AT89" i="33"/>
  <c r="AS89" i="33"/>
  <c r="AR89" i="33"/>
  <c r="AQ89" i="33"/>
  <c r="AN89" i="33"/>
  <c r="AL89" i="33" s="1"/>
  <c r="AM89" i="33"/>
  <c r="AK89" i="33"/>
  <c r="R89" i="33"/>
  <c r="Q89" i="33"/>
  <c r="BD87" i="33"/>
  <c r="BE87" i="33" s="1"/>
  <c r="BA87" i="33"/>
  <c r="BB87" i="33" s="1"/>
  <c r="AT87" i="33"/>
  <c r="AS87" i="33"/>
  <c r="AR87" i="33"/>
  <c r="AQ87" i="33"/>
  <c r="AN87" i="33"/>
  <c r="AL87" i="33"/>
  <c r="AJ87" i="33"/>
  <c r="AI87" i="33"/>
  <c r="AF87" i="33"/>
  <c r="AB87" i="33"/>
  <c r="AA87" i="33"/>
  <c r="V87" i="33"/>
  <c r="S87" i="33"/>
  <c r="R87" i="33"/>
  <c r="Q87" i="33"/>
  <c r="BD86" i="33"/>
  <c r="BE86" i="33" s="1"/>
  <c r="BA86" i="33"/>
  <c r="BB86" i="33" s="1"/>
  <c r="AT86" i="33"/>
  <c r="AS86" i="33"/>
  <c r="AR86" i="33"/>
  <c r="AQ86" i="33"/>
  <c r="AN86" i="33"/>
  <c r="AM86" i="33"/>
  <c r="AF86" i="33"/>
  <c r="R86" i="33"/>
  <c r="AE86" i="33" s="1"/>
  <c r="Q86" i="33"/>
  <c r="BD85" i="33"/>
  <c r="BE85" i="33" s="1"/>
  <c r="BA85" i="33"/>
  <c r="BB85" i="33" s="1"/>
  <c r="AT85" i="33"/>
  <c r="AS85" i="33"/>
  <c r="V85" i="33" s="1"/>
  <c r="AR85" i="33"/>
  <c r="AQ85" i="33"/>
  <c r="AN85" i="33"/>
  <c r="AM85" i="33"/>
  <c r="R85" i="33"/>
  <c r="BD84" i="33"/>
  <c r="BE84" i="33" s="1"/>
  <c r="BA84" i="33"/>
  <c r="BB84" i="33" s="1"/>
  <c r="AT84" i="33"/>
  <c r="AS84" i="33"/>
  <c r="AR84" i="33"/>
  <c r="AQ84" i="33"/>
  <c r="AN84" i="33"/>
  <c r="AM84" i="33"/>
  <c r="AL84" i="33"/>
  <c r="AK85" i="33" s="1"/>
  <c r="R84" i="33"/>
  <c r="Q84" i="33"/>
  <c r="BE83" i="33"/>
  <c r="BD83" i="33"/>
  <c r="BA83" i="33"/>
  <c r="BB83" i="33" s="1"/>
  <c r="AT83" i="33"/>
  <c r="AS83" i="33"/>
  <c r="AR83" i="33"/>
  <c r="AQ83" i="33"/>
  <c r="AN83" i="33"/>
  <c r="AM83" i="33"/>
  <c r="AF83" i="33"/>
  <c r="R83" i="33"/>
  <c r="AE83" i="33" s="1"/>
  <c r="Q83" i="33"/>
  <c r="BD82" i="33"/>
  <c r="BE82" i="33" s="1"/>
  <c r="BB82" i="33"/>
  <c r="BA82" i="33"/>
  <c r="AT82" i="33"/>
  <c r="AS82" i="33"/>
  <c r="AR82" i="33"/>
  <c r="AQ82" i="33"/>
  <c r="AN82" i="33"/>
  <c r="AM82" i="33"/>
  <c r="AL82" i="33"/>
  <c r="AK83" i="33" s="1"/>
  <c r="AJ82" i="33"/>
  <c r="AI82" i="33" s="1"/>
  <c r="R82" i="33"/>
  <c r="U82" i="33" s="1"/>
  <c r="Q82" i="33"/>
  <c r="L83" i="34" s="1"/>
  <c r="BD81" i="33"/>
  <c r="BE81" i="33" s="1"/>
  <c r="BA81" i="33"/>
  <c r="BB81" i="33" s="1"/>
  <c r="AT81" i="33"/>
  <c r="AS81" i="33"/>
  <c r="AR81" i="33"/>
  <c r="AQ81" i="33"/>
  <c r="AN81" i="33"/>
  <c r="AM81" i="33"/>
  <c r="AF81" i="33"/>
  <c r="V81" i="33"/>
  <c r="U81" i="33"/>
  <c r="K82" i="34" s="1"/>
  <c r="S81" i="33"/>
  <c r="R81" i="33"/>
  <c r="Q81" i="33"/>
  <c r="L82" i="34" s="1"/>
  <c r="BD80" i="33"/>
  <c r="BE80" i="33" s="1"/>
  <c r="BB80" i="33"/>
  <c r="BA80" i="33"/>
  <c r="AT80" i="33"/>
  <c r="AS80" i="33"/>
  <c r="U80" i="33" s="1"/>
  <c r="K81" i="34" s="1"/>
  <c r="J81" i="34" s="1"/>
  <c r="AR80" i="33"/>
  <c r="AQ80" i="33"/>
  <c r="AN80" i="33"/>
  <c r="AM80" i="33"/>
  <c r="AF80" i="33"/>
  <c r="V80" i="33"/>
  <c r="T80" i="33"/>
  <c r="S80" i="33"/>
  <c r="R80" i="33"/>
  <c r="Q80" i="33"/>
  <c r="L81" i="34" s="1"/>
  <c r="O82" i="34" s="1"/>
  <c r="BE79" i="33"/>
  <c r="BD79" i="33"/>
  <c r="BA79" i="33"/>
  <c r="BB79" i="33" s="1"/>
  <c r="AT79" i="33"/>
  <c r="AS79" i="33"/>
  <c r="AR79" i="33"/>
  <c r="AQ79" i="33"/>
  <c r="AF79" i="33"/>
  <c r="V79" i="33"/>
  <c r="U79" i="33"/>
  <c r="T79" i="33"/>
  <c r="R79" i="33"/>
  <c r="BD78" i="33"/>
  <c r="BE78" i="33" s="1"/>
  <c r="BA78" i="33"/>
  <c r="BB78" i="33" s="1"/>
  <c r="AT78" i="33"/>
  <c r="AS78" i="33"/>
  <c r="AR78" i="33"/>
  <c r="AQ78" i="33"/>
  <c r="R78" i="33"/>
  <c r="AN78" i="33" s="1"/>
  <c r="BD77" i="33"/>
  <c r="BE77" i="33" s="1"/>
  <c r="BA77" i="33"/>
  <c r="BB77" i="33" s="1"/>
  <c r="AT77" i="33"/>
  <c r="AS77" i="33"/>
  <c r="AR77" i="33"/>
  <c r="AQ77" i="33"/>
  <c r="R77" i="33"/>
  <c r="S77" i="33" s="1"/>
  <c r="BD76" i="33"/>
  <c r="BE76" i="33" s="1"/>
  <c r="BA76" i="33"/>
  <c r="BB76" i="33" s="1"/>
  <c r="AT76" i="33"/>
  <c r="AS76" i="33"/>
  <c r="U76" i="33" s="1"/>
  <c r="K77" i="34" s="1"/>
  <c r="AR76" i="33"/>
  <c r="AQ76" i="33"/>
  <c r="AM76" i="33"/>
  <c r="V76" i="33"/>
  <c r="R76" i="33"/>
  <c r="Q76" i="33"/>
  <c r="BD75" i="33"/>
  <c r="BE75" i="33" s="1"/>
  <c r="BB75" i="33"/>
  <c r="BA75" i="33"/>
  <c r="AT75" i="33"/>
  <c r="AS75" i="33"/>
  <c r="U75" i="33" s="1"/>
  <c r="AR75" i="33"/>
  <c r="AQ75" i="33"/>
  <c r="AK75" i="33"/>
  <c r="AF75" i="33"/>
  <c r="V75" i="33"/>
  <c r="R75" i="33"/>
  <c r="Q75" i="33"/>
  <c r="L76" i="34" s="1"/>
  <c r="O77" i="34" s="1"/>
  <c r="R77" i="34" s="1"/>
  <c r="BD73" i="33"/>
  <c r="BE73" i="33" s="1"/>
  <c r="BA73" i="33"/>
  <c r="BB73" i="33" s="1"/>
  <c r="AT73" i="33"/>
  <c r="AS73" i="33"/>
  <c r="AR73" i="33"/>
  <c r="AQ73" i="33"/>
  <c r="AN73" i="33"/>
  <c r="AM73" i="33"/>
  <c r="R73" i="33"/>
  <c r="Q73" i="33"/>
  <c r="L74" i="34" s="1"/>
  <c r="BD72" i="33"/>
  <c r="BE72" i="33" s="1"/>
  <c r="BA72" i="33"/>
  <c r="BB72" i="33" s="1"/>
  <c r="AT72" i="33"/>
  <c r="AS72" i="33"/>
  <c r="AR72" i="33"/>
  <c r="AQ72" i="33"/>
  <c r="R72" i="33"/>
  <c r="AN72" i="33" s="1"/>
  <c r="BD71" i="33"/>
  <c r="BE71" i="33" s="1"/>
  <c r="BA71" i="33"/>
  <c r="BB71" i="33" s="1"/>
  <c r="AT71" i="33"/>
  <c r="AS71" i="33"/>
  <c r="T71" i="33" s="1"/>
  <c r="AR71" i="33"/>
  <c r="AQ71" i="33"/>
  <c r="S71" i="33" s="1"/>
  <c r="AN71" i="33"/>
  <c r="AM71" i="33"/>
  <c r="AF71" i="33"/>
  <c r="V71" i="33"/>
  <c r="U71" i="33"/>
  <c r="R71" i="33"/>
  <c r="Q71" i="33"/>
  <c r="BD70" i="33"/>
  <c r="BE70" i="33" s="1"/>
  <c r="BB70" i="33"/>
  <c r="BA70" i="33"/>
  <c r="AT70" i="33"/>
  <c r="AS70" i="33"/>
  <c r="AR70" i="33"/>
  <c r="AQ70" i="33"/>
  <c r="R70" i="33"/>
  <c r="BD69" i="33"/>
  <c r="BE69" i="33" s="1"/>
  <c r="BA69" i="33"/>
  <c r="BB69" i="33" s="1"/>
  <c r="AT69" i="33"/>
  <c r="AS69" i="33"/>
  <c r="AR69" i="33"/>
  <c r="AQ69" i="33"/>
  <c r="AM69" i="33"/>
  <c r="R69" i="33"/>
  <c r="Q69" i="33"/>
  <c r="BE68" i="33"/>
  <c r="BD68" i="33"/>
  <c r="BA68" i="33"/>
  <c r="BB68" i="33" s="1"/>
  <c r="AT68" i="33"/>
  <c r="AS68" i="33"/>
  <c r="V68" i="33" s="1"/>
  <c r="AR68" i="33"/>
  <c r="AQ68" i="33"/>
  <c r="AN68" i="33"/>
  <c r="AM68" i="33"/>
  <c r="AF68" i="33"/>
  <c r="R68" i="33"/>
  <c r="AE68" i="33" s="1"/>
  <c r="Q68" i="33"/>
  <c r="BD67" i="33"/>
  <c r="BE67" i="33" s="1"/>
  <c r="BB67" i="33"/>
  <c r="BA67" i="33"/>
  <c r="AT67" i="33"/>
  <c r="AS67" i="33"/>
  <c r="AR67" i="33"/>
  <c r="AQ67" i="33"/>
  <c r="R67" i="33"/>
  <c r="BE66" i="33"/>
  <c r="BD66" i="33"/>
  <c r="BA66" i="33"/>
  <c r="BB66" i="33" s="1"/>
  <c r="AT66" i="33"/>
  <c r="AS66" i="33"/>
  <c r="AR66" i="33"/>
  <c r="AQ66" i="33"/>
  <c r="R66" i="33"/>
  <c r="S66" i="33" s="1"/>
  <c r="Q66" i="33"/>
  <c r="BD65" i="33"/>
  <c r="BE65" i="33" s="1"/>
  <c r="BG61" i="33" s="1"/>
  <c r="BA65" i="33"/>
  <c r="BB65" i="33" s="1"/>
  <c r="AT65" i="33"/>
  <c r="AS65" i="33"/>
  <c r="T65" i="33" s="1"/>
  <c r="AR65" i="33"/>
  <c r="AQ65" i="33"/>
  <c r="AN65" i="33"/>
  <c r="AM65" i="33"/>
  <c r="AF65" i="33"/>
  <c r="V65" i="33"/>
  <c r="U65" i="33"/>
  <c r="K66" i="34" s="1"/>
  <c r="S65" i="33"/>
  <c r="R65" i="33"/>
  <c r="Q65" i="33"/>
  <c r="L66" i="34" s="1"/>
  <c r="BD64" i="33"/>
  <c r="BE64" i="33" s="1"/>
  <c r="BA64" i="33"/>
  <c r="BB64" i="33" s="1"/>
  <c r="AT64" i="33"/>
  <c r="AS64" i="33"/>
  <c r="AR64" i="33"/>
  <c r="AQ64" i="33"/>
  <c r="R64" i="33"/>
  <c r="BD63" i="33"/>
  <c r="BE63" i="33" s="1"/>
  <c r="BA63" i="33"/>
  <c r="BB63" i="33" s="1"/>
  <c r="AT63" i="33"/>
  <c r="AS63" i="33"/>
  <c r="AR63" i="33"/>
  <c r="AQ63" i="33"/>
  <c r="AN63" i="33"/>
  <c r="AM63" i="33"/>
  <c r="V63" i="33"/>
  <c r="U63" i="33"/>
  <c r="T63" i="33"/>
  <c r="S63" i="33"/>
  <c r="R63" i="33"/>
  <c r="Q63" i="33"/>
  <c r="BD62" i="33"/>
  <c r="BE62" i="33" s="1"/>
  <c r="BA62" i="33"/>
  <c r="BB62" i="33" s="1"/>
  <c r="AT62" i="33"/>
  <c r="AS62" i="33"/>
  <c r="AR62" i="33"/>
  <c r="AQ62" i="33"/>
  <c r="R62" i="33"/>
  <c r="AN62" i="33" s="1"/>
  <c r="BH61" i="33"/>
  <c r="BE61" i="33"/>
  <c r="BD61" i="33"/>
  <c r="BA61" i="33"/>
  <c r="BB61" i="33" s="1"/>
  <c r="AT61" i="33"/>
  <c r="AS61" i="33"/>
  <c r="U61" i="33" s="1"/>
  <c r="AR61" i="33"/>
  <c r="AQ61" i="33"/>
  <c r="AM61" i="33"/>
  <c r="V61" i="33"/>
  <c r="R61" i="33"/>
  <c r="AN61" i="33" s="1"/>
  <c r="Q61" i="33"/>
  <c r="L62" i="34" s="1"/>
  <c r="BH60" i="33"/>
  <c r="BD60" i="33"/>
  <c r="BE60" i="33" s="1"/>
  <c r="BB60" i="33"/>
  <c r="BA60" i="33"/>
  <c r="AT60" i="33"/>
  <c r="AS60" i="33"/>
  <c r="AR60" i="33"/>
  <c r="T60" i="33" s="1"/>
  <c r="AQ60" i="33"/>
  <c r="AM60" i="33"/>
  <c r="R60" i="33"/>
  <c r="BD59" i="33"/>
  <c r="BE59" i="33" s="1"/>
  <c r="BB59" i="33"/>
  <c r="BA59" i="33"/>
  <c r="AT59" i="33"/>
  <c r="AS59" i="33"/>
  <c r="AR59" i="33"/>
  <c r="AQ59" i="33"/>
  <c r="AN59" i="33"/>
  <c r="AM59" i="33"/>
  <c r="AF59" i="33"/>
  <c r="AE59" i="33"/>
  <c r="V59" i="33"/>
  <c r="U59" i="33"/>
  <c r="T59" i="33"/>
  <c r="S59" i="33"/>
  <c r="R59" i="33"/>
  <c r="K60" i="34" s="1"/>
  <c r="J60" i="34" s="1"/>
  <c r="Q59" i="33"/>
  <c r="BD58" i="33"/>
  <c r="BE58" i="33" s="1"/>
  <c r="BB58" i="33"/>
  <c r="BA58" i="33"/>
  <c r="AT58" i="33"/>
  <c r="AS58" i="33"/>
  <c r="AR58" i="33"/>
  <c r="AQ58" i="33"/>
  <c r="R58" i="33"/>
  <c r="Q58" i="33"/>
  <c r="L59" i="34" s="1"/>
  <c r="O60" i="34" s="1"/>
  <c r="BD57" i="33"/>
  <c r="BE57" i="33" s="1"/>
  <c r="BB57" i="33"/>
  <c r="BA57" i="33"/>
  <c r="AT57" i="33"/>
  <c r="AS57" i="33"/>
  <c r="AR57" i="33"/>
  <c r="AQ57" i="33"/>
  <c r="AF57" i="33"/>
  <c r="R57" i="33"/>
  <c r="Q57" i="33"/>
  <c r="BE56" i="33"/>
  <c r="BD56" i="33"/>
  <c r="BB56" i="33"/>
  <c r="BA56" i="33"/>
  <c r="AT56" i="33"/>
  <c r="AS56" i="33"/>
  <c r="AR56" i="33"/>
  <c r="AQ56" i="33"/>
  <c r="AN56" i="33"/>
  <c r="AM56" i="33"/>
  <c r="R56" i="33"/>
  <c r="Q56" i="33"/>
  <c r="L57" i="34" s="1"/>
  <c r="O58" i="34" s="1"/>
  <c r="BE55" i="33"/>
  <c r="BD55" i="33"/>
  <c r="BB55" i="33"/>
  <c r="BA55" i="33"/>
  <c r="AT55" i="33"/>
  <c r="AS55" i="33"/>
  <c r="U55" i="33" s="1"/>
  <c r="AR55" i="33"/>
  <c r="AQ55" i="33"/>
  <c r="AN55" i="33"/>
  <c r="AM55" i="33"/>
  <c r="AF55" i="33"/>
  <c r="V55" i="33"/>
  <c r="T55" i="33"/>
  <c r="S55" i="33"/>
  <c r="R55" i="33"/>
  <c r="Q55" i="33" s="1"/>
  <c r="L56" i="34" s="1"/>
  <c r="BD54" i="33"/>
  <c r="BE54" i="33" s="1"/>
  <c r="BB54" i="33"/>
  <c r="BA54" i="33"/>
  <c r="AT54" i="33"/>
  <c r="AS54" i="33"/>
  <c r="AR54" i="33"/>
  <c r="U54" i="33" s="1"/>
  <c r="K55" i="34" s="1"/>
  <c r="J55" i="34" s="1"/>
  <c r="AQ54" i="33"/>
  <c r="AN54" i="33"/>
  <c r="AK54" i="33"/>
  <c r="AF54" i="33"/>
  <c r="V54" i="33"/>
  <c r="R54" i="33"/>
  <c r="Q54" i="33"/>
  <c r="L55" i="34" s="1"/>
  <c r="AA53" i="33"/>
  <c r="BD52" i="33"/>
  <c r="BE52" i="33" s="1"/>
  <c r="BA52" i="33"/>
  <c r="BB52" i="33" s="1"/>
  <c r="AT52" i="33"/>
  <c r="AS52" i="33"/>
  <c r="AR52" i="33"/>
  <c r="S52" i="33" s="1"/>
  <c r="AQ52" i="33"/>
  <c r="AN52" i="33"/>
  <c r="AM52" i="33"/>
  <c r="R52" i="33"/>
  <c r="Q52" i="33"/>
  <c r="L53" i="34" s="1"/>
  <c r="BD51" i="33"/>
  <c r="BE51" i="33" s="1"/>
  <c r="BA51" i="33"/>
  <c r="BB51" i="33" s="1"/>
  <c r="AT51" i="33"/>
  <c r="AS51" i="33"/>
  <c r="AR51" i="33"/>
  <c r="AQ51" i="33"/>
  <c r="AN51" i="33"/>
  <c r="AM51" i="33"/>
  <c r="R51" i="33"/>
  <c r="Q51" i="33"/>
  <c r="L52" i="34" s="1"/>
  <c r="O53" i="34" s="1"/>
  <c r="BD50" i="33"/>
  <c r="BE50" i="33" s="1"/>
  <c r="BA50" i="33"/>
  <c r="BB50" i="33" s="1"/>
  <c r="AT50" i="33"/>
  <c r="AS50" i="33"/>
  <c r="AR50" i="33"/>
  <c r="AQ50" i="33"/>
  <c r="AN50" i="33"/>
  <c r="AM50" i="33"/>
  <c r="AF50" i="33"/>
  <c r="AE50" i="33"/>
  <c r="V50" i="33"/>
  <c r="U50" i="33"/>
  <c r="R50" i="33"/>
  <c r="S50" i="33" s="1"/>
  <c r="Q50" i="33"/>
  <c r="BD49" i="33"/>
  <c r="BE49" i="33" s="1"/>
  <c r="BA49" i="33"/>
  <c r="BB49" i="33" s="1"/>
  <c r="AT49" i="33"/>
  <c r="AS49" i="33"/>
  <c r="AR49" i="33"/>
  <c r="AQ49" i="33"/>
  <c r="R49" i="33"/>
  <c r="Q49" i="33"/>
  <c r="L50" i="34" s="1"/>
  <c r="O51" i="34" s="1"/>
  <c r="BD48" i="33"/>
  <c r="BE48" i="33" s="1"/>
  <c r="BA48" i="33"/>
  <c r="BB48" i="33" s="1"/>
  <c r="AT48" i="33"/>
  <c r="AS48" i="33"/>
  <c r="AR48" i="33"/>
  <c r="S48" i="33" s="1"/>
  <c r="AQ48" i="33"/>
  <c r="U48" i="33"/>
  <c r="T48" i="33"/>
  <c r="R48" i="33"/>
  <c r="Q48" i="33"/>
  <c r="L49" i="34" s="1"/>
  <c r="BD47" i="33"/>
  <c r="BE47" i="33" s="1"/>
  <c r="BA47" i="33"/>
  <c r="BB47" i="33" s="1"/>
  <c r="AT47" i="33"/>
  <c r="AS47" i="33"/>
  <c r="AR47" i="33"/>
  <c r="U47" i="33" s="1"/>
  <c r="AQ47" i="33"/>
  <c r="AM47" i="33"/>
  <c r="AF47" i="33"/>
  <c r="V47" i="33"/>
  <c r="R47" i="33"/>
  <c r="Q47" i="33"/>
  <c r="BD46" i="33"/>
  <c r="BE46" i="33" s="1"/>
  <c r="BA46" i="33"/>
  <c r="BB46" i="33" s="1"/>
  <c r="AT46" i="33"/>
  <c r="AS46" i="33"/>
  <c r="AR46" i="33"/>
  <c r="T46" i="33" s="1"/>
  <c r="AQ46" i="33"/>
  <c r="U46" i="33"/>
  <c r="R46" i="33"/>
  <c r="Q46" i="33"/>
  <c r="L47" i="34" s="1"/>
  <c r="BE45" i="33"/>
  <c r="BD45" i="33"/>
  <c r="BA45" i="33"/>
  <c r="BB45" i="33" s="1"/>
  <c r="AT45" i="33"/>
  <c r="AS45" i="33"/>
  <c r="AR45" i="33"/>
  <c r="AQ45" i="33"/>
  <c r="AN45" i="33"/>
  <c r="AF45" i="33"/>
  <c r="R45" i="33"/>
  <c r="Q45" i="33"/>
  <c r="L46" i="34" s="1"/>
  <c r="BD44" i="33"/>
  <c r="BE44" i="33" s="1"/>
  <c r="BA44" i="33"/>
  <c r="BB44" i="33" s="1"/>
  <c r="AT44" i="33"/>
  <c r="AS44" i="33"/>
  <c r="AR44" i="33"/>
  <c r="U44" i="33" s="1"/>
  <c r="K45" i="34" s="1"/>
  <c r="J45" i="34" s="1"/>
  <c r="AQ44" i="33"/>
  <c r="AN44" i="33"/>
  <c r="AM44" i="33"/>
  <c r="AF44" i="33"/>
  <c r="V44" i="33"/>
  <c r="R44" i="33"/>
  <c r="Q44" i="33" s="1"/>
  <c r="L45" i="34" s="1"/>
  <c r="O46" i="34" s="1"/>
  <c r="BE43" i="33"/>
  <c r="BD43" i="33"/>
  <c r="BA43" i="33"/>
  <c r="BB43" i="33" s="1"/>
  <c r="AT43" i="33"/>
  <c r="AS43" i="33"/>
  <c r="AR43" i="33"/>
  <c r="AQ43" i="33"/>
  <c r="AN43" i="33"/>
  <c r="AM43" i="33"/>
  <c r="V43" i="33"/>
  <c r="U43" i="33"/>
  <c r="T43" i="33"/>
  <c r="S43" i="33"/>
  <c r="R43" i="33"/>
  <c r="Q43" i="33"/>
  <c r="L44" i="34" s="1"/>
  <c r="BE42" i="33"/>
  <c r="BD42" i="33"/>
  <c r="BA42" i="33"/>
  <c r="BB42" i="33" s="1"/>
  <c r="AT42" i="33"/>
  <c r="AS42" i="33"/>
  <c r="AR42" i="33"/>
  <c r="AQ42" i="33"/>
  <c r="AN42" i="33"/>
  <c r="T42" i="33"/>
  <c r="R42" i="33"/>
  <c r="Q42" i="33" s="1"/>
  <c r="L43" i="34" s="1"/>
  <c r="O44" i="34" s="1"/>
  <c r="BE41" i="33"/>
  <c r="BD41" i="33"/>
  <c r="BA41" i="33"/>
  <c r="BB41" i="33" s="1"/>
  <c r="AT41" i="33"/>
  <c r="AS41" i="33"/>
  <c r="AR41" i="33"/>
  <c r="AQ41" i="33"/>
  <c r="AN41" i="33"/>
  <c r="AF41" i="33"/>
  <c r="V41" i="33"/>
  <c r="R41" i="33"/>
  <c r="T41" i="33" s="1"/>
  <c r="Q41" i="33"/>
  <c r="L42" i="34" s="1"/>
  <c r="BD40" i="33"/>
  <c r="BE40" i="33" s="1"/>
  <c r="BA40" i="33"/>
  <c r="BB40" i="33" s="1"/>
  <c r="AT40" i="33"/>
  <c r="AS40" i="33"/>
  <c r="AR40" i="33"/>
  <c r="AQ40" i="33"/>
  <c r="AM40" i="33"/>
  <c r="AF40" i="33"/>
  <c r="AE40" i="33"/>
  <c r="R40" i="33"/>
  <c r="BD39" i="33"/>
  <c r="BE39" i="33" s="1"/>
  <c r="BA39" i="33"/>
  <c r="BB39" i="33" s="1"/>
  <c r="AT39" i="33"/>
  <c r="AS39" i="33"/>
  <c r="AR39" i="33"/>
  <c r="AQ39" i="33"/>
  <c r="R39" i="33"/>
  <c r="Q39" i="33" s="1"/>
  <c r="L40" i="34" s="1"/>
  <c r="BD38" i="33"/>
  <c r="BE38" i="33" s="1"/>
  <c r="BA38" i="33"/>
  <c r="BB38" i="33" s="1"/>
  <c r="AT38" i="33"/>
  <c r="AS38" i="33"/>
  <c r="AR38" i="33"/>
  <c r="AQ38" i="33"/>
  <c r="R38" i="33"/>
  <c r="U38" i="33" s="1"/>
  <c r="Q38" i="33"/>
  <c r="L39" i="34" s="1"/>
  <c r="BE37" i="33"/>
  <c r="BD37" i="33"/>
  <c r="BA37" i="33"/>
  <c r="BB37" i="33" s="1"/>
  <c r="AT37" i="33"/>
  <c r="AS37" i="33"/>
  <c r="AR37" i="33"/>
  <c r="AQ37" i="33"/>
  <c r="R37" i="33"/>
  <c r="S37" i="33" s="1"/>
  <c r="BE36" i="33"/>
  <c r="BD36" i="33"/>
  <c r="BA36" i="33"/>
  <c r="BB36" i="33" s="1"/>
  <c r="AT36" i="33"/>
  <c r="AS36" i="33"/>
  <c r="AR36" i="33"/>
  <c r="AQ36" i="33"/>
  <c r="AM36" i="33"/>
  <c r="AF36" i="33"/>
  <c r="AE36" i="33"/>
  <c r="R36" i="33"/>
  <c r="Q36" i="33"/>
  <c r="BD35" i="33"/>
  <c r="BE35" i="33" s="1"/>
  <c r="BA35" i="33"/>
  <c r="BB35" i="33" s="1"/>
  <c r="AT35" i="33"/>
  <c r="AS35" i="33"/>
  <c r="AR35" i="33"/>
  <c r="AQ35" i="33"/>
  <c r="AN35" i="33"/>
  <c r="AM35" i="33"/>
  <c r="AF35" i="33"/>
  <c r="AE35" i="33"/>
  <c r="V35" i="33"/>
  <c r="R35" i="33"/>
  <c r="Q35" i="33"/>
  <c r="L36" i="34" s="1"/>
  <c r="O37" i="34" s="1"/>
  <c r="BD34" i="33"/>
  <c r="BE34" i="33" s="1"/>
  <c r="BA34" i="33"/>
  <c r="BB34" i="33" s="1"/>
  <c r="AT34" i="33"/>
  <c r="AS34" i="33"/>
  <c r="AR34" i="33"/>
  <c r="AQ34" i="33"/>
  <c r="AN34" i="33"/>
  <c r="AM34" i="33"/>
  <c r="AF34" i="33"/>
  <c r="R34" i="33"/>
  <c r="Q34" i="33"/>
  <c r="L35" i="34" s="1"/>
  <c r="BE33" i="33"/>
  <c r="BD33" i="33"/>
  <c r="BA33" i="33"/>
  <c r="BB33" i="33" s="1"/>
  <c r="AT33" i="33"/>
  <c r="AS33" i="33"/>
  <c r="AR33" i="33"/>
  <c r="AQ33" i="33"/>
  <c r="AN33" i="33"/>
  <c r="AM33" i="33"/>
  <c r="AF33" i="33"/>
  <c r="AE33" i="33"/>
  <c r="V33" i="33"/>
  <c r="U33" i="33"/>
  <c r="T33" i="33"/>
  <c r="R33" i="33"/>
  <c r="K34" i="34" s="1"/>
  <c r="Q33" i="33"/>
  <c r="BD32" i="33"/>
  <c r="BE32" i="33" s="1"/>
  <c r="BA32" i="33"/>
  <c r="BB32" i="33" s="1"/>
  <c r="AT32" i="33"/>
  <c r="AS32" i="33"/>
  <c r="AR32" i="33"/>
  <c r="AQ32" i="33"/>
  <c r="AF32" i="33"/>
  <c r="AE32" i="33"/>
  <c r="AD32" i="33"/>
  <c r="AC32" i="33"/>
  <c r="AB32" i="33"/>
  <c r="AA32" i="33" s="1"/>
  <c r="R32" i="33"/>
  <c r="Q32" i="33"/>
  <c r="L33" i="34" s="1"/>
  <c r="O34" i="34" s="1"/>
  <c r="BE31" i="33"/>
  <c r="BD31" i="33"/>
  <c r="BA31" i="33"/>
  <c r="BB31" i="33" s="1"/>
  <c r="AT31" i="33"/>
  <c r="AS31" i="33"/>
  <c r="V31" i="33" s="1"/>
  <c r="AR31" i="33"/>
  <c r="AQ31" i="33"/>
  <c r="AN31" i="33"/>
  <c r="AM31" i="33"/>
  <c r="AF31" i="33"/>
  <c r="AE31" i="33"/>
  <c r="U31" i="33"/>
  <c r="T31" i="33"/>
  <c r="S31" i="33"/>
  <c r="R31" i="33"/>
  <c r="Q31" i="33"/>
  <c r="BD30" i="33"/>
  <c r="BE30" i="33" s="1"/>
  <c r="BA30" i="33"/>
  <c r="BB30" i="33" s="1"/>
  <c r="AT30" i="33"/>
  <c r="AS30" i="33"/>
  <c r="AR30" i="33"/>
  <c r="AQ30" i="33"/>
  <c r="R30" i="33"/>
  <c r="BE29" i="33"/>
  <c r="BD29" i="33"/>
  <c r="BA29" i="33"/>
  <c r="BB29" i="33" s="1"/>
  <c r="AT29" i="33"/>
  <c r="AS29" i="33"/>
  <c r="AR29" i="33"/>
  <c r="U29" i="33" s="1"/>
  <c r="AQ29" i="33"/>
  <c r="AN29" i="33"/>
  <c r="AM29" i="33"/>
  <c r="AE29" i="33"/>
  <c r="R29" i="33"/>
  <c r="AF29" i="33" s="1"/>
  <c r="Q29" i="33"/>
  <c r="BD28" i="33"/>
  <c r="BE28" i="33" s="1"/>
  <c r="BA28" i="33"/>
  <c r="BB28" i="33" s="1"/>
  <c r="AT28" i="33"/>
  <c r="AS28" i="33"/>
  <c r="AR28" i="33"/>
  <c r="AQ28" i="33"/>
  <c r="AN28" i="33"/>
  <c r="AM28" i="33"/>
  <c r="AL28" i="33"/>
  <c r="AK29" i="33" s="1"/>
  <c r="AF28" i="33"/>
  <c r="AB28" i="33" s="1"/>
  <c r="AA28" i="33" s="1"/>
  <c r="AE28" i="33"/>
  <c r="R28" i="33"/>
  <c r="K29" i="34" s="1"/>
  <c r="Q28" i="33"/>
  <c r="BD27" i="33"/>
  <c r="BE27" i="33" s="1"/>
  <c r="BA27" i="33"/>
  <c r="BB27" i="33" s="1"/>
  <c r="AT27" i="33"/>
  <c r="AS27" i="33"/>
  <c r="AR27" i="33"/>
  <c r="AQ27" i="33"/>
  <c r="AN27" i="33"/>
  <c r="AM27" i="33"/>
  <c r="AF27" i="33"/>
  <c r="AE27" i="33"/>
  <c r="AB27" i="33"/>
  <c r="AA27" i="33" s="1"/>
  <c r="U27" i="33"/>
  <c r="T27" i="33"/>
  <c r="S27" i="33"/>
  <c r="R27" i="33"/>
  <c r="Q27" i="33"/>
  <c r="BD26" i="33"/>
  <c r="BE26" i="33" s="1"/>
  <c r="BA26" i="33"/>
  <c r="BB26" i="33" s="1"/>
  <c r="AT26" i="33"/>
  <c r="AS26" i="33"/>
  <c r="AR26" i="33"/>
  <c r="AQ26" i="33"/>
  <c r="AN26" i="33"/>
  <c r="AF26" i="33"/>
  <c r="AD27" i="33" s="1"/>
  <c r="AC27" i="33" s="1"/>
  <c r="AE26" i="33"/>
  <c r="R26" i="33"/>
  <c r="Q26" i="33"/>
  <c r="L27" i="34" s="1"/>
  <c r="O28" i="34" s="1"/>
  <c r="BD25" i="33"/>
  <c r="BE25" i="33" s="1"/>
  <c r="BA25" i="33"/>
  <c r="BB25" i="33" s="1"/>
  <c r="AT25" i="33"/>
  <c r="AS25" i="33"/>
  <c r="AR25" i="33"/>
  <c r="AQ25" i="33"/>
  <c r="R25" i="33"/>
  <c r="BD24" i="33"/>
  <c r="BE24" i="33" s="1"/>
  <c r="BA24" i="33"/>
  <c r="BB24" i="33" s="1"/>
  <c r="AT24" i="33"/>
  <c r="AS24" i="33"/>
  <c r="AR24" i="33"/>
  <c r="T24" i="33" s="1"/>
  <c r="AQ24" i="33"/>
  <c r="AN24" i="33"/>
  <c r="AM24" i="33"/>
  <c r="AF24" i="33"/>
  <c r="AE24" i="33"/>
  <c r="V24" i="33"/>
  <c r="U24" i="33"/>
  <c r="R24" i="33"/>
  <c r="Q24" i="33"/>
  <c r="BD23" i="33"/>
  <c r="BE23" i="33" s="1"/>
  <c r="BA23" i="33"/>
  <c r="BB23" i="33" s="1"/>
  <c r="AT23" i="33"/>
  <c r="AS23" i="33"/>
  <c r="AR23" i="33"/>
  <c r="AQ23" i="33"/>
  <c r="R23" i="33"/>
  <c r="BE22" i="33"/>
  <c r="BD22" i="33"/>
  <c r="BA22" i="33"/>
  <c r="BB22" i="33" s="1"/>
  <c r="AT22" i="33"/>
  <c r="AS22" i="33"/>
  <c r="AR22" i="33"/>
  <c r="AQ22" i="33"/>
  <c r="AN22" i="33"/>
  <c r="AM22" i="33"/>
  <c r="AF22" i="33"/>
  <c r="R22" i="33"/>
  <c r="K23" i="34" s="1"/>
  <c r="Q22" i="33"/>
  <c r="L23" i="34" s="1"/>
  <c r="BD21" i="33"/>
  <c r="BE21" i="33" s="1"/>
  <c r="BA21" i="33"/>
  <c r="BB21" i="33" s="1"/>
  <c r="AT21" i="33"/>
  <c r="AS21" i="33"/>
  <c r="AR21" i="33"/>
  <c r="AQ21" i="33"/>
  <c r="AF21" i="33"/>
  <c r="AE21" i="33"/>
  <c r="U21" i="33"/>
  <c r="T21" i="33"/>
  <c r="R21" i="33"/>
  <c r="BD20" i="33"/>
  <c r="BE20" i="33" s="1"/>
  <c r="BA20" i="33"/>
  <c r="BB20" i="33" s="1"/>
  <c r="AT20" i="33"/>
  <c r="AS20" i="33"/>
  <c r="AR20" i="33"/>
  <c r="AQ20" i="33"/>
  <c r="AN20" i="33"/>
  <c r="AM20" i="33"/>
  <c r="V20" i="33"/>
  <c r="U20" i="33"/>
  <c r="T20" i="33"/>
  <c r="R20" i="33"/>
  <c r="Q20" i="33"/>
  <c r="L21" i="34" s="1"/>
  <c r="BD19" i="33"/>
  <c r="BE19" i="33" s="1"/>
  <c r="BA19" i="33"/>
  <c r="BB19" i="33" s="1"/>
  <c r="AT19" i="33"/>
  <c r="AS19" i="33"/>
  <c r="AR19" i="33"/>
  <c r="AQ19" i="33"/>
  <c r="T19" i="33"/>
  <c r="S19" i="33"/>
  <c r="R19" i="33"/>
  <c r="Q19" i="33" s="1"/>
  <c r="L20" i="34" s="1"/>
  <c r="O20" i="34" s="1"/>
  <c r="BD18" i="33"/>
  <c r="BE18" i="33" s="1"/>
  <c r="BA18" i="33"/>
  <c r="BB18" i="33" s="1"/>
  <c r="AT18" i="33"/>
  <c r="AS18" i="33"/>
  <c r="AR18" i="33"/>
  <c r="AQ18" i="33"/>
  <c r="AN18" i="33"/>
  <c r="AM18" i="33"/>
  <c r="AF18" i="33"/>
  <c r="V18" i="33"/>
  <c r="R18" i="33"/>
  <c r="Q18" i="33"/>
  <c r="BD17" i="33"/>
  <c r="BE17" i="33" s="1"/>
  <c r="BA17" i="33"/>
  <c r="BB17" i="33" s="1"/>
  <c r="AT17" i="33"/>
  <c r="AS17" i="33"/>
  <c r="AR17" i="33"/>
  <c r="AQ17" i="33"/>
  <c r="AN17" i="33"/>
  <c r="AL17" i="33"/>
  <c r="AK18" i="33" s="1"/>
  <c r="AF17" i="33"/>
  <c r="R17" i="33"/>
  <c r="Q17" i="33"/>
  <c r="L18" i="34" s="1"/>
  <c r="O19" i="34" s="1"/>
  <c r="BD16" i="33"/>
  <c r="BE16" i="33" s="1"/>
  <c r="BA16" i="33"/>
  <c r="BB16" i="33" s="1"/>
  <c r="AT16" i="33"/>
  <c r="AS16" i="33"/>
  <c r="AR16" i="33"/>
  <c r="AQ16" i="33"/>
  <c r="AN16" i="33"/>
  <c r="AM16" i="33"/>
  <c r="AF16" i="33"/>
  <c r="V16" i="33"/>
  <c r="U16" i="33"/>
  <c r="K17" i="34" s="1"/>
  <c r="T16" i="33"/>
  <c r="R16" i="33"/>
  <c r="Q16" i="33" s="1"/>
  <c r="L17" i="34" s="1"/>
  <c r="BD15" i="33"/>
  <c r="BE15" i="33" s="1"/>
  <c r="BA15" i="33"/>
  <c r="BB15" i="33" s="1"/>
  <c r="AT15" i="33"/>
  <c r="AS15" i="33"/>
  <c r="AR15" i="33"/>
  <c r="AQ15" i="33"/>
  <c r="R15" i="33"/>
  <c r="Q15" i="33"/>
  <c r="L16" i="34" s="1"/>
  <c r="O16" i="34" s="1"/>
  <c r="BE14" i="33"/>
  <c r="BD14" i="33"/>
  <c r="BA14" i="33"/>
  <c r="BB14" i="33" s="1"/>
  <c r="AT14" i="33"/>
  <c r="AS14" i="33"/>
  <c r="AR14" i="33"/>
  <c r="AQ14" i="33"/>
  <c r="AN14" i="33"/>
  <c r="AM14" i="33"/>
  <c r="V14" i="33"/>
  <c r="U14" i="33"/>
  <c r="K15" i="34" s="1"/>
  <c r="J15" i="34" s="1"/>
  <c r="R14" i="33"/>
  <c r="Q14" i="33"/>
  <c r="BD13" i="33"/>
  <c r="BE13" i="33" s="1"/>
  <c r="BA13" i="33"/>
  <c r="BB13" i="33" s="1"/>
  <c r="AT13" i="33"/>
  <c r="AS13" i="33"/>
  <c r="AR13" i="33"/>
  <c r="AQ13" i="33"/>
  <c r="AN13" i="33"/>
  <c r="AM13" i="33"/>
  <c r="AF13" i="33"/>
  <c r="AD12" i="33" s="1"/>
  <c r="AC12" i="33" s="1"/>
  <c r="R13" i="33"/>
  <c r="Q13" i="33"/>
  <c r="L14" i="34" s="1"/>
  <c r="O15" i="34" s="1"/>
  <c r="BD12" i="33"/>
  <c r="BE12" i="33" s="1"/>
  <c r="BA12" i="33"/>
  <c r="BB12" i="33" s="1"/>
  <c r="AT12" i="33"/>
  <c r="AS12" i="33"/>
  <c r="AR12" i="33"/>
  <c r="AQ12" i="33"/>
  <c r="AM12" i="33"/>
  <c r="AF12" i="33"/>
  <c r="V12" i="33"/>
  <c r="U12" i="33"/>
  <c r="K13" i="34" s="1"/>
  <c r="T12" i="33"/>
  <c r="S12" i="33"/>
  <c r="R12" i="33"/>
  <c r="BD11" i="33"/>
  <c r="BE11" i="33" s="1"/>
  <c r="BA11" i="33"/>
  <c r="BB11" i="33" s="1"/>
  <c r="AT11" i="33"/>
  <c r="AS11" i="33"/>
  <c r="AR11" i="33"/>
  <c r="AQ11" i="33"/>
  <c r="AN11" i="33"/>
  <c r="AM11" i="33"/>
  <c r="AF11" i="33"/>
  <c r="R11" i="33"/>
  <c r="V11" i="33" s="1"/>
  <c r="Q11" i="33"/>
  <c r="L12" i="34" s="1"/>
  <c r="BD10" i="33"/>
  <c r="BE10" i="33" s="1"/>
  <c r="BA10" i="33"/>
  <c r="BB10" i="33" s="1"/>
  <c r="AT10" i="33"/>
  <c r="AS10" i="33"/>
  <c r="AR10" i="33"/>
  <c r="AQ10" i="33"/>
  <c r="AN10" i="33"/>
  <c r="AM10" i="33"/>
  <c r="V10" i="33"/>
  <c r="U10" i="33"/>
  <c r="T10" i="33"/>
  <c r="R10" i="33"/>
  <c r="Q10" i="33"/>
  <c r="BE9" i="33"/>
  <c r="BD9" i="33"/>
  <c r="BA9" i="33"/>
  <c r="BB9" i="33" s="1"/>
  <c r="AT9" i="33"/>
  <c r="AS9" i="33"/>
  <c r="AR9" i="33"/>
  <c r="AQ9" i="33"/>
  <c r="X9" i="33"/>
  <c r="S9" i="33"/>
  <c r="R9" i="33"/>
  <c r="Q9" i="33"/>
  <c r="L10" i="34" s="1"/>
  <c r="BD8" i="33"/>
  <c r="BE8" i="33" s="1"/>
  <c r="BA8" i="33"/>
  <c r="BB8" i="33" s="1"/>
  <c r="AT8" i="33"/>
  <c r="AS8" i="33"/>
  <c r="AR8" i="33"/>
  <c r="AQ8" i="33"/>
  <c r="X8" i="33"/>
  <c r="X10" i="33" s="1"/>
  <c r="W32" i="39" s="1"/>
  <c r="R8" i="33"/>
  <c r="BD7" i="33"/>
  <c r="BE7" i="33" s="1"/>
  <c r="BA7" i="33"/>
  <c r="BB7" i="33" s="1"/>
  <c r="AT7" i="33"/>
  <c r="AS7" i="33"/>
  <c r="AR7" i="33"/>
  <c r="AQ7" i="33"/>
  <c r="AO7" i="33"/>
  <c r="AN7" i="33"/>
  <c r="AM7" i="33"/>
  <c r="AF7" i="33"/>
  <c r="X7" i="33"/>
  <c r="V7" i="33"/>
  <c r="U7" i="33"/>
  <c r="K8" i="34" s="1"/>
  <c r="J8" i="34" s="1"/>
  <c r="T7" i="33"/>
  <c r="S7" i="33"/>
  <c r="R7" i="33"/>
  <c r="Q7" i="33"/>
  <c r="L8" i="34" s="1"/>
  <c r="BG6" i="33"/>
  <c r="BE6" i="33"/>
  <c r="BD6" i="33"/>
  <c r="BA6" i="33"/>
  <c r="BB6" i="33" s="1"/>
  <c r="AT6" i="33"/>
  <c r="AS6" i="33"/>
  <c r="V6" i="33" s="1"/>
  <c r="AR6" i="33"/>
  <c r="AQ6" i="33"/>
  <c r="AO6" i="33"/>
  <c r="AN6" i="33"/>
  <c r="AM6" i="33"/>
  <c r="AL6" i="33"/>
  <c r="AK7" i="33" s="1"/>
  <c r="AJ6" i="33"/>
  <c r="AI6" i="33" s="1"/>
  <c r="AG6" i="33"/>
  <c r="AF6" i="33"/>
  <c r="AE6" i="33"/>
  <c r="X6" i="33"/>
  <c r="U6" i="33"/>
  <c r="T6" i="33"/>
  <c r="S6" i="33"/>
  <c r="R6" i="33"/>
  <c r="Q6" i="33"/>
  <c r="D21" i="47" l="1"/>
  <c r="AX61" i="46"/>
  <c r="DH84" i="46"/>
  <c r="CS91" i="46"/>
  <c r="DH106" i="46"/>
  <c r="DH59" i="46"/>
  <c r="AX112" i="46"/>
  <c r="DH60" i="46"/>
  <c r="CS90" i="46"/>
  <c r="AW65" i="46"/>
  <c r="AS89" i="46"/>
  <c r="AS99" i="46"/>
  <c r="CS34" i="46"/>
  <c r="CS28" i="46"/>
  <c r="AV61" i="46"/>
  <c r="AW61" i="46"/>
  <c r="CS66" i="46"/>
  <c r="AX87" i="46"/>
  <c r="DH95" i="46"/>
  <c r="AW42" i="46"/>
  <c r="DH18" i="46"/>
  <c r="DH54" i="46"/>
  <c r="DH12" i="46"/>
  <c r="AV11" i="46"/>
  <c r="AS84" i="46"/>
  <c r="AV106" i="46"/>
  <c r="AS12" i="46"/>
  <c r="CS12" i="46"/>
  <c r="AX42" i="46"/>
  <c r="AV81" i="46"/>
  <c r="AV111" i="46"/>
  <c r="DH40" i="46"/>
  <c r="DH64" i="46"/>
  <c r="AX47" i="46"/>
  <c r="AS70" i="46"/>
  <c r="AV105" i="46"/>
  <c r="AX108" i="46"/>
  <c r="DH110" i="46"/>
  <c r="DH13" i="46"/>
  <c r="DH36" i="46"/>
  <c r="AV86" i="46"/>
  <c r="CS11" i="46"/>
  <c r="AW86" i="46"/>
  <c r="DH98" i="46"/>
  <c r="AX43" i="46"/>
  <c r="AX48" i="46"/>
  <c r="AV66" i="46"/>
  <c r="AX72" i="46"/>
  <c r="AL20" i="47"/>
  <c r="AQ20" i="47"/>
  <c r="BF24" i="47"/>
  <c r="H23" i="47"/>
  <c r="AG23" i="47"/>
  <c r="DJ107" i="46"/>
  <c r="H24" i="47"/>
  <c r="AG24" i="47"/>
  <c r="AL24" i="47"/>
  <c r="AQ24" i="47"/>
  <c r="AV24" i="47"/>
  <c r="AX107" i="46"/>
  <c r="Q28" i="47"/>
  <c r="S28" i="47" s="1"/>
  <c r="U28" i="47" s="1"/>
  <c r="AX7" i="46"/>
  <c r="DH17" i="46"/>
  <c r="DH19" i="46"/>
  <c r="AX26" i="46"/>
  <c r="DH26" i="46"/>
  <c r="DH28" i="46"/>
  <c r="AS35" i="46"/>
  <c r="DH72" i="46"/>
  <c r="CS77" i="46"/>
  <c r="AX80" i="46"/>
  <c r="AV89" i="46"/>
  <c r="AX105" i="46"/>
  <c r="B19" i="47"/>
  <c r="AX40" i="46"/>
  <c r="DH82" i="46"/>
  <c r="AW89" i="46"/>
  <c r="AS106" i="46"/>
  <c r="AF28" i="47"/>
  <c r="AI28" i="47" s="1"/>
  <c r="AV7" i="46"/>
  <c r="AW26" i="46"/>
  <c r="AV38" i="46"/>
  <c r="DH62" i="46"/>
  <c r="AV35" i="46"/>
  <c r="CS37" i="46"/>
  <c r="AV63" i="46"/>
  <c r="AS72" i="46"/>
  <c r="AS81" i="46"/>
  <c r="DH46" i="46"/>
  <c r="CS56" i="46"/>
  <c r="DH73" i="46"/>
  <c r="CS108" i="46"/>
  <c r="AX41" i="46"/>
  <c r="AW45" i="46"/>
  <c r="DH55" i="46"/>
  <c r="AX66" i="46"/>
  <c r="AV72" i="46"/>
  <c r="DH83" i="46"/>
  <c r="AS107" i="46"/>
  <c r="G25" i="47" s="1"/>
  <c r="J25" i="47" s="1"/>
  <c r="DH107" i="46"/>
  <c r="AK28" i="47"/>
  <c r="AN28" i="47" s="1"/>
  <c r="DH91" i="46"/>
  <c r="AV107" i="46"/>
  <c r="DH108" i="46"/>
  <c r="AW107" i="46"/>
  <c r="AU28" i="47"/>
  <c r="AX28" i="47" s="1"/>
  <c r="AS100" i="46"/>
  <c r="CS106" i="46"/>
  <c r="CS14" i="46"/>
  <c r="AV18" i="46"/>
  <c r="CS69" i="46"/>
  <c r="DH94" i="46"/>
  <c r="DH24" i="46"/>
  <c r="CS51" i="46"/>
  <c r="DH15" i="46"/>
  <c r="CS48" i="46"/>
  <c r="CS93" i="46"/>
  <c r="CS26" i="46"/>
  <c r="CS71" i="46"/>
  <c r="AW72" i="46"/>
  <c r="CS105" i="46"/>
  <c r="DH10" i="46"/>
  <c r="CS21" i="46"/>
  <c r="DH29" i="46"/>
  <c r="AS46" i="46"/>
  <c r="AS56" i="46"/>
  <c r="CS70" i="46"/>
  <c r="DH20" i="46"/>
  <c r="CS58" i="46"/>
  <c r="AV68" i="46"/>
  <c r="AS91" i="46"/>
  <c r="AX6" i="46"/>
  <c r="DH21" i="46"/>
  <c r="DH38" i="46"/>
  <c r="DH47" i="46"/>
  <c r="AV56" i="46"/>
  <c r="AS11" i="46"/>
  <c r="AS21" i="46"/>
  <c r="AV37" i="46"/>
  <c r="DH39" i="46"/>
  <c r="AS42" i="46"/>
  <c r="AX51" i="46"/>
  <c r="AW56" i="46"/>
  <c r="AV65" i="46"/>
  <c r="AW91" i="46"/>
  <c r="CS19" i="46"/>
  <c r="AX34" i="46"/>
  <c r="CS35" i="46"/>
  <c r="AS47" i="46"/>
  <c r="DH48" i="46"/>
  <c r="DH58" i="46"/>
  <c r="DH66" i="46"/>
  <c r="DH93" i="46"/>
  <c r="AV100" i="46"/>
  <c r="DH101" i="46"/>
  <c r="CS89" i="46"/>
  <c r="AV21" i="46"/>
  <c r="DH31" i="46"/>
  <c r="DH75" i="46"/>
  <c r="AV84" i="46"/>
  <c r="DH92" i="46"/>
  <c r="AW100" i="46"/>
  <c r="CS18" i="46"/>
  <c r="CS20" i="46"/>
  <c r="AV47" i="46"/>
  <c r="DH57" i="46"/>
  <c r="DH76" i="46"/>
  <c r="DH100" i="46"/>
  <c r="BJ28" i="47"/>
  <c r="BM28" i="47" s="1"/>
  <c r="AS105" i="46"/>
  <c r="DH109" i="46"/>
  <c r="BU28" i="47"/>
  <c r="BX28" i="47" s="1"/>
  <c r="AS86" i="46"/>
  <c r="AS111" i="46"/>
  <c r="DH103" i="46"/>
  <c r="AW111" i="46"/>
  <c r="AK29" i="47"/>
  <c r="AM29" i="47" s="1"/>
  <c r="AV91" i="46"/>
  <c r="DH85" i="46"/>
  <c r="AX17" i="46"/>
  <c r="DH22" i="46"/>
  <c r="DH111" i="46"/>
  <c r="DH14" i="46"/>
  <c r="DH49" i="46"/>
  <c r="AW7" i="46"/>
  <c r="CS27" i="46"/>
  <c r="DH50" i="46"/>
  <c r="AX71" i="46"/>
  <c r="AV45" i="46"/>
  <c r="DH78" i="46"/>
  <c r="CS7" i="46"/>
  <c r="CS81" i="46"/>
  <c r="DH34" i="46"/>
  <c r="DH6" i="46"/>
  <c r="DH42" i="46"/>
  <c r="DH52" i="46"/>
  <c r="AS26" i="46"/>
  <c r="CS41" i="46"/>
  <c r="DH80" i="46"/>
  <c r="DH105" i="46"/>
  <c r="DH27" i="46"/>
  <c r="DH35" i="46"/>
  <c r="DH43" i="46"/>
  <c r="CS78" i="46"/>
  <c r="AV80" i="46"/>
  <c r="CS86" i="46"/>
  <c r="CS111" i="46"/>
  <c r="DH71" i="46"/>
  <c r="AW80" i="46"/>
  <c r="DH81" i="46"/>
  <c r="DH89" i="46"/>
  <c r="AW105" i="46"/>
  <c r="DG32" i="36"/>
  <c r="DI38" i="36"/>
  <c r="DP23" i="36"/>
  <c r="DM45" i="36"/>
  <c r="DL53" i="36"/>
  <c r="DX53" i="36"/>
  <c r="DG23" i="36"/>
  <c r="EE53" i="36"/>
  <c r="DQ23" i="36"/>
  <c r="DT32" i="36"/>
  <c r="EE32" i="36"/>
  <c r="DR23" i="36"/>
  <c r="EF32" i="36"/>
  <c r="EG32" i="36"/>
  <c r="DG38" i="36"/>
  <c r="DI28" i="36"/>
  <c r="EC32" i="36"/>
  <c r="DH38" i="36"/>
  <c r="DN52" i="36"/>
  <c r="DX52" i="36"/>
  <c r="DZ43" i="36"/>
  <c r="EA51" i="36"/>
  <c r="DF54" i="36"/>
  <c r="DW28" i="36"/>
  <c r="EB38" i="36"/>
  <c r="DH54" i="36"/>
  <c r="DU54" i="36"/>
  <c r="DP38" i="36"/>
  <c r="EC38" i="36"/>
  <c r="EE38" i="36"/>
  <c r="EG38" i="36"/>
  <c r="DH52" i="36"/>
  <c r="DJ52" i="36"/>
  <c r="ED54" i="36"/>
  <c r="DX51" i="36"/>
  <c r="DP49" i="36"/>
  <c r="D18" i="48"/>
  <c r="DG52" i="36"/>
  <c r="AT1" i="46"/>
  <c r="G1" i="47"/>
  <c r="F6" i="45"/>
  <c r="C36" i="42"/>
  <c r="K19" i="42"/>
  <c r="C37" i="42" s="1"/>
  <c r="DZ48" i="36"/>
  <c r="DY48" i="36"/>
  <c r="DX48" i="36"/>
  <c r="DL48" i="36"/>
  <c r="DK48" i="36"/>
  <c r="DE48" i="36"/>
  <c r="AX79" i="46"/>
  <c r="AS79" i="46"/>
  <c r="AX53" i="46"/>
  <c r="AW53" i="46"/>
  <c r="AV53" i="46"/>
  <c r="AS53" i="46"/>
  <c r="AW102" i="46"/>
  <c r="CS102" i="46"/>
  <c r="AX104" i="46"/>
  <c r="AW104" i="46"/>
  <c r="AV104" i="46"/>
  <c r="AS104" i="46"/>
  <c r="AX30" i="46"/>
  <c r="AS30" i="46"/>
  <c r="AW30" i="46"/>
  <c r="CS32" i="46"/>
  <c r="AV79" i="46"/>
  <c r="AW79" i="46"/>
  <c r="AX23" i="46"/>
  <c r="AS23" i="46"/>
  <c r="AW23" i="46"/>
  <c r="AS75" i="46"/>
  <c r="AX75" i="46"/>
  <c r="AW75" i="46"/>
  <c r="AL22" i="47"/>
  <c r="BK22" i="47"/>
  <c r="AV22" i="47"/>
  <c r="BF22" i="47"/>
  <c r="AQ22" i="47"/>
  <c r="AG22" i="47"/>
  <c r="BV22" i="47"/>
  <c r="BA22" i="47"/>
  <c r="H22" i="47"/>
  <c r="AS24" i="46"/>
  <c r="AW24" i="46"/>
  <c r="AV24" i="46"/>
  <c r="AX24" i="46"/>
  <c r="EF50" i="36"/>
  <c r="EE50" i="36"/>
  <c r="EA50" i="36"/>
  <c r="DZ50" i="36"/>
  <c r="DX50" i="36"/>
  <c r="DY50" i="36"/>
  <c r="DU50" i="36"/>
  <c r="DL50" i="36"/>
  <c r="DJ50" i="36"/>
  <c r="DI50" i="36"/>
  <c r="DH50" i="36"/>
  <c r="BP22" i="47"/>
  <c r="EF37" i="36"/>
  <c r="DJ37" i="36"/>
  <c r="DI37" i="36"/>
  <c r="DE37" i="36"/>
  <c r="EC37" i="36"/>
  <c r="DO37" i="36"/>
  <c r="ED37" i="36"/>
  <c r="CS9" i="46"/>
  <c r="CS62" i="46"/>
  <c r="AX60" i="46"/>
  <c r="AW60" i="46"/>
  <c r="AS60" i="46"/>
  <c r="AV60" i="46"/>
  <c r="AW110" i="46"/>
  <c r="AV110" i="46"/>
  <c r="AS110" i="46"/>
  <c r="AX110" i="46"/>
  <c r="AD17" i="47"/>
  <c r="K9" i="47" s="1"/>
  <c r="I6" i="42"/>
  <c r="E6" i="42"/>
  <c r="J6" i="42" s="1"/>
  <c r="M133" i="40"/>
  <c r="CS39" i="46"/>
  <c r="AX97" i="46"/>
  <c r="CS97" i="46"/>
  <c r="AW97" i="46"/>
  <c r="AV97" i="46"/>
  <c r="AS97" i="46"/>
  <c r="CS29" i="46"/>
  <c r="AX33" i="46"/>
  <c r="AW33" i="46"/>
  <c r="CS74" i="46"/>
  <c r="AS94" i="46"/>
  <c r="AV94" i="46"/>
  <c r="AX94" i="46"/>
  <c r="AW94" i="46"/>
  <c r="CS22" i="46"/>
  <c r="CS59" i="46"/>
  <c r="AS68" i="46"/>
  <c r="AS87" i="46"/>
  <c r="AW87" i="46"/>
  <c r="AV87" i="46"/>
  <c r="J15" i="42"/>
  <c r="CS36" i="46"/>
  <c r="DL51" i="36"/>
  <c r="DK51" i="36"/>
  <c r="DJ51" i="36"/>
  <c r="DI51" i="36"/>
  <c r="DG51" i="36"/>
  <c r="EG51" i="36"/>
  <c r="EE51" i="36"/>
  <c r="ED51" i="36"/>
  <c r="DU51" i="36"/>
  <c r="EF51" i="36"/>
  <c r="EC51" i="36"/>
  <c r="DE51" i="36"/>
  <c r="AW57" i="46"/>
  <c r="AV57" i="46"/>
  <c r="AS57" i="46"/>
  <c r="AX88" i="46"/>
  <c r="AW88" i="46"/>
  <c r="AV88" i="46"/>
  <c r="AS88" i="46"/>
  <c r="CS103" i="46"/>
  <c r="DJ105" i="46"/>
  <c r="DF51" i="36"/>
  <c r="I17" i="42"/>
  <c r="L17" i="42"/>
  <c r="E17" i="42"/>
  <c r="J17" i="42" s="1"/>
  <c r="F12" i="45"/>
  <c r="D22" i="47" s="1"/>
  <c r="D55" i="41"/>
  <c r="F5" i="45" s="1"/>
  <c r="AS25" i="46"/>
  <c r="AV28" i="46"/>
  <c r="AX28" i="46"/>
  <c r="AW28" i="46"/>
  <c r="CS30" i="46"/>
  <c r="AW50" i="46"/>
  <c r="AV50" i="46"/>
  <c r="AS50" i="46"/>
  <c r="CS52" i="46"/>
  <c r="AX65" i="46"/>
  <c r="AS65" i="46"/>
  <c r="CS67" i="46"/>
  <c r="AV21" i="47"/>
  <c r="BK21" i="47"/>
  <c r="AG21" i="47"/>
  <c r="AQ21" i="47"/>
  <c r="BA21" i="47"/>
  <c r="BP21" i="47"/>
  <c r="Q29" i="47"/>
  <c r="AU29" i="47"/>
  <c r="BU29" i="47"/>
  <c r="L29" i="47"/>
  <c r="AP29" i="47"/>
  <c r="AF29" i="47"/>
  <c r="AA29" i="47"/>
  <c r="BE29" i="47"/>
  <c r="V29" i="47"/>
  <c r="BO29" i="47"/>
  <c r="BJ29" i="47"/>
  <c r="DY49" i="36"/>
  <c r="DH51" i="36"/>
  <c r="I5" i="42"/>
  <c r="E5" i="42"/>
  <c r="J5" i="42" s="1"/>
  <c r="DJ106" i="46"/>
  <c r="CS60" i="46"/>
  <c r="CS83" i="46"/>
  <c r="G29" i="47"/>
  <c r="J29" i="47" s="1"/>
  <c r="DZ49" i="36"/>
  <c r="DM51" i="36"/>
  <c r="I10" i="42"/>
  <c r="CS16" i="46"/>
  <c r="AS18" i="46"/>
  <c r="AX58" i="46"/>
  <c r="AS58" i="46"/>
  <c r="AW58" i="46"/>
  <c r="AV58" i="46"/>
  <c r="H21" i="47"/>
  <c r="DO51" i="36"/>
  <c r="AX14" i="46"/>
  <c r="AW14" i="46"/>
  <c r="AV14" i="46"/>
  <c r="CS24" i="46"/>
  <c r="DT51" i="36"/>
  <c r="L15" i="42"/>
  <c r="I15" i="42"/>
  <c r="CS17" i="46"/>
  <c r="DH86" i="46"/>
  <c r="DJ51" i="46"/>
  <c r="DV51" i="36"/>
  <c r="DH41" i="46"/>
  <c r="CS46" i="46"/>
  <c r="AW47" i="46"/>
  <c r="AW112" i="46"/>
  <c r="DW51" i="36"/>
  <c r="L5" i="42"/>
  <c r="AW15" i="46"/>
  <c r="AV15" i="46"/>
  <c r="AS15" i="46"/>
  <c r="AX15" i="46"/>
  <c r="AX82" i="46"/>
  <c r="AW82" i="46"/>
  <c r="AV82" i="46"/>
  <c r="CS84" i="46"/>
  <c r="AW109" i="46"/>
  <c r="AV109" i="46"/>
  <c r="E11" i="42"/>
  <c r="I11" i="42"/>
  <c r="AX9" i="46"/>
  <c r="AW9" i="46"/>
  <c r="AV9" i="46"/>
  <c r="AW17" i="46"/>
  <c r="AV17" i="46"/>
  <c r="AS98" i="46"/>
  <c r="AV98" i="46"/>
  <c r="AX98" i="46"/>
  <c r="AW98" i="46"/>
  <c r="AX25" i="46"/>
  <c r="AW25" i="46"/>
  <c r="CS64" i="46"/>
  <c r="CS100" i="46"/>
  <c r="BB29" i="47"/>
  <c r="BD29" i="47" s="1"/>
  <c r="AX18" i="46"/>
  <c r="AW18" i="46"/>
  <c r="AW92" i="46"/>
  <c r="AV92" i="46"/>
  <c r="AS92" i="46"/>
  <c r="AX99" i="46"/>
  <c r="AW99" i="46"/>
  <c r="AV99" i="46"/>
  <c r="DH7" i="46"/>
  <c r="AW78" i="46"/>
  <c r="AV78" i="46"/>
  <c r="AS78" i="46"/>
  <c r="AX78" i="46"/>
  <c r="K8" i="42"/>
  <c r="CS13" i="46"/>
  <c r="AW40" i="46"/>
  <c r="AS40" i="46"/>
  <c r="AV40" i="46"/>
  <c r="AX89" i="46"/>
  <c r="AS112" i="46"/>
  <c r="AV112" i="46"/>
  <c r="I14" i="42"/>
  <c r="J14" i="42" s="1"/>
  <c r="AX11" i="46"/>
  <c r="AW11" i="46"/>
  <c r="DH45" i="46"/>
  <c r="CS49" i="46"/>
  <c r="CS50" i="46"/>
  <c r="CS65" i="46"/>
  <c r="CS73" i="46"/>
  <c r="AS82" i="46"/>
  <c r="BV21" i="47"/>
  <c r="AS10" i="46"/>
  <c r="AV10" i="46"/>
  <c r="AX10" i="46"/>
  <c r="AW10" i="46"/>
  <c r="CS63" i="46"/>
  <c r="CS94" i="46"/>
  <c r="BF21" i="47"/>
  <c r="BC29" i="47"/>
  <c r="CS88" i="46"/>
  <c r="CS6" i="46"/>
  <c r="AX63" i="46"/>
  <c r="AS63" i="46"/>
  <c r="CS54" i="46"/>
  <c r="CS101" i="46"/>
  <c r="EA38" i="36"/>
  <c r="DR38" i="36"/>
  <c r="DL38" i="36"/>
  <c r="DK38" i="36"/>
  <c r="EF38" i="36"/>
  <c r="CS40" i="46"/>
  <c r="CS53" i="46"/>
  <c r="DH56" i="46"/>
  <c r="AS73" i="46"/>
  <c r="AX73" i="46"/>
  <c r="AW73" i="46"/>
  <c r="K13" i="42"/>
  <c r="AW35" i="46"/>
  <c r="AS52" i="46"/>
  <c r="AV52" i="46"/>
  <c r="AX52" i="46"/>
  <c r="AW52" i="46"/>
  <c r="CS61" i="46"/>
  <c r="DH63" i="46"/>
  <c r="AW84" i="46"/>
  <c r="AX93" i="46"/>
  <c r="AV93" i="46"/>
  <c r="AW93" i="46"/>
  <c r="DH9" i="46"/>
  <c r="AS38" i="46"/>
  <c r="CS55" i="46"/>
  <c r="CS68" i="46"/>
  <c r="AX84" i="46"/>
  <c r="CS10" i="46"/>
  <c r="AW29" i="46"/>
  <c r="AV29" i="46"/>
  <c r="AS29" i="46"/>
  <c r="AX29" i="46"/>
  <c r="CS79" i="46"/>
  <c r="DH87" i="46"/>
  <c r="AW8" i="46"/>
  <c r="AV8" i="46"/>
  <c r="AS8" i="46"/>
  <c r="CS23" i="46"/>
  <c r="CS44" i="46"/>
  <c r="AX45" i="46"/>
  <c r="AV73" i="46"/>
  <c r="AX77" i="46"/>
  <c r="AS77" i="46"/>
  <c r="AW77" i="46"/>
  <c r="AV77" i="46"/>
  <c r="DG43" i="36"/>
  <c r="DW43" i="36"/>
  <c r="DV43" i="36"/>
  <c r="DU43" i="36"/>
  <c r="CS31" i="46"/>
  <c r="DH33" i="46"/>
  <c r="AW38" i="46"/>
  <c r="CS42" i="46"/>
  <c r="AS109" i="46"/>
  <c r="DY43" i="36"/>
  <c r="F9" i="45"/>
  <c r="AX16" i="46"/>
  <c r="AV16" i="46"/>
  <c r="AW16" i="46"/>
  <c r="AX22" i="46"/>
  <c r="CS25" i="46"/>
  <c r="AX38" i="46"/>
  <c r="AX70" i="46"/>
  <c r="AW70" i="46"/>
  <c r="AV70" i="46"/>
  <c r="CS72" i="46"/>
  <c r="K7" i="42"/>
  <c r="K12" i="42"/>
  <c r="AX20" i="46"/>
  <c r="AW49" i="46"/>
  <c r="AS49" i="46"/>
  <c r="G20" i="47" s="1"/>
  <c r="J20" i="47" s="1"/>
  <c r="AV49" i="46"/>
  <c r="CS57" i="46"/>
  <c r="DH65" i="46"/>
  <c r="AG20" i="47"/>
  <c r="AV20" i="47"/>
  <c r="BV20" i="47"/>
  <c r="BP20" i="47"/>
  <c r="H20" i="47"/>
  <c r="BA20" i="47"/>
  <c r="EG28" i="36"/>
  <c r="DH28" i="36"/>
  <c r="DF28" i="36"/>
  <c r="DR28" i="36"/>
  <c r="DN28" i="36"/>
  <c r="DQ28" i="36"/>
  <c r="DO28" i="36"/>
  <c r="DM28" i="36"/>
  <c r="DH23" i="46"/>
  <c r="AX37" i="46"/>
  <c r="AS37" i="46"/>
  <c r="CS45" i="46"/>
  <c r="AW85" i="46"/>
  <c r="AV85" i="46"/>
  <c r="AS85" i="46"/>
  <c r="AW12" i="46"/>
  <c r="AV12" i="46"/>
  <c r="AW19" i="46"/>
  <c r="AV19" i="46"/>
  <c r="AX19" i="46"/>
  <c r="AX67" i="46"/>
  <c r="AW67" i="46"/>
  <c r="CS98" i="46"/>
  <c r="CS109" i="46"/>
  <c r="AX13" i="46"/>
  <c r="CS15" i="46"/>
  <c r="AX74" i="46"/>
  <c r="AW74" i="46"/>
  <c r="AS74" i="46"/>
  <c r="CS104" i="46"/>
  <c r="CS110" i="46"/>
  <c r="DJ49" i="46"/>
  <c r="L9" i="42"/>
  <c r="I9" i="42"/>
  <c r="E9" i="42"/>
  <c r="J9" i="42" s="1"/>
  <c r="DH11" i="46"/>
  <c r="AW43" i="46"/>
  <c r="AV43" i="46"/>
  <c r="AS43" i="46"/>
  <c r="DH53" i="46"/>
  <c r="AX68" i="46"/>
  <c r="AW68" i="46"/>
  <c r="CS99" i="46"/>
  <c r="AW103" i="46"/>
  <c r="AV103" i="46"/>
  <c r="AS103" i="46"/>
  <c r="AX103" i="46"/>
  <c r="DX54" i="36"/>
  <c r="DW54" i="36"/>
  <c r="DV54" i="36"/>
  <c r="DT54" i="36"/>
  <c r="DH37" i="46"/>
  <c r="AX39" i="46"/>
  <c r="AW39" i="46"/>
  <c r="AX69" i="46"/>
  <c r="AS59" i="46"/>
  <c r="AW64" i="46"/>
  <c r="AV64" i="46"/>
  <c r="AS64" i="46"/>
  <c r="DH67" i="46"/>
  <c r="CS75" i="46"/>
  <c r="CS80" i="46"/>
  <c r="CS85" i="46"/>
  <c r="AS44" i="46"/>
  <c r="CS82" i="46"/>
  <c r="CS87" i="46"/>
  <c r="DH32" i="36"/>
  <c r="DK54" i="36"/>
  <c r="AX27" i="46"/>
  <c r="AV54" i="46"/>
  <c r="AV59" i="46"/>
  <c r="DH79" i="46"/>
  <c r="AX81" i="46"/>
  <c r="AW81" i="46"/>
  <c r="AX101" i="46"/>
  <c r="CS107" i="46"/>
  <c r="CS112" i="46"/>
  <c r="CS47" i="46"/>
  <c r="DI54" i="36"/>
  <c r="DH44" i="46"/>
  <c r="AX46" i="46"/>
  <c r="AW46" i="46"/>
  <c r="DJ54" i="36"/>
  <c r="EB32" i="36"/>
  <c r="DY32" i="36"/>
  <c r="DU32" i="36"/>
  <c r="DO32" i="36"/>
  <c r="DM32" i="36"/>
  <c r="DL54" i="36"/>
  <c r="AS17" i="46"/>
  <c r="AW22" i="46"/>
  <c r="AV22" i="46"/>
  <c r="AS22" i="46"/>
  <c r="DH25" i="46"/>
  <c r="CS33" i="46"/>
  <c r="CS38" i="46"/>
  <c r="AV39" i="46"/>
  <c r="CS43" i="46"/>
  <c r="AV44" i="46"/>
  <c r="AW54" i="46"/>
  <c r="AW59" i="46"/>
  <c r="DH99" i="46"/>
  <c r="CS8" i="46"/>
  <c r="AW36" i="46"/>
  <c r="AV36" i="46"/>
  <c r="AS36" i="46"/>
  <c r="AS54" i="46"/>
  <c r="AX76" i="46"/>
  <c r="CS92" i="46"/>
  <c r="AS39" i="46"/>
  <c r="AW71" i="46"/>
  <c r="AV71" i="46"/>
  <c r="AS71" i="46"/>
  <c r="DN32" i="36"/>
  <c r="DR54" i="36"/>
  <c r="DH30" i="46"/>
  <c r="AX32" i="46"/>
  <c r="AW32" i="46"/>
  <c r="AW44" i="46"/>
  <c r="AX59" i="46"/>
  <c r="AX62" i="46"/>
  <c r="AX64" i="46"/>
  <c r="DH104" i="46"/>
  <c r="AX106" i="46"/>
  <c r="AW106" i="46"/>
  <c r="BO28" i="47"/>
  <c r="DY52" i="36"/>
  <c r="G28" i="47"/>
  <c r="J28" i="47" s="1"/>
  <c r="AP28" i="47"/>
  <c r="L28" i="47"/>
  <c r="AS6" i="46"/>
  <c r="AS13" i="46"/>
  <c r="AS20" i="46"/>
  <c r="AS27" i="46"/>
  <c r="AS34" i="46"/>
  <c r="AS41" i="46"/>
  <c r="AS48" i="46"/>
  <c r="AS55" i="46"/>
  <c r="AS62" i="46"/>
  <c r="AS69" i="46"/>
  <c r="AS76" i="46"/>
  <c r="AS83" i="46"/>
  <c r="AS90" i="46"/>
  <c r="AS101" i="46"/>
  <c r="AS108" i="46"/>
  <c r="AZ28" i="47"/>
  <c r="V28" i="47"/>
  <c r="AV6" i="46"/>
  <c r="AV13" i="46"/>
  <c r="AV20" i="46"/>
  <c r="AV27" i="46"/>
  <c r="AV34" i="46"/>
  <c r="AV41" i="46"/>
  <c r="AV48" i="46"/>
  <c r="AV55" i="46"/>
  <c r="AV62" i="46"/>
  <c r="AV69" i="46"/>
  <c r="AV76" i="46"/>
  <c r="AV83" i="46"/>
  <c r="AV90" i="46"/>
  <c r="AV101" i="46"/>
  <c r="AV108" i="46"/>
  <c r="AW6" i="46"/>
  <c r="AW13" i="46"/>
  <c r="AW20" i="46"/>
  <c r="AW27" i="46"/>
  <c r="AW34" i="46"/>
  <c r="AW41" i="46"/>
  <c r="AW48" i="46"/>
  <c r="AW55" i="46"/>
  <c r="AW62" i="46"/>
  <c r="AW69" i="46"/>
  <c r="AW76" i="46"/>
  <c r="AW83" i="46"/>
  <c r="AW90" i="46"/>
  <c r="AW101" i="46"/>
  <c r="AW108" i="46"/>
  <c r="BE28" i="47"/>
  <c r="AL77" i="33"/>
  <c r="AK78" i="33" s="1"/>
  <c r="Q8" i="34"/>
  <c r="N82" i="34"/>
  <c r="J82" i="34"/>
  <c r="AJ73" i="33"/>
  <c r="AI73" i="33" s="1"/>
  <c r="AL73" i="33"/>
  <c r="AL72" i="33"/>
  <c r="AK73" i="33" s="1"/>
  <c r="I81" i="34"/>
  <c r="I82" i="34" s="1"/>
  <c r="I83" i="34" s="1"/>
  <c r="I84" i="34" s="1"/>
  <c r="I85" i="34" s="1"/>
  <c r="I86" i="34" s="1"/>
  <c r="I87" i="34" s="1"/>
  <c r="I88" i="34" s="1"/>
  <c r="AJ61" i="33"/>
  <c r="AI61" i="33" s="1"/>
  <c r="AL61" i="33"/>
  <c r="AK62" i="33" s="1"/>
  <c r="U18" i="33"/>
  <c r="K19" i="34" s="1"/>
  <c r="T18" i="33"/>
  <c r="S18" i="33"/>
  <c r="V23" i="33"/>
  <c r="AE23" i="33"/>
  <c r="AN23" i="33"/>
  <c r="AF23" i="33"/>
  <c r="AM23" i="33"/>
  <c r="Q23" i="33"/>
  <c r="L24" i="34" s="1"/>
  <c r="K24" i="34"/>
  <c r="AB33" i="33"/>
  <c r="AA33" i="33" s="1"/>
  <c r="AB34" i="33"/>
  <c r="AA34" i="33" s="1"/>
  <c r="AD33" i="33"/>
  <c r="AC33" i="33" s="1"/>
  <c r="AB54" i="33"/>
  <c r="AD54" i="33"/>
  <c r="AC54" i="33" s="1"/>
  <c r="HU16" i="36"/>
  <c r="GQ16" i="36"/>
  <c r="FM16" i="36"/>
  <c r="BZ16" i="36"/>
  <c r="AV16" i="36"/>
  <c r="HS16" i="36"/>
  <c r="GO16" i="36"/>
  <c r="GO57" i="36" s="1"/>
  <c r="DC16" i="36"/>
  <c r="BY16" i="36"/>
  <c r="AU16" i="36"/>
  <c r="IG16" i="36"/>
  <c r="HC16" i="36"/>
  <c r="FY16" i="36"/>
  <c r="CM16" i="36"/>
  <c r="BI16" i="36"/>
  <c r="IF16" i="36"/>
  <c r="GY16" i="36"/>
  <c r="GY57" i="36" s="1"/>
  <c r="FR16" i="36"/>
  <c r="BV16" i="36"/>
  <c r="AN16" i="36"/>
  <c r="IE16" i="36"/>
  <c r="GX16" i="36"/>
  <c r="FQ16" i="36"/>
  <c r="DB16" i="36"/>
  <c r="BU16" i="36"/>
  <c r="AM16" i="36"/>
  <c r="HL16" i="36"/>
  <c r="GE16" i="36"/>
  <c r="CJ16" i="36"/>
  <c r="BB16" i="36"/>
  <c r="IB16" i="36"/>
  <c r="GR16" i="36"/>
  <c r="CN16" i="36"/>
  <c r="BA16" i="36"/>
  <c r="IA16" i="36"/>
  <c r="GN16" i="36"/>
  <c r="CL16" i="36"/>
  <c r="AZ16" i="36"/>
  <c r="HG16" i="36"/>
  <c r="FU16" i="36"/>
  <c r="CZ16" i="36"/>
  <c r="BO16" i="36"/>
  <c r="HF16" i="36"/>
  <c r="FT16" i="36"/>
  <c r="CY16" i="36"/>
  <c r="BN16" i="36"/>
  <c r="HD16" i="36"/>
  <c r="CP16" i="36"/>
  <c r="AT16" i="36"/>
  <c r="HB16" i="36"/>
  <c r="CK16" i="36"/>
  <c r="AS16" i="36"/>
  <c r="HV16" i="36"/>
  <c r="GD16" i="36"/>
  <c r="BL16" i="36"/>
  <c r="HR16" i="36"/>
  <c r="GC16" i="36"/>
  <c r="BK16" i="36"/>
  <c r="GT16" i="36"/>
  <c r="BP16" i="36"/>
  <c r="BH16" i="36"/>
  <c r="GS16" i="36"/>
  <c r="BM16" i="36"/>
  <c r="GM16" i="36"/>
  <c r="GL16" i="36"/>
  <c r="BJ16" i="36"/>
  <c r="HN16" i="36"/>
  <c r="FO16" i="36"/>
  <c r="CF16" i="36"/>
  <c r="AI16" i="36"/>
  <c r="HM16" i="36"/>
  <c r="FN16" i="36"/>
  <c r="CE16" i="36"/>
  <c r="AH16" i="36"/>
  <c r="GH16" i="36"/>
  <c r="CR16" i="36"/>
  <c r="CD16" i="36"/>
  <c r="FX16" i="36"/>
  <c r="FW16" i="36"/>
  <c r="CB16" i="36"/>
  <c r="ID16" i="36"/>
  <c r="GG16" i="36"/>
  <c r="CQ16" i="36"/>
  <c r="CH16" i="36"/>
  <c r="CC16" i="36"/>
  <c r="FV16" i="36"/>
  <c r="CA16" i="36"/>
  <c r="GF16" i="36"/>
  <c r="CI16" i="36"/>
  <c r="CI57" i="36" s="1"/>
  <c r="GB16" i="36"/>
  <c r="FZ16" i="36"/>
  <c r="IH16" i="36"/>
  <c r="HJ16" i="36"/>
  <c r="AY16" i="36"/>
  <c r="HI16" i="36"/>
  <c r="AX16" i="36"/>
  <c r="HH16" i="36"/>
  <c r="AW16" i="36"/>
  <c r="HA16" i="36"/>
  <c r="AR16" i="36"/>
  <c r="GZ16" i="36"/>
  <c r="DA16" i="36"/>
  <c r="AQ16" i="36"/>
  <c r="GW16" i="36"/>
  <c r="CX16" i="36"/>
  <c r="AO16" i="36"/>
  <c r="GV16" i="36"/>
  <c r="CW16" i="36"/>
  <c r="AL16" i="36"/>
  <c r="BS16" i="36"/>
  <c r="IC16" i="36"/>
  <c r="BR16" i="36"/>
  <c r="HZ16" i="36"/>
  <c r="BQ16" i="36"/>
  <c r="FS16" i="36"/>
  <c r="FP16" i="36"/>
  <c r="IA23" i="36"/>
  <c r="GW23" i="36"/>
  <c r="FS23" i="36"/>
  <c r="CF23" i="36"/>
  <c r="BB23" i="36"/>
  <c r="HZ23" i="36"/>
  <c r="GV23" i="36"/>
  <c r="FR23" i="36"/>
  <c r="CE23" i="36"/>
  <c r="BA23" i="36"/>
  <c r="HY23" i="36"/>
  <c r="GU23" i="36"/>
  <c r="FQ23" i="36"/>
  <c r="CD23" i="36"/>
  <c r="AZ23" i="36"/>
  <c r="HI23" i="36"/>
  <c r="GE23" i="36"/>
  <c r="CS23" i="36"/>
  <c r="BN23" i="36"/>
  <c r="AJ23" i="36"/>
  <c r="HH23" i="36"/>
  <c r="FY23" i="36"/>
  <c r="BW23" i="36"/>
  <c r="AN23" i="36"/>
  <c r="HG23" i="36"/>
  <c r="FX23" i="36"/>
  <c r="BV23" i="36"/>
  <c r="AM23" i="36"/>
  <c r="HV23" i="36"/>
  <c r="GM23" i="36"/>
  <c r="CM23" i="36"/>
  <c r="BD23" i="36"/>
  <c r="HX23" i="36"/>
  <c r="GK23" i="36"/>
  <c r="BX23" i="36"/>
  <c r="AI23" i="36"/>
  <c r="HW23" i="36"/>
  <c r="GJ23" i="36"/>
  <c r="BU23" i="36"/>
  <c r="AH23" i="36"/>
  <c r="HA23" i="36"/>
  <c r="FM23" i="36"/>
  <c r="CN23" i="36"/>
  <c r="AX23" i="36"/>
  <c r="GX23" i="36"/>
  <c r="BR23" i="36"/>
  <c r="BP23" i="36"/>
  <c r="GT23" i="36"/>
  <c r="BQ23" i="36"/>
  <c r="GS23" i="36"/>
  <c r="HN23" i="36"/>
  <c r="FV23" i="36"/>
  <c r="CL23" i="36"/>
  <c r="AT23" i="36"/>
  <c r="HM23" i="36"/>
  <c r="FU23" i="36"/>
  <c r="CK23" i="36"/>
  <c r="AS23" i="36"/>
  <c r="HJ23" i="36"/>
  <c r="DA23" i="36"/>
  <c r="BF23" i="36"/>
  <c r="HF23" i="36"/>
  <c r="CZ23" i="36"/>
  <c r="BC23" i="36"/>
  <c r="ID23" i="36"/>
  <c r="GC23" i="36"/>
  <c r="BZ23" i="36"/>
  <c r="IC23" i="36"/>
  <c r="GB23" i="36"/>
  <c r="BY23" i="36"/>
  <c r="GL23" i="36"/>
  <c r="BM23" i="36"/>
  <c r="GG23" i="36"/>
  <c r="BJ23" i="36"/>
  <c r="GI23" i="36"/>
  <c r="BL23" i="36"/>
  <c r="GH23" i="36"/>
  <c r="BK23" i="36"/>
  <c r="HL23" i="36"/>
  <c r="CR23" i="36"/>
  <c r="HK23" i="36"/>
  <c r="CQ23" i="36"/>
  <c r="HR23" i="36"/>
  <c r="BS23" i="36"/>
  <c r="BG23" i="36"/>
  <c r="HB23" i="36"/>
  <c r="GZ23" i="36"/>
  <c r="AV23" i="36"/>
  <c r="HQ23" i="36"/>
  <c r="BO23" i="36"/>
  <c r="HD23" i="36"/>
  <c r="AY23" i="36"/>
  <c r="HP23" i="36"/>
  <c r="BI23" i="36"/>
  <c r="HO23" i="36"/>
  <c r="BH23" i="36"/>
  <c r="HC23" i="36"/>
  <c r="AW23" i="36"/>
  <c r="FT23" i="36"/>
  <c r="CW23" i="36"/>
  <c r="FP23" i="36"/>
  <c r="CV23" i="36"/>
  <c r="FO23" i="36"/>
  <c r="CU23" i="36"/>
  <c r="FN23" i="36"/>
  <c r="CT23" i="36"/>
  <c r="IH23" i="36"/>
  <c r="CP23" i="36"/>
  <c r="IG23" i="36"/>
  <c r="CJ23" i="36"/>
  <c r="IF23" i="36"/>
  <c r="CI23" i="36"/>
  <c r="GO23" i="36"/>
  <c r="CH23" i="36"/>
  <c r="GN23" i="36"/>
  <c r="CC23" i="36"/>
  <c r="GD23" i="36"/>
  <c r="CA23" i="36"/>
  <c r="FZ23" i="36"/>
  <c r="AU23" i="36"/>
  <c r="AQ23" i="36"/>
  <c r="FW23" i="36"/>
  <c r="AR23" i="36"/>
  <c r="GQ23" i="36"/>
  <c r="S23" i="33"/>
  <c r="AD35" i="33"/>
  <c r="AC35" i="33" s="1"/>
  <c r="AB35" i="33"/>
  <c r="AA35" i="33" s="1"/>
  <c r="O48" i="34"/>
  <c r="O47" i="34"/>
  <c r="AJ72" i="33"/>
  <c r="AI72" i="33" s="1"/>
  <c r="BC102" i="33"/>
  <c r="AJ16" i="36"/>
  <c r="AK23" i="36"/>
  <c r="GR23" i="36"/>
  <c r="T23" i="33"/>
  <c r="Q25" i="33"/>
  <c r="L26" i="34" s="1"/>
  <c r="O27" i="34" s="1"/>
  <c r="AF25" i="33"/>
  <c r="AM25" i="33"/>
  <c r="AE25" i="33"/>
  <c r="K26" i="34"/>
  <c r="AD64" i="33"/>
  <c r="AC64" i="33" s="1"/>
  <c r="AB64" i="33"/>
  <c r="AA64" i="33" s="1"/>
  <c r="AL83" i="33"/>
  <c r="AK84" i="33" s="1"/>
  <c r="AJ83" i="33"/>
  <c r="AI83" i="33" s="1"/>
  <c r="AL85" i="33"/>
  <c r="AK86" i="33" s="1"/>
  <c r="AJ84" i="33"/>
  <c r="AI84" i="33" s="1"/>
  <c r="AK16" i="36"/>
  <c r="AL23" i="36"/>
  <c r="GY23" i="36"/>
  <c r="E73" i="37"/>
  <c r="I14" i="37"/>
  <c r="I73" i="37" s="1"/>
  <c r="U23" i="33"/>
  <c r="S25" i="33"/>
  <c r="S44" i="33"/>
  <c r="AE45" i="33" s="1"/>
  <c r="AE67" i="33"/>
  <c r="V67" i="33"/>
  <c r="AF67" i="33"/>
  <c r="AN67" i="33"/>
  <c r="AM67" i="33"/>
  <c r="Q67" i="33"/>
  <c r="L68" i="34" s="1"/>
  <c r="O69" i="34" s="1"/>
  <c r="K68" i="34"/>
  <c r="AB70" i="33"/>
  <c r="AA70" i="33" s="1"/>
  <c r="S86" i="33"/>
  <c r="V86" i="33"/>
  <c r="T86" i="33"/>
  <c r="J102" i="34"/>
  <c r="BC16" i="36"/>
  <c r="AO23" i="36"/>
  <c r="HS23" i="36"/>
  <c r="T25" i="33"/>
  <c r="T44" i="33"/>
  <c r="AB58" i="33"/>
  <c r="AA58" i="33" s="1"/>
  <c r="AD58" i="33"/>
  <c r="S67" i="33"/>
  <c r="AL79" i="33"/>
  <c r="AK80" i="33" s="1"/>
  <c r="AJ79" i="33"/>
  <c r="AI79" i="33" s="1"/>
  <c r="AE97" i="33"/>
  <c r="V97" i="33"/>
  <c r="Q97" i="33"/>
  <c r="L97" i="34" s="1"/>
  <c r="O98" i="34" s="1"/>
  <c r="AF97" i="33"/>
  <c r="K98" i="34"/>
  <c r="N56" i="34"/>
  <c r="Q56" i="34" s="1"/>
  <c r="BD16" i="36"/>
  <c r="CB23" i="36"/>
  <c r="HU23" i="36"/>
  <c r="U25" i="33"/>
  <c r="T67" i="33"/>
  <c r="S97" i="33"/>
  <c r="V103" i="33"/>
  <c r="U103" i="33"/>
  <c r="AN103" i="33"/>
  <c r="K104" i="34"/>
  <c r="AM103" i="33"/>
  <c r="AF103" i="33"/>
  <c r="AD103" i="33" s="1"/>
  <c r="O21" i="34"/>
  <c r="N50" i="34"/>
  <c r="R56" i="34"/>
  <c r="J109" i="34"/>
  <c r="N110" i="34"/>
  <c r="BF16" i="36"/>
  <c r="CX23" i="36"/>
  <c r="IB23" i="36"/>
  <c r="AM15" i="33"/>
  <c r="AF15" i="33"/>
  <c r="U15" i="33"/>
  <c r="K16" i="34" s="1"/>
  <c r="T15" i="33"/>
  <c r="V15" i="33"/>
  <c r="AN15" i="33"/>
  <c r="V25" i="33"/>
  <c r="AJ62" i="33"/>
  <c r="AI62" i="33" s="1"/>
  <c r="AL62" i="33"/>
  <c r="AK63" i="33" s="1"/>
  <c r="U67" i="33"/>
  <c r="T97" i="33"/>
  <c r="AE99" i="33"/>
  <c r="AF99" i="33"/>
  <c r="V99" i="33"/>
  <c r="U99" i="33"/>
  <c r="AN99" i="33"/>
  <c r="AJ100" i="33" s="1"/>
  <c r="AI100" i="33" s="1"/>
  <c r="K100" i="34"/>
  <c r="AM99" i="33"/>
  <c r="S103" i="33"/>
  <c r="BG16" i="36"/>
  <c r="CY23" i="36"/>
  <c r="IE23" i="36"/>
  <c r="S15" i="33"/>
  <c r="AE16" i="33" s="1"/>
  <c r="AN25" i="33"/>
  <c r="AJ25" i="33" s="1"/>
  <c r="AI25" i="33" s="1"/>
  <c r="T29" i="33"/>
  <c r="AJ58" i="33"/>
  <c r="AI58" i="33" s="1"/>
  <c r="U97" i="33"/>
  <c r="S99" i="33"/>
  <c r="T103" i="33"/>
  <c r="KD57" i="36"/>
  <c r="BW16" i="36"/>
  <c r="BW57" i="36" s="1"/>
  <c r="DB23" i="36"/>
  <c r="T99" i="33"/>
  <c r="S101" i="33"/>
  <c r="K38" i="34"/>
  <c r="G121" i="34"/>
  <c r="IC14" i="36"/>
  <c r="GY14" i="36"/>
  <c r="FU14" i="36"/>
  <c r="CI14" i="36"/>
  <c r="BD14" i="36"/>
  <c r="BD57" i="36" s="1"/>
  <c r="IB14" i="36"/>
  <c r="GX14" i="36"/>
  <c r="FT14" i="36"/>
  <c r="FT57" i="36" s="1"/>
  <c r="CH14" i="36"/>
  <c r="BC14" i="36"/>
  <c r="HL14" i="36"/>
  <c r="GH14" i="36"/>
  <c r="CV14" i="36"/>
  <c r="BQ14" i="36"/>
  <c r="AM14" i="36"/>
  <c r="IF14" i="36"/>
  <c r="GW14" i="36"/>
  <c r="FP14" i="36"/>
  <c r="BW14" i="36"/>
  <c r="AO14" i="36"/>
  <c r="AO57" i="36" s="1"/>
  <c r="IE14" i="36"/>
  <c r="IE57" i="36" s="1"/>
  <c r="GV14" i="36"/>
  <c r="FO14" i="36"/>
  <c r="DC14" i="36"/>
  <c r="BV14" i="36"/>
  <c r="AN14" i="36"/>
  <c r="HK14" i="36"/>
  <c r="GD14" i="36"/>
  <c r="CK14" i="36"/>
  <c r="BA14" i="36"/>
  <c r="HS14" i="36"/>
  <c r="GI14" i="36"/>
  <c r="CD14" i="36"/>
  <c r="AT14" i="36"/>
  <c r="HR14" i="36"/>
  <c r="GG14" i="36"/>
  <c r="CC14" i="36"/>
  <c r="AS14" i="36"/>
  <c r="GU14" i="36"/>
  <c r="CT14" i="36"/>
  <c r="BI14" i="36"/>
  <c r="IH14" i="36"/>
  <c r="GT14" i="36"/>
  <c r="CS14" i="36"/>
  <c r="BH14" i="36"/>
  <c r="HX14" i="36"/>
  <c r="GF14" i="36"/>
  <c r="BP14" i="36"/>
  <c r="HW14" i="36"/>
  <c r="GE14" i="36"/>
  <c r="BO14" i="36"/>
  <c r="HA14" i="36"/>
  <c r="CJ14" i="36"/>
  <c r="AQ14" i="36"/>
  <c r="GZ14" i="36"/>
  <c r="CF14" i="36"/>
  <c r="AL14" i="36"/>
  <c r="HI14" i="36"/>
  <c r="CB14" i="36"/>
  <c r="BZ14" i="36"/>
  <c r="HF14" i="36"/>
  <c r="BY14" i="36"/>
  <c r="HH14" i="36"/>
  <c r="CA14" i="36"/>
  <c r="HG14" i="36"/>
  <c r="IA14" i="36"/>
  <c r="GB14" i="36"/>
  <c r="CY14" i="36"/>
  <c r="AY14" i="36"/>
  <c r="HZ14" i="36"/>
  <c r="FZ14" i="36"/>
  <c r="CX14" i="36"/>
  <c r="AX14" i="36"/>
  <c r="HN14" i="36"/>
  <c r="BL14" i="36"/>
  <c r="HD14" i="36"/>
  <c r="HC14" i="36"/>
  <c r="GS14" i="36"/>
  <c r="HM14" i="36"/>
  <c r="BK14" i="36"/>
  <c r="BG14" i="36"/>
  <c r="BF14" i="36"/>
  <c r="GR14" i="36"/>
  <c r="AW14" i="36"/>
  <c r="HJ14" i="36"/>
  <c r="BJ14" i="36"/>
  <c r="HB14" i="36"/>
  <c r="BB14" i="36"/>
  <c r="AZ14" i="36"/>
  <c r="FX14" i="36"/>
  <c r="CP14" i="36"/>
  <c r="FW14" i="36"/>
  <c r="CN14" i="36"/>
  <c r="CN57" i="36" s="1"/>
  <c r="FV14" i="36"/>
  <c r="CM14" i="36"/>
  <c r="IG14" i="36"/>
  <c r="IG57" i="36" s="1"/>
  <c r="FS14" i="36"/>
  <c r="CL14" i="36"/>
  <c r="ID14" i="36"/>
  <c r="FR14" i="36"/>
  <c r="CE14" i="36"/>
  <c r="HY14" i="36"/>
  <c r="FQ14" i="36"/>
  <c r="BX14" i="36"/>
  <c r="HV14" i="36"/>
  <c r="FN14" i="36"/>
  <c r="BU14" i="36"/>
  <c r="GM14" i="36"/>
  <c r="BR14" i="36"/>
  <c r="GL14" i="36"/>
  <c r="BN14" i="36"/>
  <c r="GK14" i="36"/>
  <c r="BM14" i="36"/>
  <c r="DB14" i="36"/>
  <c r="FM14" i="36"/>
  <c r="BX16" i="36"/>
  <c r="DC23" i="36"/>
  <c r="V21" i="33"/>
  <c r="S21" i="33"/>
  <c r="AD26" i="33"/>
  <c r="AC26" i="33" s="1"/>
  <c r="O43" i="34"/>
  <c r="AN49" i="33"/>
  <c r="AJ50" i="33" s="1"/>
  <c r="AI50" i="33" s="1"/>
  <c r="AM49" i="33"/>
  <c r="AF49" i="33"/>
  <c r="AD49" i="33" s="1"/>
  <c r="AC49" i="33" s="1"/>
  <c r="V49" i="33"/>
  <c r="U49" i="33"/>
  <c r="T49" i="33"/>
  <c r="S49" i="33"/>
  <c r="K50" i="34"/>
  <c r="V51" i="33"/>
  <c r="U51" i="33"/>
  <c r="K52" i="34" s="1"/>
  <c r="T51" i="33"/>
  <c r="S51" i="33"/>
  <c r="AE51" i="33" s="1"/>
  <c r="AM97" i="33"/>
  <c r="AH14" i="36"/>
  <c r="FY14" i="36"/>
  <c r="CS16" i="36"/>
  <c r="AE49" i="33"/>
  <c r="AF51" i="33"/>
  <c r="U85" i="33"/>
  <c r="AN97" i="33"/>
  <c r="O111" i="34"/>
  <c r="T112" i="33"/>
  <c r="O96" i="34"/>
  <c r="AI14" i="36"/>
  <c r="GC14" i="36"/>
  <c r="CT16" i="36"/>
  <c r="AF114" i="33"/>
  <c r="AE114" i="33"/>
  <c r="AN114" i="33"/>
  <c r="V114" i="33"/>
  <c r="AM114" i="33"/>
  <c r="U86" i="33"/>
  <c r="IV57" i="36"/>
  <c r="HX16" i="36"/>
  <c r="T39" i="33"/>
  <c r="S39" i="33"/>
  <c r="AN39" i="33"/>
  <c r="AF39" i="33"/>
  <c r="AM39" i="33"/>
  <c r="K40" i="34"/>
  <c r="U39" i="33"/>
  <c r="AO55" i="33"/>
  <c r="V77" i="33"/>
  <c r="U77" i="33"/>
  <c r="K78" i="34" s="1"/>
  <c r="Q77" i="33"/>
  <c r="L78" i="34" s="1"/>
  <c r="AN77" i="33"/>
  <c r="AM77" i="33"/>
  <c r="EZ12" i="36"/>
  <c r="FE12" i="36"/>
  <c r="FD12" i="36"/>
  <c r="EL12" i="36"/>
  <c r="FJ12" i="36"/>
  <c r="FI12" i="36"/>
  <c r="EO12" i="36"/>
  <c r="EN12" i="36"/>
  <c r="ET12" i="36"/>
  <c r="ES12" i="36"/>
  <c r="FK12" i="36"/>
  <c r="FH12" i="36"/>
  <c r="EK12" i="36"/>
  <c r="EI12" i="36"/>
  <c r="EJ12" i="36"/>
  <c r="FC12" i="36"/>
  <c r="FC57" i="36" s="1"/>
  <c r="FB12" i="36"/>
  <c r="ER12" i="36"/>
  <c r="EQ12" i="36"/>
  <c r="EP12" i="36"/>
  <c r="EP57" i="36" s="1"/>
  <c r="EM12" i="36"/>
  <c r="FG12" i="36"/>
  <c r="FF12" i="36"/>
  <c r="FA12" i="36"/>
  <c r="EU12" i="36"/>
  <c r="L187" i="37"/>
  <c r="L141" i="37"/>
  <c r="S29" i="33"/>
  <c r="V29" i="33"/>
  <c r="AE37" i="33"/>
  <c r="AF37" i="33"/>
  <c r="Q37" i="33"/>
  <c r="L38" i="34" s="1"/>
  <c r="O39" i="34" s="1"/>
  <c r="AN37" i="33"/>
  <c r="AM37" i="33"/>
  <c r="AE64" i="33"/>
  <c r="AN64" i="33"/>
  <c r="AL64" i="33" s="1"/>
  <c r="AK65" i="33" s="1"/>
  <c r="AM64" i="33"/>
  <c r="Q64" i="33"/>
  <c r="L65" i="34" s="1"/>
  <c r="AF64" i="33"/>
  <c r="S64" i="33"/>
  <c r="AE65" i="33" s="1"/>
  <c r="J111" i="34"/>
  <c r="I154" i="37"/>
  <c r="Q8" i="33"/>
  <c r="L9" i="34" s="1"/>
  <c r="O10" i="34" s="1"/>
  <c r="K9" i="34"/>
  <c r="AF8" i="33"/>
  <c r="AN8" i="33"/>
  <c r="AM8" i="33"/>
  <c r="AO8" i="33" s="1"/>
  <c r="V8" i="33"/>
  <c r="U8" i="33"/>
  <c r="T58" i="33"/>
  <c r="S58" i="33"/>
  <c r="AN58" i="33"/>
  <c r="AM58" i="33"/>
  <c r="AF58" i="33"/>
  <c r="T64" i="33"/>
  <c r="T8" i="33"/>
  <c r="U37" i="33"/>
  <c r="V58" i="33"/>
  <c r="GJ16" i="36"/>
  <c r="HV38" i="36"/>
  <c r="GR38" i="36"/>
  <c r="FN38" i="36"/>
  <c r="CA38" i="36"/>
  <c r="AW38" i="36"/>
  <c r="HU38" i="36"/>
  <c r="GQ38" i="36"/>
  <c r="FM38" i="36"/>
  <c r="BZ38" i="36"/>
  <c r="AV38" i="36"/>
  <c r="IG38" i="36"/>
  <c r="HC38" i="36"/>
  <c r="FY38" i="36"/>
  <c r="CM38" i="36"/>
  <c r="BI38" i="36"/>
  <c r="HR38" i="36"/>
  <c r="GK38" i="36"/>
  <c r="CP38" i="36"/>
  <c r="BG38" i="36"/>
  <c r="HQ38" i="36"/>
  <c r="GJ38" i="36"/>
  <c r="CN38" i="36"/>
  <c r="BF38" i="36"/>
  <c r="IF38" i="36"/>
  <c r="GY38" i="36"/>
  <c r="FR38" i="36"/>
  <c r="DA38" i="36"/>
  <c r="BS38" i="36"/>
  <c r="AL38" i="36"/>
  <c r="HZ38" i="36"/>
  <c r="GM38" i="36"/>
  <c r="CD38" i="36"/>
  <c r="AR38" i="36"/>
  <c r="HY38" i="36"/>
  <c r="GL38" i="36"/>
  <c r="CC38" i="36"/>
  <c r="AQ38" i="36"/>
  <c r="HX38" i="36"/>
  <c r="GI38" i="36"/>
  <c r="CB38" i="36"/>
  <c r="AO38" i="36"/>
  <c r="HB38" i="36"/>
  <c r="FQ38" i="36"/>
  <c r="CT38" i="36"/>
  <c r="BH38" i="36"/>
  <c r="HG38" i="36"/>
  <c r="FO38" i="36"/>
  <c r="CE38" i="36"/>
  <c r="AJ38" i="36"/>
  <c r="HF38" i="36"/>
  <c r="BY38" i="36"/>
  <c r="AI38" i="36"/>
  <c r="IA38" i="36"/>
  <c r="GE38" i="36"/>
  <c r="CW38" i="36"/>
  <c r="BC38" i="36"/>
  <c r="GW38" i="36"/>
  <c r="DB38" i="36"/>
  <c r="BD38" i="36"/>
  <c r="GV38" i="36"/>
  <c r="CZ38" i="36"/>
  <c r="BB38" i="36"/>
  <c r="HN38" i="36"/>
  <c r="FU38" i="36"/>
  <c r="BV38" i="36"/>
  <c r="HI38" i="36"/>
  <c r="CY38" i="36"/>
  <c r="AX38" i="36"/>
  <c r="HD38" i="36"/>
  <c r="AT38" i="36"/>
  <c r="HH38" i="36"/>
  <c r="CX38" i="36"/>
  <c r="AU38" i="36"/>
  <c r="CV38" i="36"/>
  <c r="ID38" i="36"/>
  <c r="FZ38" i="36"/>
  <c r="BQ38" i="36"/>
  <c r="IC38" i="36"/>
  <c r="FX38" i="36"/>
  <c r="BP38" i="36"/>
  <c r="IB38" i="36"/>
  <c r="CS38" i="36"/>
  <c r="HW38" i="36"/>
  <c r="CR38" i="36"/>
  <c r="GH38" i="36"/>
  <c r="BK38" i="36"/>
  <c r="GG38" i="36"/>
  <c r="BJ38" i="36"/>
  <c r="HA38" i="36"/>
  <c r="BM38" i="36"/>
  <c r="GU38" i="36"/>
  <c r="AZ38" i="36"/>
  <c r="GZ38" i="36"/>
  <c r="BL38" i="36"/>
  <c r="GX38" i="36"/>
  <c r="BA38" i="36"/>
  <c r="CK38" i="36"/>
  <c r="CJ38" i="36"/>
  <c r="GF38" i="36"/>
  <c r="GB38" i="36"/>
  <c r="FV38" i="36"/>
  <c r="FT38" i="36"/>
  <c r="GD38" i="36"/>
  <c r="CQ38" i="36"/>
  <c r="GC38" i="36"/>
  <c r="FW38" i="36"/>
  <c r="DC38" i="36"/>
  <c r="CU38" i="36"/>
  <c r="FS38" i="36"/>
  <c r="HS38" i="36"/>
  <c r="BN38" i="36"/>
  <c r="HP38" i="36"/>
  <c r="AY38" i="36"/>
  <c r="HO38" i="36"/>
  <c r="AS38" i="36"/>
  <c r="HM38" i="36"/>
  <c r="AN38" i="36"/>
  <c r="HL38" i="36"/>
  <c r="AM38" i="36"/>
  <c r="HK38" i="36"/>
  <c r="AK38" i="36"/>
  <c r="HJ38" i="36"/>
  <c r="AH38" i="36"/>
  <c r="IE38" i="36"/>
  <c r="GT38" i="36"/>
  <c r="GO38" i="36"/>
  <c r="CI38" i="36"/>
  <c r="GN38" i="36"/>
  <c r="CH38" i="36"/>
  <c r="BX38" i="36"/>
  <c r="FP38" i="36"/>
  <c r="CF38" i="36"/>
  <c r="EJ48" i="36"/>
  <c r="FJ48" i="36"/>
  <c r="FB48" i="36"/>
  <c r="EZ48" i="36"/>
  <c r="EY48" i="36"/>
  <c r="FD48" i="36"/>
  <c r="FC48" i="36"/>
  <c r="FA48" i="36"/>
  <c r="EO48" i="36"/>
  <c r="EN48" i="36"/>
  <c r="FG48" i="36"/>
  <c r="ET48" i="36"/>
  <c r="EK48" i="36"/>
  <c r="EI48" i="36"/>
  <c r="ES48" i="36"/>
  <c r="ER48" i="36"/>
  <c r="EM48" i="36"/>
  <c r="EL48" i="36"/>
  <c r="FK48" i="36"/>
  <c r="EU48" i="36"/>
  <c r="EQ48" i="36"/>
  <c r="EP48" i="36"/>
  <c r="FE48" i="36"/>
  <c r="EX48" i="36"/>
  <c r="FI48" i="36"/>
  <c r="AJ34" i="33"/>
  <c r="AI34" i="33" s="1"/>
  <c r="AL34" i="33"/>
  <c r="AK35" i="33" s="1"/>
  <c r="Q70" i="33"/>
  <c r="L71" i="34" s="1"/>
  <c r="O72" i="34" s="1"/>
  <c r="AF70" i="33"/>
  <c r="AD70" i="33" s="1"/>
  <c r="AC70" i="33" s="1"/>
  <c r="AN70" i="33"/>
  <c r="V70" i="33"/>
  <c r="AM70" i="33"/>
  <c r="U70" i="33"/>
  <c r="K71" i="34" s="1"/>
  <c r="T70" i="33"/>
  <c r="S70" i="33"/>
  <c r="AE71" i="33" s="1"/>
  <c r="U114" i="33"/>
  <c r="K115" i="34" s="1"/>
  <c r="BO38" i="36"/>
  <c r="AE66" i="33"/>
  <c r="K67" i="34"/>
  <c r="T66" i="33"/>
  <c r="AF66" i="33"/>
  <c r="V66" i="33"/>
  <c r="K65" i="34"/>
  <c r="GU16" i="36"/>
  <c r="ET22" i="36"/>
  <c r="FC22" i="36"/>
  <c r="FB22" i="36"/>
  <c r="EK22" i="36"/>
  <c r="EN22" i="36"/>
  <c r="EM22" i="36"/>
  <c r="FA22" i="36"/>
  <c r="FH22" i="36"/>
  <c r="FG22" i="36"/>
  <c r="EI22" i="36"/>
  <c r="ES22" i="36"/>
  <c r="ER22" i="36"/>
  <c r="EO22" i="36"/>
  <c r="EL22" i="36"/>
  <c r="EV22" i="36"/>
  <c r="EU22" i="36"/>
  <c r="EJ22" i="36"/>
  <c r="EQ22" i="36"/>
  <c r="EP22" i="36"/>
  <c r="FK22" i="36"/>
  <c r="FJ22" i="36"/>
  <c r="FI22" i="36"/>
  <c r="FF22" i="36"/>
  <c r="FE22" i="36"/>
  <c r="FD22" i="36"/>
  <c r="EZ22" i="36"/>
  <c r="AB12" i="33"/>
  <c r="AA12" i="33" s="1"/>
  <c r="AB25" i="33"/>
  <c r="AA25" i="33" s="1"/>
  <c r="AD25" i="33"/>
  <c r="AC25" i="33" s="1"/>
  <c r="HK16" i="36"/>
  <c r="IH38" i="36"/>
  <c r="AJ19" i="33"/>
  <c r="AI19" i="33" s="1"/>
  <c r="AL19" i="33"/>
  <c r="AK20" i="33" s="1"/>
  <c r="AL43" i="33"/>
  <c r="AK44" i="33" s="1"/>
  <c r="U66" i="33"/>
  <c r="N65" i="34"/>
  <c r="IJ57" i="36"/>
  <c r="BW38" i="36"/>
  <c r="AM66" i="33"/>
  <c r="U52" i="33"/>
  <c r="JP57" i="36"/>
  <c r="DA14" i="36"/>
  <c r="EX22" i="36"/>
  <c r="AE78" i="33"/>
  <c r="AF78" i="33"/>
  <c r="AB78" i="33" s="1"/>
  <c r="AA78" i="33" s="1"/>
  <c r="AM78" i="33"/>
  <c r="U78" i="33"/>
  <c r="T78" i="33"/>
  <c r="S78" i="33"/>
  <c r="V78" i="33"/>
  <c r="Q78" i="33"/>
  <c r="L79" i="34" s="1"/>
  <c r="O80" i="34" s="1"/>
  <c r="K79" i="34"/>
  <c r="AL101" i="33"/>
  <c r="AK102" i="33" s="1"/>
  <c r="AJ101" i="33"/>
  <c r="AI101" i="33" s="1"/>
  <c r="JQ57" i="36"/>
  <c r="HW16" i="36"/>
  <c r="EY22" i="36"/>
  <c r="J87" i="34"/>
  <c r="M87" i="34" s="1"/>
  <c r="KE57" i="36"/>
  <c r="EX12" i="36"/>
  <c r="KA57" i="36"/>
  <c r="HY16" i="36"/>
  <c r="O71" i="34"/>
  <c r="V42" i="33"/>
  <c r="AM42" i="33"/>
  <c r="AF42" i="33"/>
  <c r="K43" i="34"/>
  <c r="U42" i="33"/>
  <c r="O83" i="34"/>
  <c r="O84" i="34"/>
  <c r="AF107" i="33"/>
  <c r="AN107" i="33"/>
  <c r="Q107" i="33"/>
  <c r="L107" i="34" s="1"/>
  <c r="O108" i="34" s="1"/>
  <c r="K108" i="34"/>
  <c r="U107" i="33"/>
  <c r="T107" i="33"/>
  <c r="S107" i="33"/>
  <c r="EY12" i="36"/>
  <c r="DK23" i="36"/>
  <c r="DJ23" i="36"/>
  <c r="DI23" i="36"/>
  <c r="DW23" i="36"/>
  <c r="DF23" i="36"/>
  <c r="DE23" i="36"/>
  <c r="DV23" i="36"/>
  <c r="DM23" i="36"/>
  <c r="DL23" i="36"/>
  <c r="EA23" i="36"/>
  <c r="DO23" i="36"/>
  <c r="DN23" i="36"/>
  <c r="DH23" i="36"/>
  <c r="ED23" i="36"/>
  <c r="EC23" i="36"/>
  <c r="DZ23" i="36"/>
  <c r="DY23" i="36"/>
  <c r="EE23" i="36"/>
  <c r="DU23" i="36"/>
  <c r="EB23" i="36"/>
  <c r="DX23" i="36"/>
  <c r="EG23" i="36"/>
  <c r="EF23" i="36"/>
  <c r="J11" i="34"/>
  <c r="V39" i="33"/>
  <c r="AL50" i="33"/>
  <c r="AK51" i="33" s="1"/>
  <c r="AL52" i="33"/>
  <c r="AL51" i="33"/>
  <c r="AK52" i="33" s="1"/>
  <c r="CV16" i="36"/>
  <c r="E192" i="37"/>
  <c r="I135" i="37"/>
  <c r="I192" i="37" s="1"/>
  <c r="AE72" i="33"/>
  <c r="U72" i="33"/>
  <c r="T72" i="33"/>
  <c r="AM72" i="33"/>
  <c r="Q72" i="33"/>
  <c r="L73" i="34" s="1"/>
  <c r="O74" i="34" s="1"/>
  <c r="K73" i="34"/>
  <c r="AF72" i="33"/>
  <c r="V72" i="33"/>
  <c r="S72" i="33"/>
  <c r="T77" i="33"/>
  <c r="J84" i="34"/>
  <c r="AD87" i="33"/>
  <c r="AC87" i="33" s="1"/>
  <c r="AD107" i="33"/>
  <c r="AC107" i="33" s="1"/>
  <c r="EF55" i="36"/>
  <c r="DN55" i="36"/>
  <c r="DM55" i="36"/>
  <c r="DK55" i="36"/>
  <c r="DI55" i="36"/>
  <c r="DY55" i="36"/>
  <c r="DO55" i="36"/>
  <c r="DL55" i="36"/>
  <c r="DJ55" i="36"/>
  <c r="DZ55" i="36"/>
  <c r="DW55" i="36"/>
  <c r="DV55" i="36"/>
  <c r="EG55" i="36"/>
  <c r="DE55" i="36"/>
  <c r="DU55" i="36"/>
  <c r="DT55" i="36"/>
  <c r="DR55" i="36"/>
  <c r="EE55" i="36"/>
  <c r="ED55" i="36"/>
  <c r="DX55" i="36"/>
  <c r="DQ55" i="36"/>
  <c r="DP55" i="36"/>
  <c r="DF55" i="36"/>
  <c r="EC55" i="36"/>
  <c r="EB55" i="36"/>
  <c r="EA55" i="36"/>
  <c r="S8" i="33"/>
  <c r="AE8" i="33" s="1"/>
  <c r="AD21" i="33"/>
  <c r="AC21" i="33" s="1"/>
  <c r="AB21" i="33"/>
  <c r="AA21" i="33" s="1"/>
  <c r="T37" i="33"/>
  <c r="M55" i="34"/>
  <c r="P55" i="34" s="1"/>
  <c r="U58" i="33"/>
  <c r="U62" i="33"/>
  <c r="K63" i="34" s="1"/>
  <c r="T62" i="33"/>
  <c r="V62" i="33"/>
  <c r="AM62" i="33"/>
  <c r="AF62" i="33"/>
  <c r="S62" i="33"/>
  <c r="Q62" i="33"/>
  <c r="L63" i="34" s="1"/>
  <c r="U64" i="33"/>
  <c r="AF77" i="33"/>
  <c r="S114" i="33"/>
  <c r="O11" i="34"/>
  <c r="O70" i="34"/>
  <c r="GI16" i="36"/>
  <c r="I16" i="37"/>
  <c r="I75" i="37" s="1"/>
  <c r="G75" i="37"/>
  <c r="E188" i="37"/>
  <c r="I131" i="37"/>
  <c r="I188" i="37" s="1"/>
  <c r="AD40" i="33"/>
  <c r="AC40" i="33" s="1"/>
  <c r="AB40" i="33"/>
  <c r="AA40" i="33" s="1"/>
  <c r="AJ55" i="33"/>
  <c r="AI55" i="33" s="1"/>
  <c r="AL55" i="33"/>
  <c r="AK56" i="33" s="1"/>
  <c r="V64" i="33"/>
  <c r="AE106" i="33"/>
  <c r="V106" i="33"/>
  <c r="AM106" i="33"/>
  <c r="K107" i="34"/>
  <c r="AF106" i="33"/>
  <c r="S106" i="33"/>
  <c r="U106" i="33"/>
  <c r="T106" i="33"/>
  <c r="Q106" i="33"/>
  <c r="L106" i="34" s="1"/>
  <c r="O107" i="34" s="1"/>
  <c r="AJ111" i="33"/>
  <c r="AI111" i="33" s="1"/>
  <c r="T114" i="33"/>
  <c r="K59" i="34"/>
  <c r="I78" i="34"/>
  <c r="I79" i="34" s="1"/>
  <c r="I80" i="34" s="1"/>
  <c r="J17" i="34"/>
  <c r="V37" i="33"/>
  <c r="AE39" i="33"/>
  <c r="AD91" i="33"/>
  <c r="AB91" i="33"/>
  <c r="AA91" i="33" s="1"/>
  <c r="AN106" i="33"/>
  <c r="M7" i="34"/>
  <c r="GK16" i="36"/>
  <c r="BR38" i="36"/>
  <c r="GS38" i="36"/>
  <c r="K31" i="34"/>
  <c r="AM30" i="33"/>
  <c r="V30" i="33"/>
  <c r="U30" i="33"/>
  <c r="T30" i="33"/>
  <c r="AF30" i="33"/>
  <c r="S30" i="33"/>
  <c r="AE30" i="33"/>
  <c r="AN30" i="33"/>
  <c r="Q30" i="33"/>
  <c r="L31" i="34" s="1"/>
  <c r="BU38" i="36"/>
  <c r="S35" i="33"/>
  <c r="U35" i="33"/>
  <c r="T35" i="33"/>
  <c r="AD44" i="33"/>
  <c r="AC44" i="33" s="1"/>
  <c r="AB44" i="33"/>
  <c r="AA44" i="33" s="1"/>
  <c r="V83" i="33"/>
  <c r="U83" i="33"/>
  <c r="T83" i="33"/>
  <c r="AL91" i="33"/>
  <c r="AK92" i="33" s="1"/>
  <c r="AJ91" i="33"/>
  <c r="AI91" i="33" s="1"/>
  <c r="I18" i="34"/>
  <c r="I19" i="34" s="1"/>
  <c r="I20" i="34" s="1"/>
  <c r="I21" i="34" s="1"/>
  <c r="I22" i="34" s="1"/>
  <c r="I23" i="34" s="1"/>
  <c r="I24" i="34" s="1"/>
  <c r="I25" i="34" s="1"/>
  <c r="I26" i="34" s="1"/>
  <c r="I27" i="34" s="1"/>
  <c r="I28" i="34" s="1"/>
  <c r="I29" i="34" s="1"/>
  <c r="I30" i="34" s="1"/>
  <c r="I31" i="34" s="1"/>
  <c r="I32" i="34" s="1"/>
  <c r="I33" i="34" s="1"/>
  <c r="I34" i="34" s="1"/>
  <c r="I35" i="34" s="1"/>
  <c r="I36" i="34" s="1"/>
  <c r="I37" i="34" s="1"/>
  <c r="I38" i="34" s="1"/>
  <c r="I39" i="34" s="1"/>
  <c r="I40" i="34" s="1"/>
  <c r="I41" i="34" s="1"/>
  <c r="I42" i="34" s="1"/>
  <c r="I43" i="34" s="1"/>
  <c r="I44" i="34" s="1"/>
  <c r="I45" i="34" s="1"/>
  <c r="I46" i="34" s="1"/>
  <c r="I47" i="34" s="1"/>
  <c r="I48" i="34" s="1"/>
  <c r="I49" i="34" s="1"/>
  <c r="I50" i="34" s="1"/>
  <c r="I51" i="34" s="1"/>
  <c r="I52" i="34" s="1"/>
  <c r="I53" i="34" s="1"/>
  <c r="JN57" i="36"/>
  <c r="HO16" i="36"/>
  <c r="O57" i="34"/>
  <c r="R57" i="34" s="1"/>
  <c r="R58" i="34" s="1"/>
  <c r="I99" i="34"/>
  <c r="I100" i="34" s="1"/>
  <c r="I101" i="34" s="1"/>
  <c r="I102" i="34" s="1"/>
  <c r="I103" i="34" s="1"/>
  <c r="I104" i="34" s="1"/>
  <c r="I105" i="34" s="1"/>
  <c r="I106" i="34" s="1"/>
  <c r="I107" i="34" s="1"/>
  <c r="I108" i="34" s="1"/>
  <c r="I109" i="34" s="1"/>
  <c r="I110" i="34" s="1"/>
  <c r="I111" i="34" s="1"/>
  <c r="I112" i="34" s="1"/>
  <c r="I113" i="34" s="1"/>
  <c r="I114" i="34" s="1"/>
  <c r="I115" i="34" s="1"/>
  <c r="I116" i="34" s="1"/>
  <c r="IK57" i="36"/>
  <c r="JO57" i="36"/>
  <c r="HP16" i="36"/>
  <c r="CL38" i="36"/>
  <c r="AN66" i="33"/>
  <c r="AJ103" i="33"/>
  <c r="AI103" i="33" s="1"/>
  <c r="J13" i="34"/>
  <c r="J41" i="34"/>
  <c r="IL57" i="36"/>
  <c r="K88" i="36"/>
  <c r="DE11" i="36"/>
  <c r="HQ16" i="36"/>
  <c r="V52" i="33"/>
  <c r="IM57" i="36"/>
  <c r="FD11" i="36"/>
  <c r="FB11" i="36"/>
  <c r="FA11" i="36"/>
  <c r="EJ11" i="36"/>
  <c r="EL11" i="36"/>
  <c r="EK11" i="36"/>
  <c r="EX11" i="36"/>
  <c r="EV11" i="36"/>
  <c r="EP11" i="36"/>
  <c r="EO11" i="36"/>
  <c r="FG11" i="36"/>
  <c r="FI11" i="36"/>
  <c r="FI57" i="36" s="1"/>
  <c r="FK11" i="36"/>
  <c r="FJ11" i="36"/>
  <c r="EI11" i="36"/>
  <c r="EI57" i="36" s="1"/>
  <c r="ES11" i="36"/>
  <c r="ES57" i="36" s="1"/>
  <c r="ER11" i="36"/>
  <c r="EN11" i="36"/>
  <c r="EQ11" i="36"/>
  <c r="EM11" i="36"/>
  <c r="FH11" i="36"/>
  <c r="FF11" i="36"/>
  <c r="FE11" i="36"/>
  <c r="FC11" i="36"/>
  <c r="ET11" i="36"/>
  <c r="FI39" i="36"/>
  <c r="FH39" i="36"/>
  <c r="EQ39" i="36"/>
  <c r="EN39" i="36"/>
  <c r="EM39" i="36"/>
  <c r="FA39" i="36"/>
  <c r="FE39" i="36"/>
  <c r="FD39" i="36"/>
  <c r="FC39" i="36"/>
  <c r="EI39" i="36"/>
  <c r="FF39" i="36"/>
  <c r="FB39" i="36"/>
  <c r="EY39" i="36"/>
  <c r="EX39" i="36"/>
  <c r="EK39" i="36"/>
  <c r="EJ39" i="36"/>
  <c r="EO39" i="36"/>
  <c r="EL39" i="36"/>
  <c r="FK39" i="36"/>
  <c r="EV39" i="36"/>
  <c r="EU39" i="36"/>
  <c r="ER39" i="36"/>
  <c r="EP39" i="36"/>
  <c r="EZ39" i="36"/>
  <c r="ET39" i="36"/>
  <c r="DG55" i="36"/>
  <c r="AM9" i="33"/>
  <c r="AN9" i="33"/>
  <c r="V9" i="33"/>
  <c r="U9" i="33"/>
  <c r="K10" i="34" s="1"/>
  <c r="T9" i="33"/>
  <c r="AF9" i="33"/>
  <c r="AD34" i="33"/>
  <c r="AC34" i="33" s="1"/>
  <c r="S42" i="33"/>
  <c r="AE43" i="33" s="1"/>
  <c r="O94" i="34"/>
  <c r="O93" i="34"/>
  <c r="V107" i="33"/>
  <c r="EI16" i="36"/>
  <c r="FK16" i="36"/>
  <c r="EU16" i="36"/>
  <c r="EK16" i="36"/>
  <c r="EJ16" i="36"/>
  <c r="EX16" i="36"/>
  <c r="FE16" i="36"/>
  <c r="FD16" i="36"/>
  <c r="FJ16" i="36"/>
  <c r="FI16" i="36"/>
  <c r="EN16" i="36"/>
  <c r="EM16" i="36"/>
  <c r="ET16" i="36"/>
  <c r="ER16" i="36"/>
  <c r="ER57" i="36" s="1"/>
  <c r="EQ16" i="36"/>
  <c r="ES16" i="36"/>
  <c r="EY16" i="36"/>
  <c r="EV16" i="36"/>
  <c r="EP16" i="36"/>
  <c r="EO16" i="36"/>
  <c r="EL16" i="36"/>
  <c r="FG16" i="36"/>
  <c r="FF16" i="36"/>
  <c r="FB16" i="36"/>
  <c r="FC16" i="36"/>
  <c r="GF23" i="36"/>
  <c r="K47" i="34"/>
  <c r="AF46" i="33"/>
  <c r="AN46" i="33"/>
  <c r="AM46" i="33"/>
  <c r="V46" i="33"/>
  <c r="O50" i="34"/>
  <c r="AF60" i="33"/>
  <c r="AE60" i="33"/>
  <c r="Q60" i="33"/>
  <c r="L61" i="34" s="1"/>
  <c r="O62" i="34" s="1"/>
  <c r="V60" i="33"/>
  <c r="U60" i="33"/>
  <c r="K61" i="34" s="1"/>
  <c r="AJ89" i="33"/>
  <c r="AI89" i="33" s="1"/>
  <c r="AE93" i="33"/>
  <c r="AM93" i="33"/>
  <c r="K94" i="34"/>
  <c r="AN93" i="33"/>
  <c r="AF93" i="33"/>
  <c r="V93" i="33"/>
  <c r="I58" i="34"/>
  <c r="I59" i="34" s="1"/>
  <c r="I60" i="34" s="1"/>
  <c r="I61" i="34" s="1"/>
  <c r="I62" i="34" s="1"/>
  <c r="I63" i="34"/>
  <c r="I64" i="34" s="1"/>
  <c r="I65" i="34" s="1"/>
  <c r="I66" i="34" s="1"/>
  <c r="I67" i="34" s="1"/>
  <c r="I68" i="34" s="1"/>
  <c r="I69" i="34" s="1"/>
  <c r="I70" i="34" s="1"/>
  <c r="I71" i="34" s="1"/>
  <c r="I72" i="34" s="1"/>
  <c r="I73" i="34" s="1"/>
  <c r="I74" i="34" s="1"/>
  <c r="FY12" i="36"/>
  <c r="JB57" i="36"/>
  <c r="KF57" i="36"/>
  <c r="S46" i="33"/>
  <c r="AE47" i="33" s="1"/>
  <c r="V48" i="33"/>
  <c r="AN48" i="33"/>
  <c r="AM48" i="33"/>
  <c r="AF48" i="33"/>
  <c r="AE48" i="33"/>
  <c r="S60" i="33"/>
  <c r="AE61" i="33" s="1"/>
  <c r="T91" i="33"/>
  <c r="S93" i="33"/>
  <c r="AB97" i="33"/>
  <c r="AA97" i="33" s="1"/>
  <c r="I9" i="34"/>
  <c r="I10" i="34" s="1"/>
  <c r="I11" i="34" s="1"/>
  <c r="I12" i="34" s="1"/>
  <c r="I13" i="34" s="1"/>
  <c r="I14" i="34" s="1"/>
  <c r="I15" i="34" s="1"/>
  <c r="FZ12" i="36"/>
  <c r="FZ57" i="36" s="1"/>
  <c r="AE19" i="33"/>
  <c r="U19" i="33"/>
  <c r="V19" i="33"/>
  <c r="AN19" i="33"/>
  <c r="AM19" i="33"/>
  <c r="AF19" i="33"/>
  <c r="K20" i="34"/>
  <c r="AD43" i="33"/>
  <c r="AC43" i="33" s="1"/>
  <c r="AD80" i="33"/>
  <c r="AC80" i="33" s="1"/>
  <c r="AB80" i="33"/>
  <c r="AA80" i="33" s="1"/>
  <c r="H91" i="34"/>
  <c r="H92" i="34" s="1"/>
  <c r="H93" i="34" s="1"/>
  <c r="H94" i="34" s="1"/>
  <c r="H95" i="34" s="1"/>
  <c r="H96" i="34" s="1"/>
  <c r="H97" i="34" s="1"/>
  <c r="H98" i="34" s="1"/>
  <c r="H99" i="34" s="1"/>
  <c r="H100" i="34" s="1"/>
  <c r="H101" i="34" s="1"/>
  <c r="H102" i="34" s="1"/>
  <c r="H103" i="34" s="1"/>
  <c r="H104" i="34" s="1"/>
  <c r="H105" i="34" s="1"/>
  <c r="H106" i="34" s="1"/>
  <c r="H107" i="34" s="1"/>
  <c r="H108" i="34" s="1"/>
  <c r="H109" i="34" s="1"/>
  <c r="H110" i="34" s="1"/>
  <c r="H111" i="34" s="1"/>
  <c r="H112" i="34" s="1"/>
  <c r="H113" i="34" s="1"/>
  <c r="H114" i="34" s="1"/>
  <c r="H115" i="34" s="1"/>
  <c r="H116" i="34" s="1"/>
  <c r="J96" i="34"/>
  <c r="M97" i="34" s="1"/>
  <c r="N97" i="34"/>
  <c r="EM15" i="36"/>
  <c r="EL15" i="36"/>
  <c r="EZ15" i="36"/>
  <c r="FA15" i="36"/>
  <c r="EY15" i="36"/>
  <c r="FB15" i="36"/>
  <c r="EX15" i="36"/>
  <c r="ET15" i="36"/>
  <c r="ES15" i="36"/>
  <c r="EU15" i="36"/>
  <c r="ER15" i="36"/>
  <c r="EK15" i="36"/>
  <c r="EJ15" i="36"/>
  <c r="EI15" i="36"/>
  <c r="FH15" i="36"/>
  <c r="FG15" i="36"/>
  <c r="FF15" i="36"/>
  <c r="FE15" i="36"/>
  <c r="FD15" i="36"/>
  <c r="FC15" i="36"/>
  <c r="EV15" i="36"/>
  <c r="S110" i="33"/>
  <c r="AF110" i="33"/>
  <c r="AB110" i="33" s="1"/>
  <c r="AA110" i="33" s="1"/>
  <c r="AE110" i="33"/>
  <c r="AM110" i="33"/>
  <c r="O30" i="34"/>
  <c r="O29" i="34"/>
  <c r="IN57" i="36"/>
  <c r="HH12" i="36"/>
  <c r="GD12" i="36"/>
  <c r="CR12" i="36"/>
  <c r="BM12" i="36"/>
  <c r="AI12" i="36"/>
  <c r="HO12" i="36"/>
  <c r="GJ12" i="36"/>
  <c r="CV12" i="36"/>
  <c r="BP12" i="36"/>
  <c r="AK12" i="36"/>
  <c r="AK57" i="36" s="1"/>
  <c r="HN12" i="36"/>
  <c r="GI12" i="36"/>
  <c r="CU12" i="36"/>
  <c r="BO12" i="36"/>
  <c r="AJ12" i="36"/>
  <c r="IA12" i="36"/>
  <c r="GV12" i="36"/>
  <c r="FQ12" i="36"/>
  <c r="FQ57" i="36" s="1"/>
  <c r="CB12" i="36"/>
  <c r="AW12" i="36"/>
  <c r="IB12" i="36"/>
  <c r="GS12" i="36"/>
  <c r="CX12" i="36"/>
  <c r="BL12" i="36"/>
  <c r="HZ12" i="36"/>
  <c r="HZ57" i="36" s="1"/>
  <c r="GR12" i="36"/>
  <c r="CW12" i="36"/>
  <c r="BK12" i="36"/>
  <c r="HF12" i="36"/>
  <c r="FW12" i="36"/>
  <c r="CA12" i="36"/>
  <c r="AS12" i="36"/>
  <c r="HD12" i="36"/>
  <c r="FV12" i="36"/>
  <c r="BZ12" i="36"/>
  <c r="AR12" i="36"/>
  <c r="HW12" i="36"/>
  <c r="GH12" i="36"/>
  <c r="CC12" i="36"/>
  <c r="AM12" i="36"/>
  <c r="HV12" i="36"/>
  <c r="GG12" i="36"/>
  <c r="BY12" i="36"/>
  <c r="AL12" i="36"/>
  <c r="GY12" i="36"/>
  <c r="CP12" i="36"/>
  <c r="BB12" i="36"/>
  <c r="GX12" i="36"/>
  <c r="ID12" i="36"/>
  <c r="GF12" i="36"/>
  <c r="BN12" i="36"/>
  <c r="HY12" i="36"/>
  <c r="HX12" i="36"/>
  <c r="HX57" i="36" s="1"/>
  <c r="GB12" i="36"/>
  <c r="DC12" i="36"/>
  <c r="BH12" i="36"/>
  <c r="IC12" i="36"/>
  <c r="GE12" i="36"/>
  <c r="BJ12" i="36"/>
  <c r="GC12" i="36"/>
  <c r="BI12" i="36"/>
  <c r="HA12" i="36"/>
  <c r="CH12" i="36"/>
  <c r="AN12" i="36"/>
  <c r="GZ12" i="36"/>
  <c r="CF12" i="36"/>
  <c r="AH12" i="36"/>
  <c r="HB12" i="36"/>
  <c r="BC12" i="36"/>
  <c r="AY12" i="36"/>
  <c r="CZ12" i="36"/>
  <c r="GN12" i="36"/>
  <c r="GN57" i="36" s="1"/>
  <c r="AU12" i="36"/>
  <c r="AT12" i="36"/>
  <c r="AT57" i="36" s="1"/>
  <c r="GW12" i="36"/>
  <c r="BA12" i="36"/>
  <c r="GT12" i="36"/>
  <c r="DB12" i="36"/>
  <c r="AX12" i="36"/>
  <c r="CY12" i="36"/>
  <c r="GM12" i="36"/>
  <c r="CT12" i="36"/>
  <c r="GU12" i="36"/>
  <c r="AZ12" i="36"/>
  <c r="GQ12" i="36"/>
  <c r="DA12" i="36"/>
  <c r="GO12" i="36"/>
  <c r="AV12" i="36"/>
  <c r="HS12" i="36"/>
  <c r="FP12" i="36"/>
  <c r="CD12" i="36"/>
  <c r="HR12" i="36"/>
  <c r="FO12" i="36"/>
  <c r="BX12" i="36"/>
  <c r="HQ12" i="36"/>
  <c r="FN12" i="36"/>
  <c r="BW12" i="36"/>
  <c r="HP12" i="36"/>
  <c r="FM12" i="36"/>
  <c r="BV12" i="36"/>
  <c r="HM12" i="36"/>
  <c r="BU12" i="36"/>
  <c r="HL12" i="36"/>
  <c r="BS12" i="36"/>
  <c r="HK12" i="36"/>
  <c r="BR12" i="36"/>
  <c r="HC12" i="36"/>
  <c r="AJ16" i="33"/>
  <c r="AI16" i="33" s="1"/>
  <c r="AL16" i="33"/>
  <c r="AK17" i="33" s="1"/>
  <c r="AJ27" i="33"/>
  <c r="AI27" i="33" s="1"/>
  <c r="AL27" i="33"/>
  <c r="AK28" i="33" s="1"/>
  <c r="AN60" i="33"/>
  <c r="AM108" i="33"/>
  <c r="AN108" i="33"/>
  <c r="AE108" i="33"/>
  <c r="V108" i="33"/>
  <c r="U108" i="33"/>
  <c r="T108" i="33"/>
  <c r="T110" i="33"/>
  <c r="AO12" i="36"/>
  <c r="HG12" i="36"/>
  <c r="HM40" i="36"/>
  <c r="GI40" i="36"/>
  <c r="CW40" i="36"/>
  <c r="BR40" i="36"/>
  <c r="AN40" i="36"/>
  <c r="HL40" i="36"/>
  <c r="GH40" i="36"/>
  <c r="CV40" i="36"/>
  <c r="BQ40" i="36"/>
  <c r="AM40" i="36"/>
  <c r="HY40" i="36"/>
  <c r="GU40" i="36"/>
  <c r="FQ40" i="36"/>
  <c r="CD40" i="36"/>
  <c r="AZ40" i="36"/>
  <c r="HU40" i="36"/>
  <c r="GM40" i="36"/>
  <c r="CS40" i="36"/>
  <c r="BK40" i="36"/>
  <c r="HS40" i="36"/>
  <c r="GL40" i="36"/>
  <c r="CR40" i="36"/>
  <c r="BJ40" i="36"/>
  <c r="IG40" i="36"/>
  <c r="GZ40" i="36"/>
  <c r="FS40" i="36"/>
  <c r="BY40" i="36"/>
  <c r="AR40" i="36"/>
  <c r="ID40" i="36"/>
  <c r="GS40" i="36"/>
  <c r="CP40" i="36"/>
  <c r="BD40" i="36"/>
  <c r="IC40" i="36"/>
  <c r="GR40" i="36"/>
  <c r="CN40" i="36"/>
  <c r="BC40" i="36"/>
  <c r="IB40" i="36"/>
  <c r="GQ40" i="36"/>
  <c r="CM40" i="36"/>
  <c r="BB40" i="36"/>
  <c r="HG40" i="36"/>
  <c r="FV40" i="36"/>
  <c r="BU40" i="36"/>
  <c r="AH40" i="36"/>
  <c r="IE40" i="36"/>
  <c r="GJ40" i="36"/>
  <c r="BX40" i="36"/>
  <c r="IA40" i="36"/>
  <c r="GG40" i="36"/>
  <c r="BW40" i="36"/>
  <c r="HD40" i="36"/>
  <c r="FN40" i="36"/>
  <c r="CQ40" i="36"/>
  <c r="AW40" i="36"/>
  <c r="GX40" i="36"/>
  <c r="CA40" i="36"/>
  <c r="GW40" i="36"/>
  <c r="BZ40" i="36"/>
  <c r="HO40" i="36"/>
  <c r="FT40" i="36"/>
  <c r="CU40" i="36"/>
  <c r="AU40" i="36"/>
  <c r="HX40" i="36"/>
  <c r="FX40" i="36"/>
  <c r="CY40" i="36"/>
  <c r="AS40" i="36"/>
  <c r="HV40" i="36"/>
  <c r="CT40" i="36"/>
  <c r="HW40" i="36"/>
  <c r="FW40" i="36"/>
  <c r="CX40" i="36"/>
  <c r="AQ40" i="36"/>
  <c r="FU40" i="36"/>
  <c r="AO40" i="36"/>
  <c r="GT40" i="36"/>
  <c r="BM40" i="36"/>
  <c r="GO40" i="36"/>
  <c r="BL40" i="36"/>
  <c r="HZ40" i="36"/>
  <c r="CC40" i="36"/>
  <c r="HR40" i="36"/>
  <c r="CB40" i="36"/>
  <c r="GF40" i="36"/>
  <c r="DC40" i="36"/>
  <c r="AK40" i="36"/>
  <c r="GE40" i="36"/>
  <c r="DB40" i="36"/>
  <c r="AJ40" i="36"/>
  <c r="FO40" i="36"/>
  <c r="BV40" i="36"/>
  <c r="BO40" i="36"/>
  <c r="FM40" i="36"/>
  <c r="BS40" i="36"/>
  <c r="BP40" i="36"/>
  <c r="GY40" i="36"/>
  <c r="GV40" i="36"/>
  <c r="FZ40" i="36"/>
  <c r="CF40" i="36"/>
  <c r="BG40" i="36"/>
  <c r="BA40" i="36"/>
  <c r="FY40" i="36"/>
  <c r="CE40" i="36"/>
  <c r="FP40" i="36"/>
  <c r="FR40" i="36"/>
  <c r="BN40" i="36"/>
  <c r="BI40" i="36"/>
  <c r="BH40" i="36"/>
  <c r="BF40" i="36"/>
  <c r="HI40" i="36"/>
  <c r="HH40" i="36"/>
  <c r="HF40" i="36"/>
  <c r="HC40" i="36"/>
  <c r="HB40" i="36"/>
  <c r="DA40" i="36"/>
  <c r="HA40" i="36"/>
  <c r="CZ40" i="36"/>
  <c r="GN40" i="36"/>
  <c r="CL40" i="36"/>
  <c r="GB40" i="36"/>
  <c r="EA44" i="36"/>
  <c r="DQ44" i="36"/>
  <c r="DP44" i="36"/>
  <c r="ED44" i="36"/>
  <c r="DM44" i="36"/>
  <c r="DO44" i="36"/>
  <c r="DF44" i="36"/>
  <c r="DE44" i="36"/>
  <c r="DW44" i="36"/>
  <c r="EE44" i="36"/>
  <c r="EC44" i="36"/>
  <c r="DU44" i="36"/>
  <c r="DT44" i="36"/>
  <c r="DR44" i="36"/>
  <c r="DH44" i="36"/>
  <c r="DG44" i="36"/>
  <c r="EF44" i="36"/>
  <c r="EB44" i="36"/>
  <c r="DN44" i="36"/>
  <c r="DJ44" i="36"/>
  <c r="DL44" i="36"/>
  <c r="DK44" i="36"/>
  <c r="EG44" i="36"/>
  <c r="DZ44" i="36"/>
  <c r="DY44" i="36"/>
  <c r="DX44" i="36"/>
  <c r="DV44" i="36"/>
  <c r="DI44" i="36"/>
  <c r="AB46" i="33"/>
  <c r="AA46" i="33" s="1"/>
  <c r="AD46" i="33"/>
  <c r="AC46" i="33" s="1"/>
  <c r="AE75" i="33"/>
  <c r="AG75" i="33" s="1"/>
  <c r="K76" i="34"/>
  <c r="AN75" i="33"/>
  <c r="AM75" i="33"/>
  <c r="AO75" i="33" s="1"/>
  <c r="AO76" i="33" s="1"/>
  <c r="J77" i="34"/>
  <c r="FR57" i="36"/>
  <c r="IQ57" i="36"/>
  <c r="CN12" i="36"/>
  <c r="S14" i="33"/>
  <c r="AE15" i="33" s="1"/>
  <c r="S54" i="33"/>
  <c r="AE55" i="33" s="1"/>
  <c r="S75" i="33"/>
  <c r="AL81" i="33"/>
  <c r="AK82" i="33" s="1"/>
  <c r="AJ81" i="33"/>
  <c r="AI81" i="33" s="1"/>
  <c r="AD93" i="33"/>
  <c r="AC93" i="33" s="1"/>
  <c r="AB93" i="33"/>
  <c r="AA93" i="33" s="1"/>
  <c r="CQ12" i="36"/>
  <c r="EP15" i="36"/>
  <c r="EU54" i="36"/>
  <c r="FG54" i="36"/>
  <c r="FF54" i="36"/>
  <c r="EL54" i="36"/>
  <c r="EJ54" i="36"/>
  <c r="EY54" i="36"/>
  <c r="FB54" i="36"/>
  <c r="FA54" i="36"/>
  <c r="EZ54" i="36"/>
  <c r="EP54" i="36"/>
  <c r="EN54" i="36"/>
  <c r="EM54" i="36"/>
  <c r="ET54" i="36"/>
  <c r="FI54" i="36"/>
  <c r="FD54" i="36"/>
  <c r="EO54" i="36"/>
  <c r="EK54" i="36"/>
  <c r="EI54" i="36"/>
  <c r="EX54" i="36"/>
  <c r="EV54" i="36"/>
  <c r="ES54" i="36"/>
  <c r="ER54" i="36"/>
  <c r="FH54" i="36"/>
  <c r="FE54" i="36"/>
  <c r="AB17" i="33"/>
  <c r="AA17" i="33" s="1"/>
  <c r="AD17" i="33"/>
  <c r="AC17" i="33" s="1"/>
  <c r="N24" i="34"/>
  <c r="J23" i="34"/>
  <c r="O40" i="34"/>
  <c r="AN40" i="33"/>
  <c r="Q40" i="33"/>
  <c r="L41" i="34" s="1"/>
  <c r="O42" i="34" s="1"/>
  <c r="V40" i="33"/>
  <c r="U40" i="33"/>
  <c r="T40" i="33"/>
  <c r="S40" i="33"/>
  <c r="AE41" i="33" s="1"/>
  <c r="T75" i="33"/>
  <c r="M82" i="34"/>
  <c r="T105" i="33"/>
  <c r="AD108" i="33"/>
  <c r="AC108" i="33" s="1"/>
  <c r="AB108" i="33"/>
  <c r="AA108" i="33" s="1"/>
  <c r="CS12" i="36"/>
  <c r="EQ15" i="36"/>
  <c r="I126" i="37"/>
  <c r="I183" i="37" s="1"/>
  <c r="E183" i="37"/>
  <c r="JC57" i="36"/>
  <c r="IY59" i="36" s="1" a="1"/>
  <c r="KG57" i="36"/>
  <c r="T13" i="33"/>
  <c r="V13" i="33"/>
  <c r="U17" i="33"/>
  <c r="K18" i="34" s="1"/>
  <c r="T17" i="33"/>
  <c r="AM17" i="33"/>
  <c r="AJ21" i="33"/>
  <c r="AI21" i="33" s="1"/>
  <c r="T56" i="33"/>
  <c r="S56" i="33"/>
  <c r="AE56" i="33"/>
  <c r="AF56" i="33"/>
  <c r="AO91" i="33"/>
  <c r="O59" i="34"/>
  <c r="R59" i="34" s="1"/>
  <c r="R60" i="34" s="1"/>
  <c r="O99" i="34"/>
  <c r="JD57" i="36"/>
  <c r="KH57" i="36"/>
  <c r="I125" i="37"/>
  <c r="I182" i="37" s="1"/>
  <c r="I148" i="37"/>
  <c r="S13" i="33"/>
  <c r="AE13" i="33" s="1"/>
  <c r="S17" i="33"/>
  <c r="N30" i="34"/>
  <c r="U32" i="33"/>
  <c r="AN32" i="33"/>
  <c r="AL33" i="33" s="1"/>
  <c r="AK34" i="33" s="1"/>
  <c r="AM32" i="33"/>
  <c r="AJ33" i="33"/>
  <c r="AI33" i="33" s="1"/>
  <c r="AJ44" i="33"/>
  <c r="AI44" i="33" s="1"/>
  <c r="AL44" i="33"/>
  <c r="AK45" i="33" s="1"/>
  <c r="U56" i="33"/>
  <c r="S68" i="33"/>
  <c r="K90" i="34"/>
  <c r="V89" i="33"/>
  <c r="AJ97" i="33"/>
  <c r="AI97" i="33" s="1"/>
  <c r="K105" i="34"/>
  <c r="Q104" i="33"/>
  <c r="L104" i="34" s="1"/>
  <c r="AL112" i="33"/>
  <c r="AK113" i="33" s="1"/>
  <c r="JE57" i="36"/>
  <c r="KI57" i="36"/>
  <c r="DU45" i="36"/>
  <c r="DR45" i="36"/>
  <c r="DQ45" i="36"/>
  <c r="DP45" i="36"/>
  <c r="EE45" i="36"/>
  <c r="EA45" i="36"/>
  <c r="DZ45" i="36"/>
  <c r="DE45" i="36"/>
  <c r="DI45" i="36"/>
  <c r="DH45" i="36"/>
  <c r="DG45" i="36"/>
  <c r="DY45" i="36"/>
  <c r="EC45" i="36"/>
  <c r="EB45" i="36"/>
  <c r="DK45" i="36"/>
  <c r="DJ45" i="36"/>
  <c r="EG45" i="36"/>
  <c r="ED45" i="36"/>
  <c r="DX45" i="36"/>
  <c r="DO45" i="36"/>
  <c r="DN45" i="36"/>
  <c r="DF45" i="36"/>
  <c r="DT45" i="36"/>
  <c r="U13" i="33"/>
  <c r="K14" i="34" s="1"/>
  <c r="V17" i="33"/>
  <c r="AJ17" i="33"/>
  <c r="AI17" i="33" s="1"/>
  <c r="S28" i="33"/>
  <c r="S32" i="33"/>
  <c r="V56" i="33"/>
  <c r="T68" i="33"/>
  <c r="S76" i="33"/>
  <c r="AE76" i="33" s="1"/>
  <c r="AE84" i="33"/>
  <c r="AF84" i="33"/>
  <c r="T84" i="33"/>
  <c r="V84" i="33"/>
  <c r="U84" i="33"/>
  <c r="K85" i="34" s="1"/>
  <c r="AJ85" i="33"/>
  <c r="AI85" i="33" s="1"/>
  <c r="S89" i="33"/>
  <c r="AE89" i="33" s="1"/>
  <c r="AE100" i="33"/>
  <c r="Q100" i="33"/>
  <c r="L100" i="34" s="1"/>
  <c r="O101" i="34" s="1"/>
  <c r="AF100" i="33"/>
  <c r="S104" i="33"/>
  <c r="AE105" i="33" s="1"/>
  <c r="H14" i="34"/>
  <c r="H15" i="34" s="1"/>
  <c r="H16" i="34" s="1"/>
  <c r="H17" i="34" s="1"/>
  <c r="H18" i="34" s="1"/>
  <c r="H19" i="34" s="1"/>
  <c r="H20" i="34" s="1"/>
  <c r="H21" i="34" s="1"/>
  <c r="H22" i="34" s="1"/>
  <c r="H23" i="34" s="1"/>
  <c r="H24" i="34" s="1"/>
  <c r="H25" i="34" s="1"/>
  <c r="H26" i="34" s="1"/>
  <c r="H27" i="34" s="1"/>
  <c r="H28" i="34" s="1"/>
  <c r="H29" i="34" s="1"/>
  <c r="H30" i="34" s="1"/>
  <c r="H31" i="34" s="1"/>
  <c r="H32" i="34" s="1"/>
  <c r="H33" i="34" s="1"/>
  <c r="H34" i="34" s="1"/>
  <c r="H35" i="34" s="1"/>
  <c r="H36" i="34" s="1"/>
  <c r="H37" i="34" s="1"/>
  <c r="H38" i="34" s="1"/>
  <c r="H39" i="34" s="1"/>
  <c r="H40" i="34" s="1"/>
  <c r="H41" i="34" s="1"/>
  <c r="H42" i="34" s="1"/>
  <c r="H43" i="34" s="1"/>
  <c r="H44" i="34" s="1"/>
  <c r="H45" i="34" s="1"/>
  <c r="H46" i="34" s="1"/>
  <c r="H47" i="34" s="1"/>
  <c r="H48" i="34" s="1"/>
  <c r="H49" i="34" s="1"/>
  <c r="H50" i="34" s="1"/>
  <c r="H51" i="34" s="1"/>
  <c r="H52" i="34" s="1"/>
  <c r="H53" i="34" s="1"/>
  <c r="O49" i="34"/>
  <c r="JF57" i="36"/>
  <c r="KJ57" i="36"/>
  <c r="BY41" i="36"/>
  <c r="GS41" i="36"/>
  <c r="DV45" i="36"/>
  <c r="O22" i="34"/>
  <c r="T28" i="33"/>
  <c r="T32" i="33"/>
  <c r="U68" i="33"/>
  <c r="S84" i="33"/>
  <c r="T89" i="33"/>
  <c r="S100" i="33"/>
  <c r="T104" i="33"/>
  <c r="K112" i="34"/>
  <c r="U111" i="33"/>
  <c r="Q111" i="33"/>
  <c r="L111" i="34" s="1"/>
  <c r="O112" i="34" s="1"/>
  <c r="AD111" i="33"/>
  <c r="AC111" i="33" s="1"/>
  <c r="H88" i="34"/>
  <c r="FA57" i="36"/>
  <c r="GM57" i="36"/>
  <c r="CA41" i="36"/>
  <c r="GT41" i="36"/>
  <c r="DW45" i="36"/>
  <c r="EC49" i="36"/>
  <c r="DK49" i="36"/>
  <c r="EG49" i="36"/>
  <c r="EE49" i="36"/>
  <c r="ED49" i="36"/>
  <c r="DU49" i="36"/>
  <c r="DT49" i="36"/>
  <c r="DR49" i="36"/>
  <c r="DN49" i="36"/>
  <c r="DJ49" i="36"/>
  <c r="DE49" i="36"/>
  <c r="DW49" i="36"/>
  <c r="DO49" i="36"/>
  <c r="DM49" i="36"/>
  <c r="DH49" i="36"/>
  <c r="DG49" i="36"/>
  <c r="DF49" i="36"/>
  <c r="EF49" i="36"/>
  <c r="EB49" i="36"/>
  <c r="DL49" i="36"/>
  <c r="DI49" i="36"/>
  <c r="DQ49" i="36"/>
  <c r="CT52" i="36"/>
  <c r="GT52" i="36"/>
  <c r="L198" i="37"/>
  <c r="U23" i="39" s="1"/>
  <c r="AF20" i="33"/>
  <c r="AD20" i="33" s="1"/>
  <c r="AC20" i="33" s="1"/>
  <c r="K21" i="34"/>
  <c r="AE20" i="33"/>
  <c r="S24" i="33"/>
  <c r="U28" i="33"/>
  <c r="AJ28" i="33"/>
  <c r="AI28" i="33" s="1"/>
  <c r="V32" i="33"/>
  <c r="O45" i="34"/>
  <c r="K48" i="34"/>
  <c r="AJ52" i="33"/>
  <c r="AI52" i="33" s="1"/>
  <c r="AJ51" i="33"/>
  <c r="AI51" i="33" s="1"/>
  <c r="AE79" i="33"/>
  <c r="AN79" i="33"/>
  <c r="AM79" i="33"/>
  <c r="K80" i="34"/>
  <c r="Q79" i="33"/>
  <c r="L80" i="34" s="1"/>
  <c r="O81" i="34" s="1"/>
  <c r="U89" i="33"/>
  <c r="AE96" i="33"/>
  <c r="T96" i="33"/>
  <c r="AF96" i="33"/>
  <c r="T100" i="33"/>
  <c r="U104" i="33"/>
  <c r="S111" i="33"/>
  <c r="S115" i="33"/>
  <c r="FI33" i="36"/>
  <c r="FH33" i="36"/>
  <c r="EQ33" i="36"/>
  <c r="EJ33" i="36"/>
  <c r="EI33" i="36"/>
  <c r="FD33" i="36"/>
  <c r="FC33" i="36"/>
  <c r="FB33" i="36"/>
  <c r="EK33" i="36"/>
  <c r="EP33" i="36"/>
  <c r="EO33" i="36"/>
  <c r="EO57" i="36" s="1"/>
  <c r="FG33" i="36"/>
  <c r="ER33" i="36"/>
  <c r="EX33" i="36"/>
  <c r="EV33" i="36"/>
  <c r="EU33" i="36"/>
  <c r="FA33" i="36"/>
  <c r="EZ33" i="36"/>
  <c r="EN33" i="36"/>
  <c r="EM33" i="36"/>
  <c r="CD41" i="36"/>
  <c r="HA41" i="36"/>
  <c r="EF45" i="36"/>
  <c r="DV49" i="36"/>
  <c r="CU52" i="36"/>
  <c r="GU52" i="36"/>
  <c r="O18" i="34"/>
  <c r="S20" i="33"/>
  <c r="V28" i="33"/>
  <c r="V36" i="33"/>
  <c r="U36" i="33"/>
  <c r="AN36" i="33"/>
  <c r="T36" i="33"/>
  <c r="S36" i="33"/>
  <c r="K44" i="34"/>
  <c r="AF43" i="33"/>
  <c r="AF63" i="33"/>
  <c r="S79" i="33"/>
  <c r="AE80" i="33" s="1"/>
  <c r="AF89" i="33"/>
  <c r="AD89" i="33" s="1"/>
  <c r="AC89" i="33" s="1"/>
  <c r="AE92" i="33"/>
  <c r="K93" i="34"/>
  <c r="V92" i="33"/>
  <c r="S96" i="33"/>
  <c r="U100" i="33"/>
  <c r="K101" i="34" s="1"/>
  <c r="V104" i="33"/>
  <c r="T111" i="33"/>
  <c r="HN26" i="36"/>
  <c r="GJ26" i="36"/>
  <c r="CX26" i="36"/>
  <c r="BS26" i="36"/>
  <c r="AO26" i="36"/>
  <c r="HM26" i="36"/>
  <c r="GI26" i="36"/>
  <c r="CW26" i="36"/>
  <c r="BR26" i="36"/>
  <c r="AN26" i="36"/>
  <c r="HL26" i="36"/>
  <c r="GH26" i="36"/>
  <c r="CV26" i="36"/>
  <c r="BQ26" i="36"/>
  <c r="AM26" i="36"/>
  <c r="HZ26" i="36"/>
  <c r="GV26" i="36"/>
  <c r="FR26" i="36"/>
  <c r="CE26" i="36"/>
  <c r="BA26" i="36"/>
  <c r="HP26" i="36"/>
  <c r="GE26" i="36"/>
  <c r="CJ26" i="36"/>
  <c r="AZ26" i="36"/>
  <c r="HO26" i="36"/>
  <c r="GD26" i="36"/>
  <c r="CI26" i="36"/>
  <c r="AY26" i="36"/>
  <c r="ID26" i="36"/>
  <c r="GU26" i="36"/>
  <c r="FM26" i="36"/>
  <c r="CZ26" i="36"/>
  <c r="BN26" i="36"/>
  <c r="HS26" i="36"/>
  <c r="GC26" i="36"/>
  <c r="BZ26" i="36"/>
  <c r="AK26" i="36"/>
  <c r="HR26" i="36"/>
  <c r="GB26" i="36"/>
  <c r="BY26" i="36"/>
  <c r="AJ26" i="36"/>
  <c r="IG26" i="36"/>
  <c r="GT26" i="36"/>
  <c r="CP26" i="36"/>
  <c r="BC26" i="36"/>
  <c r="GZ26" i="36"/>
  <c r="CQ26" i="36"/>
  <c r="AW26" i="36"/>
  <c r="GX26" i="36"/>
  <c r="CM26" i="36"/>
  <c r="AU26" i="36"/>
  <c r="GY26" i="36"/>
  <c r="CN26" i="36"/>
  <c r="AV26" i="36"/>
  <c r="HQ26" i="36"/>
  <c r="FW26" i="36"/>
  <c r="BM26" i="36"/>
  <c r="HK26" i="36"/>
  <c r="FV26" i="36"/>
  <c r="BL26" i="36"/>
  <c r="GM26" i="36"/>
  <c r="BU26" i="36"/>
  <c r="GL26" i="36"/>
  <c r="BP26" i="36"/>
  <c r="HF26" i="36"/>
  <c r="CL26" i="36"/>
  <c r="AI26" i="36"/>
  <c r="HD26" i="36"/>
  <c r="CK26" i="36"/>
  <c r="AH26" i="36"/>
  <c r="HI26" i="36"/>
  <c r="CF26" i="36"/>
  <c r="HC26" i="36"/>
  <c r="CB26" i="36"/>
  <c r="HH26" i="36"/>
  <c r="CD26" i="36"/>
  <c r="HG26" i="36"/>
  <c r="CC26" i="36"/>
  <c r="IF26" i="36"/>
  <c r="FX26" i="36"/>
  <c r="AX26" i="36"/>
  <c r="IE26" i="36"/>
  <c r="FU26" i="36"/>
  <c r="AT26" i="36"/>
  <c r="GF26" i="36"/>
  <c r="CK41" i="36"/>
  <c r="HQ41" i="36"/>
  <c r="DF48" i="36"/>
  <c r="EE48" i="36"/>
  <c r="DV48" i="36"/>
  <c r="DT48" i="36"/>
  <c r="DR48" i="36"/>
  <c r="DQ48" i="36"/>
  <c r="DP48" i="36"/>
  <c r="DO48" i="36"/>
  <c r="EG48" i="36"/>
  <c r="DM48" i="36"/>
  <c r="EC48" i="36"/>
  <c r="EB48" i="36"/>
  <c r="EA48" i="36"/>
  <c r="DJ48" i="36"/>
  <c r="DI48" i="36"/>
  <c r="DH48" i="36"/>
  <c r="DG48" i="36"/>
  <c r="DW48" i="36"/>
  <c r="DU48" i="36"/>
  <c r="DN48" i="36"/>
  <c r="EF48" i="36"/>
  <c r="ED48" i="36"/>
  <c r="DX49" i="36"/>
  <c r="GW52" i="36"/>
  <c r="K60" i="36"/>
  <c r="I158" i="37"/>
  <c r="S22" i="33"/>
  <c r="V22" i="33"/>
  <c r="T26" i="33"/>
  <c r="S26" i="33"/>
  <c r="AM26" i="33"/>
  <c r="AJ42" i="33"/>
  <c r="AI42" i="33" s="1"/>
  <c r="S82" i="33"/>
  <c r="AE82" i="33" s="1"/>
  <c r="AD94" i="33"/>
  <c r="AC94" i="33" s="1"/>
  <c r="K83" i="34"/>
  <c r="N83" i="34" s="1"/>
  <c r="T22" i="33"/>
  <c r="K35" i="34"/>
  <c r="AE34" i="33"/>
  <c r="V34" i="33"/>
  <c r="AL54" i="33"/>
  <c r="AK55" i="33" s="1"/>
  <c r="I146" i="37"/>
  <c r="O114" i="34"/>
  <c r="O26" i="34"/>
  <c r="JX57" i="36"/>
  <c r="V57" i="33"/>
  <c r="U57" i="33"/>
  <c r="K58" i="34" s="1"/>
  <c r="AN57" i="33"/>
  <c r="AM57" i="33"/>
  <c r="S98" i="33"/>
  <c r="DF43" i="36"/>
  <c r="AF14" i="33"/>
  <c r="AE14" i="33"/>
  <c r="S16" i="33"/>
  <c r="AE17" i="33" s="1"/>
  <c r="AB26" i="33"/>
  <c r="AA26" i="33" s="1"/>
  <c r="U34" i="33"/>
  <c r="AF52" i="33"/>
  <c r="AE52" i="33"/>
  <c r="S57" i="33"/>
  <c r="AE58" i="33" s="1"/>
  <c r="AL58" i="33"/>
  <c r="AK59" i="33" s="1"/>
  <c r="AJ60" i="33"/>
  <c r="AI60" i="33" s="1"/>
  <c r="AE85" i="33"/>
  <c r="Q85" i="33"/>
  <c r="L86" i="34" s="1"/>
  <c r="AF85" i="33"/>
  <c r="S90" i="33"/>
  <c r="AE90" i="33" s="1"/>
  <c r="AG90" i="33" s="1"/>
  <c r="BW26" i="36"/>
  <c r="HX26" i="36"/>
  <c r="IB37" i="36"/>
  <c r="GX37" i="36"/>
  <c r="FT37" i="36"/>
  <c r="CH37" i="36"/>
  <c r="BC37" i="36"/>
  <c r="IA37" i="36"/>
  <c r="GW37" i="36"/>
  <c r="FS37" i="36"/>
  <c r="CF37" i="36"/>
  <c r="BB37" i="36"/>
  <c r="HJ37" i="36"/>
  <c r="GF37" i="36"/>
  <c r="CT37" i="36"/>
  <c r="BO37" i="36"/>
  <c r="AK37" i="36"/>
  <c r="IH37" i="36"/>
  <c r="HA37" i="36"/>
  <c r="FR37" i="36"/>
  <c r="DC37" i="36"/>
  <c r="BV37" i="36"/>
  <c r="AN37" i="36"/>
  <c r="IG37" i="36"/>
  <c r="GZ37" i="36"/>
  <c r="FQ37" i="36"/>
  <c r="DB37" i="36"/>
  <c r="BU37" i="36"/>
  <c r="AM37" i="36"/>
  <c r="HN37" i="36"/>
  <c r="GG37" i="36"/>
  <c r="HP37" i="36"/>
  <c r="GD37" i="36"/>
  <c r="BX37" i="36"/>
  <c r="AL37" i="36"/>
  <c r="HO37" i="36"/>
  <c r="GC37" i="36"/>
  <c r="BW37" i="36"/>
  <c r="AJ37" i="36"/>
  <c r="HM37" i="36"/>
  <c r="GB37" i="36"/>
  <c r="BS37" i="36"/>
  <c r="AI37" i="36"/>
  <c r="ID37" i="36"/>
  <c r="GR37" i="36"/>
  <c r="CL37" i="36"/>
  <c r="AZ37" i="36"/>
  <c r="HC37" i="36"/>
  <c r="CC37" i="36"/>
  <c r="AO37" i="36"/>
  <c r="HB37" i="36"/>
  <c r="CB37" i="36"/>
  <c r="AH37" i="36"/>
  <c r="HV37" i="36"/>
  <c r="GE37" i="36"/>
  <c r="CU37" i="36"/>
  <c r="BF37" i="36"/>
  <c r="HR37" i="36"/>
  <c r="FU37" i="36"/>
  <c r="CA37" i="36"/>
  <c r="HQ37" i="36"/>
  <c r="FP37" i="36"/>
  <c r="BZ37" i="36"/>
  <c r="GM37" i="36"/>
  <c r="CS37" i="36"/>
  <c r="CS57" i="36" s="1"/>
  <c r="AX37" i="36"/>
  <c r="HF37" i="36"/>
  <c r="CY37" i="36"/>
  <c r="AY37" i="36"/>
  <c r="GY37" i="36"/>
  <c r="CW37" i="36"/>
  <c r="HD37" i="36"/>
  <c r="CX37" i="36"/>
  <c r="AW37" i="36"/>
  <c r="AV37" i="36"/>
  <c r="HZ37" i="36"/>
  <c r="FX37" i="36"/>
  <c r="BP37" i="36"/>
  <c r="HY37" i="36"/>
  <c r="FW37" i="36"/>
  <c r="BN37" i="36"/>
  <c r="GH37" i="36"/>
  <c r="BD37" i="36"/>
  <c r="FZ37" i="36"/>
  <c r="BA37" i="36"/>
  <c r="GV37" i="36"/>
  <c r="CD37" i="36"/>
  <c r="GU37" i="36"/>
  <c r="BY37" i="36"/>
  <c r="GT37" i="36"/>
  <c r="BG37" i="36"/>
  <c r="GO37" i="36"/>
  <c r="AS37" i="36"/>
  <c r="GS37" i="36"/>
  <c r="AU37" i="36"/>
  <c r="GQ37" i="36"/>
  <c r="AT37" i="36"/>
  <c r="IE37" i="36"/>
  <c r="CJ37" i="36"/>
  <c r="IC37" i="36"/>
  <c r="CI37" i="36"/>
  <c r="IF37" i="36"/>
  <c r="AX41" i="36"/>
  <c r="AR52" i="36"/>
  <c r="EF53" i="36"/>
  <c r="DN53" i="36"/>
  <c r="DM53" i="36"/>
  <c r="EA53" i="36"/>
  <c r="DY53" i="36"/>
  <c r="DG53" i="36"/>
  <c r="DQ53" i="36"/>
  <c r="DP53" i="36"/>
  <c r="DU53" i="36"/>
  <c r="DR53" i="36"/>
  <c r="DO53" i="36"/>
  <c r="EC53" i="36"/>
  <c r="EB53" i="36"/>
  <c r="DZ53" i="36"/>
  <c r="DV53" i="36"/>
  <c r="DK53" i="36"/>
  <c r="EG53" i="36"/>
  <c r="DW53" i="36"/>
  <c r="DT53" i="36"/>
  <c r="DI53" i="36"/>
  <c r="DF53" i="36"/>
  <c r="DH53" i="36"/>
  <c r="DJ53" i="36"/>
  <c r="DE53" i="36"/>
  <c r="O67" i="34"/>
  <c r="V82" i="33"/>
  <c r="O103" i="34"/>
  <c r="H57" i="34"/>
  <c r="H58" i="34" s="1"/>
  <c r="H59" i="34" s="1"/>
  <c r="H60" i="34" s="1"/>
  <c r="H61" i="34" s="1"/>
  <c r="H62" i="34" s="1"/>
  <c r="H63" i="34" s="1"/>
  <c r="H64" i="34" s="1"/>
  <c r="H65" i="34" s="1"/>
  <c r="H66" i="34" s="1"/>
  <c r="H67" i="34" s="1"/>
  <c r="H68" i="34" s="1"/>
  <c r="H69" i="34" s="1"/>
  <c r="H70" i="34" s="1"/>
  <c r="H71" i="34" s="1"/>
  <c r="H72" i="34" s="1"/>
  <c r="H73" i="34" s="1"/>
  <c r="H74" i="34" s="1"/>
  <c r="DB57" i="36"/>
  <c r="IP57" i="36"/>
  <c r="JT57" i="36"/>
  <c r="O36" i="34"/>
  <c r="HD57" i="36"/>
  <c r="JU57" i="36"/>
  <c r="U26" i="33"/>
  <c r="AE73" i="33"/>
  <c r="K74" i="34"/>
  <c r="J74" i="34" s="1"/>
  <c r="V73" i="33"/>
  <c r="U73" i="33"/>
  <c r="T82" i="33"/>
  <c r="O35" i="34"/>
  <c r="JV57" i="36"/>
  <c r="HI41" i="36"/>
  <c r="GE41" i="36"/>
  <c r="CS41" i="36"/>
  <c r="BN41" i="36"/>
  <c r="AJ41" i="36"/>
  <c r="HH41" i="36"/>
  <c r="GD41" i="36"/>
  <c r="CR41" i="36"/>
  <c r="BM41" i="36"/>
  <c r="AI41" i="36"/>
  <c r="HU41" i="36"/>
  <c r="GQ41" i="36"/>
  <c r="FM41" i="36"/>
  <c r="BZ41" i="36"/>
  <c r="AV41" i="36"/>
  <c r="HD41" i="36"/>
  <c r="FW41" i="36"/>
  <c r="CC41" i="36"/>
  <c r="AU41" i="36"/>
  <c r="AU57" i="36" s="1"/>
  <c r="HC41" i="36"/>
  <c r="FV41" i="36"/>
  <c r="CB41" i="36"/>
  <c r="AT41" i="36"/>
  <c r="HR41" i="36"/>
  <c r="GK41" i="36"/>
  <c r="CP41" i="36"/>
  <c r="BH41" i="36"/>
  <c r="IG41" i="36"/>
  <c r="GW41" i="36"/>
  <c r="CV41" i="36"/>
  <c r="BI41" i="36"/>
  <c r="IF41" i="36"/>
  <c r="GV41" i="36"/>
  <c r="CU41" i="36"/>
  <c r="BG41" i="36"/>
  <c r="IE41" i="36"/>
  <c r="GU41" i="36"/>
  <c r="CT41" i="36"/>
  <c r="BF41" i="36"/>
  <c r="HM41" i="36"/>
  <c r="FZ41" i="36"/>
  <c r="BW41" i="36"/>
  <c r="AL41" i="36"/>
  <c r="HW41" i="36"/>
  <c r="GF41" i="36"/>
  <c r="BP41" i="36"/>
  <c r="HV41" i="36"/>
  <c r="GC41" i="36"/>
  <c r="BO41" i="36"/>
  <c r="GX41" i="36"/>
  <c r="CH41" i="36"/>
  <c r="AO41" i="36"/>
  <c r="HK41" i="36"/>
  <c r="FO41" i="36"/>
  <c r="CJ41" i="36"/>
  <c r="AM41" i="36"/>
  <c r="HJ41" i="36"/>
  <c r="FN41" i="36"/>
  <c r="CI41" i="36"/>
  <c r="AK41" i="36"/>
  <c r="IB41" i="36"/>
  <c r="GH41" i="36"/>
  <c r="DB41" i="36"/>
  <c r="BC41" i="36"/>
  <c r="HG41" i="36"/>
  <c r="BV41" i="36"/>
  <c r="BS41" i="36"/>
  <c r="HF41" i="36"/>
  <c r="BU41" i="36"/>
  <c r="HB41" i="36"/>
  <c r="IC41" i="36"/>
  <c r="FY41" i="36"/>
  <c r="CQ41" i="36"/>
  <c r="AQ41" i="36"/>
  <c r="IA41" i="36"/>
  <c r="FX41" i="36"/>
  <c r="CN41" i="36"/>
  <c r="AN41" i="36"/>
  <c r="GG41" i="36"/>
  <c r="CF41" i="36"/>
  <c r="GB41" i="36"/>
  <c r="CE41" i="36"/>
  <c r="GZ41" i="36"/>
  <c r="AW41" i="36"/>
  <c r="GY41" i="36"/>
  <c r="AS41" i="36"/>
  <c r="HP41" i="36"/>
  <c r="HL41" i="36"/>
  <c r="CZ41" i="36"/>
  <c r="HO41" i="36"/>
  <c r="DC41" i="36"/>
  <c r="HN41" i="36"/>
  <c r="DA41" i="36"/>
  <c r="FR41" i="36"/>
  <c r="BK41" i="36"/>
  <c r="FQ41" i="36"/>
  <c r="BJ41" i="36"/>
  <c r="AB6" i="33"/>
  <c r="AA6" i="33" s="1"/>
  <c r="AD6" i="33"/>
  <c r="U11" i="33"/>
  <c r="K12" i="34" s="1"/>
  <c r="U22" i="33"/>
  <c r="V26" i="33"/>
  <c r="J66" i="34"/>
  <c r="N67" i="34"/>
  <c r="AL86" i="33"/>
  <c r="AK87" i="33" s="1"/>
  <c r="AJ86" i="33"/>
  <c r="AI86" i="33" s="1"/>
  <c r="IT57" i="36"/>
  <c r="DL37" i="36"/>
  <c r="DK37" i="36"/>
  <c r="DX37" i="36"/>
  <c r="DH37" i="36"/>
  <c r="DG37" i="36"/>
  <c r="DF37" i="36"/>
  <c r="DV37" i="36"/>
  <c r="DT37" i="36"/>
  <c r="DR37" i="36"/>
  <c r="DY37" i="36"/>
  <c r="DW37" i="36"/>
  <c r="DU37" i="36"/>
  <c r="DQ37" i="36"/>
  <c r="DN37" i="36"/>
  <c r="DM37" i="36"/>
  <c r="EG37" i="36"/>
  <c r="EB37" i="36"/>
  <c r="DP37" i="36"/>
  <c r="EA37" i="36"/>
  <c r="DZ37" i="36"/>
  <c r="EG43" i="36"/>
  <c r="DP43" i="36"/>
  <c r="DO43" i="36"/>
  <c r="EB43" i="36"/>
  <c r="DJ43" i="36"/>
  <c r="DI43" i="36"/>
  <c r="DX43" i="36"/>
  <c r="EF43" i="36"/>
  <c r="EE43" i="36"/>
  <c r="ED43" i="36"/>
  <c r="DH43" i="36"/>
  <c r="DT43" i="36"/>
  <c r="DR43" i="36"/>
  <c r="DE43" i="36"/>
  <c r="DM43" i="36"/>
  <c r="DK43" i="36"/>
  <c r="DL43" i="36"/>
  <c r="EC43" i="36"/>
  <c r="T34" i="33"/>
  <c r="AJ95" i="33"/>
  <c r="AI95" i="33" s="1"/>
  <c r="AE113" i="33"/>
  <c r="U113" i="33"/>
  <c r="K114" i="34" s="1"/>
  <c r="V113" i="33"/>
  <c r="T113" i="33"/>
  <c r="EP37" i="36"/>
  <c r="EO37" i="36"/>
  <c r="FB37" i="36"/>
  <c r="EK37" i="36"/>
  <c r="EJ37" i="36"/>
  <c r="EJ57" i="36" s="1"/>
  <c r="EY37" i="36"/>
  <c r="ES37" i="36"/>
  <c r="ER37" i="36"/>
  <c r="EQ37" i="36"/>
  <c r="FG37" i="36"/>
  <c r="FJ37" i="36"/>
  <c r="FI37" i="36"/>
  <c r="EI37" i="36"/>
  <c r="EN37" i="36"/>
  <c r="FC37" i="36"/>
  <c r="EZ37" i="36"/>
  <c r="FA37" i="36"/>
  <c r="EL37" i="36"/>
  <c r="FE37" i="36"/>
  <c r="FD37" i="36"/>
  <c r="FA50" i="36"/>
  <c r="EI50" i="36"/>
  <c r="ES50" i="36"/>
  <c r="EZ50" i="36"/>
  <c r="EX50" i="36"/>
  <c r="EV50" i="36"/>
  <c r="EQ50" i="36"/>
  <c r="EM50" i="36"/>
  <c r="EL50" i="36"/>
  <c r="FH50" i="36"/>
  <c r="FE50" i="36"/>
  <c r="EK50" i="36"/>
  <c r="EJ50" i="36"/>
  <c r="FF50" i="36"/>
  <c r="ER50" i="36"/>
  <c r="FI50" i="36"/>
  <c r="FG50" i="36"/>
  <c r="EU50" i="36"/>
  <c r="EP50" i="36"/>
  <c r="ET50" i="36"/>
  <c r="EN50" i="36"/>
  <c r="FB50" i="36"/>
  <c r="AH52" i="36"/>
  <c r="AL42" i="33"/>
  <c r="AK43" i="33" s="1"/>
  <c r="T57" i="33"/>
  <c r="AF73" i="33"/>
  <c r="S85" i="33"/>
  <c r="AB94" i="33"/>
  <c r="AA94" i="33" s="1"/>
  <c r="I16" i="34"/>
  <c r="I17" i="34" s="1"/>
  <c r="I91" i="34"/>
  <c r="I92" i="34" s="1"/>
  <c r="I93" i="34" s="1"/>
  <c r="I94" i="34" s="1"/>
  <c r="I95" i="34" s="1"/>
  <c r="I96" i="34" s="1"/>
  <c r="EZ19" i="36"/>
  <c r="EY19" i="36"/>
  <c r="EI19" i="36"/>
  <c r="FD19" i="36"/>
  <c r="FC19" i="36"/>
  <c r="EJ19" i="36"/>
  <c r="EU19" i="36"/>
  <c r="ET19" i="36"/>
  <c r="EM19" i="36"/>
  <c r="EL19" i="36"/>
  <c r="FE19" i="36"/>
  <c r="FB19" i="36"/>
  <c r="EX19" i="36"/>
  <c r="ER19" i="36"/>
  <c r="EV19" i="36"/>
  <c r="ES19" i="36"/>
  <c r="BX26" i="36"/>
  <c r="HY26" i="36"/>
  <c r="EM37" i="36"/>
  <c r="AY41" i="36"/>
  <c r="FT41" i="36"/>
  <c r="DN43" i="36"/>
  <c r="FD50" i="36"/>
  <c r="FJ53" i="36"/>
  <c r="ER53" i="36"/>
  <c r="EQ53" i="36"/>
  <c r="FH53" i="36"/>
  <c r="FF53" i="36"/>
  <c r="EN53" i="36"/>
  <c r="FB53" i="36"/>
  <c r="FA53" i="36"/>
  <c r="FI53" i="36"/>
  <c r="FE53" i="36"/>
  <c r="FD53" i="36"/>
  <c r="ES53" i="36"/>
  <c r="EU53" i="36"/>
  <c r="ET53" i="36"/>
  <c r="EJ53" i="36"/>
  <c r="EI53" i="36"/>
  <c r="FG53" i="36"/>
  <c r="EZ53" i="36"/>
  <c r="EY53" i="36"/>
  <c r="EX53" i="36"/>
  <c r="EV53" i="36"/>
  <c r="EP53" i="36"/>
  <c r="FC53" i="36"/>
  <c r="EO53" i="36"/>
  <c r="AF38" i="33"/>
  <c r="AE38" i="33"/>
  <c r="K39" i="34"/>
  <c r="AN38" i="33"/>
  <c r="AM38" i="33"/>
  <c r="S11" i="33"/>
  <c r="AE12" i="33" s="1"/>
  <c r="S38" i="33"/>
  <c r="I57" i="34"/>
  <c r="AE7" i="33"/>
  <c r="AG7" i="33" s="1"/>
  <c r="T11" i="33"/>
  <c r="T38" i="33"/>
  <c r="N26" i="34"/>
  <c r="O38" i="34"/>
  <c r="I97" i="34"/>
  <c r="I98" i="34" s="1"/>
  <c r="IR57" i="36"/>
  <c r="AJ15" i="33"/>
  <c r="AI15" i="33" s="1"/>
  <c r="AL15" i="33"/>
  <c r="AK16" i="33" s="1"/>
  <c r="S34" i="33"/>
  <c r="S73" i="33"/>
  <c r="K110" i="34"/>
  <c r="AN109" i="33"/>
  <c r="Q109" i="33"/>
  <c r="L109" i="34" s="1"/>
  <c r="O110" i="34" s="1"/>
  <c r="U109" i="33"/>
  <c r="T109" i="33"/>
  <c r="K57" i="34"/>
  <c r="H80" i="34"/>
  <c r="H81" i="34" s="1"/>
  <c r="H82" i="34" s="1"/>
  <c r="H83" i="34" s="1"/>
  <c r="H84" i="34" s="1"/>
  <c r="H85" i="34" s="1"/>
  <c r="H86" i="34" s="1"/>
  <c r="H87" i="34" s="1"/>
  <c r="AH41" i="36"/>
  <c r="IG52" i="36"/>
  <c r="HC52" i="36"/>
  <c r="FY52" i="36"/>
  <c r="CM52" i="36"/>
  <c r="BI52" i="36"/>
  <c r="HO52" i="36"/>
  <c r="GK52" i="36"/>
  <c r="CY52" i="36"/>
  <c r="BU52" i="36"/>
  <c r="AQ52" i="36"/>
  <c r="HN52" i="36"/>
  <c r="GJ52" i="36"/>
  <c r="CX52" i="36"/>
  <c r="BS52" i="36"/>
  <c r="AO52" i="36"/>
  <c r="HQ52" i="36"/>
  <c r="GH52" i="36"/>
  <c r="CK52" i="36"/>
  <c r="BC52" i="36"/>
  <c r="HM52" i="36"/>
  <c r="GF52" i="36"/>
  <c r="CI52" i="36"/>
  <c r="BA52" i="36"/>
  <c r="IC52" i="36"/>
  <c r="GV52" i="36"/>
  <c r="FO52" i="36"/>
  <c r="CZ52" i="36"/>
  <c r="BP52" i="36"/>
  <c r="AI52" i="36"/>
  <c r="IB52" i="36"/>
  <c r="GR52" i="36"/>
  <c r="CF52" i="36"/>
  <c r="AV52" i="36"/>
  <c r="IA52" i="36"/>
  <c r="GQ52" i="36"/>
  <c r="CE52" i="36"/>
  <c r="AU52" i="36"/>
  <c r="HW52" i="36"/>
  <c r="GG52" i="36"/>
  <c r="BO52" i="36"/>
  <c r="HU52" i="36"/>
  <c r="GD52" i="36"/>
  <c r="DC52" i="36"/>
  <c r="BM52" i="36"/>
  <c r="HS52" i="36"/>
  <c r="GC52" i="36"/>
  <c r="DB52" i="36"/>
  <c r="BL52" i="36"/>
  <c r="HL52" i="36"/>
  <c r="FU52" i="36"/>
  <c r="CJ52" i="36"/>
  <c r="AN52" i="36"/>
  <c r="HK52" i="36"/>
  <c r="FT52" i="36"/>
  <c r="CH52" i="36"/>
  <c r="AM52" i="36"/>
  <c r="HJ52" i="36"/>
  <c r="FS52" i="36"/>
  <c r="CD52" i="36"/>
  <c r="AL52" i="36"/>
  <c r="GO52" i="36"/>
  <c r="DA52" i="36"/>
  <c r="BG52" i="36"/>
  <c r="HP52" i="36"/>
  <c r="FN52" i="36"/>
  <c r="BK52" i="36"/>
  <c r="HI52" i="36"/>
  <c r="FM52" i="36"/>
  <c r="BJ52" i="36"/>
  <c r="GS52" i="36"/>
  <c r="CP52" i="36"/>
  <c r="AJ52" i="36"/>
  <c r="GL52" i="36"/>
  <c r="CC52" i="36"/>
  <c r="GB52" i="36"/>
  <c r="BN52" i="36"/>
  <c r="FZ52" i="36"/>
  <c r="BH52" i="36"/>
  <c r="FX52" i="36"/>
  <c r="BF52" i="36"/>
  <c r="HA52" i="36"/>
  <c r="CN52" i="36"/>
  <c r="HR52" i="36"/>
  <c r="CB52" i="36"/>
  <c r="HH52" i="36"/>
  <c r="CA52" i="36"/>
  <c r="FW52" i="36"/>
  <c r="AS52" i="36"/>
  <c r="IE52" i="36"/>
  <c r="CQ52" i="36"/>
  <c r="ID52" i="36"/>
  <c r="CL52" i="36"/>
  <c r="GM52" i="36"/>
  <c r="AK52" i="36"/>
  <c r="FV52" i="36"/>
  <c r="CV52" i="36"/>
  <c r="FR52" i="36"/>
  <c r="CW52" i="36"/>
  <c r="FQ52" i="36"/>
  <c r="HD52" i="36"/>
  <c r="AY52" i="36"/>
  <c r="HB52" i="36"/>
  <c r="AX52" i="36"/>
  <c r="HG52" i="36"/>
  <c r="HF52" i="36"/>
  <c r="BR52" i="36"/>
  <c r="BQ52" i="36"/>
  <c r="HZ52" i="36"/>
  <c r="HV52" i="36"/>
  <c r="HY52" i="36"/>
  <c r="HX52" i="36"/>
  <c r="BD52" i="36"/>
  <c r="BB52" i="36"/>
  <c r="V38" i="33"/>
  <c r="U45" i="33"/>
  <c r="K46" i="34" s="1"/>
  <c r="T45" i="33"/>
  <c r="AM45" i="33"/>
  <c r="V45" i="33"/>
  <c r="S45" i="33"/>
  <c r="AE46" i="33" s="1"/>
  <c r="T73" i="33"/>
  <c r="Q90" i="33"/>
  <c r="L90" i="34" s="1"/>
  <c r="O91" i="34" s="1"/>
  <c r="R91" i="34" s="1"/>
  <c r="R92" i="34" s="1"/>
  <c r="S109" i="33"/>
  <c r="EE37" i="36"/>
  <c r="AR41" i="36"/>
  <c r="FP41" i="36"/>
  <c r="T14" i="33"/>
  <c r="AN21" i="33"/>
  <c r="AM21" i="33"/>
  <c r="Q21" i="33"/>
  <c r="L22" i="34" s="1"/>
  <c r="O23" i="34" s="1"/>
  <c r="K22" i="34"/>
  <c r="AE22" i="33"/>
  <c r="T52" i="33"/>
  <c r="AJ54" i="33"/>
  <c r="AI54" i="33" s="1"/>
  <c r="AF69" i="33"/>
  <c r="V69" i="33"/>
  <c r="T69" i="33"/>
  <c r="S69" i="33"/>
  <c r="U69" i="33"/>
  <c r="AN69" i="33"/>
  <c r="AE81" i="33"/>
  <c r="T81" i="33"/>
  <c r="AF82" i="33"/>
  <c r="T85" i="33"/>
  <c r="U90" i="33"/>
  <c r="K91" i="34" s="1"/>
  <c r="AF113" i="33"/>
  <c r="K70" i="34"/>
  <c r="HL18" i="36"/>
  <c r="GH18" i="36"/>
  <c r="CV18" i="36"/>
  <c r="BQ18" i="36"/>
  <c r="AM18" i="36"/>
  <c r="HK18" i="36"/>
  <c r="GG18" i="36"/>
  <c r="CU18" i="36"/>
  <c r="BP18" i="36"/>
  <c r="AL18" i="36"/>
  <c r="HY18" i="36"/>
  <c r="GU18" i="36"/>
  <c r="FQ18" i="36"/>
  <c r="CD18" i="36"/>
  <c r="AZ18" i="36"/>
  <c r="IG18" i="36"/>
  <c r="GZ18" i="36"/>
  <c r="FS18" i="36"/>
  <c r="BY18" i="36"/>
  <c r="AR18" i="36"/>
  <c r="IF18" i="36"/>
  <c r="GY18" i="36"/>
  <c r="FR18" i="36"/>
  <c r="BX18" i="36"/>
  <c r="AQ18" i="36"/>
  <c r="HN18" i="36"/>
  <c r="GE18" i="36"/>
  <c r="CL18" i="36"/>
  <c r="BD18" i="36"/>
  <c r="GX18" i="36"/>
  <c r="FM18" i="36"/>
  <c r="CX18" i="36"/>
  <c r="BK18" i="36"/>
  <c r="GW18" i="36"/>
  <c r="CW18" i="36"/>
  <c r="BJ18" i="36"/>
  <c r="HO18" i="36"/>
  <c r="GB18" i="36"/>
  <c r="CA18" i="36"/>
  <c r="AN18" i="36"/>
  <c r="HM18" i="36"/>
  <c r="FZ18" i="36"/>
  <c r="BZ18" i="36"/>
  <c r="AK18" i="36"/>
  <c r="IC18" i="36"/>
  <c r="GM18" i="36"/>
  <c r="BW18" i="36"/>
  <c r="IB18" i="36"/>
  <c r="GL18" i="36"/>
  <c r="BV18" i="36"/>
  <c r="HD18" i="36"/>
  <c r="CP18" i="36"/>
  <c r="AX18" i="36"/>
  <c r="HC18" i="36"/>
  <c r="CN18" i="36"/>
  <c r="AW18" i="36"/>
  <c r="IA18" i="36"/>
  <c r="GD18" i="36"/>
  <c r="DB18" i="36"/>
  <c r="BC18" i="36"/>
  <c r="HW18" i="36"/>
  <c r="FX18" i="36"/>
  <c r="CY18" i="36"/>
  <c r="AY18" i="36"/>
  <c r="HZ18" i="36"/>
  <c r="GC18" i="36"/>
  <c r="DA18" i="36"/>
  <c r="BB18" i="36"/>
  <c r="HX18" i="36"/>
  <c r="FY18" i="36"/>
  <c r="CZ18" i="36"/>
  <c r="BA18" i="36"/>
  <c r="GV18" i="36"/>
  <c r="BU18" i="36"/>
  <c r="GT18" i="36"/>
  <c r="BS18" i="36"/>
  <c r="CR18" i="36"/>
  <c r="GI18" i="36"/>
  <c r="HH19" i="36"/>
  <c r="GD19" i="36"/>
  <c r="CR19" i="36"/>
  <c r="BM19" i="36"/>
  <c r="AI19" i="36"/>
  <c r="HG19" i="36"/>
  <c r="GC19" i="36"/>
  <c r="CQ19" i="36"/>
  <c r="BL19" i="36"/>
  <c r="AH19" i="36"/>
  <c r="HU19" i="36"/>
  <c r="GQ19" i="36"/>
  <c r="FM19" i="36"/>
  <c r="BZ19" i="36"/>
  <c r="AV19" i="36"/>
  <c r="HR19" i="36"/>
  <c r="GK19" i="36"/>
  <c r="CP19" i="36"/>
  <c r="BH19" i="36"/>
  <c r="HQ19" i="36"/>
  <c r="GJ19" i="36"/>
  <c r="CN19" i="36"/>
  <c r="BG19" i="36"/>
  <c r="IE19" i="36"/>
  <c r="GX19" i="36"/>
  <c r="FQ19" i="36"/>
  <c r="DC19" i="36"/>
  <c r="BV19" i="36"/>
  <c r="AN19" i="36"/>
  <c r="HD19" i="36"/>
  <c r="FT19" i="36"/>
  <c r="DA19" i="36"/>
  <c r="BP19" i="36"/>
  <c r="HC19" i="36"/>
  <c r="FS19" i="36"/>
  <c r="CZ19" i="36"/>
  <c r="BO19" i="36"/>
  <c r="HV19" i="36"/>
  <c r="GH19" i="36"/>
  <c r="CD19" i="36"/>
  <c r="AS19" i="36"/>
  <c r="HS19" i="36"/>
  <c r="GG19" i="36"/>
  <c r="CC19" i="36"/>
  <c r="AR19" i="36"/>
  <c r="HX19" i="36"/>
  <c r="GB19" i="36"/>
  <c r="BK19" i="36"/>
  <c r="HW19" i="36"/>
  <c r="FZ19" i="36"/>
  <c r="BJ19" i="36"/>
  <c r="GU19" i="36"/>
  <c r="CE19" i="36"/>
  <c r="AL19" i="36"/>
  <c r="GT19" i="36"/>
  <c r="CB19" i="36"/>
  <c r="AK19" i="36"/>
  <c r="GY19" i="36"/>
  <c r="BS19" i="36"/>
  <c r="BN19" i="36"/>
  <c r="GW19" i="36"/>
  <c r="BR19" i="36"/>
  <c r="GV19" i="36"/>
  <c r="BQ19" i="36"/>
  <c r="GS19" i="36"/>
  <c r="HO19" i="36"/>
  <c r="FR19" i="36"/>
  <c r="CL19" i="36"/>
  <c r="AO19" i="36"/>
  <c r="HN19" i="36"/>
  <c r="FP19" i="36"/>
  <c r="CK19" i="36"/>
  <c r="AM19" i="36"/>
  <c r="CV19" i="36"/>
  <c r="GN19" i="36"/>
  <c r="CA26" i="36"/>
  <c r="IA26" i="36"/>
  <c r="DU28" i="36"/>
  <c r="DZ28" i="36"/>
  <c r="DY28" i="36"/>
  <c r="DX28" i="36"/>
  <c r="DG28" i="36"/>
  <c r="DP28" i="36"/>
  <c r="EC28" i="36"/>
  <c r="EB28" i="36"/>
  <c r="DE28" i="36"/>
  <c r="DK28" i="36"/>
  <c r="DJ28" i="36"/>
  <c r="DV28" i="36"/>
  <c r="DT28" i="36"/>
  <c r="EF28" i="36"/>
  <c r="EA28" i="36"/>
  <c r="EE28" i="36"/>
  <c r="ED28" i="36"/>
  <c r="AR37" i="36"/>
  <c r="ET37" i="36"/>
  <c r="AZ41" i="36"/>
  <c r="FU41" i="36"/>
  <c r="DQ43" i="36"/>
  <c r="FJ50" i="36"/>
  <c r="AW52" i="36"/>
  <c r="HR53" i="36"/>
  <c r="GN53" i="36"/>
  <c r="DB53" i="36"/>
  <c r="BX53" i="36"/>
  <c r="AT53" i="36"/>
  <c r="ID53" i="36"/>
  <c r="GZ53" i="36"/>
  <c r="FV53" i="36"/>
  <c r="CJ53" i="36"/>
  <c r="BF53" i="36"/>
  <c r="IC53" i="36"/>
  <c r="GY53" i="36"/>
  <c r="FU53" i="36"/>
  <c r="CI53" i="36"/>
  <c r="BD53" i="36"/>
  <c r="HX53" i="36"/>
  <c r="GQ53" i="36"/>
  <c r="CT53" i="36"/>
  <c r="BL53" i="36"/>
  <c r="HV53" i="36"/>
  <c r="GM53" i="36"/>
  <c r="CR53" i="36"/>
  <c r="BJ53" i="36"/>
  <c r="HD53" i="36"/>
  <c r="FW53" i="36"/>
  <c r="BY53" i="36"/>
  <c r="AQ53" i="36"/>
  <c r="HZ53" i="36"/>
  <c r="GL53" i="36"/>
  <c r="CD53" i="36"/>
  <c r="AS53" i="36"/>
  <c r="HY53" i="36"/>
  <c r="GK53" i="36"/>
  <c r="CC53" i="36"/>
  <c r="AR53" i="36"/>
  <c r="HW53" i="36"/>
  <c r="GW53" i="36"/>
  <c r="CE53" i="36"/>
  <c r="AN53" i="36"/>
  <c r="GU53" i="36"/>
  <c r="CA53" i="36"/>
  <c r="AL53" i="36"/>
  <c r="GT53" i="36"/>
  <c r="BZ53" i="36"/>
  <c r="AK53" i="36"/>
  <c r="HM53" i="36"/>
  <c r="FT53" i="36"/>
  <c r="CK53" i="36"/>
  <c r="AM53" i="36"/>
  <c r="HL53" i="36"/>
  <c r="FS53" i="36"/>
  <c r="CH53" i="36"/>
  <c r="AJ53" i="36"/>
  <c r="HK53" i="36"/>
  <c r="FR53" i="36"/>
  <c r="CF53" i="36"/>
  <c r="AI53" i="36"/>
  <c r="IG53" i="36"/>
  <c r="GI53" i="36"/>
  <c r="CY53" i="36"/>
  <c r="BG53" i="36"/>
  <c r="GX53" i="36"/>
  <c r="CV53" i="36"/>
  <c r="AW53" i="36"/>
  <c r="GV53" i="36"/>
  <c r="CU53" i="36"/>
  <c r="AV53" i="36"/>
  <c r="HU53" i="36"/>
  <c r="FY53" i="36"/>
  <c r="BQ53" i="36"/>
  <c r="HP53" i="36"/>
  <c r="FP53" i="36"/>
  <c r="BN53" i="36"/>
  <c r="GR53" i="36"/>
  <c r="BU53" i="36"/>
  <c r="GO53" i="36"/>
  <c r="BS53" i="36"/>
  <c r="GJ53" i="36"/>
  <c r="BR53" i="36"/>
  <c r="HO53" i="36"/>
  <c r="CX53" i="36"/>
  <c r="AH53" i="36"/>
  <c r="GS53" i="36"/>
  <c r="BB53" i="36"/>
  <c r="GH53" i="36"/>
  <c r="BA53" i="36"/>
  <c r="IA53" i="36"/>
  <c r="CM53" i="36"/>
  <c r="IF53" i="36"/>
  <c r="BV53" i="36"/>
  <c r="IE53" i="36"/>
  <c r="BP53" i="36"/>
  <c r="GD53" i="36"/>
  <c r="DC53" i="36"/>
  <c r="GC53" i="36"/>
  <c r="DA53" i="36"/>
  <c r="HG53" i="36"/>
  <c r="HF53" i="36"/>
  <c r="HC53" i="36"/>
  <c r="BH53" i="36"/>
  <c r="BC53" i="36"/>
  <c r="GB53" i="36"/>
  <c r="BO53" i="36"/>
  <c r="FZ53" i="36"/>
  <c r="BM53" i="36"/>
  <c r="HS53" i="36"/>
  <c r="HQ53" i="36"/>
  <c r="IH53" i="36"/>
  <c r="CS53" i="36"/>
  <c r="HJ53" i="36"/>
  <c r="CN53" i="36"/>
  <c r="IB53" i="36"/>
  <c r="CQ53" i="36"/>
  <c r="HN53" i="36"/>
  <c r="CP53" i="36"/>
  <c r="GG53" i="36"/>
  <c r="AF10" i="33"/>
  <c r="N35" i="34"/>
  <c r="AN91" i="33"/>
  <c r="U95" i="33"/>
  <c r="U102" i="33"/>
  <c r="K103" i="34" s="1"/>
  <c r="T102" i="33"/>
  <c r="AM102" i="33"/>
  <c r="AN105" i="33"/>
  <c r="Q59" i="36"/>
  <c r="IS57" i="36"/>
  <c r="JW57" i="36"/>
  <c r="IO57" i="36"/>
  <c r="EJ17" i="36"/>
  <c r="BF22" i="36"/>
  <c r="GO22" i="36"/>
  <c r="HV48" i="36"/>
  <c r="GR48" i="36"/>
  <c r="FN48" i="36"/>
  <c r="CA48" i="36"/>
  <c r="AW48" i="36"/>
  <c r="HU48" i="36"/>
  <c r="GO48" i="36"/>
  <c r="CZ48" i="36"/>
  <c r="BU48" i="36"/>
  <c r="AO48" i="36"/>
  <c r="HN48" i="36"/>
  <c r="GH48" i="36"/>
  <c r="CP48" i="36"/>
  <c r="BI48" i="36"/>
  <c r="HL48" i="36"/>
  <c r="GF48" i="36"/>
  <c r="CM48" i="36"/>
  <c r="BG48" i="36"/>
  <c r="HK48" i="36"/>
  <c r="GE48" i="36"/>
  <c r="CL48" i="36"/>
  <c r="BF48" i="36"/>
  <c r="HY48" i="36"/>
  <c r="GM48" i="36"/>
  <c r="CH48" i="36"/>
  <c r="AX48" i="36"/>
  <c r="HX48" i="36"/>
  <c r="GL48" i="36"/>
  <c r="CF48" i="36"/>
  <c r="AV48" i="36"/>
  <c r="HW48" i="36"/>
  <c r="GK48" i="36"/>
  <c r="CE48" i="36"/>
  <c r="AU48" i="36"/>
  <c r="HA48" i="36"/>
  <c r="FR48" i="36"/>
  <c r="CW48" i="36"/>
  <c r="BM48" i="36"/>
  <c r="HS48" i="36"/>
  <c r="GC48" i="36"/>
  <c r="CY48" i="36"/>
  <c r="BJ48" i="36"/>
  <c r="HR48" i="36"/>
  <c r="GB48" i="36"/>
  <c r="CX48" i="36"/>
  <c r="BH48" i="36"/>
  <c r="GW48" i="36"/>
  <c r="BX48" i="36"/>
  <c r="AI48" i="36"/>
  <c r="HQ48" i="36"/>
  <c r="FW48" i="36"/>
  <c r="CI48" i="36"/>
  <c r="AL48" i="36"/>
  <c r="HP48" i="36"/>
  <c r="FV48" i="36"/>
  <c r="CD48" i="36"/>
  <c r="AK48" i="36"/>
  <c r="HO48" i="36"/>
  <c r="FU48" i="36"/>
  <c r="CC48" i="36"/>
  <c r="AJ48" i="36"/>
  <c r="GT48" i="36"/>
  <c r="DB48" i="36"/>
  <c r="BC48" i="36"/>
  <c r="HM48" i="36"/>
  <c r="FO48" i="36"/>
  <c r="BK48" i="36"/>
  <c r="HJ48" i="36"/>
  <c r="FM48" i="36"/>
  <c r="BD48" i="36"/>
  <c r="GN48" i="36"/>
  <c r="CB48" i="36"/>
  <c r="IE48" i="36"/>
  <c r="FS48" i="36"/>
  <c r="AY48" i="36"/>
  <c r="ID48" i="36"/>
  <c r="FQ48" i="36"/>
  <c r="AT48" i="36"/>
  <c r="GU48" i="36"/>
  <c r="BV48" i="36"/>
  <c r="GJ48" i="36"/>
  <c r="BA48" i="36"/>
  <c r="GG48" i="36"/>
  <c r="AS48" i="36"/>
  <c r="GI48" i="36"/>
  <c r="AZ48" i="36"/>
  <c r="HG48" i="36"/>
  <c r="BZ48" i="36"/>
  <c r="HF48" i="36"/>
  <c r="BY48" i="36"/>
  <c r="HZ48" i="36"/>
  <c r="BL48" i="36"/>
  <c r="HI48" i="36"/>
  <c r="BB48" i="36"/>
  <c r="FP48" i="36"/>
  <c r="CQ48" i="36"/>
  <c r="CN48" i="36"/>
  <c r="IC48" i="36"/>
  <c r="L42" i="37"/>
  <c r="S10" i="33"/>
  <c r="AE11" i="33" s="1"/>
  <c r="K28" i="34"/>
  <c r="V27" i="33"/>
  <c r="S33" i="33"/>
  <c r="AM41" i="33"/>
  <c r="AN47" i="33"/>
  <c r="T50" i="33"/>
  <c r="AM54" i="33"/>
  <c r="AO54" i="33" s="1"/>
  <c r="AN76" i="33"/>
  <c r="AJ77" i="33" s="1"/>
  <c r="AI77" i="33" s="1"/>
  <c r="AE87" i="33"/>
  <c r="U87" i="33"/>
  <c r="T87" i="33"/>
  <c r="AM87" i="33"/>
  <c r="AE94" i="33"/>
  <c r="K95" i="34"/>
  <c r="AN94" i="33"/>
  <c r="AM94" i="33"/>
  <c r="AM98" i="33"/>
  <c r="S102" i="33"/>
  <c r="AE103" i="33" s="1"/>
  <c r="AM112" i="33"/>
  <c r="BJ17" i="36"/>
  <c r="GI17" i="36"/>
  <c r="BG22" i="36"/>
  <c r="GQ22" i="36"/>
  <c r="EO23" i="36"/>
  <c r="EN23" i="36"/>
  <c r="EM23" i="36"/>
  <c r="FA23" i="36"/>
  <c r="EQ23" i="36"/>
  <c r="EP23" i="36"/>
  <c r="FE23" i="36"/>
  <c r="EY23" i="36"/>
  <c r="EX23" i="36"/>
  <c r="FF23" i="36"/>
  <c r="FC23" i="36"/>
  <c r="FD23" i="36"/>
  <c r="FH23" i="36"/>
  <c r="FG23" i="36"/>
  <c r="EV23" i="36"/>
  <c r="EY28" i="36"/>
  <c r="FE28" i="36"/>
  <c r="FD28" i="36"/>
  <c r="FC28" i="36"/>
  <c r="EL28" i="36"/>
  <c r="EM28" i="36"/>
  <c r="EK28" i="36"/>
  <c r="FA28" i="36"/>
  <c r="ER28" i="36"/>
  <c r="EN28" i="36"/>
  <c r="EI28" i="36"/>
  <c r="EJ28" i="36"/>
  <c r="FF28" i="36"/>
  <c r="FB28" i="36"/>
  <c r="FH28" i="36"/>
  <c r="FG28" i="36"/>
  <c r="FI28" i="36"/>
  <c r="AH48" i="36"/>
  <c r="IF48" i="36"/>
  <c r="AF61" i="33"/>
  <c r="K62" i="34"/>
  <c r="AJ22" i="36"/>
  <c r="CH22" i="36"/>
  <c r="FN22" i="36"/>
  <c r="HU22" i="36"/>
  <c r="CK24" i="36"/>
  <c r="CP30" i="36"/>
  <c r="FE34" i="36"/>
  <c r="FD34" i="36"/>
  <c r="EM34" i="36"/>
  <c r="EZ34" i="36"/>
  <c r="EY34" i="36"/>
  <c r="FB34" i="36"/>
  <c r="FA34" i="36"/>
  <c r="EX34" i="36"/>
  <c r="EP34" i="36"/>
  <c r="FK34" i="36"/>
  <c r="FJ34" i="36"/>
  <c r="EJ34" i="36"/>
  <c r="FF34" i="36"/>
  <c r="FC34" i="36"/>
  <c r="EV34" i="36"/>
  <c r="EO34" i="36"/>
  <c r="EN34" i="36"/>
  <c r="ES34" i="36"/>
  <c r="EP47" i="36"/>
  <c r="ER47" i="36"/>
  <c r="EQ47" i="36"/>
  <c r="FG47" i="36"/>
  <c r="FF47" i="36"/>
  <c r="FE47" i="36"/>
  <c r="EL47" i="36"/>
  <c r="FA47" i="36"/>
  <c r="EZ47" i="36"/>
  <c r="ET47" i="36"/>
  <c r="EN47" i="36"/>
  <c r="EM47" i="36"/>
  <c r="FJ47" i="36"/>
  <c r="EX47" i="36"/>
  <c r="EV47" i="36"/>
  <c r="EU47" i="36"/>
  <c r="EO47" i="36"/>
  <c r="EK47" i="36"/>
  <c r="CS48" i="36"/>
  <c r="GQ48" i="36"/>
  <c r="L108" i="37"/>
  <c r="U22" i="39" s="1"/>
  <c r="JI57" i="36"/>
  <c r="HP17" i="36"/>
  <c r="GL17" i="36"/>
  <c r="CZ17" i="36"/>
  <c r="BV17" i="36"/>
  <c r="AR17" i="36"/>
  <c r="HO17" i="36"/>
  <c r="GK17" i="36"/>
  <c r="CY17" i="36"/>
  <c r="BU17" i="36"/>
  <c r="AQ17" i="36"/>
  <c r="IC17" i="36"/>
  <c r="GY17" i="36"/>
  <c r="FU17" i="36"/>
  <c r="CI17" i="36"/>
  <c r="BD17" i="36"/>
  <c r="HQ17" i="36"/>
  <c r="GH17" i="36"/>
  <c r="CP17" i="36"/>
  <c r="BH17" i="36"/>
  <c r="HN17" i="36"/>
  <c r="GG17" i="36"/>
  <c r="CN17" i="36"/>
  <c r="BG17" i="36"/>
  <c r="ID17" i="36"/>
  <c r="GV17" i="36"/>
  <c r="FO17" i="36"/>
  <c r="DC17" i="36"/>
  <c r="BS17" i="36"/>
  <c r="AL17" i="36"/>
  <c r="IG17" i="36"/>
  <c r="GU17" i="36"/>
  <c r="CT17" i="36"/>
  <c r="BI17" i="36"/>
  <c r="IF17" i="36"/>
  <c r="GT17" i="36"/>
  <c r="CS17" i="36"/>
  <c r="BF17" i="36"/>
  <c r="HI17" i="36"/>
  <c r="FX17" i="36"/>
  <c r="BX17" i="36"/>
  <c r="AJ17" i="36"/>
  <c r="HH17" i="36"/>
  <c r="FW17" i="36"/>
  <c r="BW17" i="36"/>
  <c r="AI17" i="36"/>
  <c r="GW17" i="36"/>
  <c r="CF17" i="36"/>
  <c r="AO17" i="36"/>
  <c r="GS17" i="36"/>
  <c r="CE17" i="36"/>
  <c r="AN17" i="36"/>
  <c r="HL17" i="36"/>
  <c r="FT17" i="36"/>
  <c r="CX17" i="36"/>
  <c r="BC17" i="36"/>
  <c r="HK17" i="36"/>
  <c r="FS17" i="36"/>
  <c r="CW17" i="36"/>
  <c r="BB17" i="36"/>
  <c r="CH17" i="36"/>
  <c r="FM17" i="36"/>
  <c r="HJ17" i="36"/>
  <c r="ET20" i="36"/>
  <c r="S41" i="33"/>
  <c r="AE42" i="33" s="1"/>
  <c r="AJ43" i="33"/>
  <c r="AI43" i="33" s="1"/>
  <c r="S47" i="33"/>
  <c r="S61" i="33"/>
  <c r="S112" i="33"/>
  <c r="JK57" i="36"/>
  <c r="KO57" i="36"/>
  <c r="AH17" i="36"/>
  <c r="CJ17" i="36"/>
  <c r="FN17" i="36"/>
  <c r="HM17" i="36"/>
  <c r="AK22" i="36"/>
  <c r="CI22" i="36"/>
  <c r="FO22" i="36"/>
  <c r="HW24" i="36"/>
  <c r="GS24" i="36"/>
  <c r="FO24" i="36"/>
  <c r="CB24" i="36"/>
  <c r="AX24" i="36"/>
  <c r="HV24" i="36"/>
  <c r="GR24" i="36"/>
  <c r="FN24" i="36"/>
  <c r="CA24" i="36"/>
  <c r="AW24" i="36"/>
  <c r="HU24" i="36"/>
  <c r="GQ24" i="36"/>
  <c r="FM24" i="36"/>
  <c r="BZ24" i="36"/>
  <c r="AV24" i="36"/>
  <c r="IH24" i="36"/>
  <c r="HD24" i="36"/>
  <c r="FZ24" i="36"/>
  <c r="CN24" i="36"/>
  <c r="BJ24" i="36"/>
  <c r="IG24" i="36"/>
  <c r="GY24" i="36"/>
  <c r="FQ24" i="36"/>
  <c r="CZ24" i="36"/>
  <c r="BQ24" i="36"/>
  <c r="AI24" i="36"/>
  <c r="IF24" i="36"/>
  <c r="GX24" i="36"/>
  <c r="FP24" i="36"/>
  <c r="CY24" i="36"/>
  <c r="BP24" i="36"/>
  <c r="AH24" i="36"/>
  <c r="HM24" i="36"/>
  <c r="GE24" i="36"/>
  <c r="CH24" i="36"/>
  <c r="AY24" i="36"/>
  <c r="GV24" i="36"/>
  <c r="CR24" i="36"/>
  <c r="BD24" i="36"/>
  <c r="GU24" i="36"/>
  <c r="CQ24" i="36"/>
  <c r="BC24" i="36"/>
  <c r="HK24" i="36"/>
  <c r="FX24" i="36"/>
  <c r="BS24" i="36"/>
  <c r="HY24" i="36"/>
  <c r="GG24" i="36"/>
  <c r="BW24" i="36"/>
  <c r="HS24" i="36"/>
  <c r="GD24" i="36"/>
  <c r="HX24" i="36"/>
  <c r="GF24" i="36"/>
  <c r="BV24" i="36"/>
  <c r="BU24" i="36"/>
  <c r="GZ24" i="36"/>
  <c r="CM24" i="36"/>
  <c r="AT24" i="36"/>
  <c r="GW24" i="36"/>
  <c r="CL24" i="36"/>
  <c r="AS24" i="36"/>
  <c r="HN24" i="36"/>
  <c r="HN57" i="36" s="1"/>
  <c r="CV24" i="36"/>
  <c r="AR24" i="36"/>
  <c r="HL24" i="36"/>
  <c r="CU24" i="36"/>
  <c r="AQ24" i="36"/>
  <c r="GI24" i="36"/>
  <c r="BM24" i="36"/>
  <c r="IE24" i="36"/>
  <c r="GH24" i="36"/>
  <c r="BL24" i="36"/>
  <c r="CP24" i="36"/>
  <c r="HP24" i="36"/>
  <c r="CT48" i="36"/>
  <c r="GS48" i="36"/>
  <c r="P55" i="36"/>
  <c r="Q55" i="36" s="1"/>
  <c r="AF91" i="33"/>
  <c r="AF105" i="33"/>
  <c r="KM57" i="36"/>
  <c r="FH17" i="36"/>
  <c r="FG17" i="36"/>
  <c r="EQ17" i="36"/>
  <c r="FA17" i="36"/>
  <c r="EZ17" i="36"/>
  <c r="FJ17" i="36"/>
  <c r="FI17" i="36"/>
  <c r="EM17" i="36"/>
  <c r="EL17" i="36"/>
  <c r="FC17" i="36"/>
  <c r="FB17" i="36"/>
  <c r="FK17" i="36"/>
  <c r="FC20" i="36"/>
  <c r="EY20" i="36"/>
  <c r="EX20" i="36"/>
  <c r="EN20" i="36"/>
  <c r="EM20" i="36"/>
  <c r="FB20" i="36"/>
  <c r="EL20" i="36"/>
  <c r="EK20" i="36"/>
  <c r="FD20" i="36"/>
  <c r="FA20" i="36"/>
  <c r="EO20" i="36"/>
  <c r="EJ20" i="36"/>
  <c r="ES20" i="36"/>
  <c r="IG22" i="36"/>
  <c r="HC22" i="36"/>
  <c r="FY22" i="36"/>
  <c r="IF22" i="36"/>
  <c r="HB22" i="36"/>
  <c r="FX22" i="36"/>
  <c r="CL22" i="36"/>
  <c r="BH22" i="36"/>
  <c r="IE22" i="36"/>
  <c r="HO22" i="36"/>
  <c r="GI22" i="36"/>
  <c r="CT22" i="36"/>
  <c r="BN22" i="36"/>
  <c r="AI22" i="36"/>
  <c r="HN22" i="36"/>
  <c r="GH22" i="36"/>
  <c r="CS22" i="36"/>
  <c r="BM22" i="36"/>
  <c r="AH22" i="36"/>
  <c r="IB22" i="36"/>
  <c r="GV22" i="36"/>
  <c r="FP22" i="36"/>
  <c r="CA22" i="36"/>
  <c r="AV22" i="36"/>
  <c r="HH22" i="36"/>
  <c r="FV22" i="36"/>
  <c r="BZ22" i="36"/>
  <c r="AR22" i="36"/>
  <c r="HG22" i="36"/>
  <c r="FU22" i="36"/>
  <c r="BY22" i="36"/>
  <c r="AQ22" i="36"/>
  <c r="HV22" i="36"/>
  <c r="GL22" i="36"/>
  <c r="CN22" i="36"/>
  <c r="BD22" i="36"/>
  <c r="GU22" i="36"/>
  <c r="CQ22" i="36"/>
  <c r="BB22" i="36"/>
  <c r="GT22" i="36"/>
  <c r="CP22" i="36"/>
  <c r="BA22" i="36"/>
  <c r="HL22" i="36"/>
  <c r="FW22" i="36"/>
  <c r="BR22" i="36"/>
  <c r="HK22" i="36"/>
  <c r="FT22" i="36"/>
  <c r="DC22" i="36"/>
  <c r="BQ22" i="36"/>
  <c r="HR22" i="36"/>
  <c r="FS22" i="36"/>
  <c r="CW22" i="36"/>
  <c r="AZ22" i="36"/>
  <c r="HQ22" i="36"/>
  <c r="FR22" i="36"/>
  <c r="CV22" i="36"/>
  <c r="AY22" i="36"/>
  <c r="GN22" i="36"/>
  <c r="BU22" i="36"/>
  <c r="IH22" i="36"/>
  <c r="GM22" i="36"/>
  <c r="BS22" i="36"/>
  <c r="CF22" i="36"/>
  <c r="FM22" i="36"/>
  <c r="HS22" i="36"/>
  <c r="AE54" i="33"/>
  <c r="AG54" i="33" s="1"/>
  <c r="AF76" i="33"/>
  <c r="S91" i="33"/>
  <c r="AE98" i="33"/>
  <c r="S105" i="33"/>
  <c r="AN12" i="33"/>
  <c r="AL12" i="33" s="1"/>
  <c r="AK13" i="33" s="1"/>
  <c r="Q12" i="33"/>
  <c r="L13" i="34" s="1"/>
  <c r="AD28" i="33"/>
  <c r="AC28" i="33" s="1"/>
  <c r="U41" i="33"/>
  <c r="K42" i="34" s="1"/>
  <c r="T47" i="33"/>
  <c r="T54" i="33"/>
  <c r="T61" i="33"/>
  <c r="T76" i="33"/>
  <c r="S83" i="33"/>
  <c r="U91" i="33"/>
  <c r="K92" i="34" s="1"/>
  <c r="T98" i="33"/>
  <c r="U105" i="33"/>
  <c r="K106" i="34" s="1"/>
  <c r="K88" i="34"/>
  <c r="JL57" i="36"/>
  <c r="KP57" i="36"/>
  <c r="EQ14" i="36"/>
  <c r="EP14" i="36"/>
  <c r="FD14" i="36"/>
  <c r="EI14" i="36"/>
  <c r="EV14" i="36"/>
  <c r="EX14" i="36"/>
  <c r="EU14" i="36"/>
  <c r="FJ14" i="36"/>
  <c r="FJ57" i="36" s="1"/>
  <c r="FI14" i="36"/>
  <c r="EN14" i="36"/>
  <c r="EM14" i="36"/>
  <c r="FF14" i="36"/>
  <c r="FE14" i="36"/>
  <c r="FK14" i="36"/>
  <c r="AK17" i="36"/>
  <c r="CK17" i="36"/>
  <c r="FP17" i="36"/>
  <c r="HR17" i="36"/>
  <c r="EV20" i="36"/>
  <c r="AL22" i="36"/>
  <c r="CJ22" i="36"/>
  <c r="FQ22" i="36"/>
  <c r="HX22" i="36"/>
  <c r="AJ24" i="36"/>
  <c r="CS24" i="36"/>
  <c r="HQ24" i="36"/>
  <c r="IB30" i="36"/>
  <c r="GX30" i="36"/>
  <c r="FT30" i="36"/>
  <c r="CH30" i="36"/>
  <c r="BC30" i="36"/>
  <c r="HR30" i="36"/>
  <c r="GM30" i="36"/>
  <c r="CY30" i="36"/>
  <c r="BS30" i="36"/>
  <c r="AN30" i="36"/>
  <c r="HQ30" i="36"/>
  <c r="GL30" i="36"/>
  <c r="CX30" i="36"/>
  <c r="BR30" i="36"/>
  <c r="AM30" i="36"/>
  <c r="HP30" i="36"/>
  <c r="GK30" i="36"/>
  <c r="CW30" i="36"/>
  <c r="BQ30" i="36"/>
  <c r="AL30" i="36"/>
  <c r="IE30" i="36"/>
  <c r="GZ30" i="36"/>
  <c r="GZ57" i="36" s="1"/>
  <c r="FU30" i="36"/>
  <c r="CE30" i="36"/>
  <c r="AZ30" i="36"/>
  <c r="HA30" i="36"/>
  <c r="FP30" i="36"/>
  <c r="DB30" i="36"/>
  <c r="BO30" i="36"/>
  <c r="GY30" i="36"/>
  <c r="FO30" i="36"/>
  <c r="DA30" i="36"/>
  <c r="BN30" i="36"/>
  <c r="HN30" i="36"/>
  <c r="GE30" i="36"/>
  <c r="CF30" i="36"/>
  <c r="AV30" i="36"/>
  <c r="IC30" i="36"/>
  <c r="GO30" i="36"/>
  <c r="CJ30" i="36"/>
  <c r="AT30" i="36"/>
  <c r="IA30" i="36"/>
  <c r="GN30" i="36"/>
  <c r="CI30" i="36"/>
  <c r="AS30" i="36"/>
  <c r="HF30" i="36"/>
  <c r="FQ30" i="36"/>
  <c r="CV30" i="36"/>
  <c r="BI30" i="36"/>
  <c r="HU30" i="36"/>
  <c r="FZ30" i="36"/>
  <c r="BL30" i="36"/>
  <c r="HO30" i="36"/>
  <c r="FX30" i="36"/>
  <c r="HS30" i="36"/>
  <c r="FY30" i="36"/>
  <c r="BK30" i="36"/>
  <c r="BJ30" i="36"/>
  <c r="GS30" i="36"/>
  <c r="CC30" i="36"/>
  <c r="AJ30" i="36"/>
  <c r="GR30" i="36"/>
  <c r="CB30" i="36"/>
  <c r="AI30" i="36"/>
  <c r="HX30" i="36"/>
  <c r="FS30" i="36"/>
  <c r="CZ30" i="36"/>
  <c r="AX30" i="36"/>
  <c r="HW30" i="36"/>
  <c r="FR30" i="36"/>
  <c r="CU30" i="36"/>
  <c r="AW30" i="36"/>
  <c r="GQ30" i="36"/>
  <c r="BV30" i="36"/>
  <c r="GJ30" i="36"/>
  <c r="BU30" i="36"/>
  <c r="CR30" i="36"/>
  <c r="FN30" i="36"/>
  <c r="IF30" i="36"/>
  <c r="EU34" i="36"/>
  <c r="FA41" i="36"/>
  <c r="EZ41" i="36"/>
  <c r="EI41" i="36"/>
  <c r="EP41" i="36"/>
  <c r="EO41" i="36"/>
  <c r="FD41" i="36"/>
  <c r="FK41" i="36"/>
  <c r="FJ41" i="36"/>
  <c r="FI41" i="36"/>
  <c r="EN41" i="36"/>
  <c r="EL41" i="36"/>
  <c r="EK41" i="36"/>
  <c r="FE41" i="36"/>
  <c r="FC41" i="36"/>
  <c r="EY41" i="36"/>
  <c r="FB41" i="36"/>
  <c r="EQ41" i="36"/>
  <c r="EM41" i="36"/>
  <c r="ER41" i="36"/>
  <c r="CU48" i="36"/>
  <c r="GV48" i="36"/>
  <c r="I23" i="37"/>
  <c r="I82" i="37" s="1"/>
  <c r="E82" i="37"/>
  <c r="HY15" i="36"/>
  <c r="GU15" i="36"/>
  <c r="FQ15" i="36"/>
  <c r="CD15" i="36"/>
  <c r="AZ15" i="36"/>
  <c r="HX15" i="36"/>
  <c r="GT15" i="36"/>
  <c r="FP15" i="36"/>
  <c r="CC15" i="36"/>
  <c r="AY15" i="36"/>
  <c r="HH15" i="36"/>
  <c r="GD15" i="36"/>
  <c r="CR15" i="36"/>
  <c r="BM15" i="36"/>
  <c r="AI15" i="36"/>
  <c r="HO15" i="36"/>
  <c r="GH15" i="36"/>
  <c r="CN15" i="36"/>
  <c r="BG15" i="36"/>
  <c r="HN15" i="36"/>
  <c r="GG15" i="36"/>
  <c r="CM15" i="36"/>
  <c r="BF15" i="36"/>
  <c r="IC15" i="36"/>
  <c r="GV15" i="36"/>
  <c r="FM15" i="36"/>
  <c r="DA15" i="36"/>
  <c r="BS15" i="36"/>
  <c r="AL15" i="36"/>
  <c r="HW15" i="36"/>
  <c r="GL15" i="36"/>
  <c r="CJ15" i="36"/>
  <c r="AW15" i="36"/>
  <c r="HV15" i="36"/>
  <c r="GK15" i="36"/>
  <c r="CI15" i="36"/>
  <c r="AV15" i="36"/>
  <c r="HA15" i="36"/>
  <c r="FO15" i="36"/>
  <c r="CY15" i="36"/>
  <c r="BN15" i="36"/>
  <c r="GZ15" i="36"/>
  <c r="FN15" i="36"/>
  <c r="CX15" i="36"/>
  <c r="BL15" i="36"/>
  <c r="BX15" i="36"/>
  <c r="GM15" i="36"/>
  <c r="IE15" i="36"/>
  <c r="ET29" i="36"/>
  <c r="FF29" i="36"/>
  <c r="FE29" i="36"/>
  <c r="FD29" i="36"/>
  <c r="EM29" i="36"/>
  <c r="EI29" i="36"/>
  <c r="EX29" i="36"/>
  <c r="EL29" i="36"/>
  <c r="EK29" i="36"/>
  <c r="FA29" i="36"/>
  <c r="EZ29" i="36"/>
  <c r="EY29" i="36"/>
  <c r="EV29" i="36"/>
  <c r="ER29" i="36"/>
  <c r="EL31" i="36"/>
  <c r="FJ31" i="36"/>
  <c r="FI31" i="36"/>
  <c r="FH31" i="36"/>
  <c r="ER31" i="36"/>
  <c r="ES31" i="36"/>
  <c r="EQ31" i="36"/>
  <c r="EU31" i="36"/>
  <c r="ET31" i="36"/>
  <c r="FK31" i="36"/>
  <c r="IH36" i="36"/>
  <c r="HD36" i="36"/>
  <c r="FZ36" i="36"/>
  <c r="CN36" i="36"/>
  <c r="BJ36" i="36"/>
  <c r="IG36" i="36"/>
  <c r="HC36" i="36"/>
  <c r="FY36" i="36"/>
  <c r="CM36" i="36"/>
  <c r="BI36" i="36"/>
  <c r="HP36" i="36"/>
  <c r="GL36" i="36"/>
  <c r="CZ36" i="36"/>
  <c r="BV36" i="36"/>
  <c r="AR36" i="36"/>
  <c r="HO36" i="36"/>
  <c r="GH36" i="36"/>
  <c r="CP36" i="36"/>
  <c r="BF36" i="36"/>
  <c r="HN36" i="36"/>
  <c r="GG36" i="36"/>
  <c r="CL36" i="36"/>
  <c r="BD36" i="36"/>
  <c r="HK36" i="36"/>
  <c r="GB36" i="36"/>
  <c r="CD36" i="36"/>
  <c r="AU36" i="36"/>
  <c r="HJ36" i="36"/>
  <c r="FX36" i="36"/>
  <c r="CC36" i="36"/>
  <c r="AT36" i="36"/>
  <c r="HI36" i="36"/>
  <c r="FW36" i="36"/>
  <c r="CB36" i="36"/>
  <c r="AS36" i="36"/>
  <c r="HZ36" i="36"/>
  <c r="GQ36" i="36"/>
  <c r="CU36" i="36"/>
  <c r="BK36" i="36"/>
  <c r="HB36" i="36"/>
  <c r="FO36" i="36"/>
  <c r="DC36" i="36"/>
  <c r="BN36" i="36"/>
  <c r="HA36" i="36"/>
  <c r="FN36" i="36"/>
  <c r="DB36" i="36"/>
  <c r="BM36" i="36"/>
  <c r="HX36" i="36"/>
  <c r="GI36" i="36"/>
  <c r="CE36" i="36"/>
  <c r="AM36" i="36"/>
  <c r="GT36" i="36"/>
  <c r="CI36" i="36"/>
  <c r="AL36" i="36"/>
  <c r="GS36" i="36"/>
  <c r="CH36" i="36"/>
  <c r="AK36" i="36"/>
  <c r="HM36" i="36"/>
  <c r="FQ36" i="36"/>
  <c r="DA36" i="36"/>
  <c r="BC36" i="36"/>
  <c r="HL36" i="36"/>
  <c r="CT36" i="36"/>
  <c r="AQ36" i="36"/>
  <c r="HG36" i="36"/>
  <c r="CR36" i="36"/>
  <c r="HH36" i="36"/>
  <c r="CS36" i="36"/>
  <c r="AO36" i="36"/>
  <c r="AN36" i="36"/>
  <c r="ID36" i="36"/>
  <c r="GE36" i="36"/>
  <c r="BO36" i="36"/>
  <c r="IC36" i="36"/>
  <c r="GD36" i="36"/>
  <c r="BL36" i="36"/>
  <c r="CW36" i="36"/>
  <c r="FM36" i="36"/>
  <c r="HY36" i="36"/>
  <c r="HS43" i="36"/>
  <c r="GO43" i="36"/>
  <c r="DC43" i="36"/>
  <c r="BY43" i="36"/>
  <c r="AU43" i="36"/>
  <c r="HF43" i="36"/>
  <c r="FZ43" i="36"/>
  <c r="CK43" i="36"/>
  <c r="BF43" i="36"/>
  <c r="HD43" i="36"/>
  <c r="FY43" i="36"/>
  <c r="CJ43" i="36"/>
  <c r="BD43" i="36"/>
  <c r="HQ43" i="36"/>
  <c r="GL43" i="36"/>
  <c r="CW43" i="36"/>
  <c r="BQ43" i="36"/>
  <c r="AL43" i="36"/>
  <c r="HK43" i="36"/>
  <c r="GC43" i="36"/>
  <c r="CA43" i="36"/>
  <c r="AR43" i="36"/>
  <c r="HJ43" i="36"/>
  <c r="GB43" i="36"/>
  <c r="BZ43" i="36"/>
  <c r="AQ43" i="36"/>
  <c r="HY43" i="36"/>
  <c r="GQ43" i="36"/>
  <c r="CP43" i="36"/>
  <c r="BG43" i="36"/>
  <c r="HG43" i="36"/>
  <c r="FS43" i="36"/>
  <c r="CT43" i="36"/>
  <c r="BH43" i="36"/>
  <c r="HC43" i="36"/>
  <c r="FR43" i="36"/>
  <c r="CS43" i="36"/>
  <c r="BC43" i="36"/>
  <c r="HB43" i="36"/>
  <c r="FQ43" i="36"/>
  <c r="CR43" i="36"/>
  <c r="BB43" i="36"/>
  <c r="HW43" i="36"/>
  <c r="GI43" i="36"/>
  <c r="BU43" i="36"/>
  <c r="AH43" i="36"/>
  <c r="HH43" i="36"/>
  <c r="FM43" i="36"/>
  <c r="BX43" i="36"/>
  <c r="HA43" i="36"/>
  <c r="BW43" i="36"/>
  <c r="IA43" i="36"/>
  <c r="GG43" i="36"/>
  <c r="CU43" i="36"/>
  <c r="AX43" i="36"/>
  <c r="ID43" i="36"/>
  <c r="GF43" i="36"/>
  <c r="CI43" i="36"/>
  <c r="AK43" i="36"/>
  <c r="IC43" i="36"/>
  <c r="GE43" i="36"/>
  <c r="CH43" i="36"/>
  <c r="AJ43" i="36"/>
  <c r="GW43" i="36"/>
  <c r="BI43" i="36"/>
  <c r="HO43" i="36"/>
  <c r="BK43" i="36"/>
  <c r="HM43" i="36"/>
  <c r="HN43" i="36"/>
  <c r="BJ43" i="36"/>
  <c r="BA43" i="36"/>
  <c r="IH43" i="36"/>
  <c r="GH43" i="36"/>
  <c r="CD43" i="36"/>
  <c r="IG43" i="36"/>
  <c r="GD43" i="36"/>
  <c r="CC43" i="36"/>
  <c r="CY43" i="36"/>
  <c r="HL43" i="36"/>
  <c r="I51" i="37"/>
  <c r="K56" i="34"/>
  <c r="JJ57" i="36"/>
  <c r="KN57" i="36"/>
  <c r="AH15" i="36"/>
  <c r="BY15" i="36"/>
  <c r="GN15" i="36"/>
  <c r="IF15" i="36"/>
  <c r="FJ18" i="36"/>
  <c r="ES29" i="36"/>
  <c r="IB31" i="36"/>
  <c r="GX31" i="36"/>
  <c r="IA31" i="36"/>
  <c r="GW31" i="36"/>
  <c r="HJ31" i="36"/>
  <c r="ID31" i="36"/>
  <c r="GU31" i="36"/>
  <c r="IC31" i="36"/>
  <c r="GT31" i="36"/>
  <c r="FP31" i="36"/>
  <c r="CC31" i="36"/>
  <c r="AY31" i="36"/>
  <c r="HY31" i="36"/>
  <c r="GO31" i="36"/>
  <c r="DA31" i="36"/>
  <c r="BV31" i="36"/>
  <c r="AQ31" i="36"/>
  <c r="HX31" i="36"/>
  <c r="GN31" i="36"/>
  <c r="CZ31" i="36"/>
  <c r="BU31" i="36"/>
  <c r="AO31" i="36"/>
  <c r="HW31" i="36"/>
  <c r="GM31" i="36"/>
  <c r="CY31" i="36"/>
  <c r="BS31" i="36"/>
  <c r="AN31" i="36"/>
  <c r="HF31" i="36"/>
  <c r="FW31" i="36"/>
  <c r="CI31" i="36"/>
  <c r="BC31" i="36"/>
  <c r="HA31" i="36"/>
  <c r="FN31" i="36"/>
  <c r="CW31" i="36"/>
  <c r="BM31" i="36"/>
  <c r="BM57" i="36" s="1"/>
  <c r="GZ31" i="36"/>
  <c r="FM31" i="36"/>
  <c r="CV31" i="36"/>
  <c r="BL31" i="36"/>
  <c r="HP31" i="36"/>
  <c r="GC31" i="36"/>
  <c r="CD31" i="36"/>
  <c r="AT31" i="36"/>
  <c r="HI31" i="36"/>
  <c r="FR31" i="36"/>
  <c r="CU31" i="36"/>
  <c r="BH31" i="36"/>
  <c r="HH31" i="36"/>
  <c r="FQ31" i="36"/>
  <c r="CT31" i="36"/>
  <c r="BG31" i="36"/>
  <c r="HZ31" i="36"/>
  <c r="GF31" i="36"/>
  <c r="BY31" i="36"/>
  <c r="AI31" i="36"/>
  <c r="HR31" i="36"/>
  <c r="FV31" i="36"/>
  <c r="CX31" i="36"/>
  <c r="BB31" i="36"/>
  <c r="HO31" i="36"/>
  <c r="CR31" i="36"/>
  <c r="HQ31" i="36"/>
  <c r="FU31" i="36"/>
  <c r="CS31" i="36"/>
  <c r="BA31" i="36"/>
  <c r="FT31" i="36"/>
  <c r="AZ31" i="36"/>
  <c r="GK31" i="36"/>
  <c r="BW31" i="36"/>
  <c r="GJ31" i="36"/>
  <c r="BR31" i="36"/>
  <c r="CJ31" i="36"/>
  <c r="FO31" i="36"/>
  <c r="IE31" i="36"/>
  <c r="AH36" i="36"/>
  <c r="CX36" i="36"/>
  <c r="FP36" i="36"/>
  <c r="IA36" i="36"/>
  <c r="BC42" i="36"/>
  <c r="GH42" i="36"/>
  <c r="AI43" i="36"/>
  <c r="CZ43" i="36"/>
  <c r="HP43" i="36"/>
  <c r="AE101" i="33"/>
  <c r="IW57" i="36"/>
  <c r="BH15" i="36"/>
  <c r="CZ15" i="36"/>
  <c r="FV15" i="36"/>
  <c r="HL15" i="36"/>
  <c r="BK31" i="36"/>
  <c r="EV31" i="36"/>
  <c r="GY31" i="36"/>
  <c r="BU36" i="36"/>
  <c r="GW36" i="36"/>
  <c r="DF38" i="36"/>
  <c r="DE38" i="36"/>
  <c r="DQ38" i="36"/>
  <c r="DW38" i="36"/>
  <c r="DV38" i="36"/>
  <c r="DO38" i="36"/>
  <c r="DN38" i="36"/>
  <c r="DM38" i="36"/>
  <c r="ED38" i="36"/>
  <c r="DX38" i="36"/>
  <c r="DU38" i="36"/>
  <c r="DY38" i="36"/>
  <c r="DZ38" i="36"/>
  <c r="DT38" i="36"/>
  <c r="CJ42" i="36"/>
  <c r="BS43" i="36"/>
  <c r="GM43" i="36"/>
  <c r="BY57" i="36"/>
  <c r="KC57" i="36"/>
  <c r="KC59" i="36" s="1" a="1"/>
  <c r="BI15" i="36"/>
  <c r="DB15" i="36"/>
  <c r="FW15" i="36"/>
  <c r="HM15" i="36"/>
  <c r="FD18" i="36"/>
  <c r="FC18" i="36"/>
  <c r="EM18" i="36"/>
  <c r="EK18" i="36"/>
  <c r="EJ18" i="36"/>
  <c r="EX18" i="36"/>
  <c r="FK18" i="36"/>
  <c r="EQ18" i="36"/>
  <c r="EP18" i="36"/>
  <c r="EU18" i="36"/>
  <c r="EX31" i="36"/>
  <c r="BW36" i="36"/>
  <c r="GX36" i="36"/>
  <c r="EJ38" i="36"/>
  <c r="EI38" i="36"/>
  <c r="EU38" i="36"/>
  <c r="FD38" i="36"/>
  <c r="FC38" i="36"/>
  <c r="EK38" i="36"/>
  <c r="FA38" i="36"/>
  <c r="EZ38" i="36"/>
  <c r="EY38" i="36"/>
  <c r="FK38" i="36"/>
  <c r="EO38" i="36"/>
  <c r="EX38" i="36"/>
  <c r="EV38" i="36"/>
  <c r="FF38" i="36"/>
  <c r="FB38" i="36"/>
  <c r="FE38" i="36"/>
  <c r="FJ38" i="36"/>
  <c r="HZ42" i="36"/>
  <c r="HD42" i="36"/>
  <c r="FZ42" i="36"/>
  <c r="CN42" i="36"/>
  <c r="BJ42" i="36"/>
  <c r="IH42" i="36"/>
  <c r="HC42" i="36"/>
  <c r="FY42" i="36"/>
  <c r="CM42" i="36"/>
  <c r="BI42" i="36"/>
  <c r="HP42" i="36"/>
  <c r="GL42" i="36"/>
  <c r="CZ42" i="36"/>
  <c r="BV42" i="36"/>
  <c r="AR42" i="36"/>
  <c r="HS42" i="36"/>
  <c r="GK42" i="36"/>
  <c r="CT42" i="36"/>
  <c r="BL42" i="36"/>
  <c r="HR42" i="36"/>
  <c r="GJ42" i="36"/>
  <c r="CS42" i="36"/>
  <c r="BK42" i="36"/>
  <c r="IF42" i="36"/>
  <c r="GX42" i="36"/>
  <c r="FQ42" i="36"/>
  <c r="BY42" i="36"/>
  <c r="AQ42" i="36"/>
  <c r="IC42" i="36"/>
  <c r="GR42" i="36"/>
  <c r="CV42" i="36"/>
  <c r="BG42" i="36"/>
  <c r="IB42" i="36"/>
  <c r="GQ42" i="36"/>
  <c r="CU42" i="36"/>
  <c r="BF42" i="36"/>
  <c r="IA42" i="36"/>
  <c r="GO42" i="36"/>
  <c r="CR42" i="36"/>
  <c r="BD42" i="36"/>
  <c r="HG42" i="36"/>
  <c r="FT42" i="36"/>
  <c r="BX42" i="36"/>
  <c r="AL42" i="36"/>
  <c r="GW42" i="36"/>
  <c r="CW42" i="36"/>
  <c r="AZ42" i="36"/>
  <c r="GV42" i="36"/>
  <c r="CQ42" i="36"/>
  <c r="AY42" i="36"/>
  <c r="HN42" i="36"/>
  <c r="FW42" i="36"/>
  <c r="BU42" i="36"/>
  <c r="GZ42" i="36"/>
  <c r="CL42" i="36"/>
  <c r="AT42" i="36"/>
  <c r="GY42" i="36"/>
  <c r="CK42" i="36"/>
  <c r="AS42" i="36"/>
  <c r="HQ42" i="36"/>
  <c r="FU42" i="36"/>
  <c r="BO42" i="36"/>
  <c r="HM42" i="36"/>
  <c r="FN42" i="36"/>
  <c r="DC42" i="36"/>
  <c r="AW42" i="36"/>
  <c r="HK42" i="36"/>
  <c r="AU42" i="36"/>
  <c r="HL42" i="36"/>
  <c r="FM42" i="36"/>
  <c r="DB42" i="36"/>
  <c r="AV42" i="36"/>
  <c r="DA42" i="36"/>
  <c r="GF42" i="36"/>
  <c r="BS42" i="36"/>
  <c r="GE42" i="36"/>
  <c r="BR42" i="36"/>
  <c r="CP42" i="36"/>
  <c r="HX42" i="36"/>
  <c r="BV43" i="36"/>
  <c r="GN43" i="36"/>
  <c r="DW50" i="36"/>
  <c r="DE50" i="36"/>
  <c r="DM50" i="36"/>
  <c r="DR50" i="36"/>
  <c r="DP50" i="36"/>
  <c r="DO50" i="36"/>
  <c r="ED50" i="36"/>
  <c r="EC50" i="36"/>
  <c r="EB50" i="36"/>
  <c r="DG50" i="36"/>
  <c r="DQ50" i="36"/>
  <c r="DK50" i="36"/>
  <c r="EG50" i="36"/>
  <c r="DF50" i="36"/>
  <c r="DT50" i="36"/>
  <c r="DN50" i="36"/>
  <c r="DV50" i="36"/>
  <c r="DQ52" i="36"/>
  <c r="EC52" i="36"/>
  <c r="EB52" i="36"/>
  <c r="DT52" i="36"/>
  <c r="DP52" i="36"/>
  <c r="EG52" i="36"/>
  <c r="DU52" i="36"/>
  <c r="DR52" i="36"/>
  <c r="DF52" i="36"/>
  <c r="ED52" i="36"/>
  <c r="EA52" i="36"/>
  <c r="DZ52" i="36"/>
  <c r="DL52" i="36"/>
  <c r="DK52" i="36"/>
  <c r="DW52" i="36"/>
  <c r="DV52" i="36"/>
  <c r="DO52" i="36"/>
  <c r="DI52" i="36"/>
  <c r="DM52" i="36"/>
  <c r="DE52" i="36"/>
  <c r="EF52" i="36"/>
  <c r="K71" i="36"/>
  <c r="K68" i="36"/>
  <c r="K67" i="36"/>
  <c r="K69" i="36"/>
  <c r="K66" i="36"/>
  <c r="HP10" i="36"/>
  <c r="GL10" i="36"/>
  <c r="CZ10" i="36"/>
  <c r="BV10" i="36"/>
  <c r="AR10" i="36"/>
  <c r="K74" i="36"/>
  <c r="HJ10" i="36"/>
  <c r="GE10" i="36"/>
  <c r="CQ10" i="36"/>
  <c r="BK10" i="36"/>
  <c r="BK57" i="36" s="1"/>
  <c r="K65" i="36"/>
  <c r="HI10" i="36"/>
  <c r="GD10" i="36"/>
  <c r="CP10" i="36"/>
  <c r="BJ10" i="36"/>
  <c r="HW10" i="36"/>
  <c r="GR10" i="36"/>
  <c r="FM10" i="36"/>
  <c r="DC10" i="36"/>
  <c r="BX10" i="36"/>
  <c r="AS10" i="36"/>
  <c r="BO10" i="36"/>
  <c r="CX10" i="36"/>
  <c r="GU10" i="36"/>
  <c r="IC10" i="36"/>
  <c r="JG57" i="36"/>
  <c r="KK57" i="36"/>
  <c r="EU13" i="36"/>
  <c r="FF13" i="36"/>
  <c r="FE13" i="36"/>
  <c r="EM13" i="36"/>
  <c r="FK13" i="36"/>
  <c r="FJ25" i="36"/>
  <c r="FI25" i="36"/>
  <c r="FH25" i="36"/>
  <c r="ER25" i="36"/>
  <c r="FE25" i="36"/>
  <c r="FE57" i="36" s="1"/>
  <c r="FD25" i="36"/>
  <c r="EM25" i="36"/>
  <c r="EI25" i="36"/>
  <c r="EV25" i="36"/>
  <c r="ET25" i="36"/>
  <c r="HQ33" i="36"/>
  <c r="GM33" i="36"/>
  <c r="DA33" i="36"/>
  <c r="BW33" i="36"/>
  <c r="AS33" i="36"/>
  <c r="HP33" i="36"/>
  <c r="GL33" i="36"/>
  <c r="CZ33" i="36"/>
  <c r="BV33" i="36"/>
  <c r="AR33" i="36"/>
  <c r="IC33" i="36"/>
  <c r="GY33" i="36"/>
  <c r="FU33" i="36"/>
  <c r="CI33" i="36"/>
  <c r="BD33" i="36"/>
  <c r="IF33" i="36"/>
  <c r="GX33" i="36"/>
  <c r="FQ33" i="36"/>
  <c r="BX33" i="36"/>
  <c r="AN33" i="36"/>
  <c r="IE33" i="36"/>
  <c r="GW33" i="36"/>
  <c r="FP33" i="36"/>
  <c r="BU33" i="36"/>
  <c r="AM33" i="36"/>
  <c r="HY33" i="36"/>
  <c r="GO33" i="36"/>
  <c r="CP33" i="36"/>
  <c r="BF33" i="36"/>
  <c r="HX33" i="36"/>
  <c r="GN33" i="36"/>
  <c r="CN33" i="36"/>
  <c r="BC33" i="36"/>
  <c r="HW33" i="36"/>
  <c r="GK33" i="36"/>
  <c r="CM33" i="36"/>
  <c r="BB33" i="36"/>
  <c r="HD33" i="36"/>
  <c r="FT33" i="36"/>
  <c r="DC33" i="36"/>
  <c r="BQ33" i="36"/>
  <c r="AH33" i="36"/>
  <c r="HU33" i="36"/>
  <c r="GE33" i="36"/>
  <c r="BP33" i="36"/>
  <c r="HS33" i="36"/>
  <c r="GD33" i="36"/>
  <c r="BO33" i="36"/>
  <c r="GZ33" i="36"/>
  <c r="CJ33" i="36"/>
  <c r="AU33" i="36"/>
  <c r="HL33" i="36"/>
  <c r="FS33" i="36"/>
  <c r="CR33" i="36"/>
  <c r="AV33" i="36"/>
  <c r="HK33" i="36"/>
  <c r="FR33" i="36"/>
  <c r="CQ33" i="36"/>
  <c r="AT33" i="36"/>
  <c r="IH33" i="36"/>
  <c r="GI33" i="36"/>
  <c r="BL33" i="36"/>
  <c r="CF33" i="36"/>
  <c r="FO33" i="36"/>
  <c r="HO33" i="36"/>
  <c r="AH10" i="36"/>
  <c r="BP10" i="36"/>
  <c r="CY10" i="36"/>
  <c r="FN10" i="36"/>
  <c r="GV10" i="36"/>
  <c r="ID10" i="36"/>
  <c r="JH57" i="36"/>
  <c r="KL57" i="36"/>
  <c r="IG13" i="36"/>
  <c r="HC13" i="36"/>
  <c r="FY13" i="36"/>
  <c r="CM13" i="36"/>
  <c r="BI13" i="36"/>
  <c r="HP13" i="36"/>
  <c r="GK13" i="36"/>
  <c r="GK57" i="36" s="1"/>
  <c r="CW13" i="36"/>
  <c r="BQ13" i="36"/>
  <c r="AL13" i="36"/>
  <c r="HO13" i="36"/>
  <c r="GJ13" i="36"/>
  <c r="CV13" i="36"/>
  <c r="BP13" i="36"/>
  <c r="AK13" i="36"/>
  <c r="IB13" i="36"/>
  <c r="GW13" i="36"/>
  <c r="FR13" i="36"/>
  <c r="CC13" i="36"/>
  <c r="AX13" i="36"/>
  <c r="BO13" i="36"/>
  <c r="CZ13" i="36"/>
  <c r="FM13" i="36"/>
  <c r="GU13" i="36"/>
  <c r="ID13" i="36"/>
  <c r="GO20" i="36"/>
  <c r="HR25" i="36"/>
  <c r="GN25" i="36"/>
  <c r="DB25" i="36"/>
  <c r="BX25" i="36"/>
  <c r="AT25" i="36"/>
  <c r="HQ25" i="36"/>
  <c r="GM25" i="36"/>
  <c r="DA25" i="36"/>
  <c r="DA57" i="36" s="1"/>
  <c r="BW25" i="36"/>
  <c r="AS25" i="36"/>
  <c r="HP25" i="36"/>
  <c r="GL25" i="36"/>
  <c r="CZ25" i="36"/>
  <c r="BV25" i="36"/>
  <c r="AR25" i="36"/>
  <c r="ID25" i="36"/>
  <c r="GZ25" i="36"/>
  <c r="FV25" i="36"/>
  <c r="CJ25" i="36"/>
  <c r="BF25" i="36"/>
  <c r="HY25" i="36"/>
  <c r="GQ25" i="36"/>
  <c r="CS25" i="36"/>
  <c r="BJ25" i="36"/>
  <c r="HX25" i="36"/>
  <c r="GO25" i="36"/>
  <c r="CR25" i="36"/>
  <c r="BI25" i="36"/>
  <c r="HD25" i="36"/>
  <c r="FU25" i="36"/>
  <c r="BZ25" i="36"/>
  <c r="AN25" i="36"/>
  <c r="HH25" i="36"/>
  <c r="FT25" i="36"/>
  <c r="BO25" i="36"/>
  <c r="HG25" i="36"/>
  <c r="FS25" i="36"/>
  <c r="DC25" i="36"/>
  <c r="BN25" i="36"/>
  <c r="HW25" i="36"/>
  <c r="GH25" i="36"/>
  <c r="CE25" i="36"/>
  <c r="AQ25" i="36"/>
  <c r="BY25" i="36"/>
  <c r="EU25" i="36"/>
  <c r="GK25" i="36"/>
  <c r="IF25" i="36"/>
  <c r="FR27" i="36"/>
  <c r="DF32" i="36"/>
  <c r="DE32" i="36"/>
  <c r="DQ32" i="36"/>
  <c r="DR32" i="36"/>
  <c r="DP32" i="36"/>
  <c r="DX32" i="36"/>
  <c r="DW32" i="36"/>
  <c r="DV32" i="36"/>
  <c r="DK32" i="36"/>
  <c r="DJ32" i="36"/>
  <c r="ED32" i="36"/>
  <c r="EA32" i="36"/>
  <c r="DZ32" i="36"/>
  <c r="DI32" i="36"/>
  <c r="AI33" i="36"/>
  <c r="CH33" i="36"/>
  <c r="FV33" i="36"/>
  <c r="HR33" i="36"/>
  <c r="BL49" i="36"/>
  <c r="FE27" i="36"/>
  <c r="FC27" i="36"/>
  <c r="FB27" i="36"/>
  <c r="FA27" i="36"/>
  <c r="EK27" i="36"/>
  <c r="EO27" i="36"/>
  <c r="EN27" i="36"/>
  <c r="FF27" i="36"/>
  <c r="FG27" i="36"/>
  <c r="FD27" i="36"/>
  <c r="FB51" i="36"/>
  <c r="BA10" i="36"/>
  <c r="CJ10" i="36"/>
  <c r="GG10" i="36"/>
  <c r="HO10" i="36"/>
  <c r="IU57" i="36"/>
  <c r="BA13" i="36"/>
  <c r="CJ13" i="36"/>
  <c r="EX13" i="36"/>
  <c r="GF13" i="36"/>
  <c r="HN13" i="36"/>
  <c r="HK20" i="36"/>
  <c r="GG20" i="36"/>
  <c r="CU20" i="36"/>
  <c r="BP20" i="36"/>
  <c r="AL20" i="36"/>
  <c r="HI20" i="36"/>
  <c r="GD20" i="36"/>
  <c r="CP20" i="36"/>
  <c r="BJ20" i="36"/>
  <c r="HH20" i="36"/>
  <c r="GC20" i="36"/>
  <c r="CN20" i="36"/>
  <c r="BI20" i="36"/>
  <c r="HW20" i="36"/>
  <c r="GR20" i="36"/>
  <c r="FM20" i="36"/>
  <c r="DC20" i="36"/>
  <c r="BX20" i="36"/>
  <c r="AS20" i="36"/>
  <c r="HD20" i="36"/>
  <c r="FV20" i="36"/>
  <c r="CA20" i="36"/>
  <c r="AR20" i="36"/>
  <c r="HC20" i="36"/>
  <c r="FU20" i="36"/>
  <c r="BZ20" i="36"/>
  <c r="AQ20" i="36"/>
  <c r="HS20" i="36"/>
  <c r="GK20" i="36"/>
  <c r="CM20" i="36"/>
  <c r="BD20" i="36"/>
  <c r="BS20" i="36"/>
  <c r="FX20" i="36"/>
  <c r="HM20" i="36"/>
  <c r="BC25" i="36"/>
  <c r="CV25" i="36"/>
  <c r="FW25" i="36"/>
  <c r="HL25" i="36"/>
  <c r="HM27" i="36"/>
  <c r="GI27" i="36"/>
  <c r="CW27" i="36"/>
  <c r="HN27" i="36"/>
  <c r="GH27" i="36"/>
  <c r="CT27" i="36"/>
  <c r="BO27" i="36"/>
  <c r="AK27" i="36"/>
  <c r="HL27" i="36"/>
  <c r="GG27" i="36"/>
  <c r="CS27" i="36"/>
  <c r="BN27" i="36"/>
  <c r="AJ27" i="36"/>
  <c r="HK27" i="36"/>
  <c r="GF27" i="36"/>
  <c r="CR27" i="36"/>
  <c r="BM27" i="36"/>
  <c r="AI27" i="36"/>
  <c r="HZ27" i="36"/>
  <c r="GU27" i="36"/>
  <c r="FP27" i="36"/>
  <c r="CA27" i="36"/>
  <c r="AW27" i="36"/>
  <c r="HH27" i="36"/>
  <c r="FX27" i="36"/>
  <c r="BZ27" i="36"/>
  <c r="AR27" i="36"/>
  <c r="HG27" i="36"/>
  <c r="FW27" i="36"/>
  <c r="BY27" i="36"/>
  <c r="AQ27" i="36"/>
  <c r="HY27" i="36"/>
  <c r="GO27" i="36"/>
  <c r="CN27" i="36"/>
  <c r="BF27" i="36"/>
  <c r="IG27" i="36"/>
  <c r="GT27" i="36"/>
  <c r="CK27" i="36"/>
  <c r="AY27" i="36"/>
  <c r="IF27" i="36"/>
  <c r="GS27" i="36"/>
  <c r="CJ27" i="36"/>
  <c r="AX27" i="36"/>
  <c r="HI27" i="36"/>
  <c r="FT27" i="36"/>
  <c r="DB27" i="36"/>
  <c r="BL27" i="36"/>
  <c r="CB27" i="36"/>
  <c r="EV27" i="36"/>
  <c r="GR27" i="36"/>
  <c r="BM33" i="36"/>
  <c r="GV33" i="36"/>
  <c r="HO49" i="36"/>
  <c r="GK49" i="36"/>
  <c r="CY49" i="36"/>
  <c r="BU49" i="36"/>
  <c r="AQ49" i="36"/>
  <c r="IA49" i="36"/>
  <c r="GW49" i="36"/>
  <c r="FS49" i="36"/>
  <c r="CF49" i="36"/>
  <c r="IC49" i="36"/>
  <c r="GV49" i="36"/>
  <c r="FP49" i="36"/>
  <c r="DC49" i="36"/>
  <c r="BW49" i="36"/>
  <c r="AR49" i="36"/>
  <c r="IE49" i="36"/>
  <c r="GX49" i="36"/>
  <c r="FO49" i="36"/>
  <c r="CZ49" i="36"/>
  <c r="BQ49" i="36"/>
  <c r="AK49" i="36"/>
  <c r="IB49" i="36"/>
  <c r="GT49" i="36"/>
  <c r="FM49" i="36"/>
  <c r="CW49" i="36"/>
  <c r="BO49" i="36"/>
  <c r="AI49" i="36"/>
  <c r="HZ49" i="36"/>
  <c r="GS49" i="36"/>
  <c r="CV49" i="36"/>
  <c r="BN49" i="36"/>
  <c r="AH49" i="36"/>
  <c r="IF49" i="36"/>
  <c r="GQ49" i="36"/>
  <c r="CJ49" i="36"/>
  <c r="AY49" i="36"/>
  <c r="ID49" i="36"/>
  <c r="GO49" i="36"/>
  <c r="CI49" i="36"/>
  <c r="AX49" i="36"/>
  <c r="HY49" i="36"/>
  <c r="GN49" i="36"/>
  <c r="CH49" i="36"/>
  <c r="AW49" i="36"/>
  <c r="HH49" i="36"/>
  <c r="FW49" i="36"/>
  <c r="CX49" i="36"/>
  <c r="BK49" i="36"/>
  <c r="HR49" i="36"/>
  <c r="GC49" i="36"/>
  <c r="CR49" i="36"/>
  <c r="BB49" i="36"/>
  <c r="HQ49" i="36"/>
  <c r="GB49" i="36"/>
  <c r="CQ49" i="36"/>
  <c r="BA49" i="36"/>
  <c r="HA49" i="36"/>
  <c r="BX49" i="36"/>
  <c r="GU49" i="36"/>
  <c r="BR49" i="36"/>
  <c r="HC49" i="36"/>
  <c r="BD49" i="36"/>
  <c r="HB49" i="36"/>
  <c r="DB49" i="36"/>
  <c r="BC49" i="36"/>
  <c r="GZ49" i="36"/>
  <c r="DA49" i="36"/>
  <c r="AZ49" i="36"/>
  <c r="HS49" i="36"/>
  <c r="FV49" i="36"/>
  <c r="BY49" i="36"/>
  <c r="IG49" i="36"/>
  <c r="FX49" i="36"/>
  <c r="BH49" i="36"/>
  <c r="HX49" i="36"/>
  <c r="FU49" i="36"/>
  <c r="BG49" i="36"/>
  <c r="GR49" i="36"/>
  <c r="CD49" i="36"/>
  <c r="HF49" i="36"/>
  <c r="HF57" i="36" s="1"/>
  <c r="BZ49" i="36"/>
  <c r="HD49" i="36"/>
  <c r="BV49" i="36"/>
  <c r="HW49" i="36"/>
  <c r="FN49" i="36"/>
  <c r="CT49" i="36"/>
  <c r="AJ49" i="36"/>
  <c r="GD49" i="36"/>
  <c r="HN51" i="36"/>
  <c r="GJ51" i="36"/>
  <c r="HD51" i="36"/>
  <c r="FY51" i="36"/>
  <c r="CL51" i="36"/>
  <c r="BH51" i="36"/>
  <c r="IG51" i="36"/>
  <c r="HB51" i="36"/>
  <c r="FW51" i="36"/>
  <c r="CJ51" i="36"/>
  <c r="BF51" i="36"/>
  <c r="HQ51" i="36"/>
  <c r="GL51" i="36"/>
  <c r="CX51" i="36"/>
  <c r="BS51" i="36"/>
  <c r="AO51" i="36"/>
  <c r="HY51" i="36"/>
  <c r="GQ51" i="36"/>
  <c r="CR51" i="36"/>
  <c r="BJ51" i="36"/>
  <c r="HG51" i="36"/>
  <c r="FU51" i="36"/>
  <c r="DC51" i="36"/>
  <c r="BU51" i="36"/>
  <c r="AK51" i="36"/>
  <c r="HC51" i="36"/>
  <c r="FS51" i="36"/>
  <c r="DA51" i="36"/>
  <c r="BQ51" i="36"/>
  <c r="AI51" i="36"/>
  <c r="HA51" i="36"/>
  <c r="FR51" i="36"/>
  <c r="CZ51" i="36"/>
  <c r="BP51" i="36"/>
  <c r="AH51" i="36"/>
  <c r="HR51" i="36"/>
  <c r="GD51" i="36"/>
  <c r="DB51" i="36"/>
  <c r="BM51" i="36"/>
  <c r="HP51" i="36"/>
  <c r="GC51" i="36"/>
  <c r="CY51" i="36"/>
  <c r="BL51" i="36"/>
  <c r="HO51" i="36"/>
  <c r="GB51" i="36"/>
  <c r="CW51" i="36"/>
  <c r="BK51" i="36"/>
  <c r="IE51" i="36"/>
  <c r="GS51" i="36"/>
  <c r="CC51" i="36"/>
  <c r="AR51" i="36"/>
  <c r="IC51" i="36"/>
  <c r="GI51" i="36"/>
  <c r="CS51" i="36"/>
  <c r="AY51" i="36"/>
  <c r="IB51" i="36"/>
  <c r="GH51" i="36"/>
  <c r="CQ51" i="36"/>
  <c r="AX51" i="36"/>
  <c r="HH51" i="36"/>
  <c r="BY51" i="36"/>
  <c r="GY51" i="36"/>
  <c r="BV51" i="36"/>
  <c r="HX51" i="36"/>
  <c r="FT51" i="36"/>
  <c r="BR51" i="36"/>
  <c r="HW51" i="36"/>
  <c r="FQ51" i="36"/>
  <c r="BO51" i="36"/>
  <c r="HV51" i="36"/>
  <c r="FP51" i="36"/>
  <c r="BN51" i="36"/>
  <c r="GR51" i="36"/>
  <c r="CK51" i="36"/>
  <c r="AM51" i="36"/>
  <c r="FX51" i="36"/>
  <c r="BC51" i="36"/>
  <c r="IH51" i="36"/>
  <c r="FV51" i="36"/>
  <c r="BB51" i="36"/>
  <c r="GW51" i="36"/>
  <c r="CH51" i="36"/>
  <c r="IF51" i="36"/>
  <c r="AS51" i="36"/>
  <c r="ID51" i="36"/>
  <c r="AQ51" i="36"/>
  <c r="GO51" i="36"/>
  <c r="BX51" i="36"/>
  <c r="E81" i="37"/>
  <c r="I22" i="37"/>
  <c r="I81" i="37" s="1"/>
  <c r="M11" i="38"/>
  <c r="M8" i="38"/>
  <c r="EU27" i="36"/>
  <c r="FG49" i="36"/>
  <c r="EO49" i="36"/>
  <c r="EJ49" i="36"/>
  <c r="FK49" i="36"/>
  <c r="FE49" i="36"/>
  <c r="FD49" i="36"/>
  <c r="FC49" i="36"/>
  <c r="EL49" i="36"/>
  <c r="EM49" i="36"/>
  <c r="EK49" i="36"/>
  <c r="FF49" i="36"/>
  <c r="EZ49" i="36"/>
  <c r="EY49" i="36"/>
  <c r="EX49" i="36"/>
  <c r="EV49" i="36"/>
  <c r="EP49" i="36"/>
  <c r="EN49" i="36"/>
  <c r="EI49" i="36"/>
  <c r="FF51" i="36"/>
  <c r="ET51" i="36"/>
  <c r="ER51" i="36"/>
  <c r="FG51" i="36"/>
  <c r="FH51" i="36"/>
  <c r="EL51" i="36"/>
  <c r="EJ51" i="36"/>
  <c r="EI51" i="36"/>
  <c r="EO51" i="36"/>
  <c r="EN51" i="36"/>
  <c r="EM51" i="36"/>
  <c r="FC51" i="36"/>
  <c r="EP51" i="36"/>
  <c r="EK51" i="36"/>
  <c r="FK51" i="36"/>
  <c r="FE51" i="36"/>
  <c r="EQ51" i="36"/>
  <c r="FJ51" i="36"/>
  <c r="FI51" i="36"/>
  <c r="BB10" i="36"/>
  <c r="CK10" i="36"/>
  <c r="CK57" i="36" s="1"/>
  <c r="GH10" i="36"/>
  <c r="HQ10" i="36"/>
  <c r="JZ57" i="36"/>
  <c r="BB13" i="36"/>
  <c r="CK13" i="36"/>
  <c r="EY13" i="36"/>
  <c r="GG13" i="36"/>
  <c r="HQ13" i="36"/>
  <c r="AH20" i="36"/>
  <c r="BU20" i="36"/>
  <c r="FY20" i="36"/>
  <c r="HN20" i="36"/>
  <c r="BD25" i="36"/>
  <c r="CW25" i="36"/>
  <c r="FX25" i="36"/>
  <c r="HM25" i="36"/>
  <c r="AH27" i="36"/>
  <c r="CC27" i="36"/>
  <c r="EX27" i="36"/>
  <c r="GV27" i="36"/>
  <c r="BN33" i="36"/>
  <c r="HA33" i="36"/>
  <c r="AL49" i="36"/>
  <c r="GE49" i="36"/>
  <c r="AJ51" i="36"/>
  <c r="FM51" i="36"/>
  <c r="I24" i="37"/>
  <c r="I83" i="37" s="1"/>
  <c r="E83" i="37"/>
  <c r="JA57" i="36"/>
  <c r="FO11" i="36"/>
  <c r="GT11" i="36"/>
  <c r="E190" i="37"/>
  <c r="I133" i="37"/>
  <c r="I190" i="37" s="1"/>
  <c r="AB59" i="36"/>
  <c r="JR57" i="36"/>
  <c r="HL11" i="36"/>
  <c r="GH11" i="36"/>
  <c r="CV11" i="36"/>
  <c r="BQ11" i="36"/>
  <c r="AM11" i="36"/>
  <c r="BL11" i="36"/>
  <c r="BL57" i="36" s="1"/>
  <c r="CR11" i="36"/>
  <c r="GF11" i="36"/>
  <c r="HK11" i="36"/>
  <c r="FA35" i="36"/>
  <c r="EZ35" i="36"/>
  <c r="EI35" i="36"/>
  <c r="EL35" i="36"/>
  <c r="EK35" i="36"/>
  <c r="EY35" i="36"/>
  <c r="EX35" i="36"/>
  <c r="EV35" i="36"/>
  <c r="FB35" i="36"/>
  <c r="EU35" i="36"/>
  <c r="FF35" i="36"/>
  <c r="L58" i="37"/>
  <c r="K87" i="36"/>
  <c r="K86" i="36"/>
  <c r="K90" i="36"/>
  <c r="K89" i="36"/>
  <c r="FH10" i="36"/>
  <c r="EZ10" i="36"/>
  <c r="JS57" i="36"/>
  <c r="AH11" i="36"/>
  <c r="BM11" i="36"/>
  <c r="CS11" i="36"/>
  <c r="GG11" i="36"/>
  <c r="HM11" i="36"/>
  <c r="HI35" i="36"/>
  <c r="GE35" i="36"/>
  <c r="CS35" i="36"/>
  <c r="BN35" i="36"/>
  <c r="AJ35" i="36"/>
  <c r="HH35" i="36"/>
  <c r="GD35" i="36"/>
  <c r="CR35" i="36"/>
  <c r="BM35" i="36"/>
  <c r="AI35" i="36"/>
  <c r="HU35" i="36"/>
  <c r="GQ35" i="36"/>
  <c r="FM35" i="36"/>
  <c r="BZ35" i="36"/>
  <c r="AV35" i="36"/>
  <c r="IG35" i="36"/>
  <c r="GZ35" i="36"/>
  <c r="FS35" i="36"/>
  <c r="BX35" i="36"/>
  <c r="AQ35" i="36"/>
  <c r="IF35" i="36"/>
  <c r="GY35" i="36"/>
  <c r="FR35" i="36"/>
  <c r="BW35" i="36"/>
  <c r="AO35" i="36"/>
  <c r="HS35" i="36"/>
  <c r="GJ35" i="36"/>
  <c r="CJ35" i="36"/>
  <c r="AZ35" i="36"/>
  <c r="HR35" i="36"/>
  <c r="GI35" i="36"/>
  <c r="CI35" i="36"/>
  <c r="AY35" i="36"/>
  <c r="HQ35" i="36"/>
  <c r="GH35" i="36"/>
  <c r="CH35" i="36"/>
  <c r="AX35" i="36"/>
  <c r="IH35" i="36"/>
  <c r="GW35" i="36"/>
  <c r="FN35" i="36"/>
  <c r="CX35" i="36"/>
  <c r="BL35" i="36"/>
  <c r="ID35" i="36"/>
  <c r="GO35" i="36"/>
  <c r="CC35" i="36"/>
  <c r="AL35" i="36"/>
  <c r="IC35" i="36"/>
  <c r="GN35" i="36"/>
  <c r="CB35" i="36"/>
  <c r="AK35" i="36"/>
  <c r="HG35" i="36"/>
  <c r="FQ35" i="36"/>
  <c r="CV35" i="36"/>
  <c r="BF35" i="36"/>
  <c r="CE35" i="36"/>
  <c r="FG35" i="36"/>
  <c r="HB35" i="36"/>
  <c r="I18" i="37"/>
  <c r="I77" i="37" s="1"/>
  <c r="EJ21" i="36"/>
  <c r="FF26" i="36"/>
  <c r="FE26" i="36"/>
  <c r="FD26" i="36"/>
  <c r="EN26" i="36"/>
  <c r="AY29" i="36"/>
  <c r="CI29" i="36"/>
  <c r="GG29" i="36"/>
  <c r="FA21" i="36"/>
  <c r="EU26" i="36"/>
  <c r="IF29" i="36"/>
  <c r="HB29" i="36"/>
  <c r="FX29" i="36"/>
  <c r="CL29" i="36"/>
  <c r="BH29" i="36"/>
  <c r="HP29" i="36"/>
  <c r="GK29" i="36"/>
  <c r="CW29" i="36"/>
  <c r="BQ29" i="36"/>
  <c r="AL29" i="36"/>
  <c r="HO29" i="36"/>
  <c r="GJ29" i="36"/>
  <c r="CV29" i="36"/>
  <c r="BP29" i="36"/>
  <c r="AK29" i="36"/>
  <c r="HN29" i="36"/>
  <c r="GI29" i="36"/>
  <c r="CU29" i="36"/>
  <c r="BO29" i="36"/>
  <c r="AJ29" i="36"/>
  <c r="IB29" i="36"/>
  <c r="GW29" i="36"/>
  <c r="FR29" i="36"/>
  <c r="CC29" i="36"/>
  <c r="AX29" i="36"/>
  <c r="BS29" i="36"/>
  <c r="DC29" i="36"/>
  <c r="FQ29" i="36"/>
  <c r="HA29" i="36"/>
  <c r="EJ32" i="36"/>
  <c r="EI32" i="36"/>
  <c r="EU32" i="36"/>
  <c r="EZ32" i="36"/>
  <c r="EY32" i="36"/>
  <c r="FG32" i="36"/>
  <c r="FF32" i="36"/>
  <c r="FE32" i="36"/>
  <c r="EL32" i="36"/>
  <c r="FA32" i="36"/>
  <c r="FJ55" i="36"/>
  <c r="ER55" i="36"/>
  <c r="EQ55" i="36"/>
  <c r="ET55" i="36"/>
  <c r="EP55" i="36"/>
  <c r="FF55" i="36"/>
  <c r="EZ55" i="36"/>
  <c r="EY55" i="36"/>
  <c r="EX55" i="36"/>
  <c r="FK55" i="36"/>
  <c r="EJ55" i="36"/>
  <c r="EI55" i="36"/>
  <c r="FC55" i="36"/>
  <c r="EV55" i="36"/>
  <c r="EO55" i="36"/>
  <c r="ES55" i="36"/>
  <c r="EN55" i="36"/>
  <c r="EM55" i="36"/>
  <c r="FH55" i="36"/>
  <c r="HG21" i="36"/>
  <c r="GC21" i="36"/>
  <c r="CQ21" i="36"/>
  <c r="BL21" i="36"/>
  <c r="AH21" i="36"/>
  <c r="BM21" i="36"/>
  <c r="CS21" i="36"/>
  <c r="FB21" i="36"/>
  <c r="GG21" i="36"/>
  <c r="HL21" i="36"/>
  <c r="EV26" i="36"/>
  <c r="AH29" i="36"/>
  <c r="BU29" i="36"/>
  <c r="FS29" i="36"/>
  <c r="HC29" i="36"/>
  <c r="EP30" i="36"/>
  <c r="FH30" i="36"/>
  <c r="FG30" i="36"/>
  <c r="FF30" i="36"/>
  <c r="EO30" i="36"/>
  <c r="FB32" i="36"/>
  <c r="FE40" i="36"/>
  <c r="FD40" i="36"/>
  <c r="EM40" i="36"/>
  <c r="FF40" i="36"/>
  <c r="FC40" i="36"/>
  <c r="EK40" i="36"/>
  <c r="FH40" i="36"/>
  <c r="FG40" i="36"/>
  <c r="FB40" i="36"/>
  <c r="EJ40" i="36"/>
  <c r="ES40" i="36"/>
  <c r="FK43" i="36"/>
  <c r="EU43" i="36"/>
  <c r="ET43" i="36"/>
  <c r="FG43" i="36"/>
  <c r="ER43" i="36"/>
  <c r="EQ43" i="36"/>
  <c r="FF43" i="36"/>
  <c r="EX43" i="36"/>
  <c r="DQ54" i="36"/>
  <c r="EC54" i="36"/>
  <c r="EB54" i="36"/>
  <c r="DE54" i="36"/>
  <c r="DP54" i="36"/>
  <c r="DO54" i="36"/>
  <c r="DN54" i="36"/>
  <c r="DM54" i="36"/>
  <c r="EA54" i="36"/>
  <c r="DZ54" i="36"/>
  <c r="DY54" i="36"/>
  <c r="EF54" i="36"/>
  <c r="EE54" i="36"/>
  <c r="DG54" i="36"/>
  <c r="FI55" i="36"/>
  <c r="I137" i="37"/>
  <c r="I194" i="37" s="1"/>
  <c r="E194" i="37"/>
  <c r="EV24" i="36"/>
  <c r="FQ28" i="36"/>
  <c r="GV28" i="36"/>
  <c r="HV32" i="36"/>
  <c r="GR32" i="36"/>
  <c r="FN32" i="36"/>
  <c r="CA32" i="36"/>
  <c r="AW32" i="36"/>
  <c r="HU32" i="36"/>
  <c r="GQ32" i="36"/>
  <c r="FM32" i="36"/>
  <c r="BZ32" i="36"/>
  <c r="AV32" i="36"/>
  <c r="IG32" i="36"/>
  <c r="HC32" i="36"/>
  <c r="FY32" i="36"/>
  <c r="CM32" i="36"/>
  <c r="BI32" i="36"/>
  <c r="HN32" i="36"/>
  <c r="GG32" i="36"/>
  <c r="CJ32" i="36"/>
  <c r="BB32" i="36"/>
  <c r="HM32" i="36"/>
  <c r="GF32" i="36"/>
  <c r="CI32" i="36"/>
  <c r="BA32" i="36"/>
  <c r="BP32" i="36"/>
  <c r="CZ32" i="36"/>
  <c r="FU32" i="36"/>
  <c r="HF32" i="36"/>
  <c r="HM34" i="36"/>
  <c r="GI34" i="36"/>
  <c r="CW34" i="36"/>
  <c r="BR34" i="36"/>
  <c r="AN34" i="36"/>
  <c r="HL34" i="36"/>
  <c r="GH34" i="36"/>
  <c r="CV34" i="36"/>
  <c r="BQ34" i="36"/>
  <c r="AM34" i="36"/>
  <c r="HY34" i="36"/>
  <c r="GU34" i="36"/>
  <c r="FQ34" i="36"/>
  <c r="CD34" i="36"/>
  <c r="AZ34" i="36"/>
  <c r="HP34" i="36"/>
  <c r="GG34" i="36"/>
  <c r="CN34" i="36"/>
  <c r="BG34" i="36"/>
  <c r="HO34" i="36"/>
  <c r="GF34" i="36"/>
  <c r="CM34" i="36"/>
  <c r="BF34" i="36"/>
  <c r="BP34" i="36"/>
  <c r="DB34" i="36"/>
  <c r="FP34" i="36"/>
  <c r="GZ34" i="36"/>
  <c r="HQ39" i="36"/>
  <c r="GM39" i="36"/>
  <c r="DA39" i="36"/>
  <c r="BW39" i="36"/>
  <c r="AS39" i="36"/>
  <c r="HP39" i="36"/>
  <c r="GL39" i="36"/>
  <c r="CZ39" i="36"/>
  <c r="BV39" i="36"/>
  <c r="AR39" i="36"/>
  <c r="IC39" i="36"/>
  <c r="GY39" i="36"/>
  <c r="FU39" i="36"/>
  <c r="CI39" i="36"/>
  <c r="BD39" i="36"/>
  <c r="HC39" i="36"/>
  <c r="FV39" i="36"/>
  <c r="CB39" i="36"/>
  <c r="AU39" i="36"/>
  <c r="HB39" i="36"/>
  <c r="FT39" i="36"/>
  <c r="CA39" i="36"/>
  <c r="CA57" i="36" s="1"/>
  <c r="AT39" i="36"/>
  <c r="HO39" i="36"/>
  <c r="GH39" i="36"/>
  <c r="CP39" i="36"/>
  <c r="BH39" i="36"/>
  <c r="BQ39" i="36"/>
  <c r="FS39" i="36"/>
  <c r="HG39" i="36"/>
  <c r="IF46" i="36"/>
  <c r="HB46" i="36"/>
  <c r="FX46" i="36"/>
  <c r="CL46" i="36"/>
  <c r="BH46" i="36"/>
  <c r="IC46" i="36"/>
  <c r="HJ46" i="36"/>
  <c r="GE46" i="36"/>
  <c r="CQ46" i="36"/>
  <c r="BK46" i="36"/>
  <c r="HI46" i="36"/>
  <c r="GD46" i="36"/>
  <c r="CP46" i="36"/>
  <c r="BJ46" i="36"/>
  <c r="HH46" i="36"/>
  <c r="GC46" i="36"/>
  <c r="CN46" i="36"/>
  <c r="BI46" i="36"/>
  <c r="HV46" i="36"/>
  <c r="GQ46" i="36"/>
  <c r="DB46" i="36"/>
  <c r="BW46" i="36"/>
  <c r="AR46" i="36"/>
  <c r="HU46" i="36"/>
  <c r="GK46" i="36"/>
  <c r="CM46" i="36"/>
  <c r="BB46" i="36"/>
  <c r="HS46" i="36"/>
  <c r="GJ46" i="36"/>
  <c r="CK46" i="36"/>
  <c r="BA46" i="36"/>
  <c r="GX46" i="36"/>
  <c r="FO46" i="36"/>
  <c r="DC46" i="36"/>
  <c r="BR46" i="36"/>
  <c r="AI46" i="36"/>
  <c r="BU46" i="36"/>
  <c r="FU46" i="36"/>
  <c r="HL46" i="36"/>
  <c r="EI24" i="36"/>
  <c r="HG28" i="36"/>
  <c r="GC28" i="36"/>
  <c r="CQ28" i="36"/>
  <c r="BL28" i="36"/>
  <c r="AH28" i="36"/>
  <c r="BM28" i="36"/>
  <c r="CS28" i="36"/>
  <c r="GH28" i="36"/>
  <c r="HM28" i="36"/>
  <c r="AY32" i="36"/>
  <c r="CK32" i="36"/>
  <c r="GN32" i="36"/>
  <c r="HZ32" i="36"/>
  <c r="AY34" i="36"/>
  <c r="CJ34" i="36"/>
  <c r="GK34" i="36"/>
  <c r="HU34" i="36"/>
  <c r="BA39" i="36"/>
  <c r="CM39" i="36"/>
  <c r="GO39" i="36"/>
  <c r="HZ39" i="36"/>
  <c r="EY45" i="36"/>
  <c r="EX45" i="36"/>
  <c r="EV45" i="36"/>
  <c r="EU45" i="36"/>
  <c r="FJ45" i="36"/>
  <c r="FK45" i="36"/>
  <c r="FI45" i="36"/>
  <c r="EN45" i="36"/>
  <c r="BR45" i="36"/>
  <c r="ES45" i="36"/>
  <c r="GJ45" i="36"/>
  <c r="AY46" i="36"/>
  <c r="CS46" i="36"/>
  <c r="GS46" i="36"/>
  <c r="IG46" i="36"/>
  <c r="EJ24" i="36"/>
  <c r="AI28" i="36"/>
  <c r="BN28" i="36"/>
  <c r="CT28" i="36"/>
  <c r="GI28" i="36"/>
  <c r="HN28" i="36"/>
  <c r="AZ32" i="36"/>
  <c r="CL32" i="36"/>
  <c r="GO32" i="36"/>
  <c r="IA32" i="36"/>
  <c r="BA34" i="36"/>
  <c r="CK34" i="36"/>
  <c r="GL34" i="36"/>
  <c r="HV34" i="36"/>
  <c r="BB39" i="36"/>
  <c r="CN39" i="36"/>
  <c r="GQ39" i="36"/>
  <c r="IA39" i="36"/>
  <c r="FE44" i="36"/>
  <c r="EV44" i="36"/>
  <c r="EU44" i="36"/>
  <c r="FI44" i="36"/>
  <c r="EJ44" i="36"/>
  <c r="EI44" i="36"/>
  <c r="EX44" i="36"/>
  <c r="EM44" i="36"/>
  <c r="HG45" i="36"/>
  <c r="GC45" i="36"/>
  <c r="CQ45" i="36"/>
  <c r="BL45" i="36"/>
  <c r="AH45" i="36"/>
  <c r="HI45" i="36"/>
  <c r="GD45" i="36"/>
  <c r="CM45" i="36"/>
  <c r="BH45" i="36"/>
  <c r="HH45" i="36"/>
  <c r="GB45" i="36"/>
  <c r="CL45" i="36"/>
  <c r="BG45" i="36"/>
  <c r="HF45" i="36"/>
  <c r="FZ45" i="36"/>
  <c r="HU45" i="36"/>
  <c r="GO45" i="36"/>
  <c r="CZ45" i="36"/>
  <c r="BU45" i="36"/>
  <c r="AO45" i="36"/>
  <c r="ID45" i="36"/>
  <c r="GU45" i="36"/>
  <c r="CR45" i="36"/>
  <c r="BF45" i="36"/>
  <c r="IC45" i="36"/>
  <c r="GT45" i="36"/>
  <c r="CP45" i="36"/>
  <c r="BD45" i="36"/>
  <c r="HK45" i="36"/>
  <c r="FW45" i="36"/>
  <c r="BV45" i="36"/>
  <c r="AL45" i="36"/>
  <c r="BS45" i="36"/>
  <c r="ET45" i="36"/>
  <c r="GK45" i="36"/>
  <c r="HY45" i="36"/>
  <c r="AZ46" i="36"/>
  <c r="CT46" i="36"/>
  <c r="GT46" i="36"/>
  <c r="IH46" i="36"/>
  <c r="E76" i="37"/>
  <c r="I17" i="37"/>
  <c r="I76" i="37" s="1"/>
  <c r="AJ28" i="36"/>
  <c r="BO28" i="36"/>
  <c r="CU28" i="36"/>
  <c r="CU57" i="36" s="1"/>
  <c r="GJ28" i="36"/>
  <c r="HO28" i="36"/>
  <c r="BC32" i="36"/>
  <c r="CN32" i="36"/>
  <c r="GS32" i="36"/>
  <c r="IB32" i="36"/>
  <c r="BB34" i="36"/>
  <c r="CL34" i="36"/>
  <c r="GM34" i="36"/>
  <c r="HW34" i="36"/>
  <c r="BC39" i="36"/>
  <c r="CQ39" i="36"/>
  <c r="GR39" i="36"/>
  <c r="IB39" i="36"/>
  <c r="EN44" i="36"/>
  <c r="EZ45" i="36"/>
  <c r="GL45" i="36"/>
  <c r="HZ45" i="36"/>
  <c r="BC46" i="36"/>
  <c r="CU46" i="36"/>
  <c r="GU46" i="36"/>
  <c r="BS50" i="36"/>
  <c r="EU52" i="36"/>
  <c r="FG52" i="36"/>
  <c r="FF52" i="36"/>
  <c r="FA52" i="36"/>
  <c r="EY52" i="36"/>
  <c r="FE52" i="36"/>
  <c r="FD52" i="36"/>
  <c r="ER52" i="36"/>
  <c r="EP52" i="36"/>
  <c r="EO52" i="36"/>
  <c r="ET52" i="36"/>
  <c r="EJ52" i="36"/>
  <c r="HR55" i="36"/>
  <c r="GN55" i="36"/>
  <c r="DB55" i="36"/>
  <c r="BX55" i="36"/>
  <c r="AT55" i="36"/>
  <c r="H35" i="39"/>
  <c r="K72" i="36"/>
  <c r="ID55" i="36"/>
  <c r="GZ55" i="36"/>
  <c r="FV55" i="36"/>
  <c r="CJ55" i="36"/>
  <c r="BF55" i="36"/>
  <c r="IC55" i="36"/>
  <c r="GY55" i="36"/>
  <c r="FU55" i="36"/>
  <c r="CI55" i="36"/>
  <c r="BD55" i="36"/>
  <c r="HI55" i="36"/>
  <c r="GB55" i="36"/>
  <c r="CC55" i="36"/>
  <c r="AV55" i="36"/>
  <c r="K82" i="36"/>
  <c r="HG55" i="36"/>
  <c r="FY55" i="36"/>
  <c r="CA55" i="36"/>
  <c r="AS55" i="36"/>
  <c r="HV55" i="36"/>
  <c r="GM55" i="36"/>
  <c r="CR55" i="36"/>
  <c r="BJ55" i="36"/>
  <c r="HW55" i="36"/>
  <c r="GJ55" i="36"/>
  <c r="BZ55" i="36"/>
  <c r="AN55" i="36"/>
  <c r="HU55" i="36"/>
  <c r="GI55" i="36"/>
  <c r="BY55" i="36"/>
  <c r="AM55" i="36"/>
  <c r="HS55" i="36"/>
  <c r="GH55" i="36"/>
  <c r="BW55" i="36"/>
  <c r="AL55" i="36"/>
  <c r="K70" i="36"/>
  <c r="HD55" i="36"/>
  <c r="FO55" i="36"/>
  <c r="CK55" i="36"/>
  <c r="AR55" i="36"/>
  <c r="HB55" i="36"/>
  <c r="FM55" i="36"/>
  <c r="CF55" i="36"/>
  <c r="AO55" i="36"/>
  <c r="HA55" i="36"/>
  <c r="CE55" i="36"/>
  <c r="AK55" i="36"/>
  <c r="K73" i="36"/>
  <c r="IA55" i="36"/>
  <c r="GE55" i="36"/>
  <c r="CQ55" i="36"/>
  <c r="AW55" i="36"/>
  <c r="HZ55" i="36"/>
  <c r="GD55" i="36"/>
  <c r="CP55" i="36"/>
  <c r="AU55" i="36"/>
  <c r="HY55" i="36"/>
  <c r="GC55" i="36"/>
  <c r="CN55" i="36"/>
  <c r="AQ55" i="36"/>
  <c r="GV55" i="36"/>
  <c r="BL55" i="36"/>
  <c r="CS55" i="36"/>
  <c r="GT55" i="36"/>
  <c r="K80" i="36"/>
  <c r="HI50" i="36"/>
  <c r="GE50" i="36"/>
  <c r="CS50" i="36"/>
  <c r="BN50" i="36"/>
  <c r="AJ50" i="36"/>
  <c r="HU50" i="36"/>
  <c r="GQ50" i="36"/>
  <c r="FM50" i="36"/>
  <c r="BZ50" i="36"/>
  <c r="AV50" i="36"/>
  <c r="HF50" i="36"/>
  <c r="FY50" i="36"/>
  <c r="CF50" i="36"/>
  <c r="AZ50" i="36"/>
  <c r="HO50" i="36"/>
  <c r="GH50" i="36"/>
  <c r="CK50" i="36"/>
  <c r="BC50" i="36"/>
  <c r="HM50" i="36"/>
  <c r="GF50" i="36"/>
  <c r="CI50" i="36"/>
  <c r="BA50" i="36"/>
  <c r="HL50" i="36"/>
  <c r="GD50" i="36"/>
  <c r="CH50" i="36"/>
  <c r="AY50" i="36"/>
  <c r="GZ50" i="36"/>
  <c r="FP50" i="36"/>
  <c r="CT50" i="36"/>
  <c r="BH50" i="36"/>
  <c r="GY50" i="36"/>
  <c r="FO50" i="36"/>
  <c r="CR50" i="36"/>
  <c r="BG50" i="36"/>
  <c r="IH50" i="36"/>
  <c r="GX50" i="36"/>
  <c r="FN50" i="36"/>
  <c r="CQ50" i="36"/>
  <c r="BF50" i="36"/>
  <c r="HQ50" i="36"/>
  <c r="GC50" i="36"/>
  <c r="BU50" i="36"/>
  <c r="AI50" i="36"/>
  <c r="BX50" i="36"/>
  <c r="HA50" i="36"/>
  <c r="DP51" i="36"/>
  <c r="DN51" i="36"/>
  <c r="EB51" i="36"/>
  <c r="DY51" i="36"/>
  <c r="DQ51" i="36"/>
  <c r="DR51" i="36"/>
  <c r="I130" i="37"/>
  <c r="I187" i="37" s="1"/>
  <c r="E187" i="37"/>
  <c r="HM44" i="36"/>
  <c r="GI44" i="36"/>
  <c r="CW44" i="36"/>
  <c r="BR44" i="36"/>
  <c r="AN44" i="36"/>
  <c r="HG44" i="36"/>
  <c r="GB44" i="36"/>
  <c r="CL44" i="36"/>
  <c r="BG44" i="36"/>
  <c r="BG57" i="36" s="1"/>
  <c r="HF44" i="36"/>
  <c r="FZ44" i="36"/>
  <c r="CK44" i="36"/>
  <c r="BF44" i="36"/>
  <c r="HS44" i="36"/>
  <c r="GN44" i="36"/>
  <c r="CY44" i="36"/>
  <c r="BS44" i="36"/>
  <c r="AM44" i="36"/>
  <c r="BO44" i="36"/>
  <c r="CZ44" i="36"/>
  <c r="FQ44" i="36"/>
  <c r="GY44" i="36"/>
  <c r="IG44" i="36"/>
  <c r="AX50" i="36"/>
  <c r="CV50" i="36"/>
  <c r="GB50" i="36"/>
  <c r="HW50" i="36"/>
  <c r="BO55" i="36"/>
  <c r="FT55" i="36"/>
  <c r="IB55" i="36"/>
  <c r="BB50" i="36"/>
  <c r="CW50" i="36"/>
  <c r="GG50" i="36"/>
  <c r="HX50" i="36"/>
  <c r="BP55" i="36"/>
  <c r="FW55" i="36"/>
  <c r="IE55" i="36"/>
  <c r="FH36" i="36"/>
  <c r="AU47" i="36"/>
  <c r="CA47" i="36"/>
  <c r="FS47" i="36"/>
  <c r="BC54" i="36"/>
  <c r="DA54" i="36"/>
  <c r="I50" i="37"/>
  <c r="IB47" i="36"/>
  <c r="GX47" i="36"/>
  <c r="FT47" i="36"/>
  <c r="CH47" i="36"/>
  <c r="BC47" i="36"/>
  <c r="HS47" i="36"/>
  <c r="GN47" i="36"/>
  <c r="HF47" i="36"/>
  <c r="HC47" i="36"/>
  <c r="FW47" i="36"/>
  <c r="IH47" i="36"/>
  <c r="HB47" i="36"/>
  <c r="FV47" i="36"/>
  <c r="CF47" i="36"/>
  <c r="BA47" i="36"/>
  <c r="BM47" i="36"/>
  <c r="CT47" i="36"/>
  <c r="GL47" i="36"/>
  <c r="HW47" i="36"/>
  <c r="IG54" i="36"/>
  <c r="HC54" i="36"/>
  <c r="FY54" i="36"/>
  <c r="CM54" i="36"/>
  <c r="BI54" i="36"/>
  <c r="HO54" i="36"/>
  <c r="GK54" i="36"/>
  <c r="CY54" i="36"/>
  <c r="BU54" i="36"/>
  <c r="AQ54" i="36"/>
  <c r="HN54" i="36"/>
  <c r="GJ54" i="36"/>
  <c r="CX54" i="36"/>
  <c r="BS54" i="36"/>
  <c r="AO54" i="36"/>
  <c r="IH54" i="36"/>
  <c r="GZ54" i="36"/>
  <c r="FS54" i="36"/>
  <c r="BW54" i="36"/>
  <c r="AM54" i="36"/>
  <c r="IE54" i="36"/>
  <c r="GX54" i="36"/>
  <c r="FQ54" i="36"/>
  <c r="DB54" i="36"/>
  <c r="BR54" i="36"/>
  <c r="AK54" i="36"/>
  <c r="HM54" i="36"/>
  <c r="GF54" i="36"/>
  <c r="CI54" i="36"/>
  <c r="BA54" i="36"/>
  <c r="HY54" i="36"/>
  <c r="GN54" i="36"/>
  <c r="CD54" i="36"/>
  <c r="AT54" i="36"/>
  <c r="HX54" i="36"/>
  <c r="GM54" i="36"/>
  <c r="CC54" i="36"/>
  <c r="AS54" i="36"/>
  <c r="HW54" i="36"/>
  <c r="GL54" i="36"/>
  <c r="CB54" i="36"/>
  <c r="AR54" i="36"/>
  <c r="HV54" i="36"/>
  <c r="GE54" i="36"/>
  <c r="CZ54" i="36"/>
  <c r="BJ54" i="36"/>
  <c r="HS54" i="36"/>
  <c r="GC54" i="36"/>
  <c r="CV54" i="36"/>
  <c r="BG54" i="36"/>
  <c r="HR54" i="36"/>
  <c r="GB54" i="36"/>
  <c r="CU54" i="36"/>
  <c r="BF54" i="36"/>
  <c r="CE54" i="36"/>
  <c r="FT54" i="36"/>
  <c r="HL54" i="36"/>
  <c r="I48" i="37"/>
  <c r="E184" i="37"/>
  <c r="I127" i="37"/>
  <c r="I184" i="37" s="1"/>
  <c r="EU36" i="36"/>
  <c r="EU42" i="36"/>
  <c r="EY46" i="36"/>
  <c r="AH47" i="36"/>
  <c r="BN47" i="36"/>
  <c r="CU47" i="36"/>
  <c r="GM47" i="36"/>
  <c r="HX47" i="36"/>
  <c r="AH54" i="36"/>
  <c r="CF54" i="36"/>
  <c r="FU54" i="36"/>
  <c r="HP54" i="36"/>
  <c r="EZ46" i="36"/>
  <c r="AI47" i="36"/>
  <c r="BO47" i="36"/>
  <c r="CV47" i="36"/>
  <c r="GO47" i="36"/>
  <c r="HY47" i="36"/>
  <c r="AI54" i="36"/>
  <c r="CH54" i="36"/>
  <c r="FV54" i="36"/>
  <c r="HQ54" i="36"/>
  <c r="E80" i="37"/>
  <c r="I21" i="37"/>
  <c r="I80" i="37" s="1"/>
  <c r="I134" i="37"/>
  <c r="I191" i="37" s="1"/>
  <c r="I52" i="37"/>
  <c r="I140" i="37"/>
  <c r="I197" i="37" s="1"/>
  <c r="I15" i="37"/>
  <c r="I74" i="37" s="1"/>
  <c r="I19" i="37"/>
  <c r="I78" i="37" s="1"/>
  <c r="E195" i="37"/>
  <c r="I138" i="37"/>
  <c r="I195" i="37" s="1"/>
  <c r="G26" i="47" l="1"/>
  <c r="J26" i="47" s="1"/>
  <c r="G19" i="47"/>
  <c r="J19" i="47" s="1"/>
  <c r="G24" i="47"/>
  <c r="J24" i="47" s="1"/>
  <c r="G21" i="47"/>
  <c r="G27" i="47"/>
  <c r="J27" i="47" s="1"/>
  <c r="AH28" i="47"/>
  <c r="AJ28" i="47" s="1"/>
  <c r="R28" i="47"/>
  <c r="T28" i="47" s="1"/>
  <c r="BL28" i="47"/>
  <c r="BN28" i="47" s="1"/>
  <c r="AW28" i="47"/>
  <c r="AY28" i="47" s="1"/>
  <c r="AO29" i="47"/>
  <c r="AN29" i="47"/>
  <c r="AM28" i="47"/>
  <c r="AO28" i="47" s="1"/>
  <c r="BW28" i="47"/>
  <c r="BY28" i="47" s="1"/>
  <c r="DL57" i="36"/>
  <c r="DH57" i="36"/>
  <c r="EG57" i="36"/>
  <c r="DE57" i="36"/>
  <c r="K5" i="42"/>
  <c r="DV57" i="36"/>
  <c r="DF57" i="36"/>
  <c r="BR28" i="47"/>
  <c r="BQ28" i="47"/>
  <c r="BS28" i="47" s="1"/>
  <c r="X28" i="47"/>
  <c r="Z28" i="47" s="1"/>
  <c r="W28" i="47"/>
  <c r="Y28" i="47" s="1"/>
  <c r="BM29" i="47"/>
  <c r="BL29" i="47"/>
  <c r="BN29" i="47" s="1"/>
  <c r="BC28" i="47"/>
  <c r="BB28" i="47"/>
  <c r="BD28" i="47" s="1"/>
  <c r="BR29" i="47"/>
  <c r="BQ29" i="47"/>
  <c r="BS29" i="47" s="1"/>
  <c r="X29" i="47"/>
  <c r="Z29" i="47" s="1"/>
  <c r="W29" i="47"/>
  <c r="Y29" i="47" s="1"/>
  <c r="DJ91" i="46"/>
  <c r="G22" i="47"/>
  <c r="J22" i="47" s="1"/>
  <c r="EC57" i="36"/>
  <c r="EA57" i="36"/>
  <c r="K10" i="42"/>
  <c r="BH29" i="47"/>
  <c r="BG29" i="47"/>
  <c r="BI29" i="47" s="1"/>
  <c r="DM57" i="36"/>
  <c r="DR57" i="36"/>
  <c r="AI29" i="47"/>
  <c r="AH29" i="47"/>
  <c r="AJ29" i="47" s="1"/>
  <c r="K17" i="42"/>
  <c r="AS29" i="47"/>
  <c r="AR29" i="47"/>
  <c r="AT29" i="47" s="1"/>
  <c r="J21" i="47"/>
  <c r="N29" i="47"/>
  <c r="P29" i="47" s="1"/>
  <c r="M29" i="47"/>
  <c r="O29" i="47" s="1"/>
  <c r="K6" i="42"/>
  <c r="DX57" i="36"/>
  <c r="EE57" i="36"/>
  <c r="EF57" i="36"/>
  <c r="K9" i="42"/>
  <c r="J10" i="42"/>
  <c r="K11" i="42"/>
  <c r="DY57" i="36"/>
  <c r="AR28" i="47"/>
  <c r="AT28" i="47" s="1"/>
  <c r="AS28" i="47"/>
  <c r="J11" i="42"/>
  <c r="DP57" i="36"/>
  <c r="K15" i="42"/>
  <c r="DN57" i="36"/>
  <c r="N28" i="47"/>
  <c r="P28" i="47" s="1"/>
  <c r="M28" i="47"/>
  <c r="O28" i="47" s="1"/>
  <c r="G23" i="47"/>
  <c r="J23" i="47" s="1"/>
  <c r="BX29" i="47"/>
  <c r="BW29" i="47"/>
  <c r="BY29" i="47" s="1"/>
  <c r="AX29" i="47"/>
  <c r="AW29" i="47"/>
  <c r="AY29" i="47" s="1"/>
  <c r="K14" i="42"/>
  <c r="S29" i="47"/>
  <c r="U29" i="47" s="1"/>
  <c r="R29" i="47"/>
  <c r="T29" i="47" s="1"/>
  <c r="DT57" i="36"/>
  <c r="BH28" i="47"/>
  <c r="BG28" i="47"/>
  <c r="BI28" i="47" s="1"/>
  <c r="AU1" i="46"/>
  <c r="AV1" i="46" s="1"/>
  <c r="AA1" i="47"/>
  <c r="CJ57" i="36"/>
  <c r="J106" i="34"/>
  <c r="N107" i="34"/>
  <c r="F29" i="39"/>
  <c r="P59" i="36"/>
  <c r="DK57" i="36"/>
  <c r="AD112" i="33"/>
  <c r="AC112" i="33" s="1"/>
  <c r="AB112" i="33"/>
  <c r="AA112" i="33" s="1"/>
  <c r="N94" i="34"/>
  <c r="J93" i="34"/>
  <c r="M94" i="34" s="1"/>
  <c r="HH57" i="36"/>
  <c r="FG57" i="36"/>
  <c r="FO57" i="36"/>
  <c r="AQ57" i="36"/>
  <c r="AJ22" i="33"/>
  <c r="AI22" i="33" s="1"/>
  <c r="AL22" i="33"/>
  <c r="AK23" i="33" s="1"/>
  <c r="AL23" i="33"/>
  <c r="AK24" i="33" s="1"/>
  <c r="AJ23" i="33"/>
  <c r="AI23" i="33" s="1"/>
  <c r="DQ57" i="36"/>
  <c r="AZ57" i="36"/>
  <c r="EX57" i="36"/>
  <c r="EX59" i="36" s="1" a="1"/>
  <c r="AJ104" i="33"/>
  <c r="AI104" i="33" s="1"/>
  <c r="AL104" i="33"/>
  <c r="AK105" i="33" s="1"/>
  <c r="HV57" i="36"/>
  <c r="CR57" i="36"/>
  <c r="IY62" i="36"/>
  <c r="K82" i="39" s="1"/>
  <c r="M82" i="39" s="1"/>
  <c r="IY60" i="36"/>
  <c r="IY67" i="36"/>
  <c r="K87" i="39" s="1"/>
  <c r="M87" i="39" s="1"/>
  <c r="IY66" i="36"/>
  <c r="K86" i="39" s="1"/>
  <c r="M86" i="39" s="1"/>
  <c r="IY65" i="36"/>
  <c r="K85" i="39" s="1"/>
  <c r="M85" i="39" s="1"/>
  <c r="IY71" i="36"/>
  <c r="K91" i="39" s="1"/>
  <c r="M91" i="39" s="1"/>
  <c r="IY69" i="36"/>
  <c r="K89" i="39" s="1"/>
  <c r="M89" i="39" s="1"/>
  <c r="IY68" i="36"/>
  <c r="K88" i="39" s="1"/>
  <c r="M88" i="39" s="1"/>
  <c r="IY63" i="36"/>
  <c r="K83" i="39" s="1"/>
  <c r="M83" i="39" s="1"/>
  <c r="IY61" i="36"/>
  <c r="K81" i="39" s="1"/>
  <c r="M81" i="39" s="1"/>
  <c r="IY59" i="36"/>
  <c r="K66" i="39" s="1"/>
  <c r="M66" i="39" s="1"/>
  <c r="IY72" i="36"/>
  <c r="K92" i="39" s="1"/>
  <c r="M92" i="39" s="1"/>
  <c r="IY64" i="36"/>
  <c r="K84" i="39" s="1"/>
  <c r="M84" i="39" s="1"/>
  <c r="IY70" i="36"/>
  <c r="K90" i="39" s="1"/>
  <c r="M90" i="39" s="1"/>
  <c r="CT57" i="36"/>
  <c r="ET57" i="36"/>
  <c r="IF57" i="36"/>
  <c r="N47" i="34"/>
  <c r="J46" i="34"/>
  <c r="N46" i="34"/>
  <c r="O32" i="34"/>
  <c r="O31" i="34"/>
  <c r="DW57" i="36"/>
  <c r="AL7" i="33"/>
  <c r="AK8" i="33" s="1"/>
  <c r="AJ7" i="33"/>
  <c r="AI7" i="33" s="1"/>
  <c r="N53" i="34"/>
  <c r="J52" i="34"/>
  <c r="N52" i="34"/>
  <c r="HM57" i="36"/>
  <c r="AL57" i="36"/>
  <c r="AD14" i="33"/>
  <c r="AC14" i="33" s="1"/>
  <c r="AD16" i="33"/>
  <c r="AC16" i="33" s="1"/>
  <c r="AB14" i="33"/>
  <c r="AA14" i="33" s="1"/>
  <c r="AB16" i="33"/>
  <c r="AA16" i="33" s="1"/>
  <c r="AD15" i="33"/>
  <c r="AC15" i="33" s="1"/>
  <c r="AB15" i="33"/>
  <c r="AA15" i="33" s="1"/>
  <c r="N64" i="34"/>
  <c r="J63" i="34"/>
  <c r="M64" i="34" s="1"/>
  <c r="GB57" i="36"/>
  <c r="GQ57" i="36"/>
  <c r="J16" i="34"/>
  <c r="N17" i="34"/>
  <c r="N16" i="34"/>
  <c r="AM57" i="36"/>
  <c r="J28" i="34"/>
  <c r="N29" i="34"/>
  <c r="N28" i="34"/>
  <c r="DG57" i="36"/>
  <c r="HY57" i="36"/>
  <c r="AJ29" i="33"/>
  <c r="AI29" i="33" s="1"/>
  <c r="AL29" i="33"/>
  <c r="AK30" i="33" s="1"/>
  <c r="AL30" i="33"/>
  <c r="AK31" i="33" s="1"/>
  <c r="DI57" i="36"/>
  <c r="AB7" i="33"/>
  <c r="AA7" i="33" s="1"/>
  <c r="AD7" i="33"/>
  <c r="AC7" i="33" s="1"/>
  <c r="AG8" i="33" s="1"/>
  <c r="J44" i="34"/>
  <c r="M45" i="34" s="1"/>
  <c r="N45" i="34"/>
  <c r="HC57" i="36"/>
  <c r="AX57" i="36"/>
  <c r="DJ57" i="36"/>
  <c r="CE57" i="36"/>
  <c r="CV57" i="36"/>
  <c r="AD99" i="33"/>
  <c r="AC99" i="33" s="1"/>
  <c r="AB99" i="33"/>
  <c r="AA99" i="33" s="1"/>
  <c r="AB101" i="33"/>
  <c r="AA101" i="33" s="1"/>
  <c r="AB100" i="33"/>
  <c r="AA100" i="33" s="1"/>
  <c r="AD101" i="33"/>
  <c r="AC101" i="33" s="1"/>
  <c r="GF57" i="36"/>
  <c r="GS57" i="36"/>
  <c r="N43" i="34"/>
  <c r="J42" i="34"/>
  <c r="M43" i="34" s="1"/>
  <c r="N42" i="34"/>
  <c r="AE70" i="33"/>
  <c r="AE69" i="33"/>
  <c r="IB57" i="36"/>
  <c r="EM57" i="36"/>
  <c r="EY57" i="36"/>
  <c r="AD9" i="33"/>
  <c r="AC9" i="33" s="1"/>
  <c r="AB9" i="33"/>
  <c r="AA9" i="33" s="1"/>
  <c r="AD11" i="33"/>
  <c r="AC11" i="33" s="1"/>
  <c r="AB10" i="33"/>
  <c r="AA10" i="33" s="1"/>
  <c r="AB11" i="33"/>
  <c r="AA11" i="33" s="1"/>
  <c r="AD10" i="33"/>
  <c r="AC10" i="33" s="1"/>
  <c r="BS57" i="36"/>
  <c r="GX57" i="36"/>
  <c r="AW57" i="36"/>
  <c r="J94" i="34"/>
  <c r="M95" i="34" s="1"/>
  <c r="N95" i="34"/>
  <c r="EQ57" i="36"/>
  <c r="CL57" i="36"/>
  <c r="IH57" i="36"/>
  <c r="BF57" i="36"/>
  <c r="CW57" i="36"/>
  <c r="AD84" i="33"/>
  <c r="AB84" i="33"/>
  <c r="AB85" i="33"/>
  <c r="AA85" i="33" s="1"/>
  <c r="AD85" i="33"/>
  <c r="AC85" i="33" s="1"/>
  <c r="AB86" i="33"/>
  <c r="AA86" i="33" s="1"/>
  <c r="AD86" i="33"/>
  <c r="AC86" i="33" s="1"/>
  <c r="GW57" i="36"/>
  <c r="CB57" i="36"/>
  <c r="EN57" i="36"/>
  <c r="FS57" i="36"/>
  <c r="AY57" i="36"/>
  <c r="AL113" i="33"/>
  <c r="AK114" i="33" s="1"/>
  <c r="AJ113" i="33"/>
  <c r="AI113" i="33" s="1"/>
  <c r="AJ114" i="33"/>
  <c r="AI114" i="33" s="1"/>
  <c r="AJ115" i="33"/>
  <c r="AI115" i="33" s="1"/>
  <c r="AL115" i="33"/>
  <c r="AL114" i="33"/>
  <c r="AK115" i="33" s="1"/>
  <c r="J73" i="34"/>
  <c r="N74" i="34"/>
  <c r="N73" i="34"/>
  <c r="DU57" i="36"/>
  <c r="CM57" i="36"/>
  <c r="CD57" i="36"/>
  <c r="CH57" i="36"/>
  <c r="BZ57" i="36"/>
  <c r="GJ57" i="36"/>
  <c r="AD47" i="33"/>
  <c r="AB47" i="33"/>
  <c r="AA47" i="33" s="1"/>
  <c r="EK57" i="36"/>
  <c r="EI59" i="36" s="1" a="1"/>
  <c r="ED57" i="36"/>
  <c r="N72" i="34"/>
  <c r="J71" i="34"/>
  <c r="M72" i="34" s="1"/>
  <c r="AJ24" i="33"/>
  <c r="AI24" i="33" s="1"/>
  <c r="AL24" i="33"/>
  <c r="AK25" i="33" s="1"/>
  <c r="AJ26" i="33"/>
  <c r="AI26" i="33" s="1"/>
  <c r="AL26" i="33"/>
  <c r="AK27" i="33" s="1"/>
  <c r="AL25" i="33"/>
  <c r="AK26" i="33" s="1"/>
  <c r="N62" i="34"/>
  <c r="J61" i="34"/>
  <c r="N61" i="34"/>
  <c r="IA57" i="36"/>
  <c r="AD71" i="33"/>
  <c r="AC71" i="33" s="1"/>
  <c r="AB71" i="33"/>
  <c r="AA71" i="33" s="1"/>
  <c r="KC71" i="36"/>
  <c r="N18" i="39" s="1"/>
  <c r="KC63" i="36"/>
  <c r="N10" i="39" s="1"/>
  <c r="K107" i="39" s="1"/>
  <c r="M107" i="39" s="1"/>
  <c r="KC61" i="36"/>
  <c r="N8" i="39" s="1"/>
  <c r="K105" i="39" s="1"/>
  <c r="M105" i="39" s="1"/>
  <c r="KC72" i="36"/>
  <c r="N19" i="39" s="1"/>
  <c r="KC70" i="36"/>
  <c r="N17" i="39" s="1"/>
  <c r="KC69" i="36"/>
  <c r="N16" i="39" s="1"/>
  <c r="KC66" i="36"/>
  <c r="N13" i="39" s="1"/>
  <c r="KC65" i="36"/>
  <c r="N12" i="39" s="1"/>
  <c r="KC68" i="36"/>
  <c r="N15" i="39" s="1"/>
  <c r="KC67" i="36"/>
  <c r="N14" i="39" s="1"/>
  <c r="KC64" i="36"/>
  <c r="N11" i="39" s="1"/>
  <c r="K108" i="39" s="1"/>
  <c r="M108" i="39" s="1"/>
  <c r="KC62" i="36"/>
  <c r="N9" i="39" s="1"/>
  <c r="K106" i="39" s="1"/>
  <c r="M106" i="39" s="1"/>
  <c r="KC59" i="36"/>
  <c r="N6" i="39" s="1"/>
  <c r="KC60" i="36"/>
  <c r="N7" i="39" s="1"/>
  <c r="EB57" i="36"/>
  <c r="N116" i="34"/>
  <c r="J115" i="34"/>
  <c r="M116" i="34" s="1"/>
  <c r="HA57" i="36"/>
  <c r="AJ57" i="36"/>
  <c r="N81" i="34"/>
  <c r="J80" i="34"/>
  <c r="M81" i="34" s="1"/>
  <c r="N15" i="34"/>
  <c r="J14" i="34"/>
  <c r="M15" i="34" s="1"/>
  <c r="N14" i="34"/>
  <c r="J105" i="34"/>
  <c r="M106" i="34" s="1"/>
  <c r="N106" i="34"/>
  <c r="HS57" i="36"/>
  <c r="BI57" i="36"/>
  <c r="AI57" i="36"/>
  <c r="O64" i="34"/>
  <c r="O63" i="34"/>
  <c r="O78" i="34"/>
  <c r="R78" i="34" s="1"/>
  <c r="O79" i="34"/>
  <c r="R79" i="34" s="1"/>
  <c r="R80" i="34" s="1"/>
  <c r="R81" i="34" s="1"/>
  <c r="R82" i="34" s="1"/>
  <c r="R83" i="34" s="1"/>
  <c r="R84" i="34" s="1"/>
  <c r="R85" i="34" s="1"/>
  <c r="O87" i="34"/>
  <c r="O86" i="34"/>
  <c r="N13" i="34"/>
  <c r="J12" i="34"/>
  <c r="M13" i="34" s="1"/>
  <c r="N12" i="34"/>
  <c r="CQ57" i="36"/>
  <c r="EV57" i="36"/>
  <c r="N101" i="34"/>
  <c r="J100" i="34"/>
  <c r="N100" i="34"/>
  <c r="HU57" i="36"/>
  <c r="AJ39" i="33"/>
  <c r="AI39" i="33" s="1"/>
  <c r="AL39" i="33"/>
  <c r="AK40" i="33" s="1"/>
  <c r="AL40" i="33"/>
  <c r="AK41" i="33" s="1"/>
  <c r="AJ41" i="33"/>
  <c r="AI41" i="33" s="1"/>
  <c r="AL41" i="33"/>
  <c r="AK42" i="33" s="1"/>
  <c r="AJ40" i="33"/>
  <c r="AI40" i="33" s="1"/>
  <c r="DZ57" i="36"/>
  <c r="HB57" i="36"/>
  <c r="HR57" i="36"/>
  <c r="J114" i="34"/>
  <c r="N115" i="34"/>
  <c r="N114" i="34"/>
  <c r="O105" i="34"/>
  <c r="O104" i="34"/>
  <c r="FP57" i="36"/>
  <c r="IL197" i="36"/>
  <c r="IL196" i="36"/>
  <c r="IL198" i="36"/>
  <c r="IL192" i="36"/>
  <c r="IL195" i="36"/>
  <c r="IL194" i="36"/>
  <c r="FV57" i="36"/>
  <c r="IL193" i="36" s="1"/>
  <c r="EU57" i="36"/>
  <c r="J88" i="34"/>
  <c r="N88" i="34"/>
  <c r="N102" i="34"/>
  <c r="J101" i="34"/>
  <c r="M102" i="34" s="1"/>
  <c r="AD100" i="33"/>
  <c r="AC100" i="33" s="1"/>
  <c r="AV57" i="36"/>
  <c r="GC57" i="36"/>
  <c r="N60" i="34"/>
  <c r="J59" i="34"/>
  <c r="M60" i="34" s="1"/>
  <c r="AE62" i="33"/>
  <c r="AE63" i="33"/>
  <c r="DO57" i="36"/>
  <c r="AL69" i="33"/>
  <c r="AK70" i="33" s="1"/>
  <c r="AJ69" i="33"/>
  <c r="AI69" i="33" s="1"/>
  <c r="AL70" i="33"/>
  <c r="AK71" i="33" s="1"/>
  <c r="AJ70" i="33"/>
  <c r="AI70" i="33" s="1"/>
  <c r="AJ71" i="33"/>
  <c r="AI71" i="33" s="1"/>
  <c r="AL71" i="33"/>
  <c r="AK72" i="33" s="1"/>
  <c r="J78" i="34"/>
  <c r="N79" i="34"/>
  <c r="N78" i="34"/>
  <c r="Q78" i="34" s="1"/>
  <c r="BC57" i="36"/>
  <c r="GT57" i="36"/>
  <c r="J67" i="34"/>
  <c r="N68" i="34"/>
  <c r="GE57" i="36"/>
  <c r="HJ57" i="36"/>
  <c r="HG57" i="36"/>
  <c r="HF59" i="36" s="1" a="1"/>
  <c r="AN57" i="36"/>
  <c r="N71" i="34"/>
  <c r="J70" i="34"/>
  <c r="N70" i="34"/>
  <c r="FB57" i="36"/>
  <c r="BR57" i="36"/>
  <c r="O66" i="34"/>
  <c r="O65" i="34"/>
  <c r="BB57" i="36"/>
  <c r="HK57" i="36"/>
  <c r="AJ30" i="33"/>
  <c r="AI30" i="33" s="1"/>
  <c r="CF57" i="36"/>
  <c r="FK57" i="36"/>
  <c r="GI57" i="36"/>
  <c r="AE91" i="33"/>
  <c r="CY57" i="36"/>
  <c r="J18" i="34"/>
  <c r="M19" i="34" s="1"/>
  <c r="N19" i="34"/>
  <c r="N18" i="34"/>
  <c r="FW57" i="36"/>
  <c r="AB8" i="33"/>
  <c r="AA8" i="33" s="1"/>
  <c r="AD8" i="33"/>
  <c r="AC8" i="33" s="1"/>
  <c r="FD57" i="36"/>
  <c r="AB22" i="33"/>
  <c r="AA22" i="33" s="1"/>
  <c r="AD22" i="33"/>
  <c r="AC22" i="33" s="1"/>
  <c r="AD23" i="33"/>
  <c r="AC23" i="33" s="1"/>
  <c r="AB23" i="33"/>
  <c r="AA23" i="33" s="1"/>
  <c r="AB55" i="33"/>
  <c r="AA55" i="33" s="1"/>
  <c r="AD55" i="33"/>
  <c r="AC55" i="33" s="1"/>
  <c r="AG56" i="33" s="1"/>
  <c r="AJ90" i="33"/>
  <c r="AI90" i="33" s="1"/>
  <c r="AL90" i="33"/>
  <c r="AK91" i="33" s="1"/>
  <c r="AO92" i="33" s="1"/>
  <c r="AB51" i="33"/>
  <c r="AD51" i="33"/>
  <c r="AD52" i="33"/>
  <c r="AC52" i="33" s="1"/>
  <c r="AB52" i="33"/>
  <c r="AA52" i="33" s="1"/>
  <c r="AD62" i="33"/>
  <c r="AC62" i="33" s="1"/>
  <c r="AB62" i="33"/>
  <c r="AA62" i="33" s="1"/>
  <c r="AL59" i="33"/>
  <c r="AK60" i="33" s="1"/>
  <c r="AL60" i="33"/>
  <c r="AK61" i="33" s="1"/>
  <c r="AJ59" i="33"/>
  <c r="AI59" i="33" s="1"/>
  <c r="BH57" i="36"/>
  <c r="AE9" i="33"/>
  <c r="N108" i="34"/>
  <c r="J107" i="34"/>
  <c r="AB38" i="33"/>
  <c r="AA38" i="33" s="1"/>
  <c r="AD39" i="33"/>
  <c r="AC39" i="33" s="1"/>
  <c r="AB39" i="33"/>
  <c r="AA39" i="33" s="1"/>
  <c r="AD38" i="33"/>
  <c r="AC38" i="33" s="1"/>
  <c r="N51" i="34"/>
  <c r="J50" i="34"/>
  <c r="AL66" i="33"/>
  <c r="AK67" i="33" s="1"/>
  <c r="AJ66" i="33"/>
  <c r="AI66" i="33" s="1"/>
  <c r="AJ67" i="33"/>
  <c r="AI67" i="33" s="1"/>
  <c r="M83" i="34"/>
  <c r="AJ107" i="33"/>
  <c r="AI107" i="33" s="1"/>
  <c r="AL107" i="33"/>
  <c r="AK108" i="33" s="1"/>
  <c r="AB61" i="33"/>
  <c r="AA61" i="33" s="1"/>
  <c r="AD61" i="33"/>
  <c r="AC61" i="33" s="1"/>
  <c r="J9" i="34"/>
  <c r="N10" i="34"/>
  <c r="AE77" i="33"/>
  <c r="AD113" i="33"/>
  <c r="AC113" i="33" s="1"/>
  <c r="AB113" i="33"/>
  <c r="AB115" i="33"/>
  <c r="AA115" i="33" s="1"/>
  <c r="N92" i="34"/>
  <c r="Q92" i="34" s="1"/>
  <c r="J91" i="34"/>
  <c r="M92" i="34" s="1"/>
  <c r="J10" i="34"/>
  <c r="M11" i="34" s="1"/>
  <c r="N11" i="34"/>
  <c r="AD30" i="33"/>
  <c r="AC30" i="33" s="1"/>
  <c r="AB30" i="33"/>
  <c r="AA30" i="33" s="1"/>
  <c r="AD29" i="33"/>
  <c r="AC29" i="33" s="1"/>
  <c r="AB29" i="33"/>
  <c r="AA29" i="33" s="1"/>
  <c r="AB31" i="33"/>
  <c r="AA31" i="33" s="1"/>
  <c r="AL100" i="33"/>
  <c r="AK101" i="33" s="1"/>
  <c r="G127" i="34"/>
  <c r="G128" i="34" s="1"/>
  <c r="G123" i="34"/>
  <c r="G133" i="34"/>
  <c r="K129" i="34"/>
  <c r="K130" i="34" s="1"/>
  <c r="AR57" i="36"/>
  <c r="N93" i="34"/>
  <c r="J92" i="34"/>
  <c r="N104" i="34"/>
  <c r="J103" i="34"/>
  <c r="M78" i="34"/>
  <c r="AB103" i="33"/>
  <c r="AA103" i="33" s="1"/>
  <c r="AB114" i="33"/>
  <c r="AA114" i="33" s="1"/>
  <c r="N80" i="34"/>
  <c r="J79" i="34"/>
  <c r="M80" i="34" s="1"/>
  <c r="AJ99" i="33"/>
  <c r="AI99" i="33" s="1"/>
  <c r="N69" i="34"/>
  <c r="J68" i="34"/>
  <c r="M69" i="34" s="1"/>
  <c r="BV57" i="36"/>
  <c r="AE102" i="33"/>
  <c r="AD81" i="33"/>
  <c r="AC81" i="33" s="1"/>
  <c r="AB81" i="33"/>
  <c r="AA81" i="33" s="1"/>
  <c r="AO56" i="33"/>
  <c r="AD79" i="33"/>
  <c r="AC79" i="33" s="1"/>
  <c r="AD95" i="33"/>
  <c r="AC95" i="33" s="1"/>
  <c r="AB95" i="33"/>
  <c r="AA95" i="33" s="1"/>
  <c r="J90" i="34"/>
  <c r="N91" i="34"/>
  <c r="Q91" i="34" s="1"/>
  <c r="AD97" i="33"/>
  <c r="AC97" i="33" s="1"/>
  <c r="AD114" i="33"/>
  <c r="AC114" i="33" s="1"/>
  <c r="AL8" i="33"/>
  <c r="AK9" i="33" s="1"/>
  <c r="AJ8" i="33"/>
  <c r="AI8" i="33" s="1"/>
  <c r="AL9" i="33"/>
  <c r="AK10" i="33" s="1"/>
  <c r="JN59" i="36" a="1"/>
  <c r="AL99" i="33"/>
  <c r="AK100" i="33" s="1"/>
  <c r="M112" i="34"/>
  <c r="J40" i="34"/>
  <c r="M41" i="34" s="1"/>
  <c r="N41" i="34"/>
  <c r="N38" i="34"/>
  <c r="J38" i="34"/>
  <c r="N39" i="34"/>
  <c r="N99" i="34"/>
  <c r="J98" i="34"/>
  <c r="N98" i="34"/>
  <c r="CZ57" i="36"/>
  <c r="N113" i="34"/>
  <c r="J112" i="34"/>
  <c r="M113" i="34" s="1"/>
  <c r="N86" i="34"/>
  <c r="J85" i="34"/>
  <c r="M86" i="34" s="1"/>
  <c r="AE57" i="33"/>
  <c r="AB82" i="33"/>
  <c r="AA82" i="33" s="1"/>
  <c r="AD115" i="33"/>
  <c r="AD105" i="33"/>
  <c r="AB105" i="33"/>
  <c r="N112" i="34"/>
  <c r="AD96" i="33"/>
  <c r="AC96" i="33" s="1"/>
  <c r="AB96" i="33"/>
  <c r="AA96" i="33" s="1"/>
  <c r="J26" i="34"/>
  <c r="N27" i="34"/>
  <c r="N20" i="34"/>
  <c r="J19" i="34"/>
  <c r="M20" i="34" s="1"/>
  <c r="HO57" i="36"/>
  <c r="ID57" i="36"/>
  <c r="GL57" i="36"/>
  <c r="H36" i="39"/>
  <c r="H34" i="39"/>
  <c r="GG57" i="36"/>
  <c r="GV57" i="36"/>
  <c r="HP57" i="36"/>
  <c r="AD104" i="33"/>
  <c r="AC104" i="33" s="1"/>
  <c r="AB104" i="33"/>
  <c r="AA104" i="33" s="1"/>
  <c r="AJ68" i="33"/>
  <c r="AI68" i="33" s="1"/>
  <c r="AL68" i="33"/>
  <c r="AK69" i="33" s="1"/>
  <c r="J35" i="34"/>
  <c r="N36" i="34"/>
  <c r="N77" i="34"/>
  <c r="Q77" i="34" s="1"/>
  <c r="J76" i="34"/>
  <c r="AD92" i="33"/>
  <c r="AC92" i="33" s="1"/>
  <c r="AB92" i="33"/>
  <c r="AA92" i="33" s="1"/>
  <c r="J31" i="34"/>
  <c r="N32" i="34"/>
  <c r="AB89" i="33"/>
  <c r="AJ38" i="33"/>
  <c r="AI38" i="33" s="1"/>
  <c r="AL38" i="33"/>
  <c r="AK39" i="33" s="1"/>
  <c r="AD66" i="33"/>
  <c r="AC66" i="33" s="1"/>
  <c r="AB66" i="33"/>
  <c r="AA66" i="33" s="1"/>
  <c r="FN57" i="36"/>
  <c r="AD90" i="33"/>
  <c r="AC90" i="33" s="1"/>
  <c r="AB90" i="33"/>
  <c r="AA90" i="33" s="1"/>
  <c r="AE10" i="33"/>
  <c r="AB42" i="33"/>
  <c r="AA42" i="33" s="1"/>
  <c r="AD42" i="33"/>
  <c r="AC42" i="33" s="1"/>
  <c r="AB43" i="33"/>
  <c r="AA43" i="33" s="1"/>
  <c r="AD83" i="33"/>
  <c r="AC83" i="33" s="1"/>
  <c r="AB83" i="33"/>
  <c r="AA83" i="33" s="1"/>
  <c r="AJ92" i="33"/>
  <c r="AI92" i="33" s="1"/>
  <c r="AL92" i="33"/>
  <c r="AK93" i="33" s="1"/>
  <c r="FF57" i="36"/>
  <c r="O109" i="34"/>
  <c r="AD63" i="33"/>
  <c r="AB63" i="33"/>
  <c r="AA63" i="33" s="1"/>
  <c r="AD24" i="33"/>
  <c r="AC24" i="33" s="1"/>
  <c r="AB24" i="33"/>
  <c r="AA24" i="33" s="1"/>
  <c r="HL57" i="36"/>
  <c r="AL93" i="33"/>
  <c r="AK94" i="33" s="1"/>
  <c r="AJ93" i="33"/>
  <c r="AI93" i="33" s="1"/>
  <c r="AJ94" i="33"/>
  <c r="AI94" i="33" s="1"/>
  <c r="AD73" i="33"/>
  <c r="AC73" i="33" s="1"/>
  <c r="AD72" i="33"/>
  <c r="AB73" i="33"/>
  <c r="AA73" i="33" s="1"/>
  <c r="AB72" i="33"/>
  <c r="AA72" i="33" s="1"/>
  <c r="EZ57" i="36"/>
  <c r="J95" i="34"/>
  <c r="M96" i="34" s="1"/>
  <c r="N96" i="34"/>
  <c r="FM57" i="36"/>
  <c r="J110" i="34"/>
  <c r="M111" i="34" s="1"/>
  <c r="N111" i="34"/>
  <c r="AD57" i="33"/>
  <c r="AC57" i="33" s="1"/>
  <c r="AB57" i="33"/>
  <c r="AA57" i="33" s="1"/>
  <c r="GR57" i="36"/>
  <c r="AL67" i="33"/>
  <c r="AK68" i="33" s="1"/>
  <c r="O68" i="34"/>
  <c r="AG55" i="33"/>
  <c r="IC57" i="36"/>
  <c r="AD69" i="33"/>
  <c r="AC69" i="33" s="1"/>
  <c r="AB69" i="33"/>
  <c r="GU57" i="36"/>
  <c r="O14" i="34"/>
  <c r="O13" i="34"/>
  <c r="M24" i="34"/>
  <c r="J39" i="34"/>
  <c r="M40" i="34" s="1"/>
  <c r="N40" i="34"/>
  <c r="AD109" i="33"/>
  <c r="AC109" i="33" s="1"/>
  <c r="AB109" i="33"/>
  <c r="AA109" i="33" s="1"/>
  <c r="CX57" i="36"/>
  <c r="J108" i="34"/>
  <c r="M109" i="34" s="1"/>
  <c r="N109" i="34"/>
  <c r="AD98" i="33"/>
  <c r="AC98" i="33" s="1"/>
  <c r="AB98" i="33"/>
  <c r="AJ13" i="33"/>
  <c r="AI13" i="33" s="1"/>
  <c r="J104" i="34"/>
  <c r="N105" i="34"/>
  <c r="R62" i="34"/>
  <c r="AJ20" i="33"/>
  <c r="AI20" i="33" s="1"/>
  <c r="AL20" i="33"/>
  <c r="AK21" i="33" s="1"/>
  <c r="AL21" i="33"/>
  <c r="AK22" i="33" s="1"/>
  <c r="AL49" i="33"/>
  <c r="AK50" i="33" s="1"/>
  <c r="J20" i="34"/>
  <c r="N21" i="34"/>
  <c r="N44" i="34"/>
  <c r="J43" i="34"/>
  <c r="AD110" i="33"/>
  <c r="AC110" i="33" s="1"/>
  <c r="AL57" i="33"/>
  <c r="AK58" i="33" s="1"/>
  <c r="AJ57" i="33"/>
  <c r="AI57" i="33" s="1"/>
  <c r="FU57" i="36"/>
  <c r="BP57" i="36"/>
  <c r="J83" i="34"/>
  <c r="M84" i="34" s="1"/>
  <c r="N84" i="34"/>
  <c r="AL98" i="33"/>
  <c r="AK99" i="33" s="1"/>
  <c r="AJ98" i="33"/>
  <c r="AI98" i="33" s="1"/>
  <c r="AJ37" i="33"/>
  <c r="AI37" i="33" s="1"/>
  <c r="AL37" i="33"/>
  <c r="AK38" i="33" s="1"/>
  <c r="AB37" i="33"/>
  <c r="AA37" i="33" s="1"/>
  <c r="AD37" i="33"/>
  <c r="AC37" i="33" s="1"/>
  <c r="AB56" i="33"/>
  <c r="AA56" i="33" s="1"/>
  <c r="AS57" i="36"/>
  <c r="AE44" i="33"/>
  <c r="AL106" i="33"/>
  <c r="AK107" i="33" s="1"/>
  <c r="AJ106" i="33"/>
  <c r="AI106" i="33" s="1"/>
  <c r="AL109" i="33"/>
  <c r="AK110" i="33" s="1"/>
  <c r="N23" i="34"/>
  <c r="J22" i="34"/>
  <c r="M23" i="34" s="1"/>
  <c r="AL105" i="33"/>
  <c r="AK106" i="33" s="1"/>
  <c r="AJ105" i="33"/>
  <c r="AI105" i="33" s="1"/>
  <c r="FH57" i="36"/>
  <c r="BJ57" i="36"/>
  <c r="AD75" i="33"/>
  <c r="AC75" i="33" s="1"/>
  <c r="AG76" i="33" s="1"/>
  <c r="AB75" i="33"/>
  <c r="AA75" i="33" s="1"/>
  <c r="AJ49" i="33"/>
  <c r="AI49" i="33" s="1"/>
  <c r="N9" i="34"/>
  <c r="AB18" i="33"/>
  <c r="AA18" i="33" s="1"/>
  <c r="AD18" i="33"/>
  <c r="AC18" i="33" s="1"/>
  <c r="AJ45" i="33"/>
  <c r="AI45" i="33" s="1"/>
  <c r="AL45" i="33"/>
  <c r="AK46" i="33" s="1"/>
  <c r="N85" i="34"/>
  <c r="AB49" i="33"/>
  <c r="AA49" i="33" s="1"/>
  <c r="N66" i="34"/>
  <c r="J65" i="34"/>
  <c r="O41" i="34"/>
  <c r="AL63" i="33"/>
  <c r="AK64" i="33" s="1"/>
  <c r="AJ64" i="33"/>
  <c r="AI64" i="33" s="1"/>
  <c r="AJ63" i="33"/>
  <c r="AI63" i="33" s="1"/>
  <c r="AJ11" i="33"/>
  <c r="AI11" i="33" s="1"/>
  <c r="AL11" i="33"/>
  <c r="AK12" i="33" s="1"/>
  <c r="AL13" i="33"/>
  <c r="AK14" i="33" s="1"/>
  <c r="HQ57" i="36"/>
  <c r="CP57" i="36"/>
  <c r="AJ75" i="33"/>
  <c r="AI75" i="33" s="1"/>
  <c r="AL75" i="33"/>
  <c r="AK76" i="33" s="1"/>
  <c r="AO77" i="33" s="1"/>
  <c r="AL56" i="33"/>
  <c r="AK57" i="33" s="1"/>
  <c r="AJ56" i="33"/>
  <c r="AI56" i="33" s="1"/>
  <c r="AJ9" i="33"/>
  <c r="AI9" i="33" s="1"/>
  <c r="AB41" i="33"/>
  <c r="AD41" i="33"/>
  <c r="AC41" i="33" s="1"/>
  <c r="AD31" i="33"/>
  <c r="AC31" i="33" s="1"/>
  <c r="AJ14" i="33"/>
  <c r="AI14" i="33" s="1"/>
  <c r="AL14" i="33"/>
  <c r="AK15" i="33" s="1"/>
  <c r="AL10" i="33"/>
  <c r="AK11" i="33" s="1"/>
  <c r="O100" i="34"/>
  <c r="BA57" i="36"/>
  <c r="AB48" i="33"/>
  <c r="AA48" i="33" s="1"/>
  <c r="AD48" i="33"/>
  <c r="AC48" i="33" s="1"/>
  <c r="N58" i="34"/>
  <c r="Q58" i="34" s="1"/>
  <c r="J57" i="34"/>
  <c r="M58" i="34" s="1"/>
  <c r="AE18" i="33"/>
  <c r="AB13" i="33"/>
  <c r="AA13" i="33" s="1"/>
  <c r="AD13" i="33"/>
  <c r="AC13" i="33" s="1"/>
  <c r="J48" i="34"/>
  <c r="M49" i="34" s="1"/>
  <c r="N49" i="34"/>
  <c r="AD50" i="33"/>
  <c r="AC50" i="33" s="1"/>
  <c r="AB50" i="33"/>
  <c r="AA50" i="33" s="1"/>
  <c r="AL65" i="33"/>
  <c r="AK66" i="33" s="1"/>
  <c r="AJ65" i="33"/>
  <c r="AI65" i="33" s="1"/>
  <c r="AB111" i="33"/>
  <c r="AA111" i="33" s="1"/>
  <c r="AO79" i="33"/>
  <c r="HW57" i="36"/>
  <c r="N57" i="34"/>
  <c r="Q57" i="34" s="1"/>
  <c r="J56" i="34"/>
  <c r="GH57" i="36"/>
  <c r="GD57" i="36"/>
  <c r="N63" i="34"/>
  <c r="J62" i="34"/>
  <c r="J58" i="34"/>
  <c r="N59" i="34"/>
  <c r="J21" i="34"/>
  <c r="M22" i="34" s="1"/>
  <c r="N22" i="34"/>
  <c r="CC57" i="36"/>
  <c r="AJ18" i="33"/>
  <c r="AI18" i="33" s="1"/>
  <c r="AL18" i="33"/>
  <c r="AK19" i="33" s="1"/>
  <c r="AB45" i="33"/>
  <c r="AA45" i="33" s="1"/>
  <c r="AD45" i="33"/>
  <c r="AC45" i="33" s="1"/>
  <c r="N31" i="34"/>
  <c r="O97" i="34"/>
  <c r="AJ10" i="33"/>
  <c r="AI10" i="33" s="1"/>
  <c r="AD77" i="33"/>
  <c r="AC77" i="33" s="1"/>
  <c r="AB77" i="33"/>
  <c r="AA77" i="33" s="1"/>
  <c r="AB79" i="33"/>
  <c r="AA79" i="33" s="1"/>
  <c r="AH57" i="36"/>
  <c r="AL78" i="33"/>
  <c r="AK79" i="33" s="1"/>
  <c r="AO80" i="33" s="1"/>
  <c r="AO81" i="33" s="1"/>
  <c r="AJ78" i="33"/>
  <c r="AI78" i="33" s="1"/>
  <c r="AL80" i="33"/>
  <c r="AK81" i="33" s="1"/>
  <c r="AJ80" i="33"/>
  <c r="AI80" i="33" s="1"/>
  <c r="AO57" i="33"/>
  <c r="AD68" i="33"/>
  <c r="AC68" i="33" s="1"/>
  <c r="AB68" i="33"/>
  <c r="AA68" i="33" s="1"/>
  <c r="AJ35" i="33"/>
  <c r="AI35" i="33" s="1"/>
  <c r="AL35" i="33"/>
  <c r="AK36" i="33" s="1"/>
  <c r="AJ36" i="33"/>
  <c r="AI36" i="33" s="1"/>
  <c r="AL36" i="33"/>
  <c r="AK37" i="33" s="1"/>
  <c r="AD78" i="33"/>
  <c r="AC78" i="33" s="1"/>
  <c r="BX57" i="36"/>
  <c r="AJ12" i="33"/>
  <c r="AI12" i="33" s="1"/>
  <c r="P7" i="34"/>
  <c r="P8" i="34" s="1"/>
  <c r="AD106" i="33"/>
  <c r="AC106" i="33" s="1"/>
  <c r="AB106" i="33"/>
  <c r="AA106" i="33" s="1"/>
  <c r="AB107" i="33"/>
  <c r="AA107" i="33" s="1"/>
  <c r="AB36" i="33"/>
  <c r="AA36" i="33" s="1"/>
  <c r="AD36" i="33"/>
  <c r="AC36" i="33" s="1"/>
  <c r="AL102" i="33"/>
  <c r="AK103" i="33" s="1"/>
  <c r="AJ102" i="33"/>
  <c r="AI102" i="33" s="1"/>
  <c r="DC57" i="36"/>
  <c r="AL108" i="33"/>
  <c r="AK109" i="33" s="1"/>
  <c r="AJ108" i="33"/>
  <c r="AI108" i="33" s="1"/>
  <c r="AJ109" i="33"/>
  <c r="AI109" i="33" s="1"/>
  <c r="AL103" i="33"/>
  <c r="AK104" i="33" s="1"/>
  <c r="FX57" i="36"/>
  <c r="AJ110" i="33"/>
  <c r="AI110" i="33" s="1"/>
  <c r="HI57" i="36"/>
  <c r="AD60" i="33"/>
  <c r="AC60" i="33" s="1"/>
  <c r="AB60" i="33"/>
  <c r="AD19" i="33"/>
  <c r="AB19" i="33"/>
  <c r="AA19" i="33" s="1"/>
  <c r="AB20" i="33"/>
  <c r="AA20" i="33" s="1"/>
  <c r="O106" i="34"/>
  <c r="N48" i="34"/>
  <c r="J47" i="34"/>
  <c r="M48" i="34" s="1"/>
  <c r="R93" i="34"/>
  <c r="R94" i="34" s="1"/>
  <c r="R95" i="34" s="1"/>
  <c r="R96" i="34" s="1"/>
  <c r="AB67" i="33"/>
  <c r="AA67" i="33" s="1"/>
  <c r="AE115" i="33"/>
  <c r="AD65" i="33"/>
  <c r="AC65" i="33" s="1"/>
  <c r="AB65" i="33"/>
  <c r="N103" i="34"/>
  <c r="AL110" i="33"/>
  <c r="AK111" i="33" s="1"/>
  <c r="N25" i="34"/>
  <c r="J24" i="34"/>
  <c r="M25" i="34" s="1"/>
  <c r="AJ31" i="33"/>
  <c r="AI31" i="33" s="1"/>
  <c r="AL31" i="33"/>
  <c r="AK32" i="33" s="1"/>
  <c r="BN57" i="36"/>
  <c r="AJ47" i="33"/>
  <c r="AI47" i="33" s="1"/>
  <c r="AL47" i="33"/>
  <c r="AK48" i="33" s="1"/>
  <c r="AO93" i="33"/>
  <c r="AL32" i="33"/>
  <c r="AK33" i="33" s="1"/>
  <c r="AL96" i="33"/>
  <c r="AK97" i="33" s="1"/>
  <c r="AJ96" i="33"/>
  <c r="AI96" i="33" s="1"/>
  <c r="AL97" i="33"/>
  <c r="AK98" i="33" s="1"/>
  <c r="BQ57" i="36"/>
  <c r="M88" i="34"/>
  <c r="AJ32" i="33"/>
  <c r="AI32" i="33" s="1"/>
  <c r="AD102" i="33"/>
  <c r="AC102" i="33" s="1"/>
  <c r="AB102" i="33"/>
  <c r="AA102" i="33" s="1"/>
  <c r="AJ48" i="33"/>
  <c r="AI48" i="33" s="1"/>
  <c r="AL48" i="33"/>
  <c r="AK49" i="33" s="1"/>
  <c r="BO57" i="36"/>
  <c r="O73" i="34"/>
  <c r="AD56" i="33"/>
  <c r="AC56" i="33" s="1"/>
  <c r="O9" i="34"/>
  <c r="BU57" i="36"/>
  <c r="AL95" i="33"/>
  <c r="AK96" i="33" s="1"/>
  <c r="AD82" i="33"/>
  <c r="AD59" i="33"/>
  <c r="AC59" i="33" s="1"/>
  <c r="AB59" i="33"/>
  <c r="AA59" i="33" s="1"/>
  <c r="O61" i="34"/>
  <c r="R61" i="34" s="1"/>
  <c r="L65" i="36"/>
  <c r="F32" i="39"/>
  <c r="AJ46" i="33"/>
  <c r="AI46" i="33" s="1"/>
  <c r="AL46" i="33"/>
  <c r="AK47" i="33" s="1"/>
  <c r="FY57" i="36"/>
  <c r="EL57" i="36"/>
  <c r="AD67" i="33"/>
  <c r="AD76" i="33"/>
  <c r="AC76" i="33" s="1"/>
  <c r="AG77" i="33" s="1"/>
  <c r="AB76" i="33"/>
  <c r="AA76" i="33" s="1"/>
  <c r="IJ59" i="36" a="1"/>
  <c r="AL76" i="33"/>
  <c r="AK77" i="33" s="1"/>
  <c r="AO78" i="33" s="1"/>
  <c r="AJ76" i="33"/>
  <c r="AI76" i="33" s="1"/>
  <c r="AL94" i="33"/>
  <c r="AK95" i="33" s="1"/>
  <c r="O25" i="34"/>
  <c r="O24" i="34"/>
  <c r="AA22" i="47" l="1"/>
  <c r="AA25" i="47"/>
  <c r="AA26" i="47"/>
  <c r="AA27" i="47"/>
  <c r="J17" i="47"/>
  <c r="K5" i="47" s="1"/>
  <c r="D6" i="47" s="1"/>
  <c r="F23" i="45" s="1"/>
  <c r="D44" i="25" s="1"/>
  <c r="DT59" i="36" a="1"/>
  <c r="DT59" i="36" s="1"/>
  <c r="T6" i="39" s="1"/>
  <c r="L1" i="47"/>
  <c r="AW1" i="46"/>
  <c r="DE59" i="36" a="1"/>
  <c r="DE59" i="36" s="1"/>
  <c r="S6" i="39" s="1"/>
  <c r="AA23" i="47"/>
  <c r="AA24" i="47"/>
  <c r="AA19" i="47"/>
  <c r="AA20" i="47"/>
  <c r="AA21" i="47"/>
  <c r="DT68" i="36"/>
  <c r="T15" i="39" s="1"/>
  <c r="DT71" i="36"/>
  <c r="T18" i="39" s="1"/>
  <c r="DT69" i="36"/>
  <c r="T16" i="39" s="1"/>
  <c r="DT61" i="36"/>
  <c r="T8" i="39" s="1"/>
  <c r="DT60" i="36"/>
  <c r="T7" i="39" s="1"/>
  <c r="DT67" i="36"/>
  <c r="T14" i="39" s="1"/>
  <c r="DT65" i="36"/>
  <c r="T12" i="39" s="1"/>
  <c r="DT64" i="36"/>
  <c r="T11" i="39" s="1"/>
  <c r="DT63" i="36"/>
  <c r="T10" i="39" s="1"/>
  <c r="DT62" i="36"/>
  <c r="T9" i="39" s="1"/>
  <c r="DT72" i="36"/>
  <c r="T19" i="39" s="1"/>
  <c r="DT70" i="36"/>
  <c r="T17" i="39" s="1"/>
  <c r="EI64" i="36"/>
  <c r="W11" i="39" s="1"/>
  <c r="EI63" i="36"/>
  <c r="W10" i="39" s="1"/>
  <c r="EI69" i="36"/>
  <c r="W16" i="39" s="1"/>
  <c r="EI72" i="36"/>
  <c r="W19" i="39" s="1"/>
  <c r="EI70" i="36"/>
  <c r="W17" i="39" s="1"/>
  <c r="EI68" i="36"/>
  <c r="W15" i="39" s="1"/>
  <c r="EI71" i="36"/>
  <c r="W18" i="39" s="1"/>
  <c r="EI65" i="36"/>
  <c r="W12" i="39" s="1"/>
  <c r="EI62" i="36"/>
  <c r="W9" i="39" s="1"/>
  <c r="EI66" i="36"/>
  <c r="W13" i="39" s="1"/>
  <c r="EI67" i="36"/>
  <c r="W14" i="39" s="1"/>
  <c r="EI61" i="36"/>
  <c r="W8" i="39" s="1"/>
  <c r="EI60" i="36"/>
  <c r="W7" i="39" s="1"/>
  <c r="EI59" i="36"/>
  <c r="W6" i="39" s="1"/>
  <c r="HF62" i="36"/>
  <c r="L9" i="39" s="1"/>
  <c r="HF72" i="36"/>
  <c r="L19" i="39" s="1"/>
  <c r="HF70" i="36"/>
  <c r="L17" i="39" s="1"/>
  <c r="HF69" i="36"/>
  <c r="L16" i="39" s="1"/>
  <c r="HF64" i="36"/>
  <c r="L11" i="39" s="1"/>
  <c r="HF63" i="36"/>
  <c r="L10" i="39" s="1"/>
  <c r="HF61" i="36"/>
  <c r="L8" i="39" s="1"/>
  <c r="HF66" i="36"/>
  <c r="L13" i="39" s="1"/>
  <c r="HF59" i="36"/>
  <c r="L6" i="39" s="1"/>
  <c r="HF71" i="36"/>
  <c r="L18" i="39" s="1"/>
  <c r="HF68" i="36"/>
  <c r="L15" i="39" s="1"/>
  <c r="HF67" i="36"/>
  <c r="L14" i="39" s="1"/>
  <c r="HF65" i="36"/>
  <c r="L12" i="39" s="1"/>
  <c r="HF60" i="36"/>
  <c r="L7" i="39" s="1"/>
  <c r="DE66" i="36"/>
  <c r="S13" i="39" s="1"/>
  <c r="DE65" i="36"/>
  <c r="S12" i="39" s="1"/>
  <c r="R87" i="34"/>
  <c r="R88" i="34" s="1"/>
  <c r="M42" i="34"/>
  <c r="M79" i="34"/>
  <c r="AG86" i="33"/>
  <c r="AG87" i="33" s="1"/>
  <c r="AG89" i="33" s="1"/>
  <c r="M47" i="34"/>
  <c r="M46" i="34"/>
  <c r="AC19" i="33"/>
  <c r="AG20" i="33" s="1"/>
  <c r="AG21" i="33" s="1"/>
  <c r="AG22" i="33" s="1"/>
  <c r="AG23" i="33" s="1"/>
  <c r="AG24" i="33" s="1"/>
  <c r="AG25" i="33" s="1"/>
  <c r="AG26" i="33" s="1"/>
  <c r="AG27" i="33" s="1"/>
  <c r="AG28" i="33" s="1"/>
  <c r="AG29" i="33" s="1"/>
  <c r="AG30" i="33" s="1"/>
  <c r="AG31" i="33" s="1"/>
  <c r="AG32" i="33" s="1"/>
  <c r="AG33" i="33" s="1"/>
  <c r="AG34" i="33" s="1"/>
  <c r="AG35" i="33" s="1"/>
  <c r="AG36" i="33" s="1"/>
  <c r="AG37" i="33" s="1"/>
  <c r="AG38" i="33" s="1"/>
  <c r="AG39" i="33" s="1"/>
  <c r="AG40" i="33" s="1"/>
  <c r="AG41" i="33" s="1"/>
  <c r="AG42" i="33" s="1"/>
  <c r="AG43" i="33" s="1"/>
  <c r="AG44" i="33" s="1"/>
  <c r="AG45" i="33" s="1"/>
  <c r="AG46" i="33" s="1"/>
  <c r="AG47" i="33" s="1"/>
  <c r="AG49" i="33"/>
  <c r="AG50" i="33" s="1"/>
  <c r="AG51" i="33" s="1"/>
  <c r="AA69" i="33"/>
  <c r="AA89" i="33"/>
  <c r="K140" i="39"/>
  <c r="M140" i="39" s="1"/>
  <c r="AC47" i="33"/>
  <c r="AG48" i="33" s="1"/>
  <c r="M17" i="34"/>
  <c r="M16" i="34"/>
  <c r="AA60" i="33"/>
  <c r="Q59" i="34"/>
  <c r="M66" i="34"/>
  <c r="M65" i="34"/>
  <c r="AG70" i="33"/>
  <c r="AG71" i="33" s="1"/>
  <c r="AG72" i="33" s="1"/>
  <c r="M27" i="34"/>
  <c r="M26" i="34"/>
  <c r="JN69" i="36"/>
  <c r="K103" i="39" s="1"/>
  <c r="M103" i="39" s="1"/>
  <c r="JN68" i="36"/>
  <c r="K102" i="39" s="1"/>
  <c r="M102" i="39" s="1"/>
  <c r="JN59" i="36"/>
  <c r="K67" i="39" s="1"/>
  <c r="M67" i="39" s="1"/>
  <c r="JN67" i="36"/>
  <c r="K101" i="39" s="1"/>
  <c r="M101" i="39" s="1"/>
  <c r="JN62" i="36"/>
  <c r="K96" i="39" s="1"/>
  <c r="M96" i="39" s="1"/>
  <c r="JN60" i="36"/>
  <c r="K94" i="39" s="1"/>
  <c r="M94" i="39" s="1"/>
  <c r="JN72" i="36"/>
  <c r="JN71" i="36"/>
  <c r="JN65" i="36"/>
  <c r="K99" i="39" s="1"/>
  <c r="M99" i="39" s="1"/>
  <c r="JN64" i="36"/>
  <c r="K98" i="39" s="1"/>
  <c r="M98" i="39" s="1"/>
  <c r="JN66" i="36"/>
  <c r="K100" i="39" s="1"/>
  <c r="M100" i="39" s="1"/>
  <c r="JN63" i="36"/>
  <c r="K97" i="39" s="1"/>
  <c r="M97" i="39" s="1"/>
  <c r="JN61" i="36"/>
  <c r="K95" i="39" s="1"/>
  <c r="M95" i="39" s="1"/>
  <c r="JN70" i="36"/>
  <c r="M104" i="34"/>
  <c r="M10" i="34"/>
  <c r="M9" i="34"/>
  <c r="R63" i="34"/>
  <c r="AA84" i="33"/>
  <c r="M59" i="34"/>
  <c r="AO11" i="33"/>
  <c r="AO12" i="33" s="1"/>
  <c r="AO13" i="33" s="1"/>
  <c r="AO14" i="33" s="1"/>
  <c r="AO15" i="33" s="1"/>
  <c r="AO16" i="33" s="1"/>
  <c r="AO17" i="33" s="1"/>
  <c r="AO18" i="33" s="1"/>
  <c r="AO19" i="33" s="1"/>
  <c r="AO20" i="33" s="1"/>
  <c r="AO21" i="33" s="1"/>
  <c r="AO22" i="33" s="1"/>
  <c r="AO23" i="33" s="1"/>
  <c r="AO24" i="33" s="1"/>
  <c r="AO25" i="33" s="1"/>
  <c r="AO26" i="33" s="1"/>
  <c r="AO27" i="33" s="1"/>
  <c r="AO28" i="33" s="1"/>
  <c r="AO29" i="33" s="1"/>
  <c r="AO30" i="33" s="1"/>
  <c r="AO31" i="33" s="1"/>
  <c r="AO32" i="33" s="1"/>
  <c r="AO33" i="33" s="1"/>
  <c r="AO34" i="33" s="1"/>
  <c r="AO35" i="33" s="1"/>
  <c r="AO36" i="33" s="1"/>
  <c r="AO37" i="33" s="1"/>
  <c r="AO38" i="33" s="1"/>
  <c r="AO39" i="33" s="1"/>
  <c r="AO40" i="33" s="1"/>
  <c r="AO41" i="33" s="1"/>
  <c r="AO42" i="33" s="1"/>
  <c r="AO43" i="33" s="1"/>
  <c r="AO44" i="33" s="1"/>
  <c r="AO45" i="33" s="1"/>
  <c r="AO46" i="33" s="1"/>
  <c r="AO47" i="33" s="1"/>
  <c r="AO48" i="33" s="1"/>
  <c r="AO49" i="33" s="1"/>
  <c r="AO50" i="33" s="1"/>
  <c r="AO51" i="33" s="1"/>
  <c r="AO52" i="33" s="1"/>
  <c r="R64" i="34"/>
  <c r="AC84" i="33"/>
  <c r="AG85" i="33" s="1"/>
  <c r="M32" i="34"/>
  <c r="M31" i="34"/>
  <c r="M93" i="34"/>
  <c r="CH59" i="36" a="1"/>
  <c r="GQ59" i="36" a="1"/>
  <c r="M63" i="34"/>
  <c r="AC63" i="33"/>
  <c r="AG64" i="33" s="1"/>
  <c r="AG65" i="33" s="1"/>
  <c r="AG66" i="33" s="1"/>
  <c r="AG67" i="33" s="1"/>
  <c r="M110" i="34"/>
  <c r="AO10" i="33"/>
  <c r="Q93" i="34"/>
  <c r="Q94" i="34" s="1"/>
  <c r="Q95" i="34" s="1"/>
  <c r="Q96" i="34" s="1"/>
  <c r="Q97" i="34" s="1"/>
  <c r="Q98" i="34" s="1"/>
  <c r="Q99" i="34" s="1"/>
  <c r="Q100" i="34" s="1"/>
  <c r="Q101" i="34" s="1"/>
  <c r="Q102" i="34" s="1"/>
  <c r="Q103" i="34" s="1"/>
  <c r="Q104" i="34" s="1"/>
  <c r="Q105" i="34" s="1"/>
  <c r="Q106" i="34" s="1"/>
  <c r="Q107" i="34" s="1"/>
  <c r="Q108" i="34" s="1"/>
  <c r="Q109" i="34" s="1"/>
  <c r="Q110" i="34" s="1"/>
  <c r="Q111" i="34" s="1"/>
  <c r="Q112" i="34" s="1"/>
  <c r="Q113" i="34" s="1"/>
  <c r="Q114" i="34" s="1"/>
  <c r="Q115" i="34" s="1"/>
  <c r="Q116" i="34" s="1"/>
  <c r="R65" i="34"/>
  <c r="BF59" i="36" a="1"/>
  <c r="AQ59" i="36" a="1"/>
  <c r="R66" i="34"/>
  <c r="R67" i="34" s="1"/>
  <c r="R68" i="34" s="1"/>
  <c r="R69" i="34" s="1"/>
  <c r="R70" i="34" s="1"/>
  <c r="R71" i="34" s="1"/>
  <c r="R72" i="34" s="1"/>
  <c r="R73" i="34" s="1"/>
  <c r="R74" i="34" s="1"/>
  <c r="AA51" i="33"/>
  <c r="M77" i="34"/>
  <c r="P77" i="34" s="1"/>
  <c r="P78" i="34" s="1"/>
  <c r="M76" i="34"/>
  <c r="P76" i="34" s="1"/>
  <c r="K104" i="39"/>
  <c r="M104" i="39" s="1"/>
  <c r="N26" i="39"/>
  <c r="AC67" i="33"/>
  <c r="AG68" i="33" s="1"/>
  <c r="M29" i="34"/>
  <c r="M28" i="34"/>
  <c r="AC105" i="33"/>
  <c r="AG106" i="33" s="1"/>
  <c r="AG107" i="33" s="1"/>
  <c r="AG108" i="33" s="1"/>
  <c r="AG109" i="33" s="1"/>
  <c r="AG110" i="33" s="1"/>
  <c r="AG111" i="33" s="1"/>
  <c r="AG112" i="33" s="1"/>
  <c r="AG113" i="33" s="1"/>
  <c r="AG114" i="33" s="1"/>
  <c r="AG115" i="33" s="1"/>
  <c r="M39" i="34"/>
  <c r="M38" i="34"/>
  <c r="M115" i="34"/>
  <c r="M114" i="34"/>
  <c r="Q9" i="34"/>
  <c r="Q10" i="34" s="1"/>
  <c r="Q11" i="34" s="1"/>
  <c r="Q12" i="34" s="1"/>
  <c r="Q13" i="34" s="1"/>
  <c r="Q14" i="34" s="1"/>
  <c r="Q15" i="34" s="1"/>
  <c r="Q16" i="34" s="1"/>
  <c r="Q17" i="34" s="1"/>
  <c r="Q18" i="34" s="1"/>
  <c r="Q19" i="34" s="1"/>
  <c r="Q20" i="34" s="1"/>
  <c r="Q21" i="34" s="1"/>
  <c r="Q22" i="34" s="1"/>
  <c r="Q23" i="34" s="1"/>
  <c r="Q24" i="34" s="1"/>
  <c r="Q25" i="34" s="1"/>
  <c r="Q26" i="34" s="1"/>
  <c r="Q27" i="34" s="1"/>
  <c r="Q28" i="34" s="1"/>
  <c r="Q29" i="34" s="1"/>
  <c r="Q30" i="34" s="1"/>
  <c r="Q31" i="34" s="1"/>
  <c r="Q32" i="34" s="1"/>
  <c r="Q33" i="34" s="1"/>
  <c r="Q34" i="34" s="1"/>
  <c r="Q35" i="34" s="1"/>
  <c r="Q36" i="34" s="1"/>
  <c r="Q37" i="34" s="1"/>
  <c r="Q38" i="34" s="1"/>
  <c r="Q39" i="34" s="1"/>
  <c r="Q40" i="34" s="1"/>
  <c r="Q41" i="34" s="1"/>
  <c r="Q42" i="34" s="1"/>
  <c r="Q43" i="34" s="1"/>
  <c r="Q44" i="34" s="1"/>
  <c r="Q45" i="34" s="1"/>
  <c r="Q46" i="34" s="1"/>
  <c r="Q47" i="34" s="1"/>
  <c r="Q48" i="34" s="1"/>
  <c r="Q49" i="34" s="1"/>
  <c r="Q50" i="34" s="1"/>
  <c r="Q51" i="34" s="1"/>
  <c r="Q52" i="34" s="1"/>
  <c r="Q53" i="34" s="1"/>
  <c r="N121" i="34"/>
  <c r="AA41" i="33"/>
  <c r="AG58" i="33"/>
  <c r="M71" i="34"/>
  <c r="M70" i="34"/>
  <c r="AA98" i="33"/>
  <c r="M36" i="34"/>
  <c r="M35" i="34"/>
  <c r="BU59" i="36" a="1"/>
  <c r="FM59" i="36" a="1"/>
  <c r="AO58" i="33"/>
  <c r="AO59" i="33" s="1"/>
  <c r="AO60" i="33" s="1"/>
  <c r="AO61" i="33" s="1"/>
  <c r="AO62" i="33" s="1"/>
  <c r="AO63" i="33" s="1"/>
  <c r="AO64" i="33" s="1"/>
  <c r="AO65" i="33" s="1"/>
  <c r="AO66" i="33" s="1"/>
  <c r="AO67" i="33" s="1"/>
  <c r="AO68" i="33" s="1"/>
  <c r="AO69" i="33" s="1"/>
  <c r="AO70" i="33" s="1"/>
  <c r="AO71" i="33" s="1"/>
  <c r="AO72" i="33" s="1"/>
  <c r="AO73" i="33" s="1"/>
  <c r="M62" i="34"/>
  <c r="M61" i="34"/>
  <c r="M103" i="34"/>
  <c r="AG57" i="33"/>
  <c r="M44" i="34"/>
  <c r="AG9" i="33"/>
  <c r="M101" i="34"/>
  <c r="M100" i="34"/>
  <c r="M107" i="34"/>
  <c r="EX66" i="36"/>
  <c r="V13" i="39" s="1"/>
  <c r="EX72" i="36"/>
  <c r="V19" i="39" s="1"/>
  <c r="EX70" i="36"/>
  <c r="V17" i="39" s="1"/>
  <c r="EX65" i="36"/>
  <c r="V12" i="39" s="1"/>
  <c r="EX64" i="36"/>
  <c r="V11" i="39" s="1"/>
  <c r="EX63" i="36"/>
  <c r="V10" i="39" s="1"/>
  <c r="EX71" i="36"/>
  <c r="V18" i="39" s="1"/>
  <c r="EX62" i="36"/>
  <c r="V9" i="39" s="1"/>
  <c r="EX69" i="36"/>
  <c r="V16" i="39" s="1"/>
  <c r="EX67" i="36"/>
  <c r="V14" i="39" s="1"/>
  <c r="EX68" i="36"/>
  <c r="V15" i="39" s="1"/>
  <c r="EX61" i="36"/>
  <c r="V8" i="39" s="1"/>
  <c r="EX60" i="36"/>
  <c r="V7" i="39" s="1"/>
  <c r="EX59" i="36"/>
  <c r="V6" i="39" s="1"/>
  <c r="AC51" i="33"/>
  <c r="AG52" i="33" s="1"/>
  <c r="AG60" i="33"/>
  <c r="AG61" i="33" s="1"/>
  <c r="AG62" i="33" s="1"/>
  <c r="AG63" i="33" s="1"/>
  <c r="Q60" i="34"/>
  <c r="Q61" i="34" s="1"/>
  <c r="Q62" i="34" s="1"/>
  <c r="AA54" i="33"/>
  <c r="R9" i="34"/>
  <c r="R10" i="34" s="1"/>
  <c r="R11" i="34" s="1"/>
  <c r="R12" i="34" s="1"/>
  <c r="R13" i="34" s="1"/>
  <c r="R14" i="34" s="1"/>
  <c r="R15" i="34" s="1"/>
  <c r="R16" i="34" s="1"/>
  <c r="R17" i="34" s="1"/>
  <c r="R18" i="34" s="1"/>
  <c r="R19" i="34" s="1"/>
  <c r="R20" i="34" s="1"/>
  <c r="R21" i="34" s="1"/>
  <c r="R22" i="34" s="1"/>
  <c r="R23" i="34" s="1"/>
  <c r="R24" i="34" s="1"/>
  <c r="R25" i="34" s="1"/>
  <c r="R26" i="34" s="1"/>
  <c r="R27" i="34" s="1"/>
  <c r="R28" i="34" s="1"/>
  <c r="R29" i="34" s="1"/>
  <c r="R30" i="34" s="1"/>
  <c r="R31" i="34" s="1"/>
  <c r="R32" i="34" s="1"/>
  <c r="R33" i="34" s="1"/>
  <c r="R34" i="34" s="1"/>
  <c r="R35" i="34" s="1"/>
  <c r="R36" i="34" s="1"/>
  <c r="R37" i="34" s="1"/>
  <c r="R38" i="34" s="1"/>
  <c r="R39" i="34" s="1"/>
  <c r="R40" i="34" s="1"/>
  <c r="R41" i="34" s="1"/>
  <c r="R42" i="34" s="1"/>
  <c r="R43" i="34" s="1"/>
  <c r="R44" i="34" s="1"/>
  <c r="R45" i="34" s="1"/>
  <c r="R46" i="34" s="1"/>
  <c r="R47" i="34" s="1"/>
  <c r="R48" i="34" s="1"/>
  <c r="R49" i="34" s="1"/>
  <c r="R50" i="34" s="1"/>
  <c r="R51" i="34" s="1"/>
  <c r="R52" i="34" s="1"/>
  <c r="R53" i="34" s="1"/>
  <c r="O121" i="34"/>
  <c r="AA65" i="33"/>
  <c r="M99" i="34"/>
  <c r="M98" i="34"/>
  <c r="M68" i="34"/>
  <c r="AG10" i="33"/>
  <c r="AG11" i="33" s="1"/>
  <c r="AG12" i="33" s="1"/>
  <c r="AG13" i="33" s="1"/>
  <c r="AG14" i="33" s="1"/>
  <c r="AG15" i="33" s="1"/>
  <c r="AG16" i="33" s="1"/>
  <c r="AG17" i="33" s="1"/>
  <c r="AG18" i="33" s="1"/>
  <c r="AG19" i="33" s="1"/>
  <c r="M53" i="34"/>
  <c r="M52" i="34"/>
  <c r="AA113" i="33"/>
  <c r="R86" i="34"/>
  <c r="Q79" i="34"/>
  <c r="Q80" i="34" s="1"/>
  <c r="Q81" i="34" s="1"/>
  <c r="Q82" i="34" s="1"/>
  <c r="Q83" i="34" s="1"/>
  <c r="Q84" i="34" s="1"/>
  <c r="Q85" i="34" s="1"/>
  <c r="Q86" i="34" s="1"/>
  <c r="Q87" i="34" s="1"/>
  <c r="Q88" i="34" s="1"/>
  <c r="AG69" i="33"/>
  <c r="AO94" i="33"/>
  <c r="AO95" i="33" s="1"/>
  <c r="AO96" i="33" s="1"/>
  <c r="AO97" i="33" s="1"/>
  <c r="AO98" i="33" s="1"/>
  <c r="AO99" i="33" s="1"/>
  <c r="AO100" i="33" s="1"/>
  <c r="AO101" i="33" s="1"/>
  <c r="AO102" i="33" s="1"/>
  <c r="AO103" i="33" s="1"/>
  <c r="AO104" i="33" s="1"/>
  <c r="AO105" i="33" s="1"/>
  <c r="AO106" i="33" s="1"/>
  <c r="AO107" i="33" s="1"/>
  <c r="AO108" i="33" s="1"/>
  <c r="AO109" i="33" s="1"/>
  <c r="AO110" i="33" s="1"/>
  <c r="AO111" i="33" s="1"/>
  <c r="AO112" i="33" s="1"/>
  <c r="AO113" i="33" s="1"/>
  <c r="AO114" i="33" s="1"/>
  <c r="AO115" i="33" s="1"/>
  <c r="M57" i="34"/>
  <c r="M56" i="34"/>
  <c r="P56" i="34" s="1"/>
  <c r="M90" i="34"/>
  <c r="P90" i="34" s="1"/>
  <c r="M91" i="34"/>
  <c r="M74" i="34"/>
  <c r="M73" i="34"/>
  <c r="M18" i="34"/>
  <c r="HU59" i="36" a="1"/>
  <c r="M14" i="34"/>
  <c r="R97" i="34"/>
  <c r="R98" i="34" s="1"/>
  <c r="R99" i="34" s="1"/>
  <c r="R100" i="34" s="1"/>
  <c r="R101" i="34" s="1"/>
  <c r="R102" i="34" s="1"/>
  <c r="R103" i="34" s="1"/>
  <c r="R104" i="34" s="1"/>
  <c r="R105" i="34" s="1"/>
  <c r="CP59" i="36" a="1"/>
  <c r="M85" i="34"/>
  <c r="M67" i="34"/>
  <c r="GB59" i="36" a="1"/>
  <c r="AA105" i="33"/>
  <c r="AC115" i="33"/>
  <c r="AH59" i="36" a="1"/>
  <c r="AC58" i="33"/>
  <c r="AG59" i="33" s="1"/>
  <c r="AC91" i="33"/>
  <c r="AG92" i="33" s="1"/>
  <c r="AG93" i="33" s="1"/>
  <c r="AG94" i="33" s="1"/>
  <c r="AG95" i="33" s="1"/>
  <c r="AG96" i="33" s="1"/>
  <c r="AG97" i="33" s="1"/>
  <c r="AG98" i="33" s="1"/>
  <c r="AG99" i="33" s="1"/>
  <c r="AG100" i="33" s="1"/>
  <c r="AG101" i="33" s="1"/>
  <c r="AG102" i="33" s="1"/>
  <c r="AG103" i="33" s="1"/>
  <c r="AO82" i="33"/>
  <c r="AO83" i="33" s="1"/>
  <c r="AO84" i="33" s="1"/>
  <c r="AO85" i="33" s="1"/>
  <c r="AO86" i="33" s="1"/>
  <c r="AO87" i="33" s="1"/>
  <c r="AO89" i="33" s="1"/>
  <c r="M105" i="34"/>
  <c r="AC82" i="33"/>
  <c r="AG83" i="33" s="1"/>
  <c r="AG84" i="33"/>
  <c r="M51" i="34"/>
  <c r="M50" i="34"/>
  <c r="AC103" i="33"/>
  <c r="AG104" i="33" s="1"/>
  <c r="AG105" i="33" s="1"/>
  <c r="AG78" i="33"/>
  <c r="AG79" i="33" s="1"/>
  <c r="AG80" i="33" s="1"/>
  <c r="AG81" i="33" s="1"/>
  <c r="AG82" i="33" s="1"/>
  <c r="AG91" i="33"/>
  <c r="M12" i="34"/>
  <c r="D206" i="37"/>
  <c r="B221" i="37"/>
  <c r="B219" i="37"/>
  <c r="B211" i="37"/>
  <c r="D218" i="37"/>
  <c r="B225" i="37"/>
  <c r="D207" i="37"/>
  <c r="D212" i="37"/>
  <c r="B213" i="37"/>
  <c r="D225" i="37"/>
  <c r="B214" i="37"/>
  <c r="D214" i="37"/>
  <c r="B216" i="37"/>
  <c r="D205" i="37"/>
  <c r="B207" i="37"/>
  <c r="D222" i="37"/>
  <c r="B218" i="37"/>
  <c r="D210" i="37"/>
  <c r="D223" i="37"/>
  <c r="D219" i="37"/>
  <c r="B210" i="37"/>
  <c r="D226" i="37"/>
  <c r="D216" i="37"/>
  <c r="B205" i="37"/>
  <c r="D211" i="37"/>
  <c r="B229" i="37"/>
  <c r="B226" i="37"/>
  <c r="B215" i="37"/>
  <c r="B223" i="37"/>
  <c r="B227" i="37"/>
  <c r="D224" i="37"/>
  <c r="B208" i="37"/>
  <c r="B220" i="37"/>
  <c r="D220" i="37"/>
  <c r="B206" i="37"/>
  <c r="D229" i="37"/>
  <c r="D215" i="37"/>
  <c r="D217" i="37"/>
  <c r="B224" i="37"/>
  <c r="B212" i="37"/>
  <c r="D213" i="37"/>
  <c r="D227" i="37"/>
  <c r="D209" i="37"/>
  <c r="B209" i="37"/>
  <c r="D228" i="37"/>
  <c r="D221" i="37"/>
  <c r="B217" i="37"/>
  <c r="D208" i="37"/>
  <c r="B222" i="37"/>
  <c r="B228" i="37"/>
  <c r="IJ60" i="36"/>
  <c r="K68" i="39" s="1"/>
  <c r="IJ71" i="36"/>
  <c r="K79" i="39" s="1"/>
  <c r="M79" i="39" s="1"/>
  <c r="IJ70" i="36"/>
  <c r="K78" i="39" s="1"/>
  <c r="M78" i="39" s="1"/>
  <c r="IJ63" i="36"/>
  <c r="K71" i="39" s="1"/>
  <c r="M71" i="39" s="1"/>
  <c r="IJ62" i="36"/>
  <c r="K70" i="39" s="1"/>
  <c r="IJ68" i="36"/>
  <c r="K76" i="39" s="1"/>
  <c r="M76" i="39" s="1"/>
  <c r="IJ67" i="36"/>
  <c r="K75" i="39" s="1"/>
  <c r="M75" i="39" s="1"/>
  <c r="IJ72" i="36"/>
  <c r="K80" i="39" s="1"/>
  <c r="IJ66" i="36"/>
  <c r="K74" i="39" s="1"/>
  <c r="M74" i="39" s="1"/>
  <c r="IJ65" i="36"/>
  <c r="K73" i="39" s="1"/>
  <c r="M73" i="39" s="1"/>
  <c r="IJ69" i="36"/>
  <c r="K77" i="39" s="1"/>
  <c r="M77" i="39" s="1"/>
  <c r="IJ59" i="36"/>
  <c r="K65" i="39" s="1"/>
  <c r="IJ64" i="36"/>
  <c r="K72" i="39" s="1"/>
  <c r="M72" i="39" s="1"/>
  <c r="IJ61" i="36"/>
  <c r="K69" i="39" s="1"/>
  <c r="M21" i="34"/>
  <c r="AC72" i="33"/>
  <c r="AG73" i="33" s="1"/>
  <c r="M108" i="34"/>
  <c r="AO9" i="33"/>
  <c r="G228" i="37"/>
  <c r="G226" i="37"/>
  <c r="L215" i="37"/>
  <c r="E228" i="37"/>
  <c r="I228" i="37" s="1"/>
  <c r="G216" i="37"/>
  <c r="G206" i="37"/>
  <c r="L208" i="37"/>
  <c r="L216" i="37"/>
  <c r="G211" i="37"/>
  <c r="L221" i="37"/>
  <c r="G215" i="37"/>
  <c r="G227" i="37"/>
  <c r="E207" i="37"/>
  <c r="E214" i="37"/>
  <c r="G220" i="37"/>
  <c r="L213" i="37"/>
  <c r="L210" i="37"/>
  <c r="L220" i="37"/>
  <c r="G212" i="37"/>
  <c r="G207" i="37"/>
  <c r="E211" i="37"/>
  <c r="I211" i="37" s="1"/>
  <c r="G217" i="37"/>
  <c r="E217" i="37"/>
  <c r="I217" i="37" s="1"/>
  <c r="E220" i="37"/>
  <c r="G222" i="37"/>
  <c r="G208" i="37"/>
  <c r="L207" i="37"/>
  <c r="G221" i="37"/>
  <c r="E226" i="37"/>
  <c r="E221" i="37"/>
  <c r="G205" i="37"/>
  <c r="E212" i="37"/>
  <c r="L214" i="37"/>
  <c r="L211" i="37"/>
  <c r="L212" i="37"/>
  <c r="E205" i="37"/>
  <c r="E206" i="37"/>
  <c r="I206" i="37" s="1"/>
  <c r="E208" i="37"/>
  <c r="L222" i="37"/>
  <c r="L217" i="37"/>
  <c r="L218" i="37"/>
  <c r="L206" i="37"/>
  <c r="L227" i="37"/>
  <c r="G229" i="37"/>
  <c r="L224" i="37"/>
  <c r="E216" i="37"/>
  <c r="G209" i="37"/>
  <c r="L228" i="37"/>
  <c r="E209" i="37"/>
  <c r="E222" i="37"/>
  <c r="I222" i="37" s="1"/>
  <c r="L229" i="37"/>
  <c r="E229" i="37"/>
  <c r="G225" i="37"/>
  <c r="G214" i="37"/>
  <c r="E215" i="37"/>
  <c r="L225" i="37"/>
  <c r="G213" i="37"/>
  <c r="G224" i="37"/>
  <c r="G218" i="37"/>
  <c r="E213" i="37"/>
  <c r="L209" i="37"/>
  <c r="L223" i="37"/>
  <c r="G223" i="37"/>
  <c r="E223" i="37"/>
  <c r="L219" i="37"/>
  <c r="G210" i="37"/>
  <c r="L205" i="37"/>
  <c r="E219" i="37"/>
  <c r="I219" i="37" s="1"/>
  <c r="E225" i="37"/>
  <c r="E227" i="37"/>
  <c r="G219" i="37"/>
  <c r="E218" i="37"/>
  <c r="I218" i="37" s="1"/>
  <c r="E210" i="37"/>
  <c r="I210" i="37" s="1"/>
  <c r="E224" i="37"/>
  <c r="L226" i="37"/>
  <c r="DE60" i="36" l="1"/>
  <c r="S7" i="39" s="1"/>
  <c r="DE62" i="36"/>
  <c r="S9" i="39" s="1"/>
  <c r="DE68" i="36"/>
  <c r="S15" i="39" s="1"/>
  <c r="L25" i="47"/>
  <c r="L26" i="47"/>
  <c r="L27" i="47"/>
  <c r="DT66" i="36"/>
  <c r="T13" i="39" s="1"/>
  <c r="T26" i="39" s="1"/>
  <c r="DE67" i="36"/>
  <c r="S14" i="39" s="1"/>
  <c r="DE61" i="36"/>
  <c r="S8" i="39" s="1"/>
  <c r="DE63" i="36"/>
  <c r="S10" i="39" s="1"/>
  <c r="DE69" i="36"/>
  <c r="S16" i="39" s="1"/>
  <c r="DE64" i="36"/>
  <c r="S11" i="39" s="1"/>
  <c r="Q1" i="47"/>
  <c r="AX1" i="46"/>
  <c r="DE70" i="36"/>
  <c r="S17" i="39" s="1"/>
  <c r="L23" i="47"/>
  <c r="L24" i="47"/>
  <c r="L20" i="47"/>
  <c r="L19" i="47"/>
  <c r="L21" i="47"/>
  <c r="L22" i="47"/>
  <c r="DE71" i="36"/>
  <c r="S18" i="39" s="1"/>
  <c r="DE72" i="36"/>
  <c r="S19" i="39" s="1"/>
  <c r="R121" i="34" a="1"/>
  <c r="R121" i="34" s="1"/>
  <c r="R106" i="34"/>
  <c r="R107" i="34" s="1"/>
  <c r="R108" i="34" s="1"/>
  <c r="R109" i="34" s="1"/>
  <c r="R110" i="34" s="1"/>
  <c r="R111" i="34" s="1"/>
  <c r="R112" i="34" s="1"/>
  <c r="R113" i="34" s="1"/>
  <c r="R114" i="34" s="1"/>
  <c r="R115" i="34" s="1"/>
  <c r="R116" i="34" s="1"/>
  <c r="Q121" i="34" a="1"/>
  <c r="Q121" i="34" s="1"/>
  <c r="Q63" i="34"/>
  <c r="Q64" i="34" s="1"/>
  <c r="Q65" i="34" s="1"/>
  <c r="Q66" i="34" s="1"/>
  <c r="Q67" i="34" s="1"/>
  <c r="Q68" i="34" s="1"/>
  <c r="Q69" i="34" s="1"/>
  <c r="Q70" i="34" s="1"/>
  <c r="Q71" i="34" s="1"/>
  <c r="Q72" i="34" s="1"/>
  <c r="Q73" i="34" s="1"/>
  <c r="Q74" i="34" s="1"/>
  <c r="FM62" i="36"/>
  <c r="J9" i="39" s="1"/>
  <c r="FM61" i="36"/>
  <c r="J8" i="39" s="1"/>
  <c r="FM70" i="36"/>
  <c r="J17" i="39" s="1"/>
  <c r="FM67" i="36"/>
  <c r="J14" i="39" s="1"/>
  <c r="FM66" i="36"/>
  <c r="J13" i="39" s="1"/>
  <c r="FM65" i="36"/>
  <c r="J12" i="39" s="1"/>
  <c r="FM60" i="36"/>
  <c r="J7" i="39" s="1"/>
  <c r="FM72" i="36"/>
  <c r="J19" i="39" s="1"/>
  <c r="FM71" i="36"/>
  <c r="J18" i="39" s="1"/>
  <c r="FM69" i="36"/>
  <c r="J16" i="39" s="1"/>
  <c r="FM68" i="36"/>
  <c r="J15" i="39" s="1"/>
  <c r="FM64" i="36"/>
  <c r="J11" i="39" s="1"/>
  <c r="FM63" i="36"/>
  <c r="J10" i="39" s="1"/>
  <c r="FM59" i="36"/>
  <c r="J6" i="39" s="1"/>
  <c r="AH65" i="36"/>
  <c r="D12" i="39" s="1"/>
  <c r="AH60" i="36"/>
  <c r="D7" i="39" s="1"/>
  <c r="P7" i="39" s="1"/>
  <c r="AH66" i="36"/>
  <c r="D13" i="39" s="1"/>
  <c r="AH64" i="36"/>
  <c r="D11" i="39" s="1"/>
  <c r="AH63" i="36"/>
  <c r="D10" i="39" s="1"/>
  <c r="AH59" i="36"/>
  <c r="D6" i="39" s="1"/>
  <c r="AH62" i="36"/>
  <c r="D9" i="39" s="1"/>
  <c r="P9" i="39" s="1"/>
  <c r="AH61" i="36"/>
  <c r="D8" i="39" s="1"/>
  <c r="I227" i="37"/>
  <c r="I214" i="37"/>
  <c r="I225" i="37"/>
  <c r="I207" i="37"/>
  <c r="P91" i="34"/>
  <c r="P92" i="34" s="1"/>
  <c r="BU63" i="36"/>
  <c r="G10" i="39" s="1"/>
  <c r="BU59" i="36"/>
  <c r="G6" i="39" s="1"/>
  <c r="BU60" i="36"/>
  <c r="G7" i="39" s="1"/>
  <c r="BU70" i="36"/>
  <c r="G17" i="39" s="1"/>
  <c r="K109" i="39" s="1"/>
  <c r="M109" i="39" s="1"/>
  <c r="BU68" i="36"/>
  <c r="G15" i="39" s="1"/>
  <c r="BU61" i="36"/>
  <c r="G8" i="39" s="1"/>
  <c r="BU69" i="36"/>
  <c r="G16" i="39" s="1"/>
  <c r="BU67" i="36"/>
  <c r="G14" i="39" s="1"/>
  <c r="BU66" i="36"/>
  <c r="G13" i="39" s="1"/>
  <c r="BU65" i="36"/>
  <c r="G12" i="39" s="1"/>
  <c r="BU64" i="36"/>
  <c r="G11" i="39" s="1"/>
  <c r="BU62" i="36"/>
  <c r="G9" i="39" s="1"/>
  <c r="AQ65" i="36"/>
  <c r="E12" i="39" s="1"/>
  <c r="AQ70" i="36"/>
  <c r="E17" i="39" s="1"/>
  <c r="P17" i="39" s="1"/>
  <c r="AQ72" i="36"/>
  <c r="E19" i="39" s="1"/>
  <c r="P19" i="39" s="1"/>
  <c r="AQ71" i="36"/>
  <c r="E18" i="39" s="1"/>
  <c r="AQ69" i="36"/>
  <c r="E16" i="39" s="1"/>
  <c r="AQ61" i="36"/>
  <c r="E8" i="39" s="1"/>
  <c r="AQ60" i="36"/>
  <c r="E7" i="39" s="1"/>
  <c r="AQ59" i="36"/>
  <c r="E6" i="39" s="1"/>
  <c r="AQ68" i="36"/>
  <c r="E15" i="39" s="1"/>
  <c r="AQ66" i="36"/>
  <c r="E13" i="39" s="1"/>
  <c r="AQ64" i="36"/>
  <c r="E11" i="39" s="1"/>
  <c r="AQ67" i="36"/>
  <c r="E14" i="39" s="1"/>
  <c r="AQ63" i="36"/>
  <c r="E10" i="39" s="1"/>
  <c r="AQ62" i="36"/>
  <c r="E9" i="39" s="1"/>
  <c r="I209" i="37"/>
  <c r="I224" i="37"/>
  <c r="P57" i="34"/>
  <c r="P58" i="34" s="1"/>
  <c r="I205" i="37"/>
  <c r="GB64" i="36"/>
  <c r="I11" i="39" s="1"/>
  <c r="GB71" i="36"/>
  <c r="I18" i="39" s="1"/>
  <c r="GB70" i="36"/>
  <c r="I17" i="39" s="1"/>
  <c r="GB69" i="36"/>
  <c r="I16" i="39" s="1"/>
  <c r="GB68" i="36"/>
  <c r="I15" i="39" s="1"/>
  <c r="GB65" i="36"/>
  <c r="I12" i="39" s="1"/>
  <c r="GB62" i="36"/>
  <c r="I9" i="39" s="1"/>
  <c r="GB61" i="36"/>
  <c r="I8" i="39" s="1"/>
  <c r="GB72" i="36"/>
  <c r="I19" i="39" s="1"/>
  <c r="GB67" i="36"/>
  <c r="I14" i="39" s="1"/>
  <c r="GB63" i="36"/>
  <c r="I10" i="39" s="1"/>
  <c r="GB60" i="36"/>
  <c r="I7" i="39" s="1"/>
  <c r="GB59" i="36"/>
  <c r="I6" i="39" s="1"/>
  <c r="GB66" i="36"/>
  <c r="I13" i="39" s="1"/>
  <c r="I212" i="37"/>
  <c r="I221" i="37"/>
  <c r="CH61" i="36"/>
  <c r="CH60" i="36"/>
  <c r="CH65" i="36"/>
  <c r="CH64" i="36"/>
  <c r="CH63" i="36"/>
  <c r="CH62" i="36"/>
  <c r="CH59" i="36"/>
  <c r="P9" i="34"/>
  <c r="M121" i="34"/>
  <c r="L235" i="37"/>
  <c r="U24" i="39" s="1"/>
  <c r="U26" i="39" s="1"/>
  <c r="I213" i="37"/>
  <c r="U41" i="39"/>
  <c r="GQ60" i="36"/>
  <c r="K7" i="39" s="1"/>
  <c r="GQ59" i="36"/>
  <c r="K6" i="39" s="1"/>
  <c r="GQ71" i="36"/>
  <c r="K18" i="39" s="1"/>
  <c r="GQ62" i="36"/>
  <c r="K9" i="39" s="1"/>
  <c r="GQ61" i="36"/>
  <c r="K8" i="39" s="1"/>
  <c r="GQ67" i="36"/>
  <c r="K14" i="39" s="1"/>
  <c r="GQ64" i="36"/>
  <c r="K11" i="39" s="1"/>
  <c r="GQ63" i="36"/>
  <c r="K10" i="39" s="1"/>
  <c r="GQ66" i="36"/>
  <c r="K13" i="39" s="1"/>
  <c r="GQ65" i="36"/>
  <c r="K12" i="39" s="1"/>
  <c r="GQ72" i="36"/>
  <c r="K19" i="39" s="1"/>
  <c r="GQ70" i="36"/>
  <c r="K17" i="39" s="1"/>
  <c r="GQ69" i="36"/>
  <c r="K16" i="39" s="1"/>
  <c r="GQ68" i="36"/>
  <c r="K15" i="39" s="1"/>
  <c r="I215" i="37"/>
  <c r="P10" i="34"/>
  <c r="P11" i="34" s="1"/>
  <c r="CP70" i="36"/>
  <c r="H17" i="39" s="1"/>
  <c r="CP69" i="36"/>
  <c r="H16" i="39" s="1"/>
  <c r="CP67" i="36"/>
  <c r="H14" i="39" s="1"/>
  <c r="CP71" i="36"/>
  <c r="H18" i="39" s="1"/>
  <c r="CP61" i="36"/>
  <c r="H8" i="39" s="1"/>
  <c r="CP60" i="36"/>
  <c r="H7" i="39" s="1"/>
  <c r="CP65" i="36"/>
  <c r="H12" i="39" s="1"/>
  <c r="CP64" i="36"/>
  <c r="H11" i="39" s="1"/>
  <c r="CP72" i="36"/>
  <c r="H19" i="39" s="1"/>
  <c r="CP68" i="36"/>
  <c r="H15" i="39" s="1"/>
  <c r="CP63" i="36"/>
  <c r="H10" i="39" s="1"/>
  <c r="CP62" i="36"/>
  <c r="H9" i="39" s="1"/>
  <c r="CP59" i="36"/>
  <c r="H6" i="39" s="1"/>
  <c r="CP66" i="36"/>
  <c r="H13" i="39" s="1"/>
  <c r="BF61" i="36"/>
  <c r="F8" i="39" s="1"/>
  <c r="BF60" i="36"/>
  <c r="F7" i="39" s="1"/>
  <c r="BF72" i="36"/>
  <c r="F19" i="39" s="1"/>
  <c r="BF71" i="36"/>
  <c r="F18" i="39" s="1"/>
  <c r="BF70" i="36"/>
  <c r="F17" i="39" s="1"/>
  <c r="BF64" i="36"/>
  <c r="F11" i="39" s="1"/>
  <c r="BF68" i="36"/>
  <c r="F15" i="39" s="1"/>
  <c r="BF65" i="36"/>
  <c r="F12" i="39" s="1"/>
  <c r="BF63" i="36"/>
  <c r="F10" i="39" s="1"/>
  <c r="BF62" i="36"/>
  <c r="F9" i="39" s="1"/>
  <c r="BF59" i="36"/>
  <c r="F6" i="39" s="1"/>
  <c r="BF66" i="36"/>
  <c r="F13" i="39" s="1"/>
  <c r="BF69" i="36"/>
  <c r="F16" i="39" s="1"/>
  <c r="BF67" i="36"/>
  <c r="F14" i="39" s="1"/>
  <c r="P79" i="34"/>
  <c r="P80" i="34" s="1"/>
  <c r="P81" i="34" s="1"/>
  <c r="P82" i="34" s="1"/>
  <c r="P83" i="34" s="1"/>
  <c r="P84" i="34" s="1"/>
  <c r="P85" i="34" s="1"/>
  <c r="P86" i="34" s="1"/>
  <c r="P87" i="34" s="1"/>
  <c r="P88" i="34" s="1"/>
  <c r="I223" i="37"/>
  <c r="HU61" i="36"/>
  <c r="M8" i="39" s="1"/>
  <c r="HU59" i="36"/>
  <c r="M6" i="39" s="1"/>
  <c r="HU72" i="36"/>
  <c r="M19" i="39" s="1"/>
  <c r="HU63" i="36"/>
  <c r="M10" i="39" s="1"/>
  <c r="HU62" i="36"/>
  <c r="M9" i="39" s="1"/>
  <c r="HU60" i="36"/>
  <c r="M7" i="39" s="1"/>
  <c r="HU64" i="36"/>
  <c r="M11" i="39" s="1"/>
  <c r="HU70" i="36"/>
  <c r="M17" i="39" s="1"/>
  <c r="HU71" i="36"/>
  <c r="M18" i="39" s="1"/>
  <c r="HU69" i="36"/>
  <c r="M16" i="39" s="1"/>
  <c r="HU68" i="36"/>
  <c r="M15" i="39" s="1"/>
  <c r="HU67" i="36"/>
  <c r="M14" i="39" s="1"/>
  <c r="HU65" i="36"/>
  <c r="M12" i="39" s="1"/>
  <c r="HU66" i="36"/>
  <c r="M13" i="39" s="1"/>
  <c r="I208" i="37"/>
  <c r="P12" i="34"/>
  <c r="P13" i="34" s="1"/>
  <c r="P14" i="34" s="1"/>
  <c r="P15" i="34" s="1"/>
  <c r="P16" i="34" s="1"/>
  <c r="P17" i="34" s="1"/>
  <c r="P18" i="34" s="1"/>
  <c r="P19" i="34" s="1"/>
  <c r="P20" i="34" s="1"/>
  <c r="P21" i="34" s="1"/>
  <c r="P22" i="34" s="1"/>
  <c r="P23" i="34" s="1"/>
  <c r="P24" i="34" s="1"/>
  <c r="P25" i="34" s="1"/>
  <c r="P26" i="34" s="1"/>
  <c r="P27" i="34" s="1"/>
  <c r="P28" i="34" s="1"/>
  <c r="P29" i="34" s="1"/>
  <c r="P30" i="34" s="1"/>
  <c r="P31" i="34" s="1"/>
  <c r="P32" i="34" s="1"/>
  <c r="P33" i="34" s="1"/>
  <c r="P34" i="34" s="1"/>
  <c r="P35" i="34" s="1"/>
  <c r="P36" i="34" s="1"/>
  <c r="P37" i="34" s="1"/>
  <c r="P38" i="34" s="1"/>
  <c r="P39" i="34" s="1"/>
  <c r="P40" i="34" s="1"/>
  <c r="P41" i="34" s="1"/>
  <c r="P42" i="34" s="1"/>
  <c r="P43" i="34" s="1"/>
  <c r="P44" i="34" s="1"/>
  <c r="P45" i="34" s="1"/>
  <c r="P46" i="34" s="1"/>
  <c r="P47" i="34" s="1"/>
  <c r="P48" i="34" s="1"/>
  <c r="P49" i="34" s="1"/>
  <c r="P50" i="34" s="1"/>
  <c r="P51" i="34" s="1"/>
  <c r="P52" i="34" s="1"/>
  <c r="P53" i="34" s="1"/>
  <c r="P59" i="34"/>
  <c r="P60" i="34" s="1"/>
  <c r="P61" i="34" s="1"/>
  <c r="P62" i="34" s="1"/>
  <c r="I226" i="37"/>
  <c r="I216" i="37"/>
  <c r="V26" i="39"/>
  <c r="L26" i="39"/>
  <c r="I229" i="37"/>
  <c r="I220" i="37"/>
  <c r="P93" i="34"/>
  <c r="P94" i="34" s="1"/>
  <c r="P95" i="34" s="1"/>
  <c r="P96" i="34" s="1"/>
  <c r="P97" i="34" s="1"/>
  <c r="P98" i="34" s="1"/>
  <c r="P99" i="34" s="1"/>
  <c r="P100" i="34" s="1"/>
  <c r="P101" i="34" s="1"/>
  <c r="P102" i="34" s="1"/>
  <c r="P103" i="34" s="1"/>
  <c r="P104" i="34" s="1"/>
  <c r="P105" i="34" s="1"/>
  <c r="P106" i="34" s="1"/>
  <c r="P107" i="34" s="1"/>
  <c r="P108" i="34" s="1"/>
  <c r="P109" i="34" s="1"/>
  <c r="P110" i="34" s="1"/>
  <c r="P111" i="34" s="1"/>
  <c r="P112" i="34" s="1"/>
  <c r="P113" i="34" s="1"/>
  <c r="P114" i="34" s="1"/>
  <c r="P115" i="34" s="1"/>
  <c r="P116" i="34" s="1"/>
  <c r="W26" i="39"/>
  <c r="S26" i="39" l="1"/>
  <c r="Q26" i="47"/>
  <c r="Q27" i="47"/>
  <c r="Q25" i="47"/>
  <c r="N27" i="47"/>
  <c r="P27" i="47" s="1"/>
  <c r="M27" i="47"/>
  <c r="O27" i="47" s="1"/>
  <c r="N26" i="47"/>
  <c r="P26" i="47" s="1"/>
  <c r="M26" i="47"/>
  <c r="O26" i="47" s="1"/>
  <c r="N25" i="47"/>
  <c r="P25" i="47" s="1"/>
  <c r="M25" i="47"/>
  <c r="O25" i="47" s="1"/>
  <c r="M21" i="47"/>
  <c r="O21" i="47" s="1"/>
  <c r="N21" i="47"/>
  <c r="P21" i="47" s="1"/>
  <c r="N24" i="47"/>
  <c r="P24" i="47" s="1"/>
  <c r="M24" i="47"/>
  <c r="O24" i="47" s="1"/>
  <c r="V1" i="47"/>
  <c r="AY1" i="46"/>
  <c r="U27" i="39"/>
  <c r="N22" i="47"/>
  <c r="P22" i="47" s="1"/>
  <c r="M22" i="47"/>
  <c r="O22" i="47" s="1"/>
  <c r="N19" i="47"/>
  <c r="P19" i="47" s="1"/>
  <c r="M19" i="47"/>
  <c r="O19" i="47" s="1"/>
  <c r="N20" i="47"/>
  <c r="P20" i="47" s="1"/>
  <c r="M20" i="47"/>
  <c r="O20" i="47" s="1"/>
  <c r="N23" i="47"/>
  <c r="P23" i="47" s="1"/>
  <c r="M23" i="47"/>
  <c r="O23" i="47" s="1"/>
  <c r="Q24" i="47"/>
  <c r="Q23" i="47"/>
  <c r="Q21" i="47"/>
  <c r="Q19" i="47"/>
  <c r="Q20" i="47"/>
  <c r="Q22" i="47"/>
  <c r="P121" i="34" a="1"/>
  <c r="P121" i="34" s="1"/>
  <c r="P63" i="34"/>
  <c r="P64" i="34" s="1"/>
  <c r="P65" i="34" s="1"/>
  <c r="P66" i="34" s="1"/>
  <c r="P67" i="34" s="1"/>
  <c r="P68" i="34" s="1"/>
  <c r="P69" i="34" s="1"/>
  <c r="P70" i="34" s="1"/>
  <c r="P71" i="34" s="1"/>
  <c r="P72" i="34" s="1"/>
  <c r="P73" i="34" s="1"/>
  <c r="P74" i="34" s="1"/>
  <c r="P11" i="39"/>
  <c r="P12" i="39"/>
  <c r="J26" i="39"/>
  <c r="P10" i="39"/>
  <c r="P14" i="39"/>
  <c r="V27" i="39"/>
  <c r="P8" i="39"/>
  <c r="F26" i="39"/>
  <c r="P13" i="39"/>
  <c r="W27" i="39"/>
  <c r="K113" i="39"/>
  <c r="M113" i="39" s="1"/>
  <c r="T27" i="39"/>
  <c r="G42" i="39"/>
  <c r="P15" i="39"/>
  <c r="K26" i="39"/>
  <c r="E26" i="39"/>
  <c r="W29" i="39"/>
  <c r="H39" i="39"/>
  <c r="G43" i="39" s="1"/>
  <c r="K111" i="39" s="1"/>
  <c r="D55" i="25" s="1"/>
  <c r="S27" i="39"/>
  <c r="D26" i="39"/>
  <c r="P6" i="39"/>
  <c r="H26" i="39"/>
  <c r="P16" i="39"/>
  <c r="G26" i="39"/>
  <c r="I26" i="39"/>
  <c r="M26" i="39"/>
  <c r="P18" i="39"/>
  <c r="S25" i="47" l="1"/>
  <c r="U25" i="47" s="1"/>
  <c r="R25" i="47"/>
  <c r="T25" i="47" s="1"/>
  <c r="V25" i="47"/>
  <c r="V26" i="47"/>
  <c r="V27" i="47"/>
  <c r="R27" i="47"/>
  <c r="T27" i="47" s="1"/>
  <c r="S27" i="47"/>
  <c r="U27" i="47" s="1"/>
  <c r="R26" i="47"/>
  <c r="T26" i="47" s="1"/>
  <c r="S26" i="47"/>
  <c r="U26" i="47" s="1"/>
  <c r="O17" i="47"/>
  <c r="AP1" i="47"/>
  <c r="AZ1" i="46"/>
  <c r="R22" i="47"/>
  <c r="T22" i="47" s="1"/>
  <c r="S22" i="47"/>
  <c r="U22" i="47" s="1"/>
  <c r="S20" i="47"/>
  <c r="U20" i="47" s="1"/>
  <c r="R20" i="47"/>
  <c r="T20" i="47" s="1"/>
  <c r="R21" i="47"/>
  <c r="T21" i="47" s="1"/>
  <c r="S21" i="47"/>
  <c r="U21" i="47" s="1"/>
  <c r="S24" i="47"/>
  <c r="U24" i="47" s="1"/>
  <c r="R24" i="47"/>
  <c r="T24" i="47" s="1"/>
  <c r="P17" i="47"/>
  <c r="V23" i="47"/>
  <c r="V20" i="47"/>
  <c r="V24" i="47"/>
  <c r="V21" i="47"/>
  <c r="V19" i="47"/>
  <c r="V22" i="47"/>
  <c r="S19" i="47"/>
  <c r="U19" i="47" s="1"/>
  <c r="R19" i="47"/>
  <c r="T19" i="47" s="1"/>
  <c r="S23" i="47"/>
  <c r="U23" i="47" s="1"/>
  <c r="R23" i="47"/>
  <c r="T23" i="47" s="1"/>
  <c r="K110" i="39"/>
  <c r="M110" i="39" s="1"/>
  <c r="G45" i="39"/>
  <c r="U38" i="39"/>
  <c r="W31" i="39"/>
  <c r="U39" i="39"/>
  <c r="U40" i="39"/>
  <c r="P26" i="39"/>
  <c r="I27" i="39" s="1"/>
  <c r="Q16" i="39"/>
  <c r="AP26" i="47" l="1"/>
  <c r="AP27" i="47"/>
  <c r="AP25" i="47"/>
  <c r="X25" i="47"/>
  <c r="Z25" i="47" s="1"/>
  <c r="W25" i="47"/>
  <c r="Y25" i="47" s="1"/>
  <c r="X27" i="47"/>
  <c r="Z27" i="47" s="1"/>
  <c r="W27" i="47"/>
  <c r="Y27" i="47" s="1"/>
  <c r="X26" i="47"/>
  <c r="Z26" i="47" s="1"/>
  <c r="W26" i="47"/>
  <c r="Y26" i="47" s="1"/>
  <c r="X22" i="47"/>
  <c r="Z22" i="47" s="1"/>
  <c r="W22" i="47"/>
  <c r="Y22" i="47" s="1"/>
  <c r="U17" i="47"/>
  <c r="T17" i="47"/>
  <c r="W21" i="47"/>
  <c r="Y21" i="47" s="1"/>
  <c r="X21" i="47"/>
  <c r="Z21" i="47" s="1"/>
  <c r="W23" i="47"/>
  <c r="Y23" i="47" s="1"/>
  <c r="X23" i="47"/>
  <c r="Z23" i="47" s="1"/>
  <c r="AF1" i="47"/>
  <c r="BA1" i="46"/>
  <c r="AP23" i="47"/>
  <c r="AP20" i="47"/>
  <c r="AP24" i="47"/>
  <c r="AP21" i="47"/>
  <c r="AP19" i="47"/>
  <c r="AP22" i="47"/>
  <c r="X19" i="47"/>
  <c r="Z19" i="47" s="1"/>
  <c r="W19" i="47"/>
  <c r="Y19" i="47" s="1"/>
  <c r="X24" i="47"/>
  <c r="Z24" i="47" s="1"/>
  <c r="W24" i="47"/>
  <c r="Y24" i="47" s="1"/>
  <c r="X20" i="47"/>
  <c r="Z20" i="47" s="1"/>
  <c r="W20" i="47"/>
  <c r="Y20" i="47" s="1"/>
  <c r="Q6" i="39"/>
  <c r="R6" i="39" s="1"/>
  <c r="U42" i="39"/>
  <c r="V41" i="39" s="1"/>
  <c r="V38" i="39"/>
  <c r="O27" i="39"/>
  <c r="N27" i="39"/>
  <c r="L27" i="39"/>
  <c r="Q17" i="39"/>
  <c r="Q9" i="39"/>
  <c r="Q19" i="39"/>
  <c r="Q7" i="39"/>
  <c r="R7" i="39" s="1"/>
  <c r="G27" i="39"/>
  <c r="M27" i="39"/>
  <c r="E27" i="39"/>
  <c r="V40" i="39"/>
  <c r="Q12" i="39"/>
  <c r="F27" i="39"/>
  <c r="D27" i="39"/>
  <c r="K27" i="39"/>
  <c r="Q11" i="39"/>
  <c r="Q13" i="39"/>
  <c r="Q8" i="39"/>
  <c r="R8" i="39" s="1"/>
  <c r="J27" i="39"/>
  <c r="Q18" i="39"/>
  <c r="Q14" i="39"/>
  <c r="H27" i="39"/>
  <c r="Q10" i="39"/>
  <c r="Q15" i="39"/>
  <c r="AF25" i="47" l="1"/>
  <c r="AF27" i="47"/>
  <c r="AF26" i="47"/>
  <c r="AS25" i="47"/>
  <c r="AR25" i="47"/>
  <c r="AT25" i="47" s="1"/>
  <c r="AR27" i="47"/>
  <c r="AS27" i="47"/>
  <c r="AT27" i="47"/>
  <c r="AS26" i="47"/>
  <c r="AR26" i="47"/>
  <c r="AT26" i="47" s="1"/>
  <c r="Z17" i="47"/>
  <c r="Y17" i="47"/>
  <c r="AS19" i="47"/>
  <c r="AR19" i="47"/>
  <c r="AT19" i="47" s="1"/>
  <c r="AS24" i="47"/>
  <c r="AR24" i="47"/>
  <c r="AT24" i="47" s="1"/>
  <c r="AS20" i="47"/>
  <c r="AR20" i="47"/>
  <c r="AT20" i="47" s="1"/>
  <c r="AK1" i="47"/>
  <c r="BB1" i="46"/>
  <c r="BC1" i="46" s="1"/>
  <c r="AS22" i="47"/>
  <c r="AR22" i="47"/>
  <c r="AT22" i="47" s="1"/>
  <c r="AS23" i="47"/>
  <c r="AR23" i="47"/>
  <c r="AT23" i="47" s="1"/>
  <c r="AR21" i="47"/>
  <c r="AT21" i="47" s="1"/>
  <c r="AS21" i="47"/>
  <c r="AF23" i="47"/>
  <c r="AF19" i="47"/>
  <c r="AF24" i="47"/>
  <c r="AF21" i="47"/>
  <c r="AF20" i="47"/>
  <c r="AF22" i="47"/>
  <c r="R9" i="39"/>
  <c r="R10" i="39" s="1"/>
  <c r="R11" i="39" s="1"/>
  <c r="R12" i="39" s="1"/>
  <c r="R13" i="39" s="1"/>
  <c r="R14" i="39" s="1"/>
  <c r="R15" i="39" s="1"/>
  <c r="R16" i="39" s="1"/>
  <c r="R17" i="39" s="1"/>
  <c r="R18" i="39" s="1"/>
  <c r="R19" i="39" s="1"/>
  <c r="W38" i="39"/>
  <c r="V39" i="39"/>
  <c r="W39" i="39" s="1"/>
  <c r="W40" i="39" s="1"/>
  <c r="W41" i="39" s="1"/>
  <c r="P27" i="39"/>
  <c r="AH26" i="47" l="1"/>
  <c r="AJ26" i="47" s="1"/>
  <c r="AI26" i="47"/>
  <c r="AK26" i="47"/>
  <c r="AK25" i="47"/>
  <c r="AK27" i="47"/>
  <c r="AI27" i="47"/>
  <c r="AH27" i="47"/>
  <c r="AJ27" i="47" s="1"/>
  <c r="AH25" i="47"/>
  <c r="AJ25" i="47" s="1"/>
  <c r="AI25" i="47"/>
  <c r="AT17" i="47"/>
  <c r="AI21" i="47"/>
  <c r="AH21" i="47"/>
  <c r="AJ21" i="47" s="1"/>
  <c r="AU1" i="47"/>
  <c r="BD1" i="46"/>
  <c r="AK20" i="47"/>
  <c r="AK21" i="47"/>
  <c r="AK23" i="47"/>
  <c r="AK24" i="47"/>
  <c r="AK19" i="47"/>
  <c r="AK22" i="47"/>
  <c r="AS17" i="47"/>
  <c r="AI24" i="47"/>
  <c r="AH24" i="47"/>
  <c r="AJ24" i="47" s="1"/>
  <c r="AI22" i="47"/>
  <c r="AH22" i="47"/>
  <c r="AJ22" i="47" s="1"/>
  <c r="AI19" i="47"/>
  <c r="AH19" i="47"/>
  <c r="AJ19" i="47" s="1"/>
  <c r="AI23" i="47"/>
  <c r="AH23" i="47"/>
  <c r="AJ23" i="47" s="1"/>
  <c r="AI20" i="47"/>
  <c r="AH20" i="47"/>
  <c r="AJ20" i="47" s="1"/>
  <c r="V42" i="39"/>
  <c r="AM25" i="47" l="1"/>
  <c r="AO25" i="47" s="1"/>
  <c r="AN25" i="47"/>
  <c r="AU25" i="47"/>
  <c r="AU26" i="47"/>
  <c r="AU27" i="47"/>
  <c r="AN27" i="47"/>
  <c r="AM27" i="47"/>
  <c r="AO27" i="47" s="1"/>
  <c r="AM26" i="47"/>
  <c r="AO26" i="47" s="1"/>
  <c r="AN26" i="47"/>
  <c r="AJ17" i="47"/>
  <c r="AI17" i="47"/>
  <c r="AN22" i="47"/>
  <c r="AM22" i="47"/>
  <c r="AO22" i="47" s="1"/>
  <c r="AN24" i="47"/>
  <c r="AM24" i="47"/>
  <c r="AO24" i="47" s="1"/>
  <c r="AN20" i="47"/>
  <c r="AM20" i="47"/>
  <c r="AO20" i="47" s="1"/>
  <c r="BE1" i="46"/>
  <c r="AZ1" i="47"/>
  <c r="AU23" i="47"/>
  <c r="AU20" i="47"/>
  <c r="AU24" i="47"/>
  <c r="AU21" i="47"/>
  <c r="AU19" i="47"/>
  <c r="AU22" i="47"/>
  <c r="AN21" i="47"/>
  <c r="AM21" i="47"/>
  <c r="AO21" i="47" s="1"/>
  <c r="AN19" i="47"/>
  <c r="AM19" i="47"/>
  <c r="AO19" i="47" s="1"/>
  <c r="AM23" i="47"/>
  <c r="AO23" i="47" s="1"/>
  <c r="AN23" i="47"/>
  <c r="AX27" i="47" l="1"/>
  <c r="AW27" i="47"/>
  <c r="AY27" i="47" s="1"/>
  <c r="AX25" i="47"/>
  <c r="AW25" i="47"/>
  <c r="AY25" i="47" s="1"/>
  <c r="AZ26" i="47"/>
  <c r="AZ25" i="47"/>
  <c r="AZ27" i="47"/>
  <c r="AX26" i="47"/>
  <c r="AW26" i="47"/>
  <c r="AY26" i="47" s="1"/>
  <c r="AO17" i="47"/>
  <c r="AN17" i="47"/>
  <c r="AX22" i="47"/>
  <c r="AW22" i="47"/>
  <c r="AY22" i="47" s="1"/>
  <c r="AX19" i="47"/>
  <c r="AW19" i="47"/>
  <c r="AY19" i="47" s="1"/>
  <c r="AW21" i="47"/>
  <c r="AY21" i="47" s="1"/>
  <c r="AX21" i="47"/>
  <c r="AX24" i="47"/>
  <c r="AW24" i="47"/>
  <c r="AY24" i="47" s="1"/>
  <c r="BF1" i="46"/>
  <c r="BE1" i="47"/>
  <c r="AX23" i="47"/>
  <c r="AW23" i="47"/>
  <c r="AY23" i="47" s="1"/>
  <c r="AW20" i="47"/>
  <c r="AY20" i="47" s="1"/>
  <c r="AX20" i="47"/>
  <c r="AZ23" i="47"/>
  <c r="AZ20" i="47"/>
  <c r="AZ24" i="47"/>
  <c r="AZ21" i="47"/>
  <c r="AZ19" i="47"/>
  <c r="AZ22" i="47"/>
  <c r="BE25" i="47" l="1"/>
  <c r="BE26" i="47"/>
  <c r="BE27" i="47"/>
  <c r="BB27" i="47"/>
  <c r="BD27" i="47" s="1"/>
  <c r="BC27" i="47"/>
  <c r="BB25" i="47"/>
  <c r="BD25" i="47" s="1"/>
  <c r="BC25" i="47"/>
  <c r="BC26" i="47"/>
  <c r="BB26" i="47"/>
  <c r="BD26" i="47" s="1"/>
  <c r="AY17" i="47"/>
  <c r="L6" i="47" s="1"/>
  <c r="BB23" i="47"/>
  <c r="BD23" i="47" s="1"/>
  <c r="BC23" i="47"/>
  <c r="BB20" i="47"/>
  <c r="BC20" i="47"/>
  <c r="BD20" i="47"/>
  <c r="BC24" i="47"/>
  <c r="BB24" i="47"/>
  <c r="BD24" i="47" s="1"/>
  <c r="BE23" i="47"/>
  <c r="BE24" i="47"/>
  <c r="BE19" i="47"/>
  <c r="BE21" i="47"/>
  <c r="BE20" i="47"/>
  <c r="BE22" i="47"/>
  <c r="BG1" i="46"/>
  <c r="BH1" i="46" s="1"/>
  <c r="BI1" i="46" s="1"/>
  <c r="BJ1" i="46" s="1"/>
  <c r="BK1" i="46" s="1"/>
  <c r="BL1" i="46" s="1"/>
  <c r="BM1" i="46" s="1"/>
  <c r="BN1" i="46" s="1"/>
  <c r="BO1" i="46" s="1"/>
  <c r="BP1" i="46" s="1"/>
  <c r="BQ1" i="46" s="1"/>
  <c r="BR1" i="46" s="1"/>
  <c r="BS1" i="46" s="1"/>
  <c r="BT1" i="46" s="1"/>
  <c r="BU1" i="46" s="1"/>
  <c r="BV1" i="46" s="1"/>
  <c r="BW1" i="46" s="1"/>
  <c r="BX1" i="46" s="1"/>
  <c r="BY1" i="46" s="1"/>
  <c r="BZ1" i="46" s="1"/>
  <c r="CA1" i="46" s="1"/>
  <c r="CB1" i="46" s="1"/>
  <c r="CC1" i="46" s="1"/>
  <c r="CD1" i="46" s="1"/>
  <c r="CE1" i="46" s="1"/>
  <c r="CF1" i="46" s="1"/>
  <c r="CG1" i="46" s="1"/>
  <c r="CH1" i="46" s="1"/>
  <c r="CI1" i="46" s="1"/>
  <c r="CJ1" i="46" s="1"/>
  <c r="CK1" i="46" s="1"/>
  <c r="CL1" i="46" s="1"/>
  <c r="CM1" i="46" s="1"/>
  <c r="CN1" i="46" s="1"/>
  <c r="CO1" i="46" s="1"/>
  <c r="CP1" i="46" s="1"/>
  <c r="CQ1" i="46" s="1"/>
  <c r="CR1" i="46" s="1"/>
  <c r="CS1" i="46" s="1"/>
  <c r="BJ1" i="47"/>
  <c r="BC21" i="47"/>
  <c r="BB21" i="47"/>
  <c r="BD21" i="47" s="1"/>
  <c r="AX17" i="47"/>
  <c r="K6" i="47" s="1"/>
  <c r="BC19" i="47"/>
  <c r="BB19" i="47"/>
  <c r="BD19" i="47" s="1"/>
  <c r="BC22" i="47"/>
  <c r="BB22" i="47"/>
  <c r="BD22" i="47" s="1"/>
  <c r="BG27" i="47" l="1"/>
  <c r="BH27" i="47"/>
  <c r="BI27" i="47"/>
  <c r="BG26" i="47"/>
  <c r="BI26" i="47" s="1"/>
  <c r="BH26" i="47"/>
  <c r="BJ26" i="47"/>
  <c r="BJ27" i="47"/>
  <c r="BJ25" i="47"/>
  <c r="BH25" i="47"/>
  <c r="BG25" i="47"/>
  <c r="BI25" i="47" s="1"/>
  <c r="BD17" i="47"/>
  <c r="L7" i="47" s="1"/>
  <c r="BC17" i="47"/>
  <c r="K7" i="47" s="1"/>
  <c r="BH21" i="47"/>
  <c r="BG21" i="47"/>
  <c r="BI21" i="47" s="1"/>
  <c r="BG19" i="47"/>
  <c r="BI19" i="47" s="1"/>
  <c r="BH19" i="47"/>
  <c r="BJ20" i="47"/>
  <c r="BJ23" i="47"/>
  <c r="BJ24" i="47"/>
  <c r="BJ21" i="47"/>
  <c r="BJ19" i="47"/>
  <c r="BJ22" i="47"/>
  <c r="BH22" i="47"/>
  <c r="BG22" i="47"/>
  <c r="BI22" i="47" s="1"/>
  <c r="BH24" i="47"/>
  <c r="BG24" i="47"/>
  <c r="BI24" i="47" s="1"/>
  <c r="CT1" i="46"/>
  <c r="CU1" i="46" s="1"/>
  <c r="CV1" i="46" s="1"/>
  <c r="CW1" i="46" s="1"/>
  <c r="CX1" i="46" s="1"/>
  <c r="CY1" i="46" s="1"/>
  <c r="CZ1" i="46" s="1"/>
  <c r="DA1" i="46" s="1"/>
  <c r="DB1" i="46" s="1"/>
  <c r="DC1" i="46" s="1"/>
  <c r="DD1" i="46" s="1"/>
  <c r="DE1" i="46" s="1"/>
  <c r="DF1" i="46" s="1"/>
  <c r="DG1" i="46" s="1"/>
  <c r="DH1" i="46" s="1"/>
  <c r="BO1" i="47" s="1"/>
  <c r="BU1" i="47"/>
  <c r="BH20" i="47"/>
  <c r="BG20" i="47"/>
  <c r="BI20" i="47" s="1"/>
  <c r="BH23" i="47"/>
  <c r="BG23" i="47"/>
  <c r="BI23" i="47" s="1"/>
  <c r="BU25" i="47" l="1"/>
  <c r="BU26" i="47"/>
  <c r="BU27" i="47"/>
  <c r="BO25" i="47"/>
  <c r="BO26" i="47"/>
  <c r="BO27" i="47"/>
  <c r="BM25" i="47"/>
  <c r="BL25" i="47"/>
  <c r="BN25" i="47" s="1"/>
  <c r="BM27" i="47"/>
  <c r="BL27" i="47"/>
  <c r="BN27" i="47" s="1"/>
  <c r="BM26" i="47"/>
  <c r="BL26" i="47"/>
  <c r="BN26" i="47" s="1"/>
  <c r="BI17" i="47"/>
  <c r="L8" i="47" s="1"/>
  <c r="D3" i="47" s="1"/>
  <c r="F20" i="45" s="1"/>
  <c r="D41" i="25" s="1"/>
  <c r="BO19" i="47"/>
  <c r="BO21" i="47"/>
  <c r="BO24" i="47"/>
  <c r="BO23" i="47"/>
  <c r="BO20" i="47"/>
  <c r="BO22" i="47"/>
  <c r="BM24" i="47"/>
  <c r="BL24" i="47"/>
  <c r="BN24" i="47" s="1"/>
  <c r="BL22" i="47"/>
  <c r="BN22" i="47" s="1"/>
  <c r="BM22" i="47"/>
  <c r="BH17" i="47"/>
  <c r="K8" i="47" s="1"/>
  <c r="D2" i="47" s="1"/>
  <c r="F19" i="45" s="1"/>
  <c r="D40" i="25" s="1"/>
  <c r="BU23" i="47"/>
  <c r="BU24" i="47"/>
  <c r="BU20" i="47"/>
  <c r="BU21" i="47"/>
  <c r="BU19" i="47"/>
  <c r="BU22" i="47"/>
  <c r="BM21" i="47"/>
  <c r="BL21" i="47"/>
  <c r="BN21" i="47" s="1"/>
  <c r="BL20" i="47"/>
  <c r="BN20" i="47" s="1"/>
  <c r="BM20" i="47"/>
  <c r="BM19" i="47"/>
  <c r="BL19" i="47"/>
  <c r="BN19" i="47" s="1"/>
  <c r="BM23" i="47"/>
  <c r="BL23" i="47"/>
  <c r="BN23" i="47" s="1"/>
  <c r="BR25" i="47" l="1"/>
  <c r="BQ25" i="47"/>
  <c r="BS25" i="47" s="1"/>
  <c r="BW27" i="47"/>
  <c r="BY27" i="47" s="1"/>
  <c r="BX27" i="47"/>
  <c r="BR27" i="47"/>
  <c r="BQ27" i="47"/>
  <c r="BS27" i="47" s="1"/>
  <c r="BX26" i="47"/>
  <c r="BW26" i="47"/>
  <c r="BY26" i="47" s="1"/>
  <c r="BR26" i="47"/>
  <c r="BQ26" i="47"/>
  <c r="BS26" i="47" s="1"/>
  <c r="BW25" i="47"/>
  <c r="BY25" i="47"/>
  <c r="BX25" i="47"/>
  <c r="BM17" i="47"/>
  <c r="K10" i="47" s="1"/>
  <c r="D4" i="47" s="1"/>
  <c r="F21" i="45" s="1"/>
  <c r="D42" i="25" s="1"/>
  <c r="BN17" i="47"/>
  <c r="L10" i="47" s="1"/>
  <c r="D5" i="47" s="1"/>
  <c r="F22" i="45" s="1"/>
  <c r="D43" i="25" s="1"/>
  <c r="BW19" i="47"/>
  <c r="BY19" i="47" s="1"/>
  <c r="BX19" i="47"/>
  <c r="BX24" i="47"/>
  <c r="BW24" i="47"/>
  <c r="BY24" i="47" s="1"/>
  <c r="BR20" i="47"/>
  <c r="BQ20" i="47"/>
  <c r="BS20" i="47" s="1"/>
  <c r="BR22" i="47"/>
  <c r="BQ22" i="47"/>
  <c r="BS22" i="47" s="1"/>
  <c r="BR24" i="47"/>
  <c r="BQ24" i="47"/>
  <c r="BS24" i="47" s="1"/>
  <c r="BR19" i="47"/>
  <c r="BQ19" i="47"/>
  <c r="BS19" i="47" s="1"/>
  <c r="BX22" i="47"/>
  <c r="BW22" i="47"/>
  <c r="BY22" i="47" s="1"/>
  <c r="BX21" i="47"/>
  <c r="BW21" i="47"/>
  <c r="BY21" i="47" s="1"/>
  <c r="BW20" i="47"/>
  <c r="BY20" i="47" s="1"/>
  <c r="BX20" i="47"/>
  <c r="BX23" i="47"/>
  <c r="BW23" i="47"/>
  <c r="BY23" i="47" s="1"/>
  <c r="BR23" i="47"/>
  <c r="BQ23" i="47"/>
  <c r="BS23" i="47" s="1"/>
  <c r="BR21" i="47"/>
  <c r="BQ21" i="47"/>
  <c r="BS21" i="47" s="1"/>
  <c r="BR17" i="47" l="1"/>
  <c r="K11" i="47" s="1"/>
  <c r="D8" i="47" s="1"/>
  <c r="F25" i="45" s="1"/>
  <c r="D46" i="25" s="1"/>
  <c r="BS17" i="47"/>
  <c r="L11" i="47" s="1"/>
  <c r="D7" i="47" s="1"/>
  <c r="F24" i="45" s="1"/>
  <c r="D45" i="25" s="1"/>
  <c r="BY17" i="47"/>
  <c r="L12" i="47" s="1"/>
  <c r="D9" i="47" s="1"/>
  <c r="F26" i="45" s="1"/>
  <c r="D47" i="25" s="1"/>
  <c r="BX17" i="47"/>
  <c r="K12" i="47" s="1"/>
  <c r="D10" i="47" s="1"/>
  <c r="F27" i="45" s="1"/>
  <c r="D48" i="25" s="1"/>
  <c r="D5" i="69" l="1"/>
  <c r="H26" i="68"/>
  <c r="D59" i="25" l="1"/>
  <c r="F5" i="69"/>
  <c r="P11" i="35"/>
  <c r="O11" i="3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Thiago Santana Silva</author>
  </authors>
  <commentList>
    <comment ref="R1" authorId="0" shapeId="0" xr:uid="{3EBA6A4A-6DC6-4F51-8655-A154C5B9BB83}">
      <text>
        <r>
          <rPr>
            <b/>
            <sz val="9"/>
            <color indexed="81"/>
            <rFont val="Segoe UI"/>
            <family val="2"/>
          </rPr>
          <t>AGRUPANDO AS REGIÕES É POSSIVEL DETERMINAR OS ITENS DO MODELO 5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S1" authorId="0" shapeId="0" xr:uid="{0D400407-B9B3-46FE-80FE-833421CA05FA}">
      <text>
        <r>
          <rPr>
            <b/>
            <sz val="9"/>
            <color indexed="81"/>
            <rFont val="Segoe UI"/>
            <family val="2"/>
          </rPr>
          <t>Para Corte Bordos
Para Aterro Offset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GOINFRA</author>
  </authors>
  <commentList>
    <comment ref="P26" authorId="0" shapeId="0" xr:uid="{BE631C6F-4630-44FD-B629-96FD1D2DEEA6}">
      <text>
        <r>
          <rPr>
            <b/>
            <sz val="9"/>
            <color indexed="81"/>
            <rFont val="Segoe UI"/>
            <family val="2"/>
          </rPr>
          <t>GOINFRA: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MODELO 11:</t>
        </r>
        <r>
          <rPr>
            <sz val="9"/>
            <color indexed="81"/>
            <rFont val="Segoe UI"/>
            <family val="2"/>
          </rPr>
          <t xml:space="preserve"> ITEM W</t>
        </r>
      </text>
    </comment>
    <comment ref="W29" authorId="0" shapeId="0" xr:uid="{7D7E1F37-07EE-4A90-BD6C-F093B8971660}">
      <text>
        <r>
          <rPr>
            <b/>
            <sz val="9"/>
            <color indexed="81"/>
            <rFont val="Segoe UI"/>
            <family val="2"/>
          </rPr>
          <t>GOINFRA:
MODELO 11:</t>
        </r>
        <r>
          <rPr>
            <sz val="9"/>
            <color indexed="81"/>
            <rFont val="Segoe UI"/>
            <family val="2"/>
          </rPr>
          <t xml:space="preserve"> ITEM Y e ITEM  Z</t>
        </r>
      </text>
    </comment>
    <comment ref="F32" authorId="0" shapeId="0" xr:uid="{7A95F965-258C-495A-AA62-6AA8C5D0444C}">
      <text>
        <r>
          <rPr>
            <b/>
            <sz val="9"/>
            <color indexed="81"/>
            <rFont val="Segoe UI"/>
            <family val="2"/>
          </rPr>
          <t>GOINFRA: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 xml:space="preserve">MODELO 11: </t>
        </r>
        <r>
          <rPr>
            <sz val="9"/>
            <color indexed="81"/>
            <rFont val="Segoe UI"/>
            <family val="2"/>
          </rPr>
          <t>ITEM X</t>
        </r>
      </text>
    </comment>
    <comment ref="G42" authorId="0" shapeId="0" xr:uid="{275DB9C1-8955-451D-9A9F-35CA4BEBDC3C}">
      <text>
        <r>
          <rPr>
            <b/>
            <sz val="9"/>
            <color indexed="81"/>
            <rFont val="Segoe UI"/>
            <family val="2"/>
          </rPr>
          <t>GOINFRA: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MODELO 11:</t>
        </r>
        <r>
          <rPr>
            <sz val="9"/>
            <color indexed="81"/>
            <rFont val="Segoe UI"/>
            <family val="2"/>
          </rPr>
          <t xml:space="preserve"> ITEM AB</t>
        </r>
      </text>
    </comment>
    <comment ref="G43" authorId="0" shapeId="0" xr:uid="{2CCC2CFA-43E2-445B-96CF-EDC150701833}">
      <text>
        <r>
          <rPr>
            <b/>
            <sz val="9"/>
            <color indexed="81"/>
            <rFont val="Segoe UI"/>
            <family val="2"/>
          </rPr>
          <t>GOINFRA: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MODELO 11:</t>
        </r>
        <r>
          <rPr>
            <sz val="9"/>
            <color indexed="81"/>
            <rFont val="Segoe UI"/>
            <family val="2"/>
          </rPr>
          <t xml:space="preserve"> ITEM AC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Flauber</author>
  </authors>
  <commentList>
    <comment ref="O3" authorId="0" shapeId="0" xr:uid="{EDD3A966-CBE9-4F93-B9A2-AF7647BDE91D}">
      <text>
        <r>
          <rPr>
            <b/>
            <sz val="9"/>
            <color indexed="81"/>
            <rFont val="Segoe UI"/>
            <family val="2"/>
          </rPr>
          <t>Flauber:</t>
        </r>
        <r>
          <rPr>
            <sz val="9"/>
            <color indexed="81"/>
            <rFont val="Segoe UI"/>
            <family val="2"/>
          </rPr>
          <t xml:space="preserve">
Consumo de Pedra indicado na Composição do Concreto Ciclópico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<sst xmlns="http://schemas.openxmlformats.org/spreadsheetml/2006/main" count="10140" uniqueCount="1564">
  <si>
    <t>Total</t>
  </si>
  <si>
    <t>Brita</t>
  </si>
  <si>
    <t>Areia</t>
  </si>
  <si>
    <t>Pista</t>
  </si>
  <si>
    <t>Ocorrência</t>
  </si>
  <si>
    <t>Destino</t>
  </si>
  <si>
    <t>Entre Estacas</t>
  </si>
  <si>
    <t>Exten-</t>
  </si>
  <si>
    <t>Lar-</t>
  </si>
  <si>
    <t>Área</t>
  </si>
  <si>
    <t>Densidade</t>
  </si>
  <si>
    <t>DMT (Km)</t>
  </si>
  <si>
    <t>Momento</t>
  </si>
  <si>
    <t>CAMADA</t>
  </si>
  <si>
    <t>Origem</t>
  </si>
  <si>
    <t>Acesso</t>
  </si>
  <si>
    <t>Inicial</t>
  </si>
  <si>
    <t>Final</t>
  </si>
  <si>
    <t>são</t>
  </si>
  <si>
    <t>gura</t>
  </si>
  <si>
    <t>Superlargura</t>
  </si>
  <si>
    <t>Esp.</t>
  </si>
  <si>
    <t>Volume</t>
  </si>
  <si>
    <t>ou</t>
  </si>
  <si>
    <t>Peso</t>
  </si>
  <si>
    <t>Fixa</t>
  </si>
  <si>
    <t>Da fonte</t>
  </si>
  <si>
    <t>No</t>
  </si>
  <si>
    <t>DMT</t>
  </si>
  <si>
    <t>Transporte</t>
  </si>
  <si>
    <t>ou Serviço</t>
  </si>
  <si>
    <t>Est.</t>
  </si>
  <si>
    <t>Int.</t>
  </si>
  <si>
    <t>Frac.</t>
  </si>
  <si>
    <t>(m)</t>
  </si>
  <si>
    <t>(m2)</t>
  </si>
  <si>
    <t>(cm)</t>
  </si>
  <si>
    <t>(m3)</t>
  </si>
  <si>
    <t>Taxa</t>
  </si>
  <si>
    <t>(t)</t>
  </si>
  <si>
    <t>ao Seg</t>
  </si>
  <si>
    <t>Seg.</t>
  </si>
  <si>
    <t>(m3 x Km)</t>
  </si>
  <si>
    <t>Usina U-1</t>
  </si>
  <si>
    <t>DMT final =</t>
  </si>
  <si>
    <t>Km</t>
  </si>
  <si>
    <t>%</t>
  </si>
  <si>
    <t>Observações</t>
  </si>
  <si>
    <t xml:space="preserve">Rodovia: </t>
  </si>
  <si>
    <t>FOLHA:</t>
  </si>
  <si>
    <t xml:space="preserve">Trecho: </t>
  </si>
  <si>
    <t xml:space="preserve">Subtrecho: </t>
  </si>
  <si>
    <t>01/01</t>
  </si>
  <si>
    <t>Segmento:</t>
  </si>
  <si>
    <t>Data :</t>
  </si>
  <si>
    <t>Lote</t>
  </si>
  <si>
    <t>Interseções</t>
  </si>
  <si>
    <t>MEMÓRIA DE CÁLCULO DE QUANTIDADES - CAPA DE ROLAMENTO - ACOSTAMENTO LADO DIREITO</t>
  </si>
  <si>
    <t>MEMÓRIA DE CÁLCULO DE QUANTIDADES - CAPA DE ROLAMENTO - ACOSTAMENTO LADO ESQUERDO</t>
  </si>
  <si>
    <t>MEMÓRIA DE CÁLCULO DE QUANTIDADES - CAPA DE ROLAMENTO - FAIXA ADICIONAL LADO DIREITO</t>
  </si>
  <si>
    <t>MEMÓRIA DE CÁLCULO DE QUANTIDADES - CAPA DE ROLAMENTO - FAIXA ADICIONAL LADO ESQUERDO</t>
  </si>
  <si>
    <t>MEMÓRIA DE CÁLCULO DE QUANTIDADES - CAPA DE ROLAMENTO - FAIXA DE SEGURANÇA LADO DIREITO</t>
  </si>
  <si>
    <t>MEMÓRIA DE CÁLCULO DE QUANTIDADES - CAPA DE ROLAMENTO - FAIXA DE SEGURANÇA LADO ESQUERDO</t>
  </si>
  <si>
    <t>área</t>
  </si>
  <si>
    <t>Nº Aplicações</t>
  </si>
  <si>
    <t>IMPRIMAÇÃO</t>
  </si>
  <si>
    <t>l/m2</t>
  </si>
  <si>
    <t/>
  </si>
  <si>
    <t>-</t>
  </si>
  <si>
    <t>Pista - LE Duplicação</t>
  </si>
  <si>
    <t>t/m3</t>
  </si>
  <si>
    <t>Pedreira</t>
  </si>
  <si>
    <t xml:space="preserve">m2    </t>
  </si>
  <si>
    <t xml:space="preserve">m3    </t>
  </si>
  <si>
    <t xml:space="preserve">m3km  </t>
  </si>
  <si>
    <t>TRANSPORTE DA MISTURA</t>
  </si>
  <si>
    <t>TRANSPORTE DE PAVIMENTO REMOVIDO</t>
  </si>
  <si>
    <t>TRANSPORTE LOCAL DE MATERIAL BETUMINOSO</t>
  </si>
  <si>
    <t xml:space="preserve">TKM   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</si>
  <si>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</si>
  <si>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</si>
  <si>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</si>
  <si>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</si>
  <si>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</si>
  <si>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FORNECIMENTO DE EMULSÃO ASFÁLTICA PARA IMPRIMAÇÃO - EAI</t>
  </si>
  <si>
    <t xml:space="preserve">t     </t>
  </si>
  <si>
    <t>TRANSPORTE COMERCIAL DE MATERIAL BETUMINOSO</t>
  </si>
  <si>
    <t>ESTABILIZAÇÃO BRITA GRADUADA TRATADA COM CIMENTO (BGTC) - USINA</t>
  </si>
  <si>
    <t>Código</t>
  </si>
  <si>
    <t>Descrição</t>
  </si>
  <si>
    <t>Unidade</t>
  </si>
  <si>
    <t>Quantidade</t>
  </si>
  <si>
    <t>(tx Km)</t>
  </si>
  <si>
    <t>Comercial</t>
  </si>
  <si>
    <t>Local</t>
  </si>
  <si>
    <t>m3/m3</t>
  </si>
  <si>
    <t>TRANSPORTE</t>
  </si>
  <si>
    <t>Fábrica</t>
  </si>
  <si>
    <t>BGTC</t>
  </si>
  <si>
    <t>MEMÓRIA DE CÁLCULO DE QUANTIDADES - TRANSPORTES</t>
  </si>
  <si>
    <t>m³</t>
  </si>
  <si>
    <t>Canteiro</t>
  </si>
  <si>
    <t>Areal</t>
  </si>
  <si>
    <t>CCP</t>
  </si>
  <si>
    <t>CP-II-32</t>
  </si>
  <si>
    <t>m²</t>
  </si>
  <si>
    <t>MEMBRANA PLÁSTICA ISOLANTE E IMPERMEABILIZANTE COM ESPESSURA DE 0,2 MM - FORNECIMENTO E INSTALAÇÃO</t>
  </si>
  <si>
    <t>m</t>
  </si>
  <si>
    <t>Espaçamento</t>
  </si>
  <si>
    <t>Seção</t>
  </si>
  <si>
    <t>Comprimento Total</t>
  </si>
  <si>
    <t>SERRAGEM DE JUNTAS EM PAVIMENTO DE CONCRETO, LIMPEZA E ENCHIMENTO COM SELANTE A FRIO</t>
  </si>
  <si>
    <t xml:space="preserve">MEMÓRIA DE CÁLCULO DE QUANTIDADES -IMPRIMAÇÃO </t>
  </si>
  <si>
    <t>kg</t>
  </si>
  <si>
    <t>Comprimento da Barra</t>
  </si>
  <si>
    <t>Barras de Ligação CA-50</t>
  </si>
  <si>
    <t>entre barras</t>
  </si>
  <si>
    <t>(x)</t>
  </si>
  <si>
    <t>Repetição na seção</t>
  </si>
  <si>
    <t>kg/m</t>
  </si>
  <si>
    <t>(kg)</t>
  </si>
  <si>
    <t>entre placas</t>
  </si>
  <si>
    <t>Comprimento</t>
  </si>
  <si>
    <t>barras</t>
  </si>
  <si>
    <t>Barras de Transferência CA-25</t>
  </si>
  <si>
    <t>Juntas</t>
  </si>
  <si>
    <t>diametro = 25 mm</t>
  </si>
  <si>
    <t>Variável</t>
  </si>
  <si>
    <t>Pista - Esquerda Retorno 01</t>
  </si>
  <si>
    <t>Pista - Esquerda Retorno 02</t>
  </si>
  <si>
    <t>Pista Esquerda Segmento 02</t>
  </si>
  <si>
    <t>Retorno 01</t>
  </si>
  <si>
    <t>Caixa 01</t>
  </si>
  <si>
    <t>PAVIMENTO DE CONCRETO COM EQUIPAMENTO DE PEQUENO PORTE</t>
  </si>
  <si>
    <t>MEMÓRIA DE CÁLCULO DE QUANTIDADES - PAVIMENTO DE CONCRETO COM EQUIPAMENTO DE PEQUENO PORTE</t>
  </si>
  <si>
    <t>SUB-BASE DE BRITA GRADUADA TRATADA COM CIMENTO</t>
  </si>
  <si>
    <t xml:space="preserve"> REGULARIZAÇÃO DO SUBLEITO</t>
  </si>
  <si>
    <t>TRANSPORTE LOCAL DE CONCRETO COM CAMINHÃO BETONEIRA E MANUTENÇÃO DE CAMINHO DE SERVIÇOS</t>
  </si>
  <si>
    <t>BDI              %</t>
  </si>
  <si>
    <t>PREÇO        R$</t>
  </si>
  <si>
    <t>PREÇO TOTAL R$</t>
  </si>
  <si>
    <t xml:space="preserve"> Custo Unitário</t>
  </si>
  <si>
    <t>TRANSPORTE COMERCIAL DE MATERIAL BÁSICO</t>
  </si>
  <si>
    <t>TRANSPORTE LOCAL DE MATERIAL BÁSICO</t>
  </si>
  <si>
    <t xml:space="preserve">47050 </t>
  </si>
  <si>
    <t>MEMÓRIA DE CÁLCULO DE QUANTIDADES - TELA ELETROSOLDADA</t>
  </si>
  <si>
    <t>m2</t>
  </si>
  <si>
    <t>kg/m2</t>
  </si>
  <si>
    <t>DISTÂNCIAS DE TRANSP.</t>
  </si>
  <si>
    <t>SERRAGEM DE JUNTAS</t>
  </si>
  <si>
    <t>28,60 km</t>
  </si>
  <si>
    <t>5,00 km</t>
  </si>
  <si>
    <t>21,00 km</t>
  </si>
  <si>
    <t>INÍCIO DO TRECHO: km - 00,00</t>
  </si>
  <si>
    <t>FINAL DO TRECHO: km - 6,50</t>
  </si>
  <si>
    <t>RIO VERDE</t>
  </si>
  <si>
    <t>0,04 km</t>
  </si>
  <si>
    <t>MONTIVIDIU (TREVO GO-174)</t>
  </si>
  <si>
    <t>km - 00,25</t>
  </si>
  <si>
    <t>km - 00,50</t>
  </si>
  <si>
    <t>km - 00,75</t>
  </si>
  <si>
    <t>km - 01,00</t>
  </si>
  <si>
    <t>km - 01,25</t>
  </si>
  <si>
    <t>km - 01,50</t>
  </si>
  <si>
    <t>km - 01,75</t>
  </si>
  <si>
    <t>km - 02,00</t>
  </si>
  <si>
    <t>km - 02,25</t>
  </si>
  <si>
    <t>km - 02,50</t>
  </si>
  <si>
    <t>km - 02,75</t>
  </si>
  <si>
    <t>km - 03,00</t>
  </si>
  <si>
    <t>km - 03,25</t>
  </si>
  <si>
    <t>km - 03,50</t>
  </si>
  <si>
    <t>km - 03,75</t>
  </si>
  <si>
    <t>km - 04,00</t>
  </si>
  <si>
    <t>km - 04,25</t>
  </si>
  <si>
    <t>km - 04,50</t>
  </si>
  <si>
    <t>km - 04,75</t>
  </si>
  <si>
    <t>km - 05,00</t>
  </si>
  <si>
    <t>km - 05,25</t>
  </si>
  <si>
    <t>km - 05,50</t>
  </si>
  <si>
    <t>km - 05,75</t>
  </si>
  <si>
    <t>km - 06,00</t>
  </si>
  <si>
    <t>km - 06,25</t>
  </si>
  <si>
    <t>243,00 km</t>
  </si>
  <si>
    <t>Legenda:</t>
  </si>
  <si>
    <t>=</t>
  </si>
  <si>
    <t>Rodovia Projetada</t>
  </si>
  <si>
    <t>CAIXA DE EMPRESTIMO</t>
  </si>
  <si>
    <t>PEDREIRA</t>
  </si>
  <si>
    <t>DISTRIBUIDORA MATERIAL BETUMINOSO</t>
  </si>
  <si>
    <t>AREAL</t>
  </si>
  <si>
    <t>Pavimentada</t>
  </si>
  <si>
    <t>Não Pavimentada</t>
  </si>
  <si>
    <t>PROJETO EXECUTIVO DE ENGENHARIA</t>
  </si>
  <si>
    <t>Rodovia:</t>
  </si>
  <si>
    <t>Trecho:</t>
  </si>
  <si>
    <t>Quadro Resumo de Serviços de Pavimentação</t>
  </si>
  <si>
    <t>TRECHO</t>
  </si>
  <si>
    <t>Regularização de Subleito (m²)</t>
  </si>
  <si>
    <t>Imprimação (m²)</t>
  </si>
  <si>
    <t>Área (m²)</t>
  </si>
  <si>
    <t>EAI (t)</t>
  </si>
  <si>
    <t>Perímetro Urbano Rio Verde/ Trevo GO-174 (Sentido Montividiu)</t>
  </si>
  <si>
    <t>Volume(m³)</t>
  </si>
  <si>
    <t>Pavimento de Concreto</t>
  </si>
  <si>
    <t>Remoção de Pavimento Existente (m³)</t>
  </si>
  <si>
    <t>Sub-base        BGTC (m³)</t>
  </si>
  <si>
    <t>EXTENSÃO:</t>
  </si>
  <si>
    <t>LOTE:</t>
  </si>
  <si>
    <t>ÚNICO</t>
  </si>
  <si>
    <t xml:space="preserve">TELA ELETROSOLDADA                                                                                                                                                         </t>
  </si>
  <si>
    <t>TELA SOLDADA                              Q-138</t>
  </si>
  <si>
    <t>MEMÓRIA DE CÁLCULO DE QUANTIDADES -  REGULARIZAÇÃO DO SUBLEITO</t>
  </si>
  <si>
    <t>t/km</t>
  </si>
  <si>
    <t>m3/km</t>
  </si>
  <si>
    <t>Concreto Usinado (CCP)</t>
  </si>
  <si>
    <t>IMPRIMAÇÃO                              (EAI)</t>
  </si>
  <si>
    <t>MEMÓRIA DE CÁLCULO DE QUANTIDADES - BARRAS DE TRANSFERÊNCIA CA-25</t>
  </si>
  <si>
    <t>MEMÓRIA DE CÁLCULO DE QUANTIDADES - BARRAS DE LIGAÇÃO CA-50</t>
  </si>
  <si>
    <t>MEMÓRIA DE CÁLCULO DE QUANTIDADES - TRELIÇA TR12645</t>
  </si>
  <si>
    <t>164,00 km</t>
  </si>
  <si>
    <t>227,00 km</t>
  </si>
  <si>
    <t>FÁBRICA DE CIMENTO</t>
  </si>
  <si>
    <t>DISTRIBUIDORA DE AÇO</t>
  </si>
  <si>
    <t>CANTEIRO DE OBRAS</t>
  </si>
  <si>
    <t>DIAGRAMA DE LOCALIZAÇÃO DAS FONTES DE MATERIAIS</t>
  </si>
  <si>
    <t>TRANSPORTE MATERIAIS BÁSICOS (AÇO)</t>
  </si>
  <si>
    <t>AÇO (CA-25/50/60)</t>
  </si>
  <si>
    <t>SERVIÇO</t>
  </si>
  <si>
    <t>GO-210</t>
  </si>
  <si>
    <t>DMT          (Km)</t>
  </si>
  <si>
    <t>SEGMENTO 02 - PE</t>
  </si>
  <si>
    <t>MEMÓRIA DE CÁLCULO DE QUANTIDADES - SUB-BASE BGTC</t>
  </si>
  <si>
    <t>TRELIÇA TR 12645</t>
  </si>
  <si>
    <t>76+14,05</t>
  </si>
  <si>
    <t>TOTAL NO INTERVALO</t>
  </si>
  <si>
    <t>TOTAL EXECUTADO</t>
  </si>
  <si>
    <t>TOTAL A  EXECUTAR</t>
  </si>
  <si>
    <t>.</t>
  </si>
  <si>
    <t>Aprovado</t>
  </si>
  <si>
    <t>Retorno 02( ATÉ EST. 176+12,12 )</t>
  </si>
  <si>
    <t>Pista - Esquerda Retorno 02( Até Est. 176 + 12,12 )</t>
  </si>
  <si>
    <t>Pavimentação</t>
  </si>
  <si>
    <t>Terraplenagem</t>
  </si>
  <si>
    <t>Drenagem</t>
  </si>
  <si>
    <t>DRENOS LONGITUDINAIS PROFUNDOS</t>
  </si>
  <si>
    <t>DRENO</t>
  </si>
  <si>
    <t>BOCAS DE SAÍDAS</t>
  </si>
  <si>
    <t>ESTACAS</t>
  </si>
  <si>
    <t>TIPO</t>
  </si>
  <si>
    <t>EXTENSÃO (m)</t>
  </si>
  <si>
    <t>LADO</t>
  </si>
  <si>
    <t>EXT. DE DRENO</t>
  </si>
  <si>
    <t>INICIAL</t>
  </si>
  <si>
    <t>FINAL</t>
  </si>
  <si>
    <t>DE SAÍDA</t>
  </si>
  <si>
    <t>ATÉ A BOCA (m)</t>
  </si>
  <si>
    <t>RETORNO 01 - PISTA ESQUERDA</t>
  </si>
  <si>
    <t>61+09,43</t>
  </si>
  <si>
    <t>DPS-07</t>
  </si>
  <si>
    <t>E</t>
  </si>
  <si>
    <t>SEGMENTO 02 - PISTA ESQUERDA</t>
  </si>
  <si>
    <t>92+01,55</t>
  </si>
  <si>
    <t>116+00,00</t>
  </si>
  <si>
    <t xml:space="preserve">E </t>
  </si>
  <si>
    <t>BSD-02</t>
  </si>
  <si>
    <t>Notas:</t>
  </si>
  <si>
    <t>1- Extensão de DPS-07 (m):</t>
  </si>
  <si>
    <t>2- Número de BSD-02 (un):</t>
  </si>
  <si>
    <t>3- Escavação (m3):</t>
  </si>
  <si>
    <t>4- Bota fora (Km): 40 metros da estaca 187+00</t>
  </si>
  <si>
    <t>ESCAVAÇÃO E REATERRO DE VALAS</t>
  </si>
  <si>
    <t>LOCALIZAÇÃO</t>
  </si>
  <si>
    <t>PISTA</t>
  </si>
  <si>
    <r>
      <t xml:space="preserve">OBRA                               </t>
    </r>
    <r>
      <rPr>
        <sz val="10"/>
        <color indexed="9"/>
        <rFont val="Arial"/>
        <family val="2"/>
      </rPr>
      <t xml:space="preserve"> (TIPO e DIMENSÃO)</t>
    </r>
  </si>
  <si>
    <r>
      <t xml:space="preserve">Comprimento ALA + CORPO + FOLGA 0,50m </t>
    </r>
    <r>
      <rPr>
        <sz val="10"/>
        <color indexed="9"/>
        <rFont val="Arial"/>
        <family val="2"/>
      </rPr>
      <t>(m)</t>
    </r>
  </si>
  <si>
    <t>OBRA</t>
  </si>
  <si>
    <t>ALTURA MÉDIA DA ESCAVAÇÃO (m)</t>
  </si>
  <si>
    <r>
      <t xml:space="preserve">ESCAVAÇÃO MANUAL               </t>
    </r>
    <r>
      <rPr>
        <sz val="10"/>
        <color indexed="9"/>
        <rFont val="Arial"/>
        <family val="2"/>
      </rPr>
      <t>(m³)</t>
    </r>
  </si>
  <si>
    <r>
      <t xml:space="preserve">ESCAVAÇÃO MECÂNICA            </t>
    </r>
    <r>
      <rPr>
        <sz val="10"/>
        <color indexed="9"/>
        <rFont val="Arial"/>
        <family val="2"/>
      </rPr>
      <t>(m³)</t>
    </r>
  </si>
  <si>
    <r>
      <t xml:space="preserve">REATERRO E COMPACTAÇÃO MANUAL </t>
    </r>
    <r>
      <rPr>
        <sz val="10"/>
        <color indexed="9"/>
        <rFont val="Arial"/>
        <family val="2"/>
      </rPr>
      <t>(m³)</t>
    </r>
  </si>
  <si>
    <t>OBS</t>
  </si>
  <si>
    <r>
      <t xml:space="preserve">LARGURA    </t>
    </r>
    <r>
      <rPr>
        <sz val="10"/>
        <color indexed="9"/>
        <rFont val="Arial"/>
        <family val="2"/>
      </rPr>
      <t>(m)</t>
    </r>
  </si>
  <si>
    <r>
      <t xml:space="preserve">ALTURA             </t>
    </r>
    <r>
      <rPr>
        <sz val="10"/>
        <color indexed="9"/>
        <rFont val="Arial"/>
        <family val="2"/>
      </rPr>
      <t>(m)</t>
    </r>
  </si>
  <si>
    <t>NÚMERO DE LINHAS</t>
  </si>
  <si>
    <t>RET.01 - ALÇA 1</t>
  </si>
  <si>
    <t>PEGAR A ÁREA NO PERFIL LONGITUDINAL E DIVIDIR PELO COMPRIMENTO</t>
  </si>
  <si>
    <t>RET.01 - ALÇA 2</t>
  </si>
  <si>
    <t>RETORNO 01 PD</t>
  </si>
  <si>
    <t>RETORNO 01 PE</t>
  </si>
  <si>
    <t>SEGMENTO 02</t>
  </si>
  <si>
    <t>RET.02 - ALÇA 1</t>
  </si>
  <si>
    <t>RETORNO 02</t>
  </si>
  <si>
    <t>INT.02 - ALÇA 1</t>
  </si>
  <si>
    <t>INT.02 - ALÇA 2</t>
  </si>
  <si>
    <t>INTERSEÇÃO 02</t>
  </si>
  <si>
    <t>8+00</t>
  </si>
  <si>
    <t>SEGMENTO 1</t>
  </si>
  <si>
    <t>BSTC Ø 0,60</t>
  </si>
  <si>
    <t>LIGAR CXA COLETORA DE SARJETA NA REDE GAP EXISTENTE DE RIO VERDE</t>
  </si>
  <si>
    <t>Executar berço de concreto:</t>
  </si>
  <si>
    <t>Envelopamento de concreto:</t>
  </si>
  <si>
    <r>
      <t>Formas: 1,1573*17=</t>
    </r>
    <r>
      <rPr>
        <b/>
        <sz val="10"/>
        <rFont val="Arial"/>
        <family val="2"/>
      </rPr>
      <t>19,67m2</t>
    </r>
  </si>
  <si>
    <r>
      <t>Concreto &gt; 20MPa: 0,5732*17=</t>
    </r>
    <r>
      <rPr>
        <b/>
        <sz val="10"/>
        <rFont val="Arial"/>
        <family val="2"/>
      </rPr>
      <t>9,74m3</t>
    </r>
  </si>
  <si>
    <r>
      <t>Concreto &gt; 20MPa: 0,887*17=</t>
    </r>
    <r>
      <rPr>
        <b/>
        <sz val="10"/>
        <rFont val="Arial"/>
        <family val="2"/>
      </rPr>
      <t>15,079m3</t>
    </r>
  </si>
  <si>
    <r>
      <t xml:space="preserve">Compensado resinado: 0,0287*17= </t>
    </r>
    <r>
      <rPr>
        <b/>
        <sz val="10"/>
        <rFont val="Arial"/>
        <family val="2"/>
      </rPr>
      <t>0,48m2</t>
    </r>
  </si>
  <si>
    <t>VALETA DE PROTEÇÃO DE ATERRO</t>
  </si>
  <si>
    <t>DISS. DE</t>
  </si>
  <si>
    <t>ENERGIA</t>
  </si>
  <si>
    <t>SEGMENTO 01 - RETORNO 1</t>
  </si>
  <si>
    <t>5+00</t>
  </si>
  <si>
    <t>7+00</t>
  </si>
  <si>
    <t>VPA-04</t>
  </si>
  <si>
    <t>1- Extensão de VPA-04 (m):</t>
  </si>
  <si>
    <t>REMOÇÃO / RECONSTRAUÇÃO  DOS BUEIROS EXISTENTES</t>
  </si>
  <si>
    <r>
      <t xml:space="preserve">OBRA                               </t>
    </r>
    <r>
      <rPr>
        <sz val="10"/>
        <color indexed="9"/>
        <rFont val="Arial"/>
        <family val="2"/>
      </rPr>
      <t xml:space="preserve"> (EXISTENTE)</t>
    </r>
  </si>
  <si>
    <r>
      <t xml:space="preserve">COMPRIMENTO CORPO </t>
    </r>
    <r>
      <rPr>
        <sz val="10"/>
        <color indexed="9"/>
        <rFont val="Arial"/>
        <family val="2"/>
      </rPr>
      <t>(m)</t>
    </r>
  </si>
  <si>
    <r>
      <t xml:space="preserve">BOCA                               </t>
    </r>
    <r>
      <rPr>
        <sz val="11"/>
        <color indexed="9"/>
        <rFont val="Calibri"/>
        <family val="2"/>
      </rPr>
      <t>(und)</t>
    </r>
  </si>
  <si>
    <r>
      <t xml:space="preserve">REMOÇÃO CORPO               </t>
    </r>
    <r>
      <rPr>
        <sz val="10"/>
        <color indexed="9"/>
        <rFont val="Arial"/>
        <family val="2"/>
      </rPr>
      <t>(m)</t>
    </r>
  </si>
  <si>
    <r>
      <t xml:space="preserve">DEMOLIÇÃO BOCA            </t>
    </r>
    <r>
      <rPr>
        <sz val="10"/>
        <color indexed="9"/>
        <rFont val="Arial"/>
        <family val="2"/>
      </rPr>
      <t>(m³)</t>
    </r>
  </si>
  <si>
    <t xml:space="preserve">REMOÇÃO </t>
  </si>
  <si>
    <t>BSTC Ø 1,00</t>
  </si>
  <si>
    <t>127+06,00</t>
  </si>
  <si>
    <t>PISTA EXISTENTE</t>
  </si>
  <si>
    <t>DEMOLIÇÃO</t>
  </si>
  <si>
    <t>BDTC Ø 1,00</t>
  </si>
  <si>
    <t>128+06,00</t>
  </si>
  <si>
    <t>BDTC Ø 1,50</t>
  </si>
  <si>
    <t>184+02,80</t>
  </si>
  <si>
    <t>307+10,50</t>
  </si>
  <si>
    <t>15+00,00</t>
  </si>
  <si>
    <t>RETORNO 02 (PARALELO)</t>
  </si>
  <si>
    <t>17+00,00</t>
  </si>
  <si>
    <t>RETORNO 02 (PERPENDICULAR)</t>
  </si>
  <si>
    <t>23+00,00</t>
  </si>
  <si>
    <t>BSTC Ø 0,80</t>
  </si>
  <si>
    <t>31+10,00</t>
  </si>
  <si>
    <t>34+10,00</t>
  </si>
  <si>
    <t>41+00,00</t>
  </si>
  <si>
    <t>43+00,00</t>
  </si>
  <si>
    <t>1 - REMOÇÃO DE TUBO (m) =  17,00</t>
  </si>
  <si>
    <t>2 - DEMOLIÇÃO DE BOCA (m³) = 0</t>
  </si>
  <si>
    <t>34 = 167</t>
  </si>
  <si>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</si>
  <si>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</si>
  <si>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</si>
  <si>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</si>
  <si>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</si>
  <si>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</si>
  <si>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</si>
  <si>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</si>
  <si>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</si>
  <si>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</si>
  <si>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DRENAGEM</t>
  </si>
  <si>
    <t>1.1</t>
  </si>
  <si>
    <t>ESCAVAÇÃO MECÂNICA EM TERRA - BDI = 27,21</t>
  </si>
  <si>
    <t>GOINFRA RODOV</t>
  </si>
  <si>
    <t>m3</t>
  </si>
  <si>
    <t>LAGOA 1-REDE</t>
  </si>
  <si>
    <t>1.3</t>
  </si>
  <si>
    <t>ESCAVAÇÃO MANUAL</t>
  </si>
  <si>
    <t>RAMAIS</t>
  </si>
  <si>
    <t>BL</t>
  </si>
  <si>
    <t>COMPACTAÇÃO MANUAL</t>
  </si>
  <si>
    <t>M3</t>
  </si>
  <si>
    <t>REMOÇÃO DE BUEIROS TUBULARES</t>
  </si>
  <si>
    <t>1.31</t>
  </si>
  <si>
    <t>TRANSPORTE DE ENTULHOS</t>
  </si>
  <si>
    <t>TRANSPORTE LOCAL DE CONCRETO</t>
  </si>
  <si>
    <t>TRANSPORTE COMERCIAL DE TUBOS</t>
  </si>
  <si>
    <t>TRANSPORTE LOCAL DE TUBOS</t>
  </si>
  <si>
    <t>SICRO NOVO</t>
  </si>
  <si>
    <t>DRENO PROFUNDO, CORTE EM SOLO PEAD - DPS13 (ANTIGO DPS07) (EXCETO ESCAVAÇÃO) (BC)</t>
  </si>
  <si>
    <t>Boca de saída para dreno longitudinal profundo - BSD 02 - tubo de concreto perfurado - areia e brita comerciais</t>
  </si>
  <si>
    <t>un</t>
  </si>
  <si>
    <t>Descrição de Serviços de Obras Arte Correntes:</t>
  </si>
  <si>
    <t>CONSUMOS DE CONCRETO E MATERIAIS</t>
  </si>
  <si>
    <t>Pedra de mão / Marroada</t>
  </si>
  <si>
    <t>ARGAMASSA DE CIMENTO E AREIA 1:4 (AC) (m3)</t>
  </si>
  <si>
    <t>CONSUMOS UNITÁRIOS DA ARGAMASSA 1:4</t>
  </si>
  <si>
    <t>SICRO: ARGAMASSA DE CIMENTO E AREIA 1:3 (AC) (m3)</t>
  </si>
  <si>
    <t>CONSUMOS UNITÁRIOS DA ARGAMASSA 1:3</t>
  </si>
  <si>
    <t>SICRO: CONCRETO MAGRO</t>
  </si>
  <si>
    <t>CONSUMOS UNITÁRIOS DO CONCRETO MAGRO</t>
  </si>
  <si>
    <t>Concreto</t>
  </si>
  <si>
    <t>ARGAMASSA</t>
  </si>
  <si>
    <t>CONSUMO DE MATERIAL BÁSICO</t>
  </si>
  <si>
    <t>CONSUMO DE TUBOS</t>
  </si>
  <si>
    <t>TUBOS</t>
  </si>
  <si>
    <t>Serviço:</t>
  </si>
  <si>
    <t>CONCRETO CICLÓPICO FCK=11 MPA P/ DRENAGEM</t>
  </si>
  <si>
    <t>Pedra de mão / Marroada (m3)</t>
  </si>
  <si>
    <t>CONCRETO FCK=11 MPA P/ DRENAGEM</t>
  </si>
  <si>
    <t>Areia (m3)</t>
  </si>
  <si>
    <t>Brita (m3)</t>
  </si>
  <si>
    <t>Cimento (kg)</t>
  </si>
  <si>
    <t>CONCRETO FCK=15 MPA P/ DRENAGEM</t>
  </si>
  <si>
    <t>CONCRETO CICLÓPICO FCK=20 MPA</t>
  </si>
  <si>
    <t xml:space="preserve">CONCRETO FCK=20 MPA P/ DRENAGEM </t>
  </si>
  <si>
    <t xml:space="preserve"> CONCRETO FCK=15 MPA</t>
  </si>
  <si>
    <t>CONCRETO FCK=20 MPA</t>
  </si>
  <si>
    <t>CONCRETO FCK=25 MPA</t>
  </si>
  <si>
    <t>ENROCAMENTO DE PEDRA ARGAMASSADA</t>
  </si>
  <si>
    <t>CONSUMO GERAL DE CONCRETO</t>
  </si>
  <si>
    <t>CONSUMO GERAL DE ARGAMASSA</t>
  </si>
  <si>
    <t>Areia (m3) (DIVERSOS)</t>
  </si>
  <si>
    <t>Brita (m3) (DIVERSOS)</t>
  </si>
  <si>
    <t>Cimento (kg) (DIVERSOS)</t>
  </si>
  <si>
    <t>Pedra de mão / Marroada (m3) (DIVERSOS)</t>
  </si>
  <si>
    <t>FORMA DE PLACA COMPENSADA</t>
  </si>
  <si>
    <t>PONTALETES D=15 cm</t>
  </si>
  <si>
    <t>PRANCHÃO - 5,0 CM X 30,0 CM</t>
  </si>
  <si>
    <t>AÇO CA - 50</t>
  </si>
  <si>
    <t>TIJOLO COMUM</t>
  </si>
  <si>
    <t>PREGO</t>
  </si>
  <si>
    <t>TÁBUA 1 X 6</t>
  </si>
  <si>
    <t>BLOCO VEDACAO CONCRETO 19 X 19 X 39CM (CLASSE D - NBR 6136/07)</t>
  </si>
  <si>
    <t>FABRICAÇÃO DE TAMPÃO DE CONCRETO E ANEL (SVA)</t>
  </si>
  <si>
    <t>Tubo em aço galvanizado com rosca BSP classe leve - D = 20 mm (3/4”)</t>
  </si>
  <si>
    <t>Cantoneira em ferro de abas iguais - L = 63,5 mm e E = 9,53 mm</t>
  </si>
  <si>
    <t>GRAMA PLACA BATATAIS PARA CAMPO DE FUTEBOL ( PREPARO/PLANTIO C/IRRIGAÇÃO/ROLO/ADUBO)</t>
  </si>
  <si>
    <t>GEOTÊXTIL NÃO-TECIDO AGULHADO ( GRAMATURA 240 G/M2)</t>
  </si>
  <si>
    <t>TOTAL</t>
  </si>
  <si>
    <t>TUBO DE CONCRETO ARMADO D= 0,60 M - PA1</t>
  </si>
  <si>
    <t>TUBO DE CONCRETO ARMADO D= 0,80 M - PA1</t>
  </si>
  <si>
    <t>TUBO DE CONCRETO ARMADO D= 1,00 M - PA1</t>
  </si>
  <si>
    <t>TUBO DE CONCRETO ARMADO D= 1,20 M - PA1</t>
  </si>
  <si>
    <t>TUBO DE CONCRETO ARMADO D= 1,50 M - PA1</t>
  </si>
  <si>
    <t>TUBO DRENO PEAD CORRUGADO PERFURADO D=100mm</t>
  </si>
  <si>
    <t>GERAL</t>
  </si>
  <si>
    <t>i11730</t>
  </si>
  <si>
    <t>M1616</t>
  </si>
  <si>
    <t>M1965</t>
  </si>
  <si>
    <t>m3 / m3</t>
  </si>
  <si>
    <t>t / m3</t>
  </si>
  <si>
    <t>TONELADAS</t>
  </si>
  <si>
    <t>und / m</t>
  </si>
  <si>
    <t>CAIXA COLETORA EM CONCRETO TUBO D=0,60M EXCETO ESCAVAÇÃO (AC/BC)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</si>
  <si>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</si>
  <si>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</si>
  <si>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</si>
  <si>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</si>
  <si>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</si>
  <si>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</si>
  <si>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</si>
  <si>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</si>
  <si>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</si>
  <si>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</si>
  <si>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</si>
  <si>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</si>
  <si>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</si>
  <si>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</si>
  <si>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</si>
  <si>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</si>
  <si>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</si>
  <si>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</si>
  <si>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</si>
  <si>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</si>
  <si>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</si>
  <si>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</si>
  <si>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</si>
  <si>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</si>
  <si>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</si>
  <si>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</si>
  <si>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</si>
  <si>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</si>
  <si>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</si>
  <si>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</si>
  <si>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</si>
  <si>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</si>
  <si>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</si>
  <si>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</si>
  <si>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</si>
  <si>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</si>
  <si>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</si>
  <si>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</si>
  <si>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</si>
  <si>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</si>
  <si>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</si>
  <si>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</si>
  <si>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</si>
  <si>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</si>
  <si>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</si>
  <si>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</si>
  <si>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</si>
  <si>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</si>
  <si>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</si>
  <si>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</si>
  <si>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</si>
  <si>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</si>
  <si>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</si>
  <si>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</si>
  <si>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</si>
  <si>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</si>
  <si>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</si>
  <si>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</si>
  <si>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</si>
  <si>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</si>
  <si>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</si>
  <si>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</si>
  <si>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</si>
  <si>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</si>
  <si>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</si>
  <si>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</si>
  <si>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</si>
  <si>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ESCORAMENTO DESCONTÍNUO EM VALAS(ESPAÇ.1,80 M)</t>
  </si>
  <si>
    <t>CHAMINÉ PARA POÇO DE VISITA,INCLUSIVE TAMPÃO E ANEL (AC/ BC)</t>
  </si>
  <si>
    <t>POÇO DE VISITA PARA REDE D=1,50 M, PARTE FIXA C/ 1,00 M DE ALTURA (AC/BC)</t>
  </si>
  <si>
    <t>ACRÉSCIMO NA ALTURA DO POÇO DE VISITA PARA REDE D=1,50 M</t>
  </si>
  <si>
    <t>LASTRO DE BRITA (GAP)</t>
  </si>
  <si>
    <t>PLANTIO GRAMA BATATAIS PLACA C/ M.O. IRRIG.P/CAMPO FUTEBOL (ADUBO/ROLO /ETC) (OC) A&lt;11.000M2</t>
  </si>
  <si>
    <t>FORNECIMENTO E ASSENTAMENTO DE TUBO D=0,60 M</t>
  </si>
  <si>
    <t>POÇO DE VISITA PARA REDE D=0,60 M, PARTE FIXA C/1,00M DE ALTURA (AC/BC)</t>
  </si>
  <si>
    <t>POÇO DE VISITA PARA REDE D=0,80 M, PARTE FIXA C/ 1,00M DE ALTURA (AC/BC)</t>
  </si>
  <si>
    <t>POÇO DE VISITA PARA REDE D=1,00 M, PARTE FIXA C/ 1,00 M DE ALTURA (AC/BC)</t>
  </si>
  <si>
    <t>POÇO DE VISITA PARA REDE D=1,20 M, PARTE FIXA C/ 1,00 M DE ALTURA (AC/BC)</t>
  </si>
  <si>
    <t>ACRÉSCIMO NA ALTURA DO P.V. PARA REDE D= 0,60 M (AC)</t>
  </si>
  <si>
    <t>ACRÉSCIMO NA ALTURA DO P.V. PARA REDE D= 0,80 M (AC) - BDI = 27,21</t>
  </si>
  <si>
    <t>ACRÉSCIMO NA ALTURA DO POÇO DE VISITA PARA REDE D=1,00 M (AC)</t>
  </si>
  <si>
    <t>ACRÉSCIMO NA ALTURA DO P.V. PARA REDE D= 1,20 M (AC) - BDI = 27,21</t>
  </si>
  <si>
    <t>COMPACTAÇÃO A 100% DO PROCTOR INTERMEDIÁRIO - BDI = 27,21</t>
  </si>
  <si>
    <t>MEIO FIO COM SARJETA - MFC03</t>
  </si>
  <si>
    <t>COMPOSIÇÕES DE PREÇO UNITÁRIO:</t>
  </si>
  <si>
    <t>Corpo de BSTC D = 1,20 m PA1 - areia, brita e pedra de mão comerciais</t>
  </si>
  <si>
    <t>Corpo de BTTC D = 1,50 m PA1 - areia, brita e pedra de mão comerciais</t>
  </si>
  <si>
    <t>Boca de BTTC D = 1,50 m - esconsidade 0° - areia e brita comerciais - alas retas</t>
  </si>
  <si>
    <t>Dissipador de energia - DEB 360-414 - areia, brita e pedra de mão comerciais</t>
  </si>
  <si>
    <t>Dissipador de energia - DEB 450-551 - areia, brita e pedra de mão comerciais</t>
  </si>
  <si>
    <t>Dissipador de energia - DEB 450-956 - areia, brita e pedra de mão comerciais</t>
  </si>
  <si>
    <t>ALVENARIA DE BLOCOS DE CONCRETO VEDACAO 19X19X39CM, ESPESSURA 19CM, ASSENTADOS COM ARGAMASSA TRACO 1:0,5:8 (CIMENTO, CAL E AREIA), COM JUNTA DE 10MM</t>
  </si>
  <si>
    <t>Caixa coletora de sarjeta - CCS 200-60 B - com grelha de aço - areia e brita comerciais</t>
  </si>
  <si>
    <t>QUADRO DE TRANSPORTES</t>
  </si>
  <si>
    <t>Tipo de transporte aplicado</t>
  </si>
  <si>
    <t>DMT (km)</t>
  </si>
  <si>
    <t xml:space="preserve">Total do momento de transporte </t>
  </si>
  <si>
    <t>und</t>
  </si>
  <si>
    <t>m3km</t>
  </si>
  <si>
    <t>Cimento</t>
  </si>
  <si>
    <t>Tkm</t>
  </si>
  <si>
    <t>Argamassa</t>
  </si>
  <si>
    <t>Pedra Marroada</t>
  </si>
  <si>
    <t>Tubos</t>
  </si>
  <si>
    <t>Material Básico</t>
  </si>
  <si>
    <t>Elemento</t>
  </si>
  <si>
    <t>Und</t>
  </si>
  <si>
    <t>Qtde Total</t>
  </si>
  <si>
    <t>EST. CANTEIRO:</t>
  </si>
  <si>
    <t>Areia - Argamassa</t>
  </si>
  <si>
    <t>Cimento - Argamassa</t>
  </si>
  <si>
    <t>Pedra marroada p/ Concreto Ciclópico e Enrocamento</t>
  </si>
  <si>
    <t>DMT LOCAL</t>
  </si>
  <si>
    <t>ESTACA</t>
  </si>
  <si>
    <t>DT CANTEIRO AO DESTINO</t>
  </si>
  <si>
    <t>Qtde</t>
  </si>
  <si>
    <t>DMT Utilizado (km)</t>
  </si>
  <si>
    <t>Momento de Transporte (m3xkm)</t>
  </si>
  <si>
    <t>Momento de Transporte (txkm)</t>
  </si>
  <si>
    <t>T</t>
  </si>
  <si>
    <t>t</t>
  </si>
  <si>
    <t>*</t>
  </si>
  <si>
    <t>ISC (%)</t>
  </si>
  <si>
    <t>EXP (%)</t>
  </si>
  <si>
    <t>FUNDO</t>
  </si>
  <si>
    <t>Área de Regul. Subleito</t>
  </si>
  <si>
    <t>REGIÃO</t>
  </si>
  <si>
    <t>ÁREA DO FUNDO
ATERRO E CORTE</t>
  </si>
  <si>
    <t>ÁREA
REBAIXO DE ATERRO</t>
  </si>
  <si>
    <t>ÁREA
CAMADA FINAL (ATERRO)</t>
  </si>
  <si>
    <t>ÁREA
REBAIXO DE CORTE</t>
  </si>
  <si>
    <t>REGIÃO ESPECIAL (AOE)</t>
  </si>
  <si>
    <t>NS</t>
  </si>
  <si>
    <t>LADO ESQUERDO</t>
  </si>
  <si>
    <t>EIXO</t>
  </si>
  <si>
    <t>LADO DIREITO</t>
  </si>
  <si>
    <t>CORTE</t>
  </si>
  <si>
    <t>Offset</t>
  </si>
  <si>
    <t>Bordo</t>
  </si>
  <si>
    <t>Estaca</t>
  </si>
  <si>
    <t>Cota Projeto</t>
  </si>
  <si>
    <t>Cota Terreno</t>
  </si>
  <si>
    <t>Cota Vermelha</t>
  </si>
  <si>
    <t>ATERRO 100% (&lt;=0,60m)</t>
  </si>
  <si>
    <t>FUNDAÇÃO DE ATERRO (&lt;=0,60m) 100% PN</t>
  </si>
  <si>
    <t>ATERRO (&lt;=3,00m) 95% PN</t>
  </si>
  <si>
    <t>LARGURA ÚTIL PARA EMPRÉSTIMOS LATERAIS</t>
  </si>
  <si>
    <t>afast. (m)</t>
  </si>
  <si>
    <t>2A</t>
  </si>
  <si>
    <t>ATERRO 95/100%  (&lt;=3,00m)</t>
  </si>
  <si>
    <t>Nota de Serviço</t>
  </si>
  <si>
    <t>2B</t>
  </si>
  <si>
    <t>ATERRO 95/100% (S/*. COMP. FUNDO)</t>
  </si>
  <si>
    <t>CODi</t>
  </si>
  <si>
    <t>Nº - FA</t>
  </si>
  <si>
    <t>CODf</t>
  </si>
  <si>
    <t>VOLUME</t>
  </si>
  <si>
    <t>PARCIAL</t>
  </si>
  <si>
    <t>ACUM.</t>
  </si>
  <si>
    <t>Nº - FAA</t>
  </si>
  <si>
    <t>FX CERCA</t>
  </si>
  <si>
    <t>OFFSET</t>
  </si>
  <si>
    <t>FAIXA</t>
  </si>
  <si>
    <t>offset esq</t>
  </si>
  <si>
    <t>SALDO</t>
  </si>
  <si>
    <t>offset dir</t>
  </si>
  <si>
    <t>45</t>
  </si>
  <si>
    <t>+</t>
  </si>
  <si>
    <t>45+10.000</t>
  </si>
  <si>
    <t>TER</t>
  </si>
  <si>
    <t>46</t>
  </si>
  <si>
    <t>46+0.000</t>
  </si>
  <si>
    <t>46+10.000</t>
  </si>
  <si>
    <t>47</t>
  </si>
  <si>
    <t>47+0.000</t>
  </si>
  <si>
    <t>47+10.000</t>
  </si>
  <si>
    <t>KM</t>
  </si>
  <si>
    <t>48</t>
  </si>
  <si>
    <t>48+0.000</t>
  </si>
  <si>
    <t>48+10.000</t>
  </si>
  <si>
    <t>49</t>
  </si>
  <si>
    <t>49+0.000</t>
  </si>
  <si>
    <t>49+10.000</t>
  </si>
  <si>
    <t>50</t>
  </si>
  <si>
    <t>50+0.000</t>
  </si>
  <si>
    <t>50+10.000</t>
  </si>
  <si>
    <t>51</t>
  </si>
  <si>
    <t>51+0.000</t>
  </si>
  <si>
    <t>51+10.000</t>
  </si>
  <si>
    <t>52</t>
  </si>
  <si>
    <t>52+0.000</t>
  </si>
  <si>
    <t>52+10.000</t>
  </si>
  <si>
    <t>53</t>
  </si>
  <si>
    <t>53+0.000</t>
  </si>
  <si>
    <t>53+3.172</t>
  </si>
  <si>
    <t>53+10.000</t>
  </si>
  <si>
    <t>54</t>
  </si>
  <si>
    <t>54+0.000</t>
  </si>
  <si>
    <t>54+10.000</t>
  </si>
  <si>
    <t>55</t>
  </si>
  <si>
    <t>55+0.000</t>
  </si>
  <si>
    <t>55+1.324</t>
  </si>
  <si>
    <t>55+10.000</t>
  </si>
  <si>
    <t>56</t>
  </si>
  <si>
    <t>56+0.000</t>
  </si>
  <si>
    <t>56+10.000</t>
  </si>
  <si>
    <t>56+19.475</t>
  </si>
  <si>
    <t>57</t>
  </si>
  <si>
    <t>57+0.000</t>
  </si>
  <si>
    <t>57+10.000</t>
  </si>
  <si>
    <t>58</t>
  </si>
  <si>
    <t>58+0.000</t>
  </si>
  <si>
    <t>58+10.000</t>
  </si>
  <si>
    <t>59</t>
  </si>
  <si>
    <t>59+0.000</t>
  </si>
  <si>
    <t>59+10.000</t>
  </si>
  <si>
    <t>60</t>
  </si>
  <si>
    <t>60+0.000</t>
  </si>
  <si>
    <t>60+10.000</t>
  </si>
  <si>
    <t>60+14.426</t>
  </si>
  <si>
    <t>61</t>
  </si>
  <si>
    <t>61+0.000</t>
  </si>
  <si>
    <t>61+10.000</t>
  </si>
  <si>
    <t>62</t>
  </si>
  <si>
    <t>62+0.000</t>
  </si>
  <si>
    <t>62+10.000</t>
  </si>
  <si>
    <t>62+12.268</t>
  </si>
  <si>
    <t>63</t>
  </si>
  <si>
    <t>63+0.000</t>
  </si>
  <si>
    <t>63+10.000</t>
  </si>
  <si>
    <t>64</t>
  </si>
  <si>
    <t>64+0.000</t>
  </si>
  <si>
    <t>64+10.000</t>
  </si>
  <si>
    <t>64+10.109</t>
  </si>
  <si>
    <t>65</t>
  </si>
  <si>
    <t>65+0.000</t>
  </si>
  <si>
    <t>65+10.000</t>
  </si>
  <si>
    <t>0</t>
  </si>
  <si>
    <t>0+0.000</t>
  </si>
  <si>
    <t>0+10.000</t>
  </si>
  <si>
    <t>1+0.000</t>
  </si>
  <si>
    <t>1+10.000</t>
  </si>
  <si>
    <t>2</t>
  </si>
  <si>
    <t>2+0.000</t>
  </si>
  <si>
    <t>2+10.000</t>
  </si>
  <si>
    <t>3</t>
  </si>
  <si>
    <t>3+0.000</t>
  </si>
  <si>
    <t>3+10.000</t>
  </si>
  <si>
    <t>4</t>
  </si>
  <si>
    <t>4+0.000</t>
  </si>
  <si>
    <t>4+10.000</t>
  </si>
  <si>
    <t>5</t>
  </si>
  <si>
    <t>5+0.000</t>
  </si>
  <si>
    <t>5+10.000</t>
  </si>
  <si>
    <t>6</t>
  </si>
  <si>
    <t>6+0.000</t>
  </si>
  <si>
    <t>6+10.000</t>
  </si>
  <si>
    <t>7</t>
  </si>
  <si>
    <t>7+0.000</t>
  </si>
  <si>
    <t>7+10.000</t>
  </si>
  <si>
    <t>8</t>
  </si>
  <si>
    <t>8+0.000</t>
  </si>
  <si>
    <t>8+10.000</t>
  </si>
  <si>
    <t>9</t>
  </si>
  <si>
    <t>9+0.000</t>
  </si>
  <si>
    <t>9+10.000</t>
  </si>
  <si>
    <t>38</t>
  </si>
  <si>
    <t>38+0.000</t>
  </si>
  <si>
    <t>38+10.000</t>
  </si>
  <si>
    <t>39</t>
  </si>
  <si>
    <t>39+0.000</t>
  </si>
  <si>
    <t>39+10.000</t>
  </si>
  <si>
    <t>40</t>
  </si>
  <si>
    <t>40+0.000</t>
  </si>
  <si>
    <t>40+10.000</t>
  </si>
  <si>
    <t>41</t>
  </si>
  <si>
    <t>41+0.000</t>
  </si>
  <si>
    <t>41+10.000</t>
  </si>
  <si>
    <t>42</t>
  </si>
  <si>
    <t>42+0.000</t>
  </si>
  <si>
    <t>42+10.000</t>
  </si>
  <si>
    <t>43</t>
  </si>
  <si>
    <t>43+0.000</t>
  </si>
  <si>
    <t>43+10.000</t>
  </si>
  <si>
    <t>44</t>
  </si>
  <si>
    <t>44+0.000</t>
  </si>
  <si>
    <t>120</t>
  </si>
  <si>
    <t>120+0.000</t>
  </si>
  <si>
    <t>SEG</t>
  </si>
  <si>
    <t>120+10.000</t>
  </si>
  <si>
    <t>121</t>
  </si>
  <si>
    <t>121+0.000</t>
  </si>
  <si>
    <t>121+10.000</t>
  </si>
  <si>
    <t>122</t>
  </si>
  <si>
    <t>122+0.000</t>
  </si>
  <si>
    <t>122+10.000</t>
  </si>
  <si>
    <t>123</t>
  </si>
  <si>
    <t>123+0.000</t>
  </si>
  <si>
    <t>123+10.000</t>
  </si>
  <si>
    <t>124</t>
  </si>
  <si>
    <t>124+0.000</t>
  </si>
  <si>
    <t>124+10.000</t>
  </si>
  <si>
    <t>125</t>
  </si>
  <si>
    <t>125+0.000</t>
  </si>
  <si>
    <t>125+10.000</t>
  </si>
  <si>
    <t>126</t>
  </si>
  <si>
    <t>126+0.000</t>
  </si>
  <si>
    <t>126+10.000</t>
  </si>
  <si>
    <t>127</t>
  </si>
  <si>
    <t>127+0.000</t>
  </si>
  <si>
    <t>127+10.000</t>
  </si>
  <si>
    <t>128</t>
  </si>
  <si>
    <t>128+0.000</t>
  </si>
  <si>
    <t>128+10.000</t>
  </si>
  <si>
    <t>129</t>
  </si>
  <si>
    <t>129+0.000</t>
  </si>
  <si>
    <t>129+10.000</t>
  </si>
  <si>
    <t>130</t>
  </si>
  <si>
    <t>130+0.000</t>
  </si>
  <si>
    <t>130+10.000</t>
  </si>
  <si>
    <t>131</t>
  </si>
  <si>
    <t>131+0.000</t>
  </si>
  <si>
    <t>131+10.000</t>
  </si>
  <si>
    <t>132</t>
  </si>
  <si>
    <t>132+0.000</t>
  </si>
  <si>
    <t>132+10.000</t>
  </si>
  <si>
    <t>132+12.124</t>
  </si>
  <si>
    <t>QUA</t>
  </si>
  <si>
    <t>MODELO 2.0 - MAPA DE CUBAÇÃO</t>
  </si>
  <si>
    <t>REBAIXAMENTO</t>
  </si>
  <si>
    <t>REBAIXAMENTO SUBSTITUIÇÃO</t>
  </si>
  <si>
    <t>BRUCKNER</t>
  </si>
  <si>
    <t>REGIÕES</t>
  </si>
  <si>
    <t>ISC</t>
  </si>
  <si>
    <t>COMPENSAÇÃO TRANSVERSAL</t>
  </si>
  <si>
    <t>Estacas</t>
  </si>
  <si>
    <r>
      <t>Área Geométrico 
(m</t>
    </r>
    <r>
      <rPr>
        <vertAlign val="superscript"/>
        <sz val="8"/>
        <rFont val="Tahoma"/>
        <family val="2"/>
      </rPr>
      <t>2</t>
    </r>
    <r>
      <rPr>
        <sz val="8"/>
        <rFont val="Tahoma"/>
        <family val="2"/>
      </rPr>
      <t>)</t>
    </r>
  </si>
  <si>
    <r>
      <t>Volume Parcial Geométrico (m</t>
    </r>
    <r>
      <rPr>
        <vertAlign val="superscript"/>
        <sz val="8"/>
        <rFont val="Tahoma"/>
        <family val="2"/>
      </rPr>
      <t>3</t>
    </r>
    <r>
      <rPr>
        <sz val="8"/>
        <rFont val="Tahoma"/>
        <family val="2"/>
      </rPr>
      <t>)</t>
    </r>
  </si>
  <si>
    <r>
      <t>Volume Acum. Geométrico (m</t>
    </r>
    <r>
      <rPr>
        <vertAlign val="superscript"/>
        <sz val="8"/>
        <rFont val="Tahoma"/>
        <family val="2"/>
      </rPr>
      <t>3</t>
    </r>
    <r>
      <rPr>
        <sz val="8"/>
        <rFont val="Tahoma"/>
        <family val="2"/>
      </rPr>
      <t>)</t>
    </r>
  </si>
  <si>
    <t>Área de Compactação 
de Aterro Geométrico (m²)</t>
  </si>
  <si>
    <t>Área de Regularização
Compactação do Subleito
100% PN
(20 cm.)</t>
  </si>
  <si>
    <t>Volume  de Compactação 
Parcial Geométrico
(m³)(S/. Emp)</t>
  </si>
  <si>
    <t>Volume de Regularização
Compactação do Subleito
100% PN
(S/. Emp)(20 cm.)</t>
  </si>
  <si>
    <t>Volume Acum. Geométrico 
(m³)(S/. Emp)</t>
  </si>
  <si>
    <t>Volume de Regularização
Compactação do Subleito
100% PN
(S/. Emp)
(20 cm.)</t>
  </si>
  <si>
    <t>ATERRO (&lt;20cm)</t>
  </si>
  <si>
    <t>ATERRO (&lt;60cm)</t>
  </si>
  <si>
    <t>CORTE
(S/. REBAIXO)</t>
  </si>
  <si>
    <t>COMPENSAÇÃO</t>
  </si>
  <si>
    <t>ORDENADA
BRUCKNER</t>
  </si>
  <si>
    <t>Corte</t>
  </si>
  <si>
    <t>Aterro</t>
  </si>
  <si>
    <t>95% P.N.</t>
  </si>
  <si>
    <t>100% P.N.
(Incluso a área de regularização do Subleito)</t>
  </si>
  <si>
    <t>100% P.N. 
(Inc. a regularização do Subleito)</t>
  </si>
  <si>
    <t>ÁREA (m²)</t>
  </si>
  <si>
    <t>VOLUME (m³)</t>
  </si>
  <si>
    <t>Geométrico
95% P.N.</t>
  </si>
  <si>
    <t>Geométrico
100% P.N.</t>
  </si>
  <si>
    <t>TRANSVERSAL</t>
  </si>
  <si>
    <t>LONGITUDINAL</t>
  </si>
  <si>
    <t>ATERRO CAMADA FINAL
100%PN</t>
  </si>
  <si>
    <t>ATERRO CORPO DE ATERRO</t>
  </si>
  <si>
    <t>REBAIXO EM CORTE</t>
  </si>
  <si>
    <t>REBAIXO EM CORTE COM SUBSTITUIÇÃO</t>
  </si>
  <si>
    <t>REBAIXO EM ATERRO</t>
  </si>
  <si>
    <t>REBAIXO EM ATERRO SUBSTITUIÇÃO</t>
  </si>
  <si>
    <t>Nº - A.CF</t>
  </si>
  <si>
    <t>Nº - A.CA</t>
  </si>
  <si>
    <t>Nº - RS</t>
  </si>
  <si>
    <t>nº da CL</t>
  </si>
  <si>
    <t>A.CF-RET01.1</t>
  </si>
  <si>
    <t>REB-RET01.1</t>
  </si>
  <si>
    <t>CL-RET01.1</t>
  </si>
  <si>
    <t>CL-RET01.2</t>
  </si>
  <si>
    <t>REC-RET01.1</t>
  </si>
  <si>
    <t>CL-RET01.3</t>
  </si>
  <si>
    <t>C-RET01.1</t>
  </si>
  <si>
    <t>A.CF-RET01.2</t>
  </si>
  <si>
    <t>REB-RET01.2</t>
  </si>
  <si>
    <t>REC-RET01.2</t>
  </si>
  <si>
    <t>C-RET01.2</t>
  </si>
  <si>
    <t>REB-RET01.3</t>
  </si>
  <si>
    <t>A.CF-RET02.3</t>
  </si>
  <si>
    <t>REB-RET02.4</t>
  </si>
  <si>
    <t>CL-RET02.4</t>
  </si>
  <si>
    <t>REC-RET02.3</t>
  </si>
  <si>
    <t>CL-RET02.5</t>
  </si>
  <si>
    <t>REC-RET02.4</t>
  </si>
  <si>
    <t>CL-RET02.6</t>
  </si>
  <si>
    <t>REC-RET02.5</t>
  </si>
  <si>
    <t>CL-RET02.7</t>
  </si>
  <si>
    <t>REC-RET02.6</t>
  </si>
  <si>
    <t>CL-RET02.8</t>
  </si>
  <si>
    <t>REB-RET02.5</t>
  </si>
  <si>
    <t>A.CF-RET02.4</t>
  </si>
  <si>
    <t>CL-RET02.9</t>
  </si>
  <si>
    <t>REC-RET02.7</t>
  </si>
  <si>
    <t>C-RET02.3</t>
  </si>
  <si>
    <t>REC-SEG02.8</t>
  </si>
  <si>
    <t>REB-SEG02.6</t>
  </si>
  <si>
    <t>A.CF-SEG02.5</t>
  </si>
  <si>
    <t>CL-SEG02.10</t>
  </si>
  <si>
    <t>C-SEG02.4</t>
  </si>
  <si>
    <t>CL-SEG02.11</t>
  </si>
  <si>
    <t>REB-SEG02.7</t>
  </si>
  <si>
    <t>A.CF-SEG02.6</t>
  </si>
  <si>
    <t>REC-SEG02.9</t>
  </si>
  <si>
    <t>CL-SEG02.12</t>
  </si>
  <si>
    <t>C-SEG02.5</t>
  </si>
  <si>
    <t>REB-SEG02.8</t>
  </si>
  <si>
    <t>CL-SEG02.13</t>
  </si>
  <si>
    <t>A.CF-SEG02.7</t>
  </si>
  <si>
    <t>MODELO 3.0- CLASSIFICAÇÃO DOS MATERIAIS DE CORTE</t>
  </si>
  <si>
    <t>MATERIAIS DE CORTE C-8</t>
  </si>
  <si>
    <t>Discriminação</t>
  </si>
  <si>
    <t>COTA MÉDIA (m)</t>
  </si>
  <si>
    <t>VOL. TOTAL (m3)</t>
  </si>
  <si>
    <t>PERCENTUAIS (%)*</t>
  </si>
  <si>
    <t>TOTAL(%)</t>
  </si>
  <si>
    <t>VOLUMES (m3)</t>
  </si>
  <si>
    <t>AREA TOTAL</t>
  </si>
  <si>
    <t>1ª</t>
  </si>
  <si>
    <t>2ª</t>
  </si>
  <si>
    <t>3ª</t>
  </si>
  <si>
    <t>EST. INICIAL</t>
  </si>
  <si>
    <t>EST. FINAL</t>
  </si>
  <si>
    <t>335+10,00</t>
  </si>
  <si>
    <t>VAR.</t>
  </si>
  <si>
    <t>343+0,00</t>
  </si>
  <si>
    <t>350+10,00</t>
  </si>
  <si>
    <t>358+0,00</t>
  </si>
  <si>
    <t>363+19,71</t>
  </si>
  <si>
    <t>371+0,02</t>
  </si>
  <si>
    <t>Media</t>
  </si>
  <si>
    <t>TOTAL (m3)</t>
  </si>
  <si>
    <t>MATERIAIS DE CORTE C-16</t>
  </si>
  <si>
    <t xml:space="preserve">*Percentuais obtidos de acordo com as sondagens realizadas levando em consideração o horizonte de cada categoria.
</t>
  </si>
  <si>
    <t>AREA</t>
  </si>
  <si>
    <t>882+0,00</t>
  </si>
  <si>
    <t>889+0,00</t>
  </si>
  <si>
    <t>C-8</t>
  </si>
  <si>
    <t>C-16</t>
  </si>
  <si>
    <t>CLASSIFICAÇÃO Compensação lateral</t>
  </si>
  <si>
    <t>CL-SEG02.14</t>
  </si>
  <si>
    <t>MODELO 4.0 - QUADRO DE DISTRIBUIÇÃO DE MASSA</t>
  </si>
  <si>
    <t>ORIGEM DO MATERIAL</t>
  </si>
  <si>
    <t>DESTINO DO MATERIAL</t>
  </si>
  <si>
    <t>FAIXAS DE DISTRIBUIÇÃO - COMPENSAÇÃO LATERAL</t>
  </si>
  <si>
    <t>FAIXAS DE DISTRIBUIÇÃO - 1ª CATEGORIA</t>
  </si>
  <si>
    <t>FAIXAS DE DISTRIBUIÇÃO - 2ª CATEGORIA</t>
  </si>
  <si>
    <t>FAIXAS DE DISTRIBUIÇÃO - 3ª CATEGORIA</t>
  </si>
  <si>
    <t>FAIXAS DE DISTRIBUIÇÃO - SOLO MOLE</t>
  </si>
  <si>
    <t>FAIXAS DE DISTRIBUIÇÃO - EMPRÉSTIMOS</t>
  </si>
  <si>
    <t>FAIXAS DE DISTRIBUIÇÃO - CAMADA FINAL DE TERRAPLENAGEM</t>
  </si>
  <si>
    <t>FAIXAS DE DISTRIBUIÇÃO - CORPO DE ATERRO</t>
  </si>
  <si>
    <t>FAIXAS DE DISTRIBUIÇÃO - BOTA FORA CONFINADO</t>
  </si>
  <si>
    <t>FAIXAS DE DISTRIBUIÇÃO - BOTA FORA NÃO CONFINADO (ESPALHAMENTO)</t>
  </si>
  <si>
    <t>FAIXAS DE DISTRIBUIÇÃO - REBAIXO DE CORTE COM SUBSTITUIÇÃO</t>
  </si>
  <si>
    <t>FAIXAS DE DISTRIBUIÇÃO - REBAIXO DE CORTE 40 CM</t>
  </si>
  <si>
    <t>FAIXAS DE DISTRIBUIÇÃO - REBAIXO DE ATERRO &lt;40 CM</t>
  </si>
  <si>
    <t>FAIXAS DE DISTRIBUIÇÃO - REBAIXO DE ATERRO COM SUBSTITUIÇÃO &lt;60 CM</t>
  </si>
  <si>
    <t>FAIXAS DE DISTRIBUIÇÃO - REBAIXO DE COLCHÃO DRENANTE</t>
  </si>
  <si>
    <t>Estaca Inicial</t>
  </si>
  <si>
    <t>Estaca Final</t>
  </si>
  <si>
    <t>ISCp (%)</t>
  </si>
  <si>
    <t>Volumes Geométrico (m³)</t>
  </si>
  <si>
    <t>DMT (SE INTERSEÇÃO)</t>
  </si>
  <si>
    <t>Distância de Transporte (km)</t>
  </si>
  <si>
    <t>Momento de Transporte (m³.km)</t>
  </si>
  <si>
    <t>Bota-fora</t>
  </si>
  <si>
    <t>Outros</t>
  </si>
  <si>
    <t>Fator de Empolamento</t>
  </si>
  <si>
    <t>Volumes (m³)</t>
  </si>
  <si>
    <t>DT               (km)</t>
  </si>
  <si>
    <t>ISC Mat. de Origem</t>
  </si>
  <si>
    <t>1ª Categoria</t>
  </si>
  <si>
    <t>2ª Categoria</t>
  </si>
  <si>
    <t>3ª Categoria</t>
  </si>
  <si>
    <t>Solo Mole</t>
  </si>
  <si>
    <t>0-0,050</t>
  </si>
  <si>
    <t>0,0510-0,200</t>
  </si>
  <si>
    <t>0,201-0,400</t>
  </si>
  <si>
    <t>0,401-0,600</t>
  </si>
  <si>
    <t>0,601-0,800</t>
  </si>
  <si>
    <t>0,801-1,000</t>
  </si>
  <si>
    <t>1,001-1,200</t>
  </si>
  <si>
    <t>1,201-1,400</t>
  </si>
  <si>
    <t>1,401-1,600</t>
  </si>
  <si>
    <t>1,601-1,800</t>
  </si>
  <si>
    <t>1,801-2,000</t>
  </si>
  <si>
    <t>2,001-3,000</t>
  </si>
  <si>
    <t>3,001-5,000</t>
  </si>
  <si>
    <t>&gt;5,000</t>
  </si>
  <si>
    <t>5,001-10,000</t>
  </si>
  <si>
    <t>1,200-1400</t>
  </si>
  <si>
    <t>1401-1,600</t>
  </si>
  <si>
    <t>1,801-2000</t>
  </si>
  <si>
    <t>&gt;2,000</t>
  </si>
  <si>
    <t>&gt;1,000</t>
  </si>
  <si>
    <t>ALINHAMENTO: CONTORNO VIÁRIO DE CATALÃO, INTERSEÇÃO HPE E INTERSEÇÃO GO-210</t>
  </si>
  <si>
    <t>CF</t>
  </si>
  <si>
    <t>CX-01</t>
  </si>
  <si>
    <t>TOTAL:</t>
  </si>
  <si>
    <t>Modelo 4.1 - QUADRO RESUMO DO QDM</t>
  </si>
  <si>
    <t>Modelo 4.0 - QUADRO DE LENGEDAS DO QDM</t>
  </si>
  <si>
    <t>Volumes de Escavação (m³)</t>
  </si>
  <si>
    <t>A-0X</t>
  </si>
  <si>
    <t>Total de Corte</t>
  </si>
  <si>
    <t>C-0X</t>
  </si>
  <si>
    <t>Compensação Lateral</t>
  </si>
  <si>
    <t>CL-0X</t>
  </si>
  <si>
    <t>Empréstimos Laterais</t>
  </si>
  <si>
    <t>ELE-0X</t>
  </si>
  <si>
    <t>Empréstimo Lateral Lado Esquerdo</t>
  </si>
  <si>
    <t>Empréstimos Concentrados</t>
  </si>
  <si>
    <t>ELD-0X</t>
  </si>
  <si>
    <t>Empréstimo Lateral Lado Direito</t>
  </si>
  <si>
    <t>Rebaixo em Aterro - máx 40 cm</t>
  </si>
  <si>
    <t>CX-0X</t>
  </si>
  <si>
    <t>Caixa de Empréstimo Concentrado</t>
  </si>
  <si>
    <t>Rebaixo em Aterro com Substituição</t>
  </si>
  <si>
    <t>RBA-0X</t>
  </si>
  <si>
    <t>Rebaixos em Aterros (h&lt;40 cm)</t>
  </si>
  <si>
    <t>Rebaixo em Cortes - 40 cm</t>
  </si>
  <si>
    <t>Rebaixo em Cortes - mín 60 cm</t>
  </si>
  <si>
    <t>REC-0X</t>
  </si>
  <si>
    <t>Rebaixos em Cortes - 40 cm</t>
  </si>
  <si>
    <t>Corte para Bota-fora Confinado</t>
  </si>
  <si>
    <t>Corte para Bota-fora não confinado</t>
  </si>
  <si>
    <t>RCS-0X</t>
  </si>
  <si>
    <t>Rebaixos em Cortes p/ Subst. (h&gt;=60 cm)</t>
  </si>
  <si>
    <t>Rebaixo de Corte para Bota-Fora Confinado</t>
  </si>
  <si>
    <t>BFN-0X</t>
  </si>
  <si>
    <t>Bota-Fora Não Confinado</t>
  </si>
  <si>
    <t>Rebaixo de Corte para Bota-fora não confinado</t>
  </si>
  <si>
    <t>BEO-0X</t>
  </si>
  <si>
    <t>Bota-Espera / Origem</t>
  </si>
  <si>
    <t>Rebaixo de Aterro para Bota-Fora Confinado</t>
  </si>
  <si>
    <t>BFC-0X</t>
  </si>
  <si>
    <t>Bota-Fora Confinado</t>
  </si>
  <si>
    <t>Rebaixo de Aterro para Bota-fora não confinado</t>
  </si>
  <si>
    <t>Rebaixo de Colchão Drenante para Bota-Fora Confinado</t>
  </si>
  <si>
    <t>SM-0X</t>
  </si>
  <si>
    <t>Solo de Baixa Capacidade de Suporte (Solo Mole)</t>
  </si>
  <si>
    <t>Rebaixo de Colchão Drenante para Bota-Fora Não Confinado</t>
  </si>
  <si>
    <t>Rebaixo de Solo de Baixa Cap. De Sup. Para BF Confinado</t>
  </si>
  <si>
    <t>Rebaixo de Solo de Baixa Cap. De Sup. Para BF Não Confinado</t>
  </si>
  <si>
    <t>Volumes de Compactação (m³)</t>
  </si>
  <si>
    <t>Total de Aterro</t>
  </si>
  <si>
    <t>Corpo de Aterro - 95%</t>
  </si>
  <si>
    <t>Camada Final de Aterro - 100%</t>
  </si>
  <si>
    <t>Bota-fora não confinado (*)</t>
  </si>
  <si>
    <t>Bota-fora confinado</t>
  </si>
  <si>
    <t>*Bota-fora para compactação, os confinados não são considerados.</t>
  </si>
  <si>
    <t>Caixa de Empréstimo Concetrada</t>
  </si>
  <si>
    <t>RBS-0X</t>
  </si>
  <si>
    <t>Rebaixos em Aterros Substituição (h&lt;60 cm)</t>
  </si>
  <si>
    <t>RCD-0X</t>
  </si>
  <si>
    <t>Rebaixos para Colchão Drenante</t>
  </si>
  <si>
    <t>Solo de Baixa Capacidade de Suporte</t>
  </si>
  <si>
    <t>EL-01</t>
  </si>
  <si>
    <t>EL-02</t>
  </si>
  <si>
    <t>EL-03</t>
  </si>
  <si>
    <t>EL-04</t>
  </si>
  <si>
    <t>EL-05</t>
  </si>
  <si>
    <t>EL-06</t>
  </si>
  <si>
    <t>EL-07</t>
  </si>
  <si>
    <t>REBAIXOS</t>
  </si>
  <si>
    <t>REBAIXOS EM ATERROS COM ALTURA MENOR QUE 20 CM</t>
  </si>
  <si>
    <t>REBAIXO</t>
  </si>
  <si>
    <t>Estaca inicial</t>
  </si>
  <si>
    <t>Estaca final</t>
  </si>
  <si>
    <t>LARGURA (m)</t>
  </si>
  <si>
    <t>ESPESSURA (m)</t>
  </si>
  <si>
    <t>VAR</t>
  </si>
  <si>
    <t>REB-SEG02.9</t>
  </si>
  <si>
    <t>REB-SEG02.10</t>
  </si>
  <si>
    <t>REB-SEG02.11</t>
  </si>
  <si>
    <t>REB-SEG02.12</t>
  </si>
  <si>
    <t>REB-SEG02.13</t>
  </si>
  <si>
    <t>REB-SEG02.14</t>
  </si>
  <si>
    <t>REB-SEG02.15</t>
  </si>
  <si>
    <t>REB-SEG02.16</t>
  </si>
  <si>
    <t>REB-SEG02.17</t>
  </si>
  <si>
    <t>REB-SEG02.18</t>
  </si>
  <si>
    <t>REB-SEG02.19</t>
  </si>
  <si>
    <t>REB-SEG02.20</t>
  </si>
  <si>
    <t>REBAIXOS EM ATERROS COM ALTURA MENOR QUE 60 CM - SUBSTITUIÇÃO</t>
  </si>
  <si>
    <t>RBS-1</t>
  </si>
  <si>
    <t>RBS-2</t>
  </si>
  <si>
    <t>RBS-3</t>
  </si>
  <si>
    <t>RBS-4</t>
  </si>
  <si>
    <t>RBS-5</t>
  </si>
  <si>
    <t>RBS-6</t>
  </si>
  <si>
    <t>RBS-7</t>
  </si>
  <si>
    <t>RBS-8</t>
  </si>
  <si>
    <t>RBS-9</t>
  </si>
  <si>
    <t>RBS-10</t>
  </si>
  <si>
    <t>FUNDAÇÃO DE ATERRO</t>
  </si>
  <si>
    <t>FUNDAÇÃO DE ATERRO (0,20m)</t>
  </si>
  <si>
    <t>FNA-RET01.1</t>
  </si>
  <si>
    <t>FNA-RET01.2</t>
  </si>
  <si>
    <t>FNA-RET01.3</t>
  </si>
  <si>
    <t>FNA-RET02.4</t>
  </si>
  <si>
    <t>FNA-RET02.5</t>
  </si>
  <si>
    <t>FNA-SEG02.6</t>
  </si>
  <si>
    <t>FNA-SEG02.7</t>
  </si>
  <si>
    <t>FNA-SEG02.8</t>
  </si>
  <si>
    <t>REBAIXOS EM CORTES - 20 cm</t>
  </si>
  <si>
    <t>REC-SEG02.11</t>
  </si>
  <si>
    <t>REC-SEG02.12</t>
  </si>
  <si>
    <t>REC-SEG02.13</t>
  </si>
  <si>
    <t>REC-SEG02.14</t>
  </si>
  <si>
    <t>REC-SEG02.15</t>
  </si>
  <si>
    <t>REC-SEG02.16</t>
  </si>
  <si>
    <t>REC-SEG02.17</t>
  </si>
  <si>
    <t>REC-SEG02.18</t>
  </si>
  <si>
    <t>REC-SEG02.19</t>
  </si>
  <si>
    <t>REC-SEG02.20</t>
  </si>
  <si>
    <t>REC-SEG02.21</t>
  </si>
  <si>
    <t>REC-SEG02.22</t>
  </si>
  <si>
    <t>REC-SEG02.23</t>
  </si>
  <si>
    <t>REC-SEG02.24</t>
  </si>
  <si>
    <t>REC-SEG02.25</t>
  </si>
  <si>
    <t>REC-SEG02.26</t>
  </si>
  <si>
    <t>REC-SEG02.27</t>
  </si>
  <si>
    <t>REBAIXOS EM CORTES - mínimo 60 cm - SUBSTITUIÇÃO</t>
  </si>
  <si>
    <t>RCS-1</t>
  </si>
  <si>
    <t>RCS-2</t>
  </si>
  <si>
    <t>RCS-3</t>
  </si>
  <si>
    <t>RCS-4</t>
  </si>
  <si>
    <t>RCS-5</t>
  </si>
  <si>
    <t>RCS-6</t>
  </si>
  <si>
    <t>RCS-7</t>
  </si>
  <si>
    <t>RCS-8</t>
  </si>
  <si>
    <t>RCS-9</t>
  </si>
  <si>
    <t>RCS-10</t>
  </si>
  <si>
    <t>RCS-11</t>
  </si>
  <si>
    <t>RCS-12</t>
  </si>
  <si>
    <t>RCS-13</t>
  </si>
  <si>
    <t>RCS-14</t>
  </si>
  <si>
    <t>RCS-15</t>
  </si>
  <si>
    <t>RCS-16</t>
  </si>
  <si>
    <t>RCS-17</t>
  </si>
  <si>
    <t>NOS "REBAIXOS EM CORTES - 40 cm" COM ISC &lt; ISCp, FOI PREVISTO O ACRÉSCIMO DE 20 cm PARA PERMITIR A SUBSTITUIÇÃO DO MATERIAL, CONFORME EXIGIDO PELAS ESPECIFICAÇÕES DA IP.</t>
  </si>
  <si>
    <t>FUNDAÇÃO DE CORTE - 20 cm</t>
  </si>
  <si>
    <t>FUNDAÇÃO DE CORTE</t>
  </si>
  <si>
    <t>FNC-RET01.1</t>
  </si>
  <si>
    <t>FNC-RET01.2</t>
  </si>
  <si>
    <t>FNC-RET02.3</t>
  </si>
  <si>
    <t>FNC-RET02.4</t>
  </si>
  <si>
    <t>FNC-RET02.5</t>
  </si>
  <si>
    <t>FNC-RET02.6</t>
  </si>
  <si>
    <t>FNC-RET02.7</t>
  </si>
  <si>
    <t>FNC-SEG02.8</t>
  </si>
  <si>
    <t>FNC-SEG02.9</t>
  </si>
  <si>
    <t>FUNDAÇÃO DE ATERRO - 0,6 à 3 m</t>
  </si>
  <si>
    <t>FAA.RET01-1</t>
  </si>
  <si>
    <t>FAA.RET01-2</t>
  </si>
  <si>
    <t>FAA.RET01-3</t>
  </si>
  <si>
    <t>FAA.RET01-4</t>
  </si>
  <si>
    <t>FAA.RET01-5</t>
  </si>
  <si>
    <t>FAA.RET01-6</t>
  </si>
  <si>
    <t>FAA.RET01-7</t>
  </si>
  <si>
    <t>FAA.RET01-8</t>
  </si>
  <si>
    <t>FAA.RET01-9</t>
  </si>
  <si>
    <t>FAA.RET01-10</t>
  </si>
  <si>
    <t>FAA-11</t>
  </si>
  <si>
    <t>FAA-12</t>
  </si>
  <si>
    <t>FAA-13</t>
  </si>
  <si>
    <t>FAA-14</t>
  </si>
  <si>
    <t>FAA-15</t>
  </si>
  <si>
    <t>FAA-16</t>
  </si>
  <si>
    <t>FAA-17</t>
  </si>
  <si>
    <t>FAA-18</t>
  </si>
  <si>
    <t>FAA-19</t>
  </si>
  <si>
    <t>FAA-20</t>
  </si>
  <si>
    <t>FAA-21</t>
  </si>
  <si>
    <t>FAA-22</t>
  </si>
  <si>
    <t>FAA-23</t>
  </si>
  <si>
    <t>FAA-24</t>
  </si>
  <si>
    <t>FAA-25</t>
  </si>
  <si>
    <t>Modelo 6.0 - EMPRÉSTIMOS / CAIXA CONCENTRADA</t>
  </si>
  <si>
    <t>EMPRÉSTIMOS</t>
  </si>
  <si>
    <t>DISTÂNCIA A EST 172</t>
  </si>
  <si>
    <t>ÁREA          (m²)</t>
  </si>
  <si>
    <t>PROFUNDIDADE (m)</t>
  </si>
  <si>
    <t>VOLUME DISPONÍVEL (m³)</t>
  </si>
  <si>
    <t>VOLUME UTILIZADO</t>
  </si>
  <si>
    <t>(m³)</t>
  </si>
  <si>
    <t>Lateral</t>
  </si>
  <si>
    <t>Concentrado</t>
  </si>
  <si>
    <t>MODELO 10.0 - RESUMO GERAL DA DISTRIBUIÇÃO DOS MATERIAIS</t>
  </si>
  <si>
    <t>TRANSPORTE DE MATERIAIS</t>
  </si>
  <si>
    <t>VOLUME TOTAL ESCAVADO (m3)</t>
  </si>
  <si>
    <t>PERCENTUAL DO VOLUME DE MATERIAL POR FAIXA</t>
  </si>
  <si>
    <t>PERCENTUAL DO VOLUME DE MATERIAL POR FAIXA (ACUMULADO)</t>
  </si>
  <si>
    <t>D E S T I N O   D O S   M A T E R I A I S (VOLUMES ESTABILIZADOS)</t>
  </si>
  <si>
    <t>O R I G E M   D O S   M A T E R I A I S (VOLUMES ESCADOS)</t>
  </si>
  <si>
    <t>CAMADAS FINAIS TERRAPLENAGEM</t>
  </si>
  <si>
    <t>CORPO DE ATERRO</t>
  </si>
  <si>
    <t>COMPACTAÇÃO DE FUNDO</t>
  </si>
  <si>
    <t>BOTA-FORA</t>
  </si>
  <si>
    <t>INTERVALOS EM</t>
  </si>
  <si>
    <t>COMPEN.</t>
  </si>
  <si>
    <t>1ª CATEGORIA</t>
  </si>
  <si>
    <t>2ª CATEGORIA</t>
  </si>
  <si>
    <t>3ª CATEGORIA</t>
  </si>
  <si>
    <t>EMPRÉSTIMO</t>
  </si>
  <si>
    <t>REBAIXO DE SUBLEITO</t>
  </si>
  <si>
    <t>REMOÇÃO</t>
  </si>
  <si>
    <t>REMOÇÃO EM</t>
  </si>
  <si>
    <t xml:space="preserve"> (P.N. 100%)</t>
  </si>
  <si>
    <t>METROS</t>
  </si>
  <si>
    <t>LATERAL</t>
  </si>
  <si>
    <t>CORTE SUBST</t>
  </si>
  <si>
    <t>ATERRO</t>
  </si>
  <si>
    <t>ATERRO SUBST</t>
  </si>
  <si>
    <t>COLCHÃO DRENANTE</t>
  </si>
  <si>
    <t>DE SOLO MOLE</t>
  </si>
  <si>
    <t>ROCHA</t>
  </si>
  <si>
    <t>(Incluso Rebaixos)</t>
  </si>
  <si>
    <t>(P.N. 95%)</t>
  </si>
  <si>
    <t>NÃO CONFINADO</t>
  </si>
  <si>
    <t>CONFINADO</t>
  </si>
  <si>
    <t>SEM TRANSPORTES:</t>
  </si>
  <si>
    <t>FUNDAÇÃO DE ATERRO - 0,00 a 0,60 m</t>
  </si>
  <si>
    <t>FUNDAÇÃO DE CORTE - 0,40 m</t>
  </si>
  <si>
    <t>FUNDAÇÃO DE ATERRO - 0,60 a 3,0 m</t>
  </si>
  <si>
    <t>PERCENTUAL(%)</t>
  </si>
  <si>
    <t>DISTÂNCIA PONDERADA DOS TRANSPORTES:</t>
  </si>
  <si>
    <t>VOLUME DE ATERRO COMPACTADO (m³) =</t>
  </si>
  <si>
    <t>ACABAMENTO E RECOMPOSIÇÃO DE EMPRÉSTIMO:</t>
  </si>
  <si>
    <t>(VOLUME GEOMÉTRICO - INCLUSO REBAIXOS)</t>
  </si>
  <si>
    <t>ESCAVAÇÃO MÉDIA (m³/Km) =</t>
  </si>
  <si>
    <t>VOLUME ESCAVADO DESTINADO PARA ATERRO:</t>
  </si>
  <si>
    <t>(DESCONTADO MATERIAL DE CORTE E REBAIXOS DESTINADO A BOTA-FORA E CAIXAS DE EMPRÉSTIMO)</t>
  </si>
  <si>
    <t>EXTENSÃO PARA O CÁLCULO (Km) =</t>
  </si>
  <si>
    <t>FATOR DE COMPACTAÇÃO (uníco ou cortes) K=</t>
  </si>
  <si>
    <r>
      <t>TOTAL DE BOTA-FORA DE CORTES:</t>
    </r>
    <r>
      <rPr>
        <b/>
        <sz val="8"/>
        <rFont val="Arial"/>
        <family val="2"/>
      </rPr>
      <t xml:space="preserve"> (Confinado, não confinado, 3ª Cat. e solo mole)</t>
    </r>
  </si>
  <si>
    <t>FATOR DE COMPACTAÇÃO (empréstimos laterais) K=</t>
  </si>
  <si>
    <r>
      <t xml:space="preserve">MATERIAL DE CORTE DESTINADO A BOTA-FORA: </t>
    </r>
    <r>
      <rPr>
        <sz val="8"/>
        <rFont val="Arial"/>
        <family val="2"/>
      </rPr>
      <t>(NÃO CONFIDADO) (Exceto Mat. 3a + Solo Mole):</t>
    </r>
  </si>
  <si>
    <t>FATOR DE COMPACTAÇÃO (caixa concentrada) K=</t>
  </si>
  <si>
    <r>
      <t>MATERIAL DE CORTE DESTINADO A CAIXA DE EMPRÉSTIMO:</t>
    </r>
    <r>
      <rPr>
        <sz val="8"/>
        <rFont val="Arial"/>
        <family val="2"/>
      </rPr>
      <t xml:space="preserve"> (CONFINADO)</t>
    </r>
  </si>
  <si>
    <t>MATERIAL DE BOTA-FORA DE 3ª CATEG. + SOLO MOLE:</t>
  </si>
  <si>
    <t>VOLUME ESCAVADO:</t>
  </si>
  <si>
    <t>% Categ.</t>
  </si>
  <si>
    <t>% Categ. Acum.</t>
  </si>
  <si>
    <t xml:space="preserve"> 1ª CATEGORIA</t>
  </si>
  <si>
    <t>VOLUME TOTAL DE COMPACTAÇÃO A 100% PN (12 GOLPES)=</t>
  </si>
  <si>
    <t>(INCLUINDO VOLUME A CAMADA DE REGULARIZAÇÃO DO SUBLEITO)</t>
  </si>
  <si>
    <t xml:space="preserve"> 2ª CATEGORIA</t>
  </si>
  <si>
    <t>VOLUME DA CAMADA DE SUBLEITO (ÚLTIMOS 20 CM DA C.F.T.)</t>
  </si>
  <si>
    <r>
      <t>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(MEDIDO NA PAVIMENTAÇÃO. DESCONTADO NA COMPACT. A 100% DO PN DA TERRAP.)</t>
    </r>
  </si>
  <si>
    <t xml:space="preserve"> 3ª CATEGORIA</t>
  </si>
  <si>
    <t>SOLO DE BAIXA CAP. SUPORTE</t>
  </si>
  <si>
    <t>VOLUME FINAL DE COMPACTAÇÃO A 95% P.N. (12 GOLPES)=</t>
  </si>
  <si>
    <t>(INCLUINDO MATERIAL DE BOTA-FORA NÃO CONFINADO)</t>
  </si>
  <si>
    <t>VOLUME TOTAL ESCAVADO</t>
  </si>
  <si>
    <t>VOLUME FINAL DE COMPACTAÇÃO A 100% P.N. (12 GOLPES)=</t>
  </si>
  <si>
    <t>(DESCONTADO VOLUME DA CAMADA DE SUBLEITO)</t>
  </si>
  <si>
    <t>VOLUME MÉDIO DE COMPACTAÇÃO</t>
  </si>
  <si>
    <t>m³/km</t>
  </si>
  <si>
    <t xml:space="preserve">ÁREA TOTAL DE DESMATAMENTO DE ÁRVORES COM DIÂMETROS MENORES DE 15 CM </t>
  </si>
  <si>
    <t>DESTOCAMENTO DE ÁRVORES COM DIÂMETRO DE 15 A 30 cm</t>
  </si>
  <si>
    <t>DESTOCAMENTO DE ÁRVORES COM DIÂMETRO MAIOR QUE 30 cm</t>
  </si>
  <si>
    <t>VOLUME TOTAL DE CARGA DE ENTULHOS</t>
  </si>
  <si>
    <t>TOTAL DE TRANSPORTE DE ENTULHOS</t>
  </si>
  <si>
    <t>m³xkm</t>
  </si>
  <si>
    <t>OBSERVAÇÕES:</t>
  </si>
  <si>
    <t>Previsto rebaixo nos cortes para tratar e recompactar 60cm a 100% do PN. Idem para os aterros com menos de 60cm, previsto rebaixo e recompactação para que se garanta que 60cm estejam compactados a 100% do PN.</t>
  </si>
  <si>
    <t>Conforme instrução normativa IP-09, foi previsto escarificação e compactação da fundação dos aterros com altura menor de 3,00m, numa espessura de 20cm.</t>
  </si>
  <si>
    <t>Foram descontadas as áreas de regularização de subleito dos limpa rodas na área total de regularização por não existir terraplenagem nessas áreas.</t>
  </si>
  <si>
    <t>TERRAPLENAGEM SEM EMPRÉSTIMO LATERAL</t>
  </si>
  <si>
    <t>Serviços</t>
  </si>
  <si>
    <t>Unidades</t>
  </si>
  <si>
    <t>Quantidades</t>
  </si>
  <si>
    <t>DESMATAMENTO E LIMPEZA - INCLUSO DESTOCAMENTO DE ÁRVORES COM DIÂMETROS MENORES DE 15 cm</t>
  </si>
  <si>
    <t xml:space="preserve">un    </t>
  </si>
  <si>
    <t>CARGA DE ENTULHOS</t>
  </si>
  <si>
    <t>ESCAVAÇÃO, CARGA E TRANSPORTE DE MATERIAL DE 1ª CATEGORIA ATÉ 50M</t>
  </si>
  <si>
    <t>ESCAVAÇÃO, CARGA E TRANSPORTE DE MATERIAL DE 2ª CATEGORIA ATÉ 50M</t>
  </si>
  <si>
    <t>ESCAVAÇÃO, CARGA E TRANSPORTE DE MATERIAL DE 3ª CATEGORIA ATÉ 50M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</si>
  <si>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</si>
  <si>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</si>
  <si>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</si>
  <si>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</si>
  <si>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</si>
  <si>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</si>
  <si>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</si>
  <si>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</si>
  <si>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</si>
  <si>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ESCAV., CARGA E TRANSPORTE DE MAT. 1ª CATEG. - C/ ESCAVADEIRA - (DT: 1.801 A 2.000M)</t>
  </si>
  <si>
    <t>ESCAV., CARGA E TRANSPORTE DE MAT. 1ª CATEG. - C/ ESCAVADEIRA - (DT: 2.001 A 3.000M)</t>
  </si>
  <si>
    <t>ESCAV., CARGA E TRANSPORTE DE MAT. 1ª CATEG. - C/ ESCAVADEIRA - (DT: 3.001 A 5.000M)</t>
  </si>
  <si>
    <t>ESCAV., CARGA E TRANSPORTE DE MAT. 1ª CATEG. - C/ ESCAVADEIRA - (DT: 5.001 A 10.000M)</t>
  </si>
  <si>
    <t>ESCAV., CARGA E TRANSPORTE DE MAT. 2ª CATEG. - C/ ESCAVADEIRA - (DT: 51 A 200M)</t>
  </si>
  <si>
    <t>ESCAV., CARGA E TRANSPORTE DE MAT. 2ª CATEG. - C/ ESCAVADEIRA - (DT: 201 A 400M)</t>
  </si>
  <si>
    <t>ESCAV., CARGA E TRANSPORTE DE MAT. 2ª CATEG. - C/ ESCAVADEIRA - (DT: 401 A 600M)</t>
  </si>
  <si>
    <t>ESCAV., CARGA E TRANSPORTE DE MAT. 2ª CATEG. - C/ ESCAVADEIRA - (DT: 601 A 800M)</t>
  </si>
  <si>
    <t>ESCAV., CARGA E TRANSPORTE DE MAT. 2ª CATEG. - C/ ESCAVADEIRA - (DT: 801 A 1.000M)</t>
  </si>
  <si>
    <t>ESCAV., CARGA E TRANSPORTE DE MAT. 2ª CATEG. - C/ ESCAVADEIRA - (DT: 1.001 A 1.200M)</t>
  </si>
  <si>
    <t>ESCAV., CARGA E TRANSPORTE DE MAT. 2ª CATEG. - C/ ESCAVADEIRA - (DT: 1.201 A 1.400M)</t>
  </si>
  <si>
    <t>ESCAV., CARGA E TRANSPORTE DE MAT. 2ª CATEG. - C/ ESCAVADEIRA - (DT: 1.401 A 1.600M)</t>
  </si>
  <si>
    <t>ESCAV., CARGA E TRANSPORTE DE MAT. 2ª CATEG. - C/ ESCAVADEIRA - (DT: 1.601 A 1.800M)</t>
  </si>
  <si>
    <t>ESCAV., CARGA E TRANSPORTE DE MAT. 2ª CATEG. - C/ ESCAVADEIRA - (DT: 1.801 A 2.000M)</t>
  </si>
  <si>
    <t>ESCAV., CARGA E TRANSPORTE DE MAT. 2ª CATEG. - C/ ESCAVADEIRA - (DT: 2.001 A 3.000M)</t>
  </si>
  <si>
    <t>ESCAV., CARGA E TRANSPORTE DE MAT. 2ª CATEG. - C/ ESCAVADEIRA - (DT: 3.001 A 5.000M)</t>
  </si>
  <si>
    <t>ESCAV., CARGA E TRANSPORTE DE MAT. 2ª CATEG. - C/ ESCAVADEIRA - (DT: 5.001 A 10.000M)</t>
  </si>
  <si>
    <t>ESCAV., CARGA E TRANSP. 3ª CATEG. C/ CARREGADEIRA - (DT: 51 A 200M)</t>
  </si>
  <si>
    <t>ESCAV., CARGA E TRANSP. 3ª CATEG. C/ CARREGADEIRA - (DT: 201 A 400M)</t>
  </si>
  <si>
    <t>ESCAV., CARGA E TRANSP. 3ª CATEG. C/ CARREGADEIRA - (DT: 401 A 600M)</t>
  </si>
  <si>
    <t>ESCAV., CARGA E TRANSP. 3ª CATEG. C/ CARREGADEIRA - (DT: 601 A 800M)</t>
  </si>
  <si>
    <t>ESCAV., CARGA E TRANSP. 3ª CATEG. C/ CARREGADEIRA - (DT: 801 A 1.000M)</t>
  </si>
  <si>
    <t>ESCAV., CARGA E TRANSP. 3ª CATEG. C/ CARREGADEIRA - (DT: 1.001 A 1.200M)</t>
  </si>
  <si>
    <t>ESCAV., CARGA E TRANSP. 3ª CATEG. C/ CARREGADEIRA - (DT: 1.201 A 1.400M)</t>
  </si>
  <si>
    <t>ESCAV., CARGA E TRANSP. 3ª CATEG. C/ CARREGADEIRA - (DT: 1.401 A 1.600M)</t>
  </si>
  <si>
    <t>ESCAV., CARGA E TRANSP. 3ª CATEG. C/ CARREGADEIRA - (DT: 1.601 A 1.800M)</t>
  </si>
  <si>
    <t xml:space="preserve">ESCAV., CARGA E TRANSP. 3ª CATEG. C/ CARREGADEIRA - (DT: 1.801 A 2.000M) </t>
  </si>
  <si>
    <t>ESCAVAÇÃO, CARGA E TRANSPORTE DE SOLO MOLE - C/ ESCAVADEIRA - (DT: 000 A 200M)</t>
  </si>
  <si>
    <t>ESCAVAÇÃO, CARGA E TRANSPORTE DE SOLO MOLE - C/ ESCAVADEIRA - (DT: 201 A 400M)</t>
  </si>
  <si>
    <t>ESCAVAÇÃO, CARGA E TRANSPORTE DE SOLO MOLE - C/ ESCAVADEIRA - (DT: 401 A 600M)</t>
  </si>
  <si>
    <t>ESCAVAÇÃO, CARGA E TRANSPORTE DE SOLO MOLE - C/ ESCAVADEIRA - (DT: 601 A 800M)</t>
  </si>
  <si>
    <t>ESCAVAÇÃO, CARGA E TRANSPORTE DE SOLO MOLE - C/ ESCAVADEIRA - (DT: 801 A 1.000M)</t>
  </si>
  <si>
    <t>ESCAV. E CARGA 3ª CATEG. - SEM TRANSPORTE</t>
  </si>
  <si>
    <t>COMPACTAÇÃO A 95% DO PROCTOR NORMAL</t>
  </si>
  <si>
    <t>COMPACTAÇÃO A 100% DO PROCTOR NORMAL</t>
  </si>
  <si>
    <t>ACABAMENTO E RECOMPOSIÇÃO DE EMPRESTIMO</t>
  </si>
  <si>
    <t>ESPALHAMENTO DE MATERIAL EM BOTA-FORA</t>
  </si>
  <si>
    <t>ESCAV., CARGA E TRANSP. 1ª CATEG. C/ CARREGADEIRA P/ PEQUENOS MOVIMENTOS DE TERRA - (DT: 51 A 200M)</t>
  </si>
  <si>
    <t>ESCAV., CARGA E TRANSP. 1ª CATEG. C/ CARREGADEIRA P/ PEQUENOS MOVIMENTOS DE TERRA - (DT: 201 A 400M)</t>
  </si>
  <si>
    <t>ESCAV., CARGA E TRANSP. 1ª CATEG. C/ CARREGADEIRA P/ PEQUENOS MOVIMENTOS DE TERRA - (DT: 401 A 600M)</t>
  </si>
  <si>
    <t>ESCAV., CARGA E TRANSP. 1ª CATEG. C/ CARREGADEIRA P/ PEQUENOS MOVIMENTOS DE TERRA - (DT: 601 A 800M)</t>
  </si>
  <si>
    <t>ESCAV., CARGA E TRANSP. 1ª CATEG. C/ CARREGADEIRA P/ PEQUENOS MOVIMENTOS DE TERRA - (DT: 801 A 1.000M)</t>
  </si>
  <si>
    <t>ESCAV., CARGA E TRANSP. 1ª CATEG. C/ CARREGADEIRA P/ PEQUENOS MOVIMENTOS DE TERRA - (DT: 1.001 A 1.200M)</t>
  </si>
  <si>
    <t>ESCAV., CARGA E TRANSP. 1ª CATEG. C/ CARREGADEIRA P/ PEQUENOS MOVIMENTOS DE TERRA - (DT: 1.201 A 1.400M)</t>
  </si>
  <si>
    <t>ESCAV., CARGA E TRANSP. 1ª CATEG. C/ CARREGADEIRA P/ PEQUENOS MOVIMENTOS DE TERRA - (DT: 1.401 A 1.600M)</t>
  </si>
  <si>
    <t>ESCAV., CARGA E TRANSP. 1ª CATEG. C/ CARREGADEIRA P/ PEQUENOS MOVIMENTOS DE TERRA - (DT: 1.601 A 1.800M)</t>
  </si>
  <si>
    <t>ESCAV., CARGA E TRANSP. 1ª CATEG. C/ CARREGADEIRA P/ PEQUENOS MOVIMENTOS DE TERRA - (DT: 1.801 A 2.000M)</t>
  </si>
  <si>
    <t>ESCAV., CARGA E TRANSP. 1ª CATEG. C/ CARREGADEIRA P/ PEQUENOS MOVIMENTOS DE TERRA - (DT: 2001 A 3000M)</t>
  </si>
  <si>
    <t>ESCAV., CARGA E TRANSP. 1ª CATEG. C/ CARREGADEIRA P/ PEQUENOS MOVIMENTOS DE TERRA - (DT: 3.001 A 5.000M)</t>
  </si>
  <si>
    <t>ESCAV., CARGA E TRANSP. 1ª CATEG. C/ CARREGADEIRA P/ PEQUENOS MOVIMENTOS DE TERRA - (DT: 5.001 A 10.000M)</t>
  </si>
  <si>
    <t>ESCAV., CARGA E TRANSP. 2ª CATEG. C/ CARREGADEIRA P/ PEQUENOS MOVIMENTOS DE TERRA - (DT: 51 A 200M)</t>
  </si>
  <si>
    <t>ESCAV., CARGA E TRANSP. 2ª CATEG. C/ CARREGADEIRA P/ PEQUENOS MOVIMENTOS DE TERRA - (DT: 201 A 400M)</t>
  </si>
  <si>
    <t>ESCAV., CARGA E TRANSP. 2ª CATEG. C/ CARREGADEIRA P/ PEQUENOS MOVIMENTOS DE TERRA - (DT: 401 A 600M)</t>
  </si>
  <si>
    <t>ESCAV., CARGA E TRANSP. 2ª CATEG. C/ CARREGADEIRA P/ PEQUENOS MOVIMENTOS DE TERRA - (DT: 601 A 800M)</t>
  </si>
  <si>
    <t>ESCAV., CARGA E TRANSP. 2ª CATEG. C/ CARREGADEIRA P/ PEQUENOS MOVIMENTOS DE TERRA - (DT: 801 A 1.000M)</t>
  </si>
  <si>
    <t>ESCAV., CARGA E TRANSP. 2ª CATEG. C/ CARREGADEIRA P/ PEQUENOS MOVIMENTOS DE TERRA - (DT: 1.001 A 1.200M)</t>
  </si>
  <si>
    <t>ESCAV., CARGA E TRANSP. 2ª CATEG. C/ CARREGADEIRA P/ PEQUENOS MOVIMENTOS DE TERRA - (DT: 1.201 A 1.400M)</t>
  </si>
  <si>
    <t>ESCAV., CARGA E TRANSP. 2ª CATEG. C/ CARREGADEIRA P/ PEQUENOS MOVIMENTOS DE TERRA - (DT: 1.401 A 1.600M)</t>
  </si>
  <si>
    <t>ESCAV., CARGA E TRANSP. 2ª CATEG. C/ CARREGADEIRA P/ PEQUENOS MOVIMENTOS DE TERRA - (DT: 1.601 A 1.800M)</t>
  </si>
  <si>
    <t>ESCAV., CARGA E TRANSP. 2ª CATEG. C/ CARREGADEIRA P/ PEQUENOS MOVIMENTOS DE TERRA - (DT: 1.801 A 2.000M)</t>
  </si>
  <si>
    <t>ESCAV., CARGA E TRANSP. 2ª CATEG. C/ CARREGADEIRA P/ PEQUENOS MOVIMENTOS DE TERRA - (DT: 2.001 A 3.000M)</t>
  </si>
  <si>
    <t>ESCAV., CARGA E TRANSP. 2ª CATEG. C/ CARREGADEIRA P/ PEQUENOS MOVIMENTOS DE TERRA - (DT: 3.001 A 5.000M)</t>
  </si>
  <si>
    <t>ESCAV., CARGA E TRANSP. 2ª CATEG. C/ CARREGADEIRA P/ PEQUENOS MOVIMENTOS DE TERRA - (DT: 5.001 A 10.000M)</t>
  </si>
  <si>
    <t>ESCAV. E CARGA 1ª CATEG. - SEM TRANSPORTE</t>
  </si>
  <si>
    <t>ESCAV. E CARGA 2ª CATEG. - SEM TRANSPORTE</t>
  </si>
  <si>
    <t>TRANSPORTE LOCAL SOLO MOLE C/ BASCULANTE 6m3 - DMT&gt;1,0KM</t>
  </si>
  <si>
    <t>TRANSPORTE LOCAL  MAT. 3ª CATEG. C/ BASCULANTE 10m3 - DMT&gt;2,0KM</t>
  </si>
  <si>
    <t>TRANSPORTE LOCAL MAT. 1ª CATEG. C/ BASCULANTE 10m3 - DMT&gt;10,0KM</t>
  </si>
  <si>
    <t>TRANSPORTE LOCAL MAT. 2ª CATEG. C/ BASCULANTE 10m3 - DMT&gt;10,0KM</t>
  </si>
  <si>
    <t>COMPACTAÇÃO A 100% DO PROCTOR INTERMEDIÁRIO</t>
  </si>
  <si>
    <t>REVESTIMENTO PRIMÁRIO - ESPALHAMENTO</t>
  </si>
  <si>
    <t>REVESTIMENTO PRIMÁRIO - ESPALHAMENTO E ADENSAMENTO</t>
  </si>
  <si>
    <t>ESTABILIZAÇÃO DE SOLO COM BAIXA CAPACIDADE DE SUPORTE COM RACHÃO</t>
  </si>
  <si>
    <t>Administração Local</t>
  </si>
  <si>
    <t>Mobilização e Desmobilização</t>
  </si>
  <si>
    <t>Canteiro de Obras</t>
  </si>
  <si>
    <t>NOTA DE SERVIÇO DE BUEIROS TUBULARES</t>
  </si>
  <si>
    <t>ALTURA ATERRO (m)</t>
  </si>
  <si>
    <t>MONTANTE</t>
  </si>
  <si>
    <t>COTA DO</t>
  </si>
  <si>
    <t>DECLIVIDADE</t>
  </si>
  <si>
    <t>ESCONSIDADE</t>
  </si>
  <si>
    <t xml:space="preserve">CLASSE </t>
  </si>
  <si>
    <t>COMPRIMENTO</t>
  </si>
  <si>
    <t>CAIXA COLETORA</t>
  </si>
  <si>
    <t>DISSIP. DE</t>
  </si>
  <si>
    <t>COTAS</t>
  </si>
  <si>
    <t>(TIPO E DIMENSÕES)</t>
  </si>
  <si>
    <t>EIXO (m)</t>
  </si>
  <si>
    <t>(%)</t>
  </si>
  <si>
    <t>(GRAUS)</t>
  </si>
  <si>
    <t>JUSANTE</t>
  </si>
  <si>
    <t>PA-01</t>
  </si>
  <si>
    <t>ÀJusante (PVI-04)</t>
  </si>
  <si>
    <t>PA-02</t>
  </si>
  <si>
    <t>À Montante (CCS-07)</t>
  </si>
  <si>
    <t>À Montante (CCS-03)</t>
  </si>
  <si>
    <t>No Canteiro Central e à Montante (CCS-07)</t>
  </si>
  <si>
    <t>LE</t>
  </si>
  <si>
    <t>PROJETO DE DRENAGEM - BUEIROS TUBULARES</t>
  </si>
  <si>
    <t>(ESTACA DO EIXO)</t>
  </si>
  <si>
    <t>10- TOTAL DE CAIXA COLETORA TIPO CCS-03= 2,00 und</t>
  </si>
  <si>
    <t>11- TOTAL DE CAIXA COLETORA TIPO CCS-07= 2,00 und</t>
  </si>
  <si>
    <t>A ESTACA 34 FAZ PARTE DO ALINHAMENTO DO RETORNO 02, TENDO COMO REFERÊNCIA NA ESTACA 167 DO ALINHAMENTO TOTAL DO SEGMENTO, PARA CÁLCULO DE TRANSPORTE A ESTACA 187 (CANTEIRO)</t>
  </si>
  <si>
    <t>Valeta de proteção de aterros com revestimento de concreto - VPAC 120-30 - escavação mecânica - areia e brita comerciais</t>
  </si>
  <si>
    <t>M</t>
  </si>
  <si>
    <t>NOTA DE SERVIÇO PARA SEMEADURA</t>
  </si>
  <si>
    <t>ÁREA</t>
  </si>
  <si>
    <t>ÁREA TOTAL</t>
  </si>
  <si>
    <t xml:space="preserve"> FINAL</t>
  </si>
  <si>
    <t>COMPRIM.</t>
  </si>
  <si>
    <t>Coef. Incl</t>
  </si>
  <si>
    <t>Hm</t>
  </si>
  <si>
    <t>( m²)</t>
  </si>
  <si>
    <t>SEMEADURA DE TALUDE - ATERRO</t>
  </si>
  <si>
    <t>SEMEADURA DE TALUDE - CORTE</t>
  </si>
  <si>
    <t>SEGMENTO 02 - PISTA ESQUERDA PROJETADA</t>
  </si>
  <si>
    <t>SUB-TOTAL TALUDE ATERRO:</t>
  </si>
  <si>
    <t>SUB-TOTAL TALUDE CORTE:</t>
  </si>
  <si>
    <t xml:space="preserve">1 - </t>
  </si>
  <si>
    <t>2 -</t>
  </si>
  <si>
    <t>RETORNO 01- PISTA ESQUERDA</t>
  </si>
  <si>
    <t>RETORNO 02- PISTA ESQUERDA</t>
  </si>
  <si>
    <t>7.1</t>
  </si>
  <si>
    <t>40895</t>
  </si>
  <si>
    <t>SEMEADURA MANUAL</t>
  </si>
  <si>
    <t>Obras Complementares</t>
  </si>
  <si>
    <t>127,50 km</t>
  </si>
  <si>
    <t>Retorno 02</t>
  </si>
  <si>
    <t xml:space="preserve"> SUB-BASE DE BRITA GRADUADA TRATADA COM CIMENTO A FRESAR</t>
  </si>
  <si>
    <t>A FRESAR</t>
  </si>
  <si>
    <t>ÁREA COMPLEMENTAR</t>
  </si>
  <si>
    <t>15% DA ÁREA COMPLEMENTAR</t>
  </si>
  <si>
    <t>MATERIA FRESADO TRANSPORTADO PARA O CANTEIRO DE OBRA NA ESTACA 187 PARA EXECUÇÃO DE BGTC 50% MATERIA FRESADO +50% BRITA</t>
  </si>
  <si>
    <t>FRESAGEM 8 CM DA SUB-BASE DE BRITA GRADUADA TRATADA COM CIMENTO</t>
  </si>
  <si>
    <t>Área adicional prevista a restaurar( 15% da Área complementar executada)</t>
  </si>
  <si>
    <t>A FRESAR DO TOTAL EXECUTADO</t>
  </si>
  <si>
    <t>SUB-BASE DE BRITA GRADUADA TRATADA COM CIMENTO ( 50% MATERIAL FRESADO + 50% BRITA )</t>
  </si>
  <si>
    <t>TOTAL A  EXECUTAR 01</t>
  </si>
  <si>
    <t>50% do volume do material fresado</t>
  </si>
  <si>
    <t>para execução de segmento 10 cm</t>
  </si>
  <si>
    <t xml:space="preserve">SUB-BASE DE BRITA GRADUADA TRATADA COM CIMENTO </t>
  </si>
  <si>
    <t>TOTAL A  EXECUTAR 02</t>
  </si>
  <si>
    <t>Execução de imprimaçãommmm</t>
  </si>
  <si>
    <t>DT COMERCIAL</t>
  </si>
  <si>
    <t>MT COMERCIAL</t>
  </si>
  <si>
    <t>Extensão de juntas</t>
  </si>
  <si>
    <t>Extensão de barras</t>
  </si>
  <si>
    <t xml:space="preserve">Área do intervalo </t>
  </si>
  <si>
    <t>Barras do CAD</t>
  </si>
  <si>
    <t>Número de barras pelo CAD</t>
  </si>
  <si>
    <t>uni</t>
  </si>
  <si>
    <t>Peso Aço CA 50</t>
  </si>
  <si>
    <t>Número de barras</t>
  </si>
  <si>
    <t>Área Pista LE ( Est. 15+9,67 a Est. 176+12,12)</t>
  </si>
  <si>
    <t>Comprimento Barras</t>
  </si>
  <si>
    <t xml:space="preserve">Pintura esmalte Alquidico estrutura metálica 1 demão ( para barra de Transferência) </t>
  </si>
  <si>
    <r>
      <t>c=2</t>
    </r>
    <r>
      <rPr>
        <b/>
        <sz val="10"/>
        <rFont val="Calibri"/>
        <family val="2"/>
      </rPr>
      <t>π</t>
    </r>
    <r>
      <rPr>
        <b/>
        <sz val="7.5"/>
        <rFont val="Arial"/>
        <family val="2"/>
      </rPr>
      <t>R</t>
    </r>
  </si>
  <si>
    <t>c</t>
  </si>
  <si>
    <t xml:space="preserve">Pintura na metade da barra + 2cm= 23+2=25 correspondendo a 54% da extensão </t>
  </si>
  <si>
    <t xml:space="preserve">então pintura total </t>
  </si>
  <si>
    <t>Extensão de Juntas de Ligação</t>
  </si>
  <si>
    <t>Extensão de Juntas de Transferência</t>
  </si>
  <si>
    <t>Extensão de Treliças</t>
  </si>
  <si>
    <t>Extensão juntas de ligação</t>
  </si>
  <si>
    <t>Extensão juntas de transferência</t>
  </si>
  <si>
    <t>Extensão total de juntas esttimada</t>
  </si>
  <si>
    <t>Extensão de treliças</t>
  </si>
  <si>
    <t>Peso de treliça</t>
  </si>
  <si>
    <t>Nº DENOMINAÇÃO</t>
  </si>
  <si>
    <t>MIX BRASIL-FOR-KAP</t>
  </si>
  <si>
    <t>MATERIAL</t>
  </si>
  <si>
    <t>MISTURA</t>
  </si>
  <si>
    <t>DMT ponderado</t>
  </si>
  <si>
    <t>46,01 KM DO CANTEIRO</t>
  </si>
  <si>
    <t>DATA:</t>
  </si>
  <si>
    <t>REGISTRO N º</t>
  </si>
  <si>
    <t>areia fina</t>
  </si>
  <si>
    <t>po de pedra</t>
  </si>
  <si>
    <t>areia grossa</t>
  </si>
  <si>
    <t>AMOSTRA</t>
  </si>
  <si>
    <t>GRANULOMETRIA
% RETIDA ACUMULADA</t>
  </si>
  <si>
    <t>3/8"</t>
  </si>
  <si>
    <t>1/4"</t>
  </si>
  <si>
    <t>n° 4</t>
  </si>
  <si>
    <t>n° 8</t>
  </si>
  <si>
    <t>n° 16</t>
  </si>
  <si>
    <t>n° 30</t>
  </si>
  <si>
    <t>n° 50</t>
  </si>
  <si>
    <t>n° 100</t>
  </si>
  <si>
    <t xml:space="preserve">MÓDULO DE FINURA </t>
  </si>
  <si>
    <t>Estudo da Areia</t>
  </si>
  <si>
    <t>261610CC</t>
  </si>
  <si>
    <t>COMP</t>
  </si>
  <si>
    <t>ESTABILIZAÇÃO 50% FRESAGEM + 50% BRITA GRADUADA TRATADA COM CIMENTO (BGTC) - USINA</t>
  </si>
  <si>
    <t>128+09,42</t>
  </si>
  <si>
    <t>132+12,12</t>
  </si>
  <si>
    <t>RETORNO 02 - PISTA ESQUERDA</t>
  </si>
  <si>
    <t>37+9,00</t>
  </si>
  <si>
    <t>52+00,00</t>
  </si>
  <si>
    <t>75+00,00</t>
  </si>
  <si>
    <t>PROJETO DE DRENAGEM - LOCALIZAÇÃO DAS SARJETAS</t>
  </si>
  <si>
    <t>SARJETAS DE CORTES E SAÍDAS</t>
  </si>
  <si>
    <t>TRANSPOSIÇÃO DE SARJETA</t>
  </si>
  <si>
    <t>SAÍDA DA SARJETA</t>
  </si>
  <si>
    <t>DISS.DE</t>
  </si>
  <si>
    <t>SARJETAS DE CANTEIRO CENTRAL</t>
  </si>
  <si>
    <t>92+01,59</t>
  </si>
  <si>
    <t>STC-04</t>
  </si>
  <si>
    <t>95+11,31</t>
  </si>
  <si>
    <t>96+6,31</t>
  </si>
  <si>
    <t>TSS06</t>
  </si>
  <si>
    <t>DES-01</t>
  </si>
  <si>
    <t>101+00,00</t>
  </si>
  <si>
    <t>101+13,00</t>
  </si>
  <si>
    <t>105+06,03</t>
  </si>
  <si>
    <t>105+16,03</t>
  </si>
  <si>
    <t>SEGMENTO 03 - PISTA ESQUERDA</t>
  </si>
  <si>
    <t>INTERSEÇÃO 02 - PISTA ESQUERDA</t>
  </si>
  <si>
    <t>QUANTITATIVOS</t>
  </si>
  <si>
    <t>1-</t>
  </si>
  <si>
    <t>Extensão de STC 04 (m):</t>
  </si>
  <si>
    <t>2-</t>
  </si>
  <si>
    <t>Número de DES-01 (un):</t>
  </si>
  <si>
    <t>3-</t>
  </si>
  <si>
    <t>Extensão de TSS06 (m):</t>
  </si>
  <si>
    <t>Sarjeta triangular de concreto - STC 04 - escavação mecânica - areia e brita comerciais</t>
  </si>
  <si>
    <t>Dissipador de energia - DES 01 - areia e pedra de mão comerciais</t>
  </si>
  <si>
    <t>Transposição de segmentos de sarjeta - TSS 06 - areia e brita comerciais</t>
  </si>
  <si>
    <t>PLACA</t>
  </si>
  <si>
    <t>DIMENSÕES (mm)</t>
  </si>
  <si>
    <t>ÁREA DE 
PLACA POR 
UNIDADE 
(m²)</t>
  </si>
  <si>
    <t>QUANTIDADE 
(unidade)</t>
  </si>
  <si>
    <t>ÁREA 
TOTAL (m²)</t>
  </si>
  <si>
    <t>Ø</t>
  </si>
  <si>
    <t>Interferências
na pista por
conta de obras</t>
  </si>
  <si>
    <t>A-24</t>
  </si>
  <si>
    <t>Rural (Rodovia)</t>
  </si>
  <si>
    <t>600x600</t>
  </si>
  <si>
    <t>Velocidade máxima permitida</t>
  </si>
  <si>
    <t>R-19.4</t>
  </si>
  <si>
    <t>Ø = 0,80m</t>
  </si>
  <si>
    <t>Obras</t>
  </si>
  <si>
    <t>1500x800</t>
  </si>
  <si>
    <t>CONE</t>
  </si>
  <si>
    <t>Cilindro canalizador de tráfego</t>
  </si>
  <si>
    <t>Marcador de Alinhamento</t>
  </si>
  <si>
    <t>0,5x0,6</t>
  </si>
  <si>
    <t>O- a 50</t>
  </si>
  <si>
    <t>1.25x0.4</t>
  </si>
  <si>
    <t>1.2x0.4</t>
  </si>
  <si>
    <t>O- a 100</t>
  </si>
  <si>
    <t>Fim_Obra</t>
  </si>
  <si>
    <t>1,25x0,8</t>
  </si>
  <si>
    <t>1x0.6</t>
  </si>
  <si>
    <t>Área de placa total =</t>
  </si>
  <si>
    <t>Cone =</t>
  </si>
  <si>
    <t>Cilindro canalizador de tráfego =</t>
  </si>
  <si>
    <t xml:space="preserve">Telas Plásticas = </t>
  </si>
  <si>
    <t>SINALIZAÇÃO DE OBRAS</t>
  </si>
  <si>
    <t>CALCULO</t>
  </si>
  <si>
    <t>BARREIRA CLASSE I (150 CICLOS)</t>
  </si>
  <si>
    <t>BARREIRA CLASSE III (150 CICLOS)</t>
  </si>
  <si>
    <t>CONE EM TANGENTE (150 CICLOS)</t>
  </si>
  <si>
    <t>((3220 m * 0,12 / 3 m) x 1 ciclos)</t>
  </si>
  <si>
    <t>128,8 un.Dia</t>
  </si>
  <si>
    <t>6 meses de obra</t>
  </si>
  <si>
    <t>LUZES INTERMITENTES (200 CICLOS)</t>
  </si>
  <si>
    <t>* Tempo total da obra = 180 dias / 150 ciclos (baseado no código do Sicro) =  1,2 (adotado 1 ciclos)</t>
  </si>
  <si>
    <t>* Tempo total da obra = 180 dias / 200 ciclos (baseado no código do Sicro) = 0,75  (adotado 1 ciclo)</t>
  </si>
  <si>
    <t>400 metros de execução</t>
  </si>
  <si>
    <t>PLACA DE REGULAMENTAÇÃO PARA SINALIZAÇÃO
 DE OBRAS MONTADA EM SUPORTE METÁLICO
MOVEL (PELÍCULA I+IV)</t>
  </si>
  <si>
    <t>* Tempo total da obra = 180 dias / 600 ciclos (baseado no código do Sicro) = 0,25  (adotado 1 ciclos)</t>
  </si>
  <si>
    <t>DISPOSITIVO DE DIRECIONAMENTO OU BLOQUEIO TIPO TELA PLÁSTICA COM SUPORTE MÓVEL AFIXADO EM BLOCO DE CONCRETO</t>
  </si>
  <si>
    <t>FITA ZEBRADA PARA DISPOSITIVOS DE CANALIZAÇÃO DE TRÂNSITO</t>
  </si>
  <si>
    <t>PLACA DE ADVERTÊNCIA PARA SINALIZAÇÃO DE
OBRAS (PELÍCULA I+IV) COM SUPORTE METÁLICO)</t>
  </si>
  <si>
    <t>(10und x 1 ciclos)</t>
  </si>
  <si>
    <t>10 un. Dia</t>
  </si>
  <si>
    <t>* Tempo total da obra = 180 dias / 600 ciclos (baseado no código do Sicro) = 0,3  (adotado 1 ciclos)</t>
  </si>
  <si>
    <t>CILINDRO CANALIZADOR (600 CICLOS)</t>
  </si>
  <si>
    <t>((3220 m x 0,06 / 5 m) x 1 ciclos)</t>
  </si>
  <si>
    <t>39,0 un.Dia</t>
  </si>
  <si>
    <t>* Tempo total da obra = 180 dias / 600 ciclos (baseado no código do Sicro) =  0,3 (adotado 1 ciclos)</t>
  </si>
  <si>
    <t>200 metros de execução</t>
  </si>
  <si>
    <t xml:space="preserve">Descrição </t>
  </si>
  <si>
    <t>Unid.</t>
  </si>
  <si>
    <t>Custo Unitário
(R$)</t>
  </si>
  <si>
    <t>Custo Total
(R$)</t>
  </si>
  <si>
    <t>Sinalização de Obras</t>
  </si>
  <si>
    <t>SINALIZAÇÃO VERTICAL SEMI-REFLETIVA</t>
  </si>
  <si>
    <t>5213835*</t>
  </si>
  <si>
    <t>un.dia</t>
  </si>
  <si>
    <t>Caixa Coletora</t>
  </si>
  <si>
    <t>CCS 200-60 B</t>
  </si>
  <si>
    <t>1- Quantidade CCS 200-60 B (und):</t>
  </si>
  <si>
    <t>FRESAGEM CONTÍNUA Á FRIO</t>
  </si>
  <si>
    <t>507225DERPR</t>
  </si>
  <si>
    <t>0407743DN</t>
  </si>
  <si>
    <t>TRELIÇA NERVURADA TRÊS BARRAS LONGITUDINAIS INTERLIGADAS POR DUAS DIAGONAIS SINUSOIDAL - FORNECIMENTO E INSTALAÇÃO</t>
  </si>
  <si>
    <t>507210DERPR</t>
  </si>
  <si>
    <t>FORNECIMENTO E COLOCAÇÃO DE AÇO CA-50 PARA BARRAS DE LIGAÇÃO</t>
  </si>
  <si>
    <t>PAVIMENTO DE CONCRETO - AREIA E BRITA COMERCIAIS (INCLUSO: VIBROACABADORA E MÁQUINA TEXTURIZADORA E APLICADORA DE CURA QUÍMICA EM PAVIMENTO DE CONCRETO)</t>
  </si>
  <si>
    <t>REGULARIZAÇÃO E COMPACTAÇÃO DO SUBLEITO</t>
  </si>
  <si>
    <r>
      <t xml:space="preserve">FORNECIMENTO E COLOCAÇÃO DE AÇO CA-50 PARA BARRAS DE TRANSFERÊNCIA </t>
    </r>
    <r>
      <rPr>
        <sz val="7"/>
        <color indexed="8"/>
        <rFont val="Calibri"/>
        <family val="2"/>
      </rPr>
      <t>Ø= 25 mm</t>
    </r>
  </si>
  <si>
    <t xml:space="preserve">Cone Plástico Para Canalização de Trânsito - Utilização de 150 ciclos - Fornecimento, 01 implantação e 01 retirada diária </t>
  </si>
  <si>
    <t>INICIAL SEGMENTO 01</t>
  </si>
  <si>
    <t>FINAL RETORNO 01</t>
  </si>
  <si>
    <t>Posição</t>
  </si>
  <si>
    <t>Transversal</t>
  </si>
  <si>
    <t>Longitudinal</t>
  </si>
  <si>
    <t>MEMÓRIA DE CÁLCULO DE QUANTIDADES - SERRAGEM DE JUNTAS (QUANTITATIVOS EXTRAÍDOS DO CAD)</t>
  </si>
  <si>
    <t>A ESTACA 5+00 É REFERENTE AO ALINHAMENTO: SEGMENTO 01</t>
  </si>
  <si>
    <t>A ESTACA 7+00 É REFERENTE AO ALINHAMENTO: RETORNO 01</t>
  </si>
  <si>
    <t>DESSA FORMA, A DISTÂNCIA ENTRE OS 2 ALINHAMENTOS É DE 248,00, QUANTIDADE MEDIDA NO CAD.</t>
  </si>
  <si>
    <t>3,22 km</t>
  </si>
  <si>
    <t>Cilindro canalizador de tráfego com base quadrada de 111 x 56 x 56 cm - utilização de 600 ciclos - fornecimento, 01 implantação e 01 retirada diária</t>
  </si>
  <si>
    <t>Sinalização Temporária de Obras</t>
  </si>
  <si>
    <t>OBRAS COMPLEMENTARES</t>
  </si>
  <si>
    <t>DISPOSITIVOS AUXILIARES</t>
  </si>
  <si>
    <t>Figura</t>
  </si>
  <si>
    <t>Dimensões (m)</t>
  </si>
  <si>
    <t>Quant.</t>
  </si>
  <si>
    <t>Dias</t>
  </si>
  <si>
    <t>Quant..dia</t>
  </si>
  <si>
    <t>L</t>
  </si>
  <si>
    <t>H</t>
  </si>
  <si>
    <t>GO-330</t>
  </si>
  <si>
    <t>TELA</t>
  </si>
  <si>
    <t>Tela plástica em polipropileno na cor laranja</t>
  </si>
  <si>
    <t>ITEM 5213349 DISPOSITIVO DE DIRECIONAMENTO OU BLOQUEIO TIPO TELA PLÁSTICA COM SUPORTE FIXO - UTILIZAÇÃO DE 150 CICLOS  (M².DIA)</t>
  </si>
  <si>
    <t>5213349*</t>
  </si>
  <si>
    <t>Dispositivo de direcionamento ou bloqueio tipo tela plástica com suporte fixo - utilização de 150 ciclos - fornecimento, 01 implantação e 01 retirada diária</t>
  </si>
  <si>
    <t>m².dia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</si>
</sst>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,##0.0"/>
    <numFmt numFmtId="167" formatCode="#0.00"/>
    <numFmt numFmtId="168" formatCode="0.0000"/>
    <numFmt numFmtId="169" formatCode="#,##0.000"/>
    <numFmt numFmtId="170" formatCode="#,##0.0000"/>
    <numFmt numFmtId="171" formatCode="#,###.00\ &quot; km &quot;"/>
    <numFmt numFmtId="172" formatCode="#,##0.00\ &quot; km &quot;"/>
    <numFmt numFmtId="173" formatCode="##,##0.00\ &quot; km &quot;"/>
    <numFmt numFmtId="174" formatCode="\ &quot; km &quot;\ #,##0.00"/>
    <numFmt numFmtId="175" formatCode="0.000"/>
    <numFmt numFmtId="176" formatCode="00"/>
    <numFmt numFmtId="177" formatCode="#,##0.00\ &quot;km&quot;"/>
    <numFmt numFmtId="178" formatCode="_-* #,##0.00\ _€_-;\-* #,##0.00\ _€_-;_-* &quot;-&quot;??\ _€_-;_-@_-"/>
    <numFmt numFmtId="179" formatCode="#,##0.00;[Red]#,##0.00"/>
    <numFmt numFmtId="180" formatCode="\R\$\ #,##0.00"/>
    <numFmt numFmtId="181" formatCode="\R\$\ ###,###,##0.00"/>
    <numFmt numFmtId="182" formatCode="_-* #,##0.0000_-;\-* #,##0.0000_-;_-* &quot;-&quot;??_-;_-@_-"/>
    <numFmt numFmtId="183" formatCode="0.00000"/>
    <numFmt numFmtId="184" formatCode="&quot;DMT Com. = &quot;#,##0.00\ &quot;km&quot;"/>
    <numFmt numFmtId="185" formatCode="&quot;ATERRO EMPOLADO (&quot;\ 0.0%&quot;)&quot;"/>
    <numFmt numFmtId="186" formatCode="0.0%"/>
    <numFmt numFmtId="187" formatCode="_(* #,##0.000_);_(* \(#,##0.000\);_(* &quot;-&quot;??_);_(@_)"/>
    <numFmt numFmtId="188" formatCode="_(* #,##0_);_(* \(#,##0\);_(* &quot;-&quot;??_);_(@_)"/>
    <numFmt numFmtId="189" formatCode="#,##0.000;[Red]#,##0.000"/>
    <numFmt numFmtId="190" formatCode="#,##0;[Red]#,##0"/>
    <numFmt numFmtId="191" formatCode="00.00"/>
    <numFmt numFmtId="192" formatCode="mm/yy"/>
    <numFmt numFmtId="193" formatCode="#,##0.00;#,##0.00"/>
  </numFmts>
  <fonts count="10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0" tint="-0.34998626667073579"/>
      <name val="Arial"/>
      <family val="2"/>
    </font>
    <font>
      <sz val="7"/>
      <color indexed="8"/>
      <name val="Arial"/>
      <family val="2"/>
    </font>
    <font>
      <b/>
      <sz val="7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11"/>
      <name val="Calibri"/>
      <family val="2"/>
      <scheme val="minor"/>
    </font>
    <font>
      <b/>
      <sz val="7"/>
      <color rgb="FFFF0000"/>
      <name val="Arial"/>
      <family val="2"/>
    </font>
    <font>
      <sz val="11"/>
      <name val="Arial"/>
      <family val="2"/>
    </font>
    <font>
      <b/>
      <sz val="16"/>
      <color rgb="FF1308F6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3.5"/>
      <name val="Arial"/>
      <family val="2"/>
    </font>
    <font>
      <sz val="12"/>
      <name val="Arial"/>
      <family val="2"/>
    </font>
    <font>
      <sz val="15"/>
      <name val="Arial"/>
      <family val="2"/>
    </font>
    <font>
      <b/>
      <sz val="16"/>
      <color rgb="FFFF0000"/>
      <name val="Arial"/>
      <family val="2"/>
    </font>
    <font>
      <sz val="16"/>
      <color indexed="9"/>
      <name val="Arial"/>
      <family val="2"/>
    </font>
    <font>
      <b/>
      <sz val="20"/>
      <name val="Arial"/>
      <family val="2"/>
    </font>
    <font>
      <b/>
      <sz val="10"/>
      <name val="Lucida Sans"/>
      <family val="2"/>
    </font>
    <font>
      <sz val="10"/>
      <name val="Lucida Sans"/>
      <family val="2"/>
    </font>
    <font>
      <b/>
      <sz val="10"/>
      <color indexed="63"/>
      <name val="AvantGarde Bk BT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28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indexed="9"/>
      <name val="Calibri"/>
      <family val="2"/>
    </font>
    <font>
      <b/>
      <sz val="10"/>
      <color theme="1"/>
      <name val="Arial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name val="Tahoma"/>
      <family val="2"/>
    </font>
    <font>
      <b/>
      <sz val="6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b/>
      <sz val="9"/>
      <name val="Tahoma"/>
      <family val="2"/>
    </font>
    <font>
      <sz val="8"/>
      <name val="Tahoma"/>
      <family val="2"/>
    </font>
    <font>
      <sz val="8"/>
      <color rgb="FFFF0000"/>
      <name val="Tahoma"/>
      <family val="2"/>
    </font>
    <font>
      <b/>
      <sz val="8"/>
      <color theme="6" tint="-0.249977111117893"/>
      <name val="Tahoma"/>
      <family val="2"/>
    </font>
    <font>
      <sz val="9"/>
      <name val="Tahoma"/>
      <family val="2"/>
    </font>
    <font>
      <b/>
      <sz val="9"/>
      <color theme="6" tint="-0.249977111117893"/>
      <name val="Tahoma"/>
      <family val="2"/>
    </font>
    <font>
      <sz val="9"/>
      <color rgb="FF7030A0"/>
      <name val="Tahoma"/>
      <family val="2"/>
    </font>
    <font>
      <b/>
      <sz val="8"/>
      <color rgb="FFFF0000"/>
      <name val="Tahoma"/>
      <family val="2"/>
    </font>
    <font>
      <b/>
      <sz val="8"/>
      <color theme="0"/>
      <name val="Tahoma"/>
      <family val="2"/>
    </font>
    <font>
      <b/>
      <sz val="8"/>
      <color theme="1"/>
      <name val="Tahoma"/>
      <family val="2"/>
    </font>
    <font>
      <vertAlign val="superscript"/>
      <sz val="8"/>
      <name val="Tahoma"/>
      <family val="2"/>
    </font>
    <font>
      <sz val="8"/>
      <color theme="1"/>
      <name val="Tahoma"/>
      <family val="2"/>
    </font>
    <font>
      <b/>
      <sz val="8"/>
      <color theme="4"/>
      <name val="Tahoma"/>
      <family val="2"/>
    </font>
    <font>
      <b/>
      <sz val="8"/>
      <color theme="2" tint="-0.749992370372631"/>
      <name val="Tahoma"/>
      <family val="2"/>
    </font>
    <font>
      <sz val="8"/>
      <color rgb="FF7030A0"/>
      <name val="Tahoma"/>
      <family val="2"/>
    </font>
    <font>
      <b/>
      <sz val="9"/>
      <color theme="1"/>
      <name val="Tahoma"/>
      <family val="2"/>
    </font>
    <font>
      <sz val="10"/>
      <color rgb="FF000000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sz val="10"/>
      <name val="MS Sans Serif"/>
      <family val="2"/>
    </font>
    <font>
      <vertAlign val="superscript"/>
      <sz val="9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2"/>
      <color indexed="12"/>
      <name val="Arial"/>
      <family val="2"/>
    </font>
    <font>
      <sz val="6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b/>
      <sz val="10"/>
      <name val="Calibri"/>
      <family val="2"/>
    </font>
    <font>
      <b/>
      <sz val="7.5"/>
      <name val="Arial"/>
      <family val="2"/>
    </font>
    <font>
      <sz val="8"/>
      <color theme="0"/>
      <name val="Arial"/>
      <family val="2"/>
    </font>
    <font>
      <sz val="8"/>
      <color indexed="10"/>
      <name val="Arial"/>
      <family val="2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7"/>
      <name val="Arial"/>
      <family val="2"/>
    </font>
    <font>
      <sz val="7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652F0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CC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rgb="FFB7FBC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/>
    <xf numFmtId="178" fontId="1" fillId="0" borderId="0" applyFont="0" applyFill="0" applyBorder="0" applyAlignment="0" applyProtection="0"/>
    <xf numFmtId="0" fontId="42" fillId="13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0" fillId="0" borderId="0"/>
    <xf numFmtId="0" fontId="1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Border="0" applyProtection="0"/>
    <xf numFmtId="43" fontId="1" fillId="0" borderId="0" applyFont="0" applyFill="0" applyBorder="0" applyAlignment="0" applyProtection="0"/>
    <xf numFmtId="43" fontId="8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2" fillId="0" borderId="0" applyFont="0" applyFill="0" applyBorder="0" applyAlignment="0" applyProtection="0"/>
    <xf numFmtId="0" fontId="84" fillId="0" borderId="0"/>
    <xf numFmtId="0" fontId="1" fillId="0" borderId="0"/>
    <xf numFmtId="164" fontId="84" fillId="0" borderId="0" applyFont="0" applyFill="0" applyBorder="0" applyAlignment="0" applyProtection="0"/>
    <xf numFmtId="0" fontId="99" fillId="0" borderId="0"/>
  </cellStyleXfs>
  <cellXfs count="2386">
    <xf numFmtId="0" fontId="0" fillId="0" borderId="0" xfId="0"/>
    <xf numFmtId="0" fontId="1" fillId="3" borderId="8" xfId="3" applyFill="1" applyBorder="1"/>
    <xf numFmtId="0" fontId="1" fillId="3" borderId="0" xfId="3" applyFill="1" applyAlignment="1">
      <alignment vertical="center"/>
    </xf>
    <xf numFmtId="0" fontId="1" fillId="3" borderId="0" xfId="3" applyFill="1"/>
    <xf numFmtId="0" fontId="1" fillId="2" borderId="7" xfId="3" applyFill="1" applyBorder="1"/>
    <xf numFmtId="0" fontId="1" fillId="2" borderId="9" xfId="3" applyFill="1" applyBorder="1"/>
    <xf numFmtId="0" fontId="1" fillId="2" borderId="10" xfId="3" applyFill="1" applyBorder="1" applyAlignment="1">
      <alignment vertical="center"/>
    </xf>
    <xf numFmtId="0" fontId="1" fillId="3" borderId="7" xfId="3" applyFill="1" applyBorder="1" applyAlignment="1">
      <alignment vertical="center"/>
    </xf>
    <xf numFmtId="0" fontId="1" fillId="3" borderId="8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Continuous" vertical="center"/>
    </xf>
    <xf numFmtId="0" fontId="1" fillId="3" borderId="7" xfId="3" applyFill="1" applyBorder="1" applyAlignment="1">
      <alignment horizontal="centerContinuous" vertical="center"/>
    </xf>
    <xf numFmtId="0" fontId="1" fillId="3" borderId="2" xfId="3" applyFill="1" applyBorder="1" applyAlignment="1">
      <alignment horizontal="centerContinuous" vertical="center"/>
    </xf>
    <xf numFmtId="0" fontId="1" fillId="3" borderId="6" xfId="3" applyFill="1" applyBorder="1" applyAlignment="1">
      <alignment horizontal="centerContinuous" vertical="center"/>
    </xf>
    <xf numFmtId="0" fontId="1" fillId="3" borderId="3" xfId="3" applyFill="1" applyBorder="1" applyAlignment="1">
      <alignment horizontal="centerContinuous" vertical="center"/>
    </xf>
    <xf numFmtId="0" fontId="1" fillId="2" borderId="11" xfId="3" applyFill="1" applyBorder="1" applyAlignment="1">
      <alignment horizontal="center" vertical="center"/>
    </xf>
    <xf numFmtId="0" fontId="1" fillId="3" borderId="10" xfId="3" applyFill="1" applyBorder="1" applyAlignment="1">
      <alignment horizontal="center" vertical="center"/>
    </xf>
    <xf numFmtId="0" fontId="1" fillId="3" borderId="1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 wrapText="1"/>
    </xf>
    <xf numFmtId="0" fontId="1" fillId="3" borderId="10" xfId="3" applyFill="1" applyBorder="1" applyAlignment="1">
      <alignment horizontal="centerContinuous" vertical="center"/>
    </xf>
    <xf numFmtId="0" fontId="1" fillId="3" borderId="11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" vertical="center"/>
    </xf>
    <xf numFmtId="0" fontId="1" fillId="4" borderId="1" xfId="3" applyFill="1" applyBorder="1" applyAlignment="1">
      <alignment horizontal="center" vertical="center" wrapText="1"/>
    </xf>
    <xf numFmtId="1" fontId="1" fillId="4" borderId="1" xfId="3" applyNumberFormat="1" applyFill="1" applyBorder="1" applyAlignment="1">
      <alignment horizontal="center" vertical="center"/>
    </xf>
    <xf numFmtId="2" fontId="1" fillId="4" borderId="1" xfId="3" applyNumberFormat="1" applyFill="1" applyBorder="1" applyAlignment="1">
      <alignment horizontal="center" vertical="center"/>
    </xf>
    <xf numFmtId="4" fontId="1" fillId="4" borderId="1" xfId="3" applyNumberFormat="1" applyFill="1" applyBorder="1" applyAlignment="1">
      <alignment horizontal="center" vertical="center"/>
    </xf>
    <xf numFmtId="3" fontId="1" fillId="4" borderId="1" xfId="3" applyNumberFormat="1" applyFill="1" applyBorder="1" applyAlignment="1">
      <alignment horizontal="center" vertical="center"/>
    </xf>
    <xf numFmtId="166" fontId="1" fillId="4" borderId="7" xfId="3" applyNumberFormat="1" applyFill="1" applyBorder="1" applyAlignment="1">
      <alignment horizontal="center" vertical="center"/>
    </xf>
    <xf numFmtId="4" fontId="1" fillId="4" borderId="9" xfId="3" applyNumberFormat="1" applyFill="1" applyBorder="1" applyAlignment="1">
      <alignment horizontal="center" vertical="center"/>
    </xf>
    <xf numFmtId="165" fontId="1" fillId="4" borderId="1" xfId="3" applyNumberFormat="1" applyFill="1" applyBorder="1" applyAlignment="1">
      <alignment horizontal="center" vertical="center"/>
    </xf>
    <xf numFmtId="0" fontId="1" fillId="2" borderId="11" xfId="3" applyFill="1" applyBorder="1" applyAlignment="1">
      <alignment vertical="center"/>
    </xf>
    <xf numFmtId="0" fontId="1" fillId="4" borderId="12" xfId="3" applyFill="1" applyBorder="1" applyAlignment="1">
      <alignment horizontal="center" vertical="center" wrapText="1"/>
    </xf>
    <xf numFmtId="1" fontId="1" fillId="4" borderId="12" xfId="3" applyNumberFormat="1" applyFill="1" applyBorder="1" applyAlignment="1">
      <alignment horizontal="center" vertical="center"/>
    </xf>
    <xf numFmtId="2" fontId="1" fillId="4" borderId="12" xfId="3" applyNumberFormat="1" applyFill="1" applyBorder="1" applyAlignment="1">
      <alignment horizontal="center" vertical="center"/>
    </xf>
    <xf numFmtId="4" fontId="1" fillId="4" borderId="12" xfId="3" applyNumberFormat="1" applyFill="1" applyBorder="1" applyAlignment="1">
      <alignment horizontal="center" vertical="center"/>
    </xf>
    <xf numFmtId="3" fontId="1" fillId="4" borderId="12" xfId="3" applyNumberFormat="1" applyFill="1" applyBorder="1" applyAlignment="1">
      <alignment horizontal="center" vertical="center"/>
    </xf>
    <xf numFmtId="166" fontId="1" fillId="4" borderId="10" xfId="3" applyNumberFormat="1" applyFill="1" applyBorder="1" applyAlignment="1">
      <alignment horizontal="center" vertical="center"/>
    </xf>
    <xf numFmtId="4" fontId="1" fillId="4" borderId="11" xfId="3" applyNumberFormat="1" applyFill="1" applyBorder="1" applyAlignment="1">
      <alignment horizontal="center" vertical="center"/>
    </xf>
    <xf numFmtId="165" fontId="1" fillId="4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 wrapText="1"/>
    </xf>
    <xf numFmtId="1" fontId="1" fillId="2" borderId="12" xfId="3" applyNumberFormat="1" applyFill="1" applyBorder="1" applyAlignment="1">
      <alignment horizontal="center" vertical="center"/>
    </xf>
    <xf numFmtId="2" fontId="1" fillId="2" borderId="12" xfId="3" applyNumberFormat="1" applyFill="1" applyBorder="1" applyAlignment="1">
      <alignment horizontal="center" vertical="center"/>
    </xf>
    <xf numFmtId="4" fontId="1" fillId="2" borderId="12" xfId="3" applyNumberFormat="1" applyFill="1" applyBorder="1" applyAlignment="1">
      <alignment horizontal="center" vertical="center"/>
    </xf>
    <xf numFmtId="3" fontId="1" fillId="2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/>
    </xf>
    <xf numFmtId="166" fontId="1" fillId="2" borderId="10" xfId="3" applyNumberFormat="1" applyFill="1" applyBorder="1" applyAlignment="1">
      <alignment horizontal="center" vertical="center"/>
    </xf>
    <xf numFmtId="4" fontId="1" fillId="2" borderId="11" xfId="3" applyNumberFormat="1" applyFill="1" applyBorder="1" applyAlignment="1">
      <alignment horizontal="center" vertical="center"/>
    </xf>
    <xf numFmtId="165" fontId="1" fillId="2" borderId="12" xfId="3" applyNumberFormat="1" applyFill="1" applyBorder="1" applyAlignment="1">
      <alignment horizontal="center" vertical="center"/>
    </xf>
    <xf numFmtId="0" fontId="3" fillId="3" borderId="12" xfId="3" applyFont="1" applyFill="1" applyBorder="1" applyAlignment="1">
      <alignment vertical="center"/>
    </xf>
    <xf numFmtId="49" fontId="3" fillId="3" borderId="12" xfId="3" applyNumberFormat="1" applyFont="1" applyFill="1" applyBorder="1" applyAlignment="1">
      <alignment vertical="top" wrapText="1"/>
    </xf>
    <xf numFmtId="0" fontId="1" fillId="4" borderId="4" xfId="3" applyFill="1" applyBorder="1" applyAlignment="1">
      <alignment horizontal="center" vertical="center" wrapText="1"/>
    </xf>
    <xf numFmtId="1" fontId="1" fillId="4" borderId="4" xfId="3" applyNumberFormat="1" applyFill="1" applyBorder="1" applyAlignment="1">
      <alignment horizontal="center" vertical="center"/>
    </xf>
    <xf numFmtId="2" fontId="1" fillId="4" borderId="4" xfId="3" applyNumberFormat="1" applyFill="1" applyBorder="1" applyAlignment="1">
      <alignment horizontal="center" vertical="center"/>
    </xf>
    <xf numFmtId="4" fontId="1" fillId="4" borderId="4" xfId="3" applyNumberFormat="1" applyFill="1" applyBorder="1" applyAlignment="1">
      <alignment horizontal="center" vertical="center"/>
    </xf>
    <xf numFmtId="3" fontId="1" fillId="4" borderId="4" xfId="3" applyNumberFormat="1" applyFill="1" applyBorder="1" applyAlignment="1">
      <alignment horizontal="center" vertical="center"/>
    </xf>
    <xf numFmtId="166" fontId="1" fillId="4" borderId="15" xfId="3" applyNumberFormat="1" applyFill="1" applyBorder="1" applyAlignment="1">
      <alignment horizontal="center" vertical="center"/>
    </xf>
    <xf numFmtId="4" fontId="1" fillId="4" borderId="14" xfId="3" applyNumberFormat="1" applyFill="1" applyBorder="1" applyAlignment="1">
      <alignment horizontal="center" vertical="center"/>
    </xf>
    <xf numFmtId="165" fontId="1" fillId="4" borderId="4" xfId="3" applyNumberFormat="1" applyFill="1" applyBorder="1" applyAlignment="1">
      <alignment horizontal="center" vertical="center"/>
    </xf>
    <xf numFmtId="3" fontId="1" fillId="3" borderId="5" xfId="3" applyNumberFormat="1" applyFill="1" applyBorder="1" applyAlignment="1">
      <alignment horizontal="center" vertical="center"/>
    </xf>
    <xf numFmtId="2" fontId="1" fillId="3" borderId="5" xfId="3" applyNumberFormat="1" applyFill="1" applyBorder="1" applyAlignment="1">
      <alignment horizontal="center" vertical="center"/>
    </xf>
    <xf numFmtId="4" fontId="1" fillId="3" borderId="5" xfId="3" applyNumberFormat="1" applyFill="1" applyBorder="1" applyAlignment="1">
      <alignment horizontal="center" vertical="center"/>
    </xf>
    <xf numFmtId="3" fontId="3" fillId="2" borderId="6" xfId="3" applyNumberFormat="1" applyFont="1" applyFill="1" applyBorder="1" applyAlignment="1">
      <alignment horizontal="center" vertical="center"/>
    </xf>
    <xf numFmtId="2" fontId="1" fillId="3" borderId="2" xfId="3" applyNumberFormat="1" applyFill="1" applyBorder="1" applyAlignment="1">
      <alignment horizontal="centerContinuous" vertical="center"/>
    </xf>
    <xf numFmtId="2" fontId="1" fillId="3" borderId="6" xfId="3" applyNumberFormat="1" applyFill="1" applyBorder="1" applyAlignment="1">
      <alignment horizontal="centerContinuous" vertical="center"/>
    </xf>
    <xf numFmtId="166" fontId="3" fillId="3" borderId="6" xfId="3" applyNumberFormat="1" applyFont="1" applyFill="1" applyBorder="1" applyAlignment="1">
      <alignment horizontal="center" vertical="center"/>
    </xf>
    <xf numFmtId="2" fontId="1" fillId="3" borderId="3" xfId="3" applyNumberFormat="1" applyFill="1" applyBorder="1" applyAlignment="1">
      <alignment horizontal="center" vertical="center"/>
    </xf>
    <xf numFmtId="3" fontId="1" fillId="3" borderId="3" xfId="3" applyNumberFormat="1" applyFill="1" applyBorder="1" applyAlignment="1">
      <alignment horizontal="center" vertical="center"/>
    </xf>
    <xf numFmtId="49" fontId="3" fillId="3" borderId="4" xfId="3" applyNumberFormat="1" applyFont="1" applyFill="1" applyBorder="1" applyAlignment="1">
      <alignment vertical="top" wrapText="1"/>
    </xf>
    <xf numFmtId="3" fontId="1" fillId="3" borderId="15" xfId="3" applyNumberFormat="1" applyFill="1" applyBorder="1" applyAlignment="1">
      <alignment horizontal="center" vertical="center"/>
    </xf>
    <xf numFmtId="166" fontId="3" fillId="3" borderId="15" xfId="3" applyNumberFormat="1" applyFont="1" applyFill="1" applyBorder="1" applyAlignment="1">
      <alignment horizontal="center" vertical="center"/>
    </xf>
    <xf numFmtId="4" fontId="1" fillId="3" borderId="14" xfId="3" applyNumberFormat="1" applyFill="1" applyBorder="1" applyAlignment="1">
      <alignment horizontal="center" vertical="center"/>
    </xf>
    <xf numFmtId="4" fontId="3" fillId="2" borderId="14" xfId="3" applyNumberFormat="1" applyFont="1" applyFill="1" applyBorder="1" applyAlignment="1">
      <alignment horizontal="center" vertical="center"/>
    </xf>
    <xf numFmtId="0" fontId="4" fillId="2" borderId="10" xfId="0" applyFont="1" applyFill="1" applyBorder="1"/>
    <xf numFmtId="0" fontId="4" fillId="2" borderId="6" xfId="0" applyFont="1" applyFill="1" applyBorder="1"/>
    <xf numFmtId="0" fontId="4" fillId="2" borderId="13" xfId="0" applyFont="1" applyFill="1" applyBorder="1"/>
    <xf numFmtId="2" fontId="4" fillId="2" borderId="13" xfId="0" applyNumberFormat="1" applyFont="1" applyFill="1" applyBorder="1"/>
    <xf numFmtId="165" fontId="4" fillId="2" borderId="13" xfId="0" applyNumberFormat="1" applyFont="1" applyFill="1" applyBorder="1"/>
    <xf numFmtId="0" fontId="4" fillId="0" borderId="0" xfId="0" applyFont="1"/>
    <xf numFmtId="2" fontId="4" fillId="2" borderId="6" xfId="0" applyNumberFormat="1" applyFont="1" applyFill="1" applyBorder="1"/>
    <xf numFmtId="165" fontId="4" fillId="2" borderId="6" xfId="0" applyNumberFormat="1" applyFont="1" applyFill="1" applyBorder="1"/>
    <xf numFmtId="0" fontId="5" fillId="2" borderId="7" xfId="0" applyFont="1" applyFill="1" applyBorder="1" applyAlignment="1">
      <alignment vertical="top"/>
    </xf>
    <xf numFmtId="0" fontId="5" fillId="2" borderId="8" xfId="0" applyFont="1" applyFill="1" applyBorder="1" applyAlignment="1">
      <alignment vertical="top"/>
    </xf>
    <xf numFmtId="0" fontId="5" fillId="2" borderId="8" xfId="0" applyFont="1" applyFill="1" applyBorder="1"/>
    <xf numFmtId="0" fontId="4" fillId="2" borderId="8" xfId="0" applyFont="1" applyFill="1" applyBorder="1"/>
    <xf numFmtId="2" fontId="4" fillId="2" borderId="8" xfId="0" applyNumberFormat="1" applyFont="1" applyFill="1" applyBorder="1" applyAlignment="1">
      <alignment vertical="top"/>
    </xf>
    <xf numFmtId="2" fontId="5" fillId="2" borderId="8" xfId="0" applyNumberFormat="1" applyFont="1" applyFill="1" applyBorder="1" applyAlignment="1">
      <alignment vertical="top"/>
    </xf>
    <xf numFmtId="2" fontId="4" fillId="2" borderId="9" xfId="0" applyNumberFormat="1" applyFont="1" applyFill="1" applyBorder="1" applyAlignment="1">
      <alignment vertical="top"/>
    </xf>
    <xf numFmtId="165" fontId="5" fillId="2" borderId="7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vertical="center"/>
    </xf>
    <xf numFmtId="0" fontId="5" fillId="2" borderId="10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4" fillId="2" borderId="0" xfId="0" applyFont="1" applyFill="1"/>
    <xf numFmtId="2" fontId="4" fillId="2" borderId="0" xfId="0" applyNumberFormat="1" applyFont="1" applyFill="1" applyAlignment="1">
      <alignment vertical="top"/>
    </xf>
    <xf numFmtId="2" fontId="5" fillId="2" borderId="0" xfId="0" applyNumberFormat="1" applyFont="1" applyFill="1" applyAlignment="1">
      <alignment vertical="top"/>
    </xf>
    <xf numFmtId="2" fontId="4" fillId="2" borderId="11" xfId="0" applyNumberFormat="1" applyFont="1" applyFill="1" applyBorder="1" applyAlignment="1">
      <alignment vertical="top"/>
    </xf>
    <xf numFmtId="165" fontId="5" fillId="2" borderId="10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vertical="center"/>
    </xf>
    <xf numFmtId="0" fontId="5" fillId="2" borderId="0" xfId="0" applyFont="1" applyFill="1"/>
    <xf numFmtId="0" fontId="4" fillId="2" borderId="15" xfId="0" applyFont="1" applyFill="1" applyBorder="1"/>
    <xf numFmtId="0" fontId="4" fillId="2" borderId="2" xfId="0" applyFont="1" applyFill="1" applyBorder="1"/>
    <xf numFmtId="14" fontId="4" fillId="2" borderId="6" xfId="0" applyNumberFormat="1" applyFont="1" applyFill="1" applyBorder="1"/>
    <xf numFmtId="14" fontId="4" fillId="2" borderId="3" xfId="0" applyNumberFormat="1" applyFont="1" applyFill="1" applyBorder="1"/>
    <xf numFmtId="165" fontId="5" fillId="2" borderId="15" xfId="0" applyNumberFormat="1" applyFont="1" applyFill="1" applyBorder="1" applyAlignment="1">
      <alignment horizontal="left"/>
    </xf>
    <xf numFmtId="0" fontId="6" fillId="2" borderId="15" xfId="4" applyFont="1" applyFill="1" applyBorder="1"/>
    <xf numFmtId="0" fontId="6" fillId="2" borderId="13" xfId="4" applyFont="1" applyFill="1" applyBorder="1"/>
    <xf numFmtId="0" fontId="1" fillId="2" borderId="14" xfId="3" applyFill="1" applyBorder="1" applyAlignment="1">
      <alignment vertical="center"/>
    </xf>
    <xf numFmtId="0" fontId="1" fillId="2" borderId="0" xfId="3" applyFill="1" applyAlignment="1">
      <alignment vertical="center"/>
    </xf>
    <xf numFmtId="0" fontId="6" fillId="2" borderId="0" xfId="4" applyFont="1" applyFill="1"/>
    <xf numFmtId="0" fontId="1" fillId="2" borderId="0" xfId="3" applyFill="1"/>
    <xf numFmtId="0" fontId="1" fillId="3" borderId="5" xfId="3" applyFill="1" applyBorder="1" applyAlignment="1">
      <alignment horizontal="center" vertical="center"/>
    </xf>
    <xf numFmtId="0" fontId="1" fillId="3" borderId="5" xfId="3" applyFill="1" applyBorder="1"/>
    <xf numFmtId="166" fontId="3" fillId="3" borderId="5" xfId="3" applyNumberFormat="1" applyFont="1" applyFill="1" applyBorder="1" applyAlignment="1">
      <alignment horizontal="center" vertical="center"/>
    </xf>
    <xf numFmtId="3" fontId="1" fillId="3" borderId="0" xfId="3" applyNumberFormat="1" applyFill="1"/>
    <xf numFmtId="3" fontId="1" fillId="3" borderId="5" xfId="3" applyNumberFormat="1" applyFill="1" applyBorder="1"/>
    <xf numFmtId="1" fontId="1" fillId="2" borderId="12" xfId="3" applyNumberFormat="1" applyFill="1" applyBorder="1" applyAlignment="1">
      <alignment horizontal="center" vertical="center" wrapText="1"/>
    </xf>
    <xf numFmtId="4" fontId="3" fillId="3" borderId="5" xfId="3" applyNumberFormat="1" applyFont="1" applyFill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/>
    </xf>
    <xf numFmtId="4" fontId="3" fillId="3" borderId="6" xfId="3" applyNumberFormat="1" applyFont="1" applyFill="1" applyBorder="1" applyAlignment="1">
      <alignment horizontal="center" vertical="center"/>
    </xf>
    <xf numFmtId="4" fontId="1" fillId="3" borderId="0" xfId="3" applyNumberFormat="1" applyFill="1" applyAlignment="1">
      <alignment vertical="center"/>
    </xf>
    <xf numFmtId="0" fontId="0" fillId="0" borderId="0" xfId="0" applyAlignment="1">
      <alignment horizontal="left"/>
    </xf>
    <xf numFmtId="0" fontId="8" fillId="3" borderId="17" xfId="5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3" applyFill="1" applyBorder="1" applyAlignment="1">
      <alignment horizontal="center" vertical="center" wrapText="1"/>
    </xf>
    <xf numFmtId="1" fontId="1" fillId="2" borderId="1" xfId="3" applyNumberFormat="1" applyFill="1" applyBorder="1" applyAlignment="1">
      <alignment horizontal="center" vertical="center"/>
    </xf>
    <xf numFmtId="4" fontId="1" fillId="2" borderId="1" xfId="3" applyNumberFormat="1" applyFill="1" applyBorder="1" applyAlignment="1">
      <alignment horizontal="center" vertical="center"/>
    </xf>
    <xf numFmtId="4" fontId="1" fillId="2" borderId="9" xfId="3" applyNumberFormat="1" applyFill="1" applyBorder="1" applyAlignment="1">
      <alignment horizontal="center" vertical="center"/>
    </xf>
    <xf numFmtId="0" fontId="3" fillId="3" borderId="12" xfId="3" applyFont="1" applyFill="1" applyBorder="1" applyAlignment="1">
      <alignment vertical="top" wrapText="1"/>
    </xf>
    <xf numFmtId="0" fontId="1" fillId="2" borderId="4" xfId="3" applyFill="1" applyBorder="1" applyAlignment="1">
      <alignment horizontal="center" vertical="center" wrapText="1"/>
    </xf>
    <xf numFmtId="1" fontId="1" fillId="2" borderId="4" xfId="3" applyNumberFormat="1" applyFill="1" applyBorder="1" applyAlignment="1">
      <alignment horizontal="center" vertical="center"/>
    </xf>
    <xf numFmtId="2" fontId="1" fillId="2" borderId="4" xfId="3" applyNumberFormat="1" applyFill="1" applyBorder="1" applyAlignment="1">
      <alignment horizontal="center" vertical="center"/>
    </xf>
    <xf numFmtId="169" fontId="1" fillId="2" borderId="15" xfId="3" applyNumberFormat="1" applyFill="1" applyBorder="1" applyAlignment="1">
      <alignment horizontal="center" vertical="center"/>
    </xf>
    <xf numFmtId="4" fontId="1" fillId="2" borderId="14" xfId="3" applyNumberFormat="1" applyFill="1" applyBorder="1" applyAlignment="1">
      <alignment horizontal="center" vertical="center"/>
    </xf>
    <xf numFmtId="169" fontId="1" fillId="2" borderId="7" xfId="3" applyNumberFormat="1" applyFill="1" applyBorder="1" applyAlignment="1">
      <alignment horizontal="center" vertical="center"/>
    </xf>
    <xf numFmtId="0" fontId="1" fillId="2" borderId="8" xfId="3" applyFill="1" applyBorder="1" applyAlignment="1">
      <alignment horizontal="center" vertical="center" wrapText="1"/>
    </xf>
    <xf numFmtId="1" fontId="1" fillId="2" borderId="8" xfId="3" applyNumberFormat="1" applyFill="1" applyBorder="1" applyAlignment="1">
      <alignment horizontal="center" vertical="center"/>
    </xf>
    <xf numFmtId="2" fontId="1" fillId="2" borderId="8" xfId="3" applyNumberFormat="1" applyFill="1" applyBorder="1" applyAlignment="1">
      <alignment horizontal="center" vertical="center"/>
    </xf>
    <xf numFmtId="3" fontId="1" fillId="2" borderId="8" xfId="3" applyNumberFormat="1" applyFill="1" applyBorder="1" applyAlignment="1">
      <alignment horizontal="center" vertical="center"/>
    </xf>
    <xf numFmtId="4" fontId="1" fillId="2" borderId="8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vertical="center" wrapText="1"/>
    </xf>
    <xf numFmtId="170" fontId="1" fillId="2" borderId="10" xfId="3" applyNumberFormat="1" applyFill="1" applyBorder="1" applyAlignment="1">
      <alignment horizontal="center" vertical="center"/>
    </xf>
    <xf numFmtId="0" fontId="1" fillId="2" borderId="4" xfId="3" applyFill="1" applyBorder="1" applyAlignment="1">
      <alignment vertical="center" wrapText="1"/>
    </xf>
    <xf numFmtId="0" fontId="1" fillId="2" borderId="5" xfId="3" applyFill="1" applyBorder="1" applyAlignment="1">
      <alignment vertical="center" wrapText="1"/>
    </xf>
    <xf numFmtId="170" fontId="1" fillId="2" borderId="7" xfId="3" applyNumberFormat="1" applyFill="1" applyBorder="1" applyAlignment="1">
      <alignment horizontal="center" vertical="center"/>
    </xf>
    <xf numFmtId="169" fontId="1" fillId="2" borderId="10" xfId="3" applyNumberFormat="1" applyFill="1" applyBorder="1" applyAlignment="1">
      <alignment horizontal="center" vertical="center"/>
    </xf>
    <xf numFmtId="169" fontId="1" fillId="2" borderId="11" xfId="3" applyNumberFormat="1" applyFill="1" applyBorder="1" applyAlignment="1">
      <alignment horizontal="center" vertical="center"/>
    </xf>
    <xf numFmtId="169" fontId="1" fillId="4" borderId="10" xfId="3" applyNumberFormat="1" applyFill="1" applyBorder="1" applyAlignment="1">
      <alignment horizontal="center" vertical="center"/>
    </xf>
    <xf numFmtId="169" fontId="1" fillId="4" borderId="11" xfId="3" applyNumberFormat="1" applyFill="1" applyBorder="1" applyAlignment="1">
      <alignment horizontal="center" vertical="center"/>
    </xf>
    <xf numFmtId="3" fontId="3" fillId="3" borderId="3" xfId="3" applyNumberFormat="1" applyFont="1" applyFill="1" applyBorder="1" applyAlignment="1">
      <alignment horizontal="center" vertical="center"/>
    </xf>
    <xf numFmtId="4" fontId="8" fillId="3" borderId="16" xfId="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12" fillId="2" borderId="16" xfId="5" applyNumberFormat="1" applyFont="1" applyFill="1" applyBorder="1" applyAlignment="1">
      <alignment horizontal="center" vertical="center" wrapText="1"/>
    </xf>
    <xf numFmtId="4" fontId="8" fillId="2" borderId="16" xfId="5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4" fontId="8" fillId="2" borderId="22" xfId="5" applyNumberFormat="1" applyFont="1" applyFill="1" applyBorder="1" applyAlignment="1">
      <alignment horizontal="center" vertical="center" wrapText="1"/>
    </xf>
    <xf numFmtId="0" fontId="9" fillId="6" borderId="17" xfId="5" applyNumberFormat="1" applyFont="1" applyFill="1" applyBorder="1" applyAlignment="1">
      <alignment horizontal="center" vertical="center" wrapText="1"/>
    </xf>
    <xf numFmtId="0" fontId="9" fillId="6" borderId="17" xfId="5" applyFont="1" applyFill="1" applyBorder="1" applyAlignment="1">
      <alignment horizontal="center" vertical="center" wrapText="1"/>
    </xf>
    <xf numFmtId="0" fontId="9" fillId="6" borderId="19" xfId="5" applyFont="1" applyFill="1" applyBorder="1" applyAlignment="1">
      <alignment horizontal="center" vertical="center" wrapText="1"/>
    </xf>
    <xf numFmtId="0" fontId="9" fillId="6" borderId="18" xfId="5" applyFont="1" applyFill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/>
    </xf>
    <xf numFmtId="0" fontId="0" fillId="0" borderId="10" xfId="0" applyBorder="1"/>
    <xf numFmtId="0" fontId="8" fillId="3" borderId="19" xfId="5" applyFont="1" applyFill="1" applyBorder="1" applyAlignment="1">
      <alignment horizontal="left" vertical="center" wrapText="1"/>
    </xf>
    <xf numFmtId="0" fontId="8" fillId="7" borderId="16" xfId="5" applyNumberFormat="1" applyFont="1" applyFill="1" applyBorder="1" applyAlignment="1">
      <alignment horizontal="left" vertical="center" wrapText="1"/>
    </xf>
    <xf numFmtId="0" fontId="14" fillId="6" borderId="18" xfId="5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vertical="center"/>
    </xf>
    <xf numFmtId="0" fontId="3" fillId="3" borderId="8" xfId="3" applyFont="1" applyFill="1" applyBorder="1" applyAlignment="1">
      <alignment horizontal="centerContinuous" vertical="center"/>
    </xf>
    <xf numFmtId="0" fontId="3" fillId="3" borderId="9" xfId="3" applyFont="1" applyFill="1" applyBorder="1" applyAlignment="1">
      <alignment horizontal="centerContinuous" vertical="center"/>
    </xf>
    <xf numFmtId="0" fontId="3" fillId="3" borderId="7" xfId="3" applyFont="1" applyFill="1" applyBorder="1" applyAlignment="1">
      <alignment horizontal="centerContinuous" vertical="center"/>
    </xf>
    <xf numFmtId="0" fontId="3" fillId="3" borderId="2" xfId="3" applyFont="1" applyFill="1" applyBorder="1" applyAlignment="1">
      <alignment horizontal="centerContinuous" vertical="center"/>
    </xf>
    <xf numFmtId="0" fontId="3" fillId="3" borderId="6" xfId="3" applyFont="1" applyFill="1" applyBorder="1" applyAlignment="1">
      <alignment horizontal="centerContinuous" vertical="center"/>
    </xf>
    <xf numFmtId="0" fontId="3" fillId="3" borderId="3" xfId="3" applyFont="1" applyFill="1" applyBorder="1" applyAlignment="1">
      <alignment horizontal="centerContinuous" vertical="center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/>
    </xf>
    <xf numFmtId="0" fontId="3" fillId="3" borderId="10" xfId="3" applyFont="1" applyFill="1" applyBorder="1" applyAlignment="1">
      <alignment horizontal="centerContinuous" vertical="center"/>
    </xf>
    <xf numFmtId="0" fontId="3" fillId="3" borderId="11" xfId="3" applyFont="1" applyFill="1" applyBorder="1" applyAlignment="1">
      <alignment horizontal="centerContinuous" vertical="center"/>
    </xf>
    <xf numFmtId="0" fontId="3" fillId="3" borderId="9" xfId="3" applyFont="1" applyFill="1" applyBorder="1" applyAlignment="1">
      <alignment horizontal="center" vertical="center"/>
    </xf>
    <xf numFmtId="0" fontId="3" fillId="8" borderId="7" xfId="3" applyFont="1" applyFill="1" applyBorder="1" applyAlignment="1">
      <alignment horizontal="center" vertical="center"/>
    </xf>
    <xf numFmtId="0" fontId="3" fillId="8" borderId="10" xfId="3" applyFont="1" applyFill="1" applyBorder="1" applyAlignment="1">
      <alignment horizontal="center" vertical="center"/>
    </xf>
    <xf numFmtId="0" fontId="3" fillId="8" borderId="11" xfId="3" applyFont="1" applyFill="1" applyBorder="1" applyAlignment="1">
      <alignment horizontal="center" vertical="center"/>
    </xf>
    <xf numFmtId="0" fontId="3" fillId="8" borderId="9" xfId="3" applyFont="1" applyFill="1" applyBorder="1" applyAlignment="1">
      <alignment horizontal="center" vertical="center"/>
    </xf>
    <xf numFmtId="2" fontId="3" fillId="3" borderId="5" xfId="3" applyNumberFormat="1" applyFont="1" applyFill="1" applyBorder="1" applyAlignment="1">
      <alignment horizontal="center" vertical="center"/>
    </xf>
    <xf numFmtId="1" fontId="3" fillId="3" borderId="5" xfId="3" applyNumberFormat="1" applyFont="1" applyFill="1" applyBorder="1" applyAlignment="1">
      <alignment horizontal="center" vertical="center"/>
    </xf>
    <xf numFmtId="2" fontId="3" fillId="3" borderId="2" xfId="3" applyNumberFormat="1" applyFont="1" applyFill="1" applyBorder="1" applyAlignment="1">
      <alignment horizontal="centerContinuous" vertical="center"/>
    </xf>
    <xf numFmtId="2" fontId="3" fillId="3" borderId="6" xfId="3" applyNumberFormat="1" applyFont="1" applyFill="1" applyBorder="1" applyAlignment="1">
      <alignment horizontal="centerContinuous" vertical="center"/>
    </xf>
    <xf numFmtId="2" fontId="3" fillId="3" borderId="3" xfId="3" applyNumberFormat="1" applyFont="1" applyFill="1" applyBorder="1" applyAlignment="1">
      <alignment horizontal="center" vertical="center"/>
    </xf>
    <xf numFmtId="0" fontId="1" fillId="8" borderId="12" xfId="3" applyFill="1" applyBorder="1" applyAlignment="1">
      <alignment horizontal="center" vertical="center" wrapText="1"/>
    </xf>
    <xf numFmtId="1" fontId="1" fillId="8" borderId="12" xfId="3" applyNumberFormat="1" applyFill="1" applyBorder="1" applyAlignment="1">
      <alignment horizontal="center" vertical="center"/>
    </xf>
    <xf numFmtId="2" fontId="1" fillId="8" borderId="12" xfId="3" applyNumberFormat="1" applyFill="1" applyBorder="1" applyAlignment="1">
      <alignment horizontal="center" vertical="center"/>
    </xf>
    <xf numFmtId="4" fontId="1" fillId="8" borderId="12" xfId="3" applyNumberFormat="1" applyFill="1" applyBorder="1" applyAlignment="1">
      <alignment horizontal="center" vertical="center"/>
    </xf>
    <xf numFmtId="3" fontId="1" fillId="8" borderId="12" xfId="3" applyNumberFormat="1" applyFill="1" applyBorder="1" applyAlignment="1">
      <alignment horizontal="center" vertical="center"/>
    </xf>
    <xf numFmtId="0" fontId="1" fillId="8" borderId="12" xfId="3" applyFill="1" applyBorder="1" applyAlignment="1">
      <alignment horizontal="center" vertical="center"/>
    </xf>
    <xf numFmtId="166" fontId="1" fillId="8" borderId="10" xfId="3" applyNumberFormat="1" applyFill="1" applyBorder="1" applyAlignment="1">
      <alignment horizontal="center" vertical="center"/>
    </xf>
    <xf numFmtId="4" fontId="1" fillId="8" borderId="11" xfId="3" applyNumberFormat="1" applyFill="1" applyBorder="1" applyAlignment="1">
      <alignment horizontal="center" vertical="center"/>
    </xf>
    <xf numFmtId="165" fontId="1" fillId="8" borderId="12" xfId="3" applyNumberFormat="1" applyFill="1" applyBorder="1" applyAlignment="1">
      <alignment horizontal="center" vertical="center"/>
    </xf>
    <xf numFmtId="1" fontId="1" fillId="8" borderId="12" xfId="3" applyNumberFormat="1" applyFill="1" applyBorder="1" applyAlignment="1">
      <alignment horizontal="center" vertical="center" wrapText="1"/>
    </xf>
    <xf numFmtId="0" fontId="3" fillId="8" borderId="7" xfId="3" applyFont="1" applyFill="1" applyBorder="1" applyAlignment="1">
      <alignment vertical="center"/>
    </xf>
    <xf numFmtId="0" fontId="3" fillId="8" borderId="8" xfId="3" applyFont="1" applyFill="1" applyBorder="1" applyAlignment="1">
      <alignment horizontal="centerContinuous" vertical="center"/>
    </xf>
    <xf numFmtId="0" fontId="3" fillId="8" borderId="9" xfId="3" applyFont="1" applyFill="1" applyBorder="1" applyAlignment="1">
      <alignment horizontal="centerContinuous" vertical="center"/>
    </xf>
    <xf numFmtId="0" fontId="3" fillId="8" borderId="1" xfId="3" applyFont="1" applyFill="1" applyBorder="1" applyAlignment="1">
      <alignment vertical="center" textRotation="90"/>
    </xf>
    <xf numFmtId="0" fontId="3" fillId="8" borderId="7" xfId="3" applyFont="1" applyFill="1" applyBorder="1" applyAlignment="1">
      <alignment horizontal="centerContinuous" vertical="center"/>
    </xf>
    <xf numFmtId="0" fontId="3" fillId="8" borderId="2" xfId="3" applyFont="1" applyFill="1" applyBorder="1" applyAlignment="1">
      <alignment horizontal="centerContinuous" vertical="center"/>
    </xf>
    <xf numFmtId="0" fontId="3" fillId="8" borderId="6" xfId="3" applyFont="1" applyFill="1" applyBorder="1" applyAlignment="1">
      <alignment horizontal="centerContinuous" vertical="center"/>
    </xf>
    <xf numFmtId="0" fontId="3" fillId="8" borderId="3" xfId="3" applyFont="1" applyFill="1" applyBorder="1" applyAlignment="1">
      <alignment horizontal="centerContinuous" vertical="center"/>
    </xf>
    <xf numFmtId="0" fontId="3" fillId="8" borderId="10" xfId="3" applyFont="1" applyFill="1" applyBorder="1" applyAlignment="1">
      <alignment horizontal="centerContinuous" vertical="center"/>
    </xf>
    <xf numFmtId="0" fontId="3" fillId="8" borderId="11" xfId="3" applyFont="1" applyFill="1" applyBorder="1" applyAlignment="1">
      <alignment horizontal="centerContinuous" vertical="center"/>
    </xf>
    <xf numFmtId="0" fontId="1" fillId="8" borderId="1" xfId="3" applyFill="1" applyBorder="1" applyAlignment="1">
      <alignment horizontal="center" vertical="center" wrapText="1"/>
    </xf>
    <xf numFmtId="1" fontId="1" fillId="8" borderId="1" xfId="3" applyNumberFormat="1" applyFill="1" applyBorder="1" applyAlignment="1">
      <alignment horizontal="center" vertical="center"/>
    </xf>
    <xf numFmtId="2" fontId="1" fillId="8" borderId="1" xfId="3" applyNumberFormat="1" applyFill="1" applyBorder="1" applyAlignment="1">
      <alignment horizontal="center" vertical="center"/>
    </xf>
    <xf numFmtId="4" fontId="1" fillId="8" borderId="1" xfId="3" applyNumberFormat="1" applyFill="1" applyBorder="1" applyAlignment="1">
      <alignment horizontal="center" vertical="center"/>
    </xf>
    <xf numFmtId="3" fontId="1" fillId="8" borderId="1" xfId="3" applyNumberFormat="1" applyFill="1" applyBorder="1" applyAlignment="1">
      <alignment horizontal="center" vertical="center"/>
    </xf>
    <xf numFmtId="4" fontId="1" fillId="8" borderId="9" xfId="3" applyNumberFormat="1" applyFill="1" applyBorder="1" applyAlignment="1">
      <alignment horizontal="center" vertical="center"/>
    </xf>
    <xf numFmtId="0" fontId="3" fillId="2" borderId="7" xfId="3" applyFont="1" applyFill="1" applyBorder="1" applyAlignment="1">
      <alignment vertical="center"/>
    </xf>
    <xf numFmtId="0" fontId="3" fillId="2" borderId="9" xfId="3" applyFont="1" applyFill="1" applyBorder="1" applyAlignment="1">
      <alignment horizontal="centerContinuous" vertical="center"/>
    </xf>
    <xf numFmtId="0" fontId="3" fillId="2" borderId="7" xfId="3" applyFont="1" applyFill="1" applyBorder="1" applyAlignment="1">
      <alignment horizontal="centerContinuous" vertical="center"/>
    </xf>
    <xf numFmtId="0" fontId="3" fillId="2" borderId="10" xfId="3" applyFont="1" applyFill="1" applyBorder="1" applyAlignment="1">
      <alignment horizontal="centerContinuous" vertical="center"/>
    </xf>
    <xf numFmtId="0" fontId="3" fillId="2" borderId="11" xfId="3" applyFont="1" applyFill="1" applyBorder="1" applyAlignment="1">
      <alignment horizontal="centerContinuous" vertical="center"/>
    </xf>
    <xf numFmtId="169" fontId="1" fillId="8" borderId="10" xfId="3" applyNumberFormat="1" applyFill="1" applyBorder="1" applyAlignment="1">
      <alignment horizontal="center" vertical="center"/>
    </xf>
    <xf numFmtId="169" fontId="1" fillId="8" borderId="11" xfId="3" applyNumberFormat="1" applyFill="1" applyBorder="1" applyAlignment="1">
      <alignment horizontal="center" vertical="center"/>
    </xf>
    <xf numFmtId="44" fontId="3" fillId="3" borderId="2" xfId="6" applyFont="1" applyFill="1" applyBorder="1" applyAlignment="1">
      <alignment vertical="center"/>
    </xf>
    <xf numFmtId="44" fontId="3" fillId="3" borderId="3" xfId="6" applyFont="1" applyFill="1" applyBorder="1" applyAlignment="1">
      <alignment vertical="center"/>
    </xf>
    <xf numFmtId="0" fontId="1" fillId="0" borderId="0" xfId="9" applyAlignment="1">
      <alignment horizontal="center" vertical="center"/>
    </xf>
    <xf numFmtId="0" fontId="1" fillId="0" borderId="0" xfId="9" applyAlignment="1">
      <alignment horizontal="center" vertical="center" textRotation="90"/>
    </xf>
    <xf numFmtId="0" fontId="15" fillId="0" borderId="0" xfId="9" applyFont="1" applyAlignment="1">
      <alignment horizontal="left" vertical="center"/>
    </xf>
    <xf numFmtId="0" fontId="15" fillId="0" borderId="26" xfId="9" applyFont="1" applyBorder="1" applyAlignment="1">
      <alignment horizontal="left" vertical="center"/>
    </xf>
    <xf numFmtId="0" fontId="16" fillId="0" borderId="27" xfId="9" applyFont="1" applyBorder="1" applyAlignment="1">
      <alignment vertical="center"/>
    </xf>
    <xf numFmtId="0" fontId="16" fillId="0" borderId="7" xfId="9" applyFont="1" applyBorder="1" applyAlignment="1">
      <alignment vertical="center"/>
    </xf>
    <xf numFmtId="0" fontId="16" fillId="0" borderId="8" xfId="9" applyFont="1" applyBorder="1" applyAlignment="1">
      <alignment vertical="center"/>
    </xf>
    <xf numFmtId="0" fontId="15" fillId="0" borderId="8" xfId="9" applyFont="1" applyBorder="1" applyAlignment="1">
      <alignment horizontal="left" vertical="center"/>
    </xf>
    <xf numFmtId="0" fontId="15" fillId="0" borderId="9" xfId="9" applyFont="1" applyBorder="1" applyAlignment="1">
      <alignment horizontal="left" vertical="center"/>
    </xf>
    <xf numFmtId="0" fontId="16" fillId="0" borderId="10" xfId="9" applyFont="1" applyBorder="1" applyAlignment="1">
      <alignment vertical="center"/>
    </xf>
    <xf numFmtId="0" fontId="15" fillId="0" borderId="11" xfId="9" applyFont="1" applyBorder="1" applyAlignment="1">
      <alignment horizontal="left" vertical="center"/>
    </xf>
    <xf numFmtId="0" fontId="16" fillId="0" borderId="11" xfId="9" applyFont="1" applyBorder="1" applyAlignment="1">
      <alignment vertical="center"/>
    </xf>
    <xf numFmtId="0" fontId="16" fillId="0" borderId="15" xfId="9" applyFont="1" applyBorder="1" applyAlignment="1">
      <alignment vertical="center"/>
    </xf>
    <xf numFmtId="0" fontId="16" fillId="0" borderId="13" xfId="9" applyFont="1" applyBorder="1" applyAlignment="1">
      <alignment vertical="center"/>
    </xf>
    <xf numFmtId="0" fontId="16" fillId="0" borderId="14" xfId="9" applyFont="1" applyBorder="1" applyAlignment="1">
      <alignment vertical="center"/>
    </xf>
    <xf numFmtId="0" fontId="20" fillId="0" borderId="27" xfId="9" applyFont="1" applyBorder="1" applyAlignment="1">
      <alignment horizontal="center" vertical="center"/>
    </xf>
    <xf numFmtId="0" fontId="15" fillId="0" borderId="26" xfId="9" applyFont="1" applyBorder="1" applyAlignment="1">
      <alignment horizontal="center" vertical="center"/>
    </xf>
    <xf numFmtId="0" fontId="15" fillId="0" borderId="0" xfId="9" applyFont="1" applyAlignment="1">
      <alignment horizontal="center" vertical="center"/>
    </xf>
    <xf numFmtId="0" fontId="20" fillId="0" borderId="10" xfId="9" applyFont="1" applyBorder="1" applyAlignment="1">
      <alignment horizontal="center" vertical="center"/>
    </xf>
    <xf numFmtId="0" fontId="15" fillId="0" borderId="0" xfId="9" applyFont="1" applyAlignment="1">
      <alignment horizontal="left" vertical="center" textRotation="90"/>
    </xf>
    <xf numFmtId="172" fontId="20" fillId="0" borderId="10" xfId="9" applyNumberFormat="1" applyFont="1" applyBorder="1" applyAlignment="1">
      <alignment vertical="center"/>
    </xf>
    <xf numFmtId="0" fontId="1" fillId="0" borderId="0" xfId="9" applyAlignment="1">
      <alignment vertical="center"/>
    </xf>
    <xf numFmtId="0" fontId="15" fillId="0" borderId="0" xfId="9" applyFont="1" applyAlignment="1">
      <alignment horizontal="center" vertical="center" textRotation="90"/>
    </xf>
    <xf numFmtId="0" fontId="26" fillId="0" borderId="26" xfId="9" applyFont="1" applyBorder="1" applyAlignment="1">
      <alignment horizontal="center" vertical="center"/>
    </xf>
    <xf numFmtId="0" fontId="26" fillId="0" borderId="0" xfId="9" applyFont="1" applyAlignment="1">
      <alignment horizontal="center" vertical="center"/>
    </xf>
    <xf numFmtId="0" fontId="26" fillId="0" borderId="0" xfId="9" applyFont="1" applyAlignment="1">
      <alignment horizontal="center" vertical="center" textRotation="90"/>
    </xf>
    <xf numFmtId="173" fontId="27" fillId="0" borderId="0" xfId="1" applyNumberFormat="1" applyFont="1" applyFill="1" applyBorder="1" applyAlignment="1">
      <alignment vertical="center"/>
    </xf>
    <xf numFmtId="173" fontId="27" fillId="0" borderId="0" xfId="1" applyNumberFormat="1" applyFont="1" applyFill="1" applyBorder="1" applyAlignment="1">
      <alignment horizontal="left" vertical="center"/>
    </xf>
    <xf numFmtId="0" fontId="20" fillId="9" borderId="5" xfId="9" applyFont="1" applyFill="1" applyBorder="1" applyAlignment="1">
      <alignment horizontal="center" vertical="center"/>
    </xf>
    <xf numFmtId="0" fontId="20" fillId="5" borderId="5" xfId="9" applyFont="1" applyFill="1" applyBorder="1" applyAlignment="1">
      <alignment horizontal="center" vertical="center"/>
    </xf>
    <xf numFmtId="0" fontId="20" fillId="5" borderId="2" xfId="9" applyFont="1" applyFill="1" applyBorder="1" applyAlignment="1">
      <alignment horizontal="center" vertical="center"/>
    </xf>
    <xf numFmtId="0" fontId="20" fillId="2" borderId="10" xfId="9" applyFont="1" applyFill="1" applyBorder="1" applyAlignment="1">
      <alignment horizontal="center" vertical="center"/>
    </xf>
    <xf numFmtId="0" fontId="20" fillId="0" borderId="30" xfId="9" applyFont="1" applyBorder="1" applyAlignment="1">
      <alignment horizontal="center" vertical="center"/>
    </xf>
    <xf numFmtId="0" fontId="20" fillId="0" borderId="31" xfId="9" applyFont="1" applyBorder="1" applyAlignment="1">
      <alignment vertical="center" textRotation="90"/>
    </xf>
    <xf numFmtId="0" fontId="26" fillId="0" borderId="31" xfId="9" applyFont="1" applyBorder="1" applyAlignment="1">
      <alignment horizontal="center" vertical="center"/>
    </xf>
    <xf numFmtId="0" fontId="29" fillId="0" borderId="31" xfId="9" applyFont="1" applyBorder="1" applyAlignment="1">
      <alignment vertical="center" textRotation="90"/>
    </xf>
    <xf numFmtId="0" fontId="20" fillId="0" borderId="32" xfId="9" applyFont="1" applyBorder="1" applyAlignment="1">
      <alignment horizontal="center" vertical="center"/>
    </xf>
    <xf numFmtId="0" fontId="20" fillId="0" borderId="11" xfId="9" applyFont="1" applyBorder="1" applyAlignment="1">
      <alignment horizontal="center" vertical="center"/>
    </xf>
    <xf numFmtId="0" fontId="19" fillId="0" borderId="27" xfId="9" applyFont="1" applyBorder="1" applyAlignment="1">
      <alignment textRotation="90"/>
    </xf>
    <xf numFmtId="0" fontId="19" fillId="0" borderId="0" xfId="9" applyFont="1" applyAlignment="1">
      <alignment textRotation="90"/>
    </xf>
    <xf numFmtId="164" fontId="20" fillId="0" borderId="0" xfId="1" applyFont="1" applyFill="1" applyBorder="1" applyAlignment="1">
      <alignment horizontal="center" vertical="center"/>
    </xf>
    <xf numFmtId="0" fontId="20" fillId="0" borderId="8" xfId="9" applyFont="1" applyBorder="1" applyAlignment="1">
      <alignment horizontal="center" vertical="center"/>
    </xf>
    <xf numFmtId="0" fontId="26" fillId="0" borderId="26" xfId="9" applyFont="1" applyBorder="1" applyAlignment="1">
      <alignment horizontal="left" vertical="center"/>
    </xf>
    <xf numFmtId="0" fontId="26" fillId="0" borderId="0" xfId="9" applyFont="1" applyAlignment="1">
      <alignment horizontal="left" vertical="center"/>
    </xf>
    <xf numFmtId="0" fontId="21" fillId="0" borderId="27" xfId="9" applyFont="1" applyBorder="1" applyAlignment="1">
      <alignment vertical="center"/>
    </xf>
    <xf numFmtId="0" fontId="26" fillId="6" borderId="2" xfId="9" applyFont="1" applyFill="1" applyBorder="1" applyAlignment="1">
      <alignment horizontal="left" vertical="center"/>
    </xf>
    <xf numFmtId="0" fontId="26" fillId="6" borderId="3" xfId="9" applyFont="1" applyFill="1" applyBorder="1" applyAlignment="1">
      <alignment horizontal="left" vertical="center"/>
    </xf>
    <xf numFmtId="0" fontId="20" fillId="0" borderId="27" xfId="9" applyFont="1" applyBorder="1" applyAlignment="1">
      <alignment vertical="center" wrapText="1" shrinkToFit="1"/>
    </xf>
    <xf numFmtId="0" fontId="26" fillId="0" borderId="35" xfId="9" applyFont="1" applyBorder="1" applyAlignment="1">
      <alignment horizontal="left" vertical="center"/>
    </xf>
    <xf numFmtId="0" fontId="26" fillId="0" borderId="36" xfId="9" applyFont="1" applyBorder="1" applyAlignment="1">
      <alignment horizontal="left" vertical="center"/>
    </xf>
    <xf numFmtId="0" fontId="20" fillId="0" borderId="36" xfId="9" applyFont="1" applyBorder="1" applyAlignment="1">
      <alignment horizontal="left" vertical="center"/>
    </xf>
    <xf numFmtId="176" fontId="21" fillId="2" borderId="36" xfId="9" applyNumberFormat="1" applyFont="1" applyFill="1" applyBorder="1" applyAlignment="1">
      <alignment horizontal="center" vertical="center"/>
    </xf>
    <xf numFmtId="0" fontId="21" fillId="0" borderId="36" xfId="9" applyFont="1" applyBorder="1" applyAlignment="1">
      <alignment horizontal="center" vertical="center"/>
    </xf>
    <xf numFmtId="0" fontId="20" fillId="0" borderId="36" xfId="9" applyFont="1" applyBorder="1" applyAlignment="1">
      <alignment horizontal="center" vertical="center"/>
    </xf>
    <xf numFmtId="176" fontId="20" fillId="0" borderId="36" xfId="9" applyNumberFormat="1" applyFont="1" applyBorder="1" applyAlignment="1">
      <alignment horizontal="center" vertical="center"/>
    </xf>
    <xf numFmtId="176" fontId="21" fillId="0" borderId="36" xfId="9" applyNumberFormat="1" applyFont="1" applyBorder="1" applyAlignment="1">
      <alignment horizontal="center" vertical="center"/>
    </xf>
    <xf numFmtId="0" fontId="20" fillId="0" borderId="36" xfId="9" applyFont="1" applyBorder="1" applyAlignment="1">
      <alignment vertical="center"/>
    </xf>
    <xf numFmtId="0" fontId="20" fillId="0" borderId="36" xfId="9" applyFont="1" applyBorder="1" applyAlignment="1">
      <alignment horizontal="center" vertical="center" wrapText="1" shrinkToFit="1"/>
    </xf>
    <xf numFmtId="0" fontId="20" fillId="0" borderId="37" xfId="9" applyFont="1" applyBorder="1" applyAlignment="1">
      <alignment horizontal="center" vertical="center" wrapText="1" shrinkToFit="1"/>
    </xf>
    <xf numFmtId="0" fontId="1" fillId="0" borderId="0" xfId="9" applyAlignment="1">
      <alignment horizontal="left" vertical="center"/>
    </xf>
    <xf numFmtId="0" fontId="31" fillId="2" borderId="23" xfId="9" applyFont="1" applyFill="1" applyBorder="1" applyAlignment="1">
      <alignment horizontal="right" vertical="center"/>
    </xf>
    <xf numFmtId="0" fontId="31" fillId="2" borderId="24" xfId="9" applyFont="1" applyFill="1" applyBorder="1" applyAlignment="1">
      <alignment vertical="center"/>
    </xf>
    <xf numFmtId="0" fontId="31" fillId="2" borderId="24" xfId="9" applyFont="1" applyFill="1" applyBorder="1" applyAlignment="1">
      <alignment horizontal="right" vertical="center"/>
    </xf>
    <xf numFmtId="0" fontId="1" fillId="0" borderId="25" xfId="9" applyBorder="1" applyAlignment="1">
      <alignment horizontal="center" vertical="center"/>
    </xf>
    <xf numFmtId="0" fontId="31" fillId="2" borderId="26" xfId="9" applyFont="1" applyFill="1" applyBorder="1" applyAlignment="1">
      <alignment horizontal="right" vertical="center"/>
    </xf>
    <xf numFmtId="0" fontId="1" fillId="0" borderId="27" xfId="9" applyBorder="1" applyAlignment="1">
      <alignment horizontal="center" vertical="center"/>
    </xf>
    <xf numFmtId="0" fontId="31" fillId="2" borderId="35" xfId="9" applyFont="1" applyFill="1" applyBorder="1" applyAlignment="1">
      <alignment horizontal="right" vertical="center"/>
    </xf>
    <xf numFmtId="0" fontId="32" fillId="2" borderId="36" xfId="9" applyFont="1" applyFill="1" applyBorder="1" applyAlignment="1">
      <alignment horizontal="left" vertical="center"/>
    </xf>
    <xf numFmtId="0" fontId="31" fillId="2" borderId="36" xfId="9" applyFont="1" applyFill="1" applyBorder="1" applyAlignment="1">
      <alignment vertical="center"/>
    </xf>
    <xf numFmtId="0" fontId="1" fillId="0" borderId="37" xfId="9" applyBorder="1" applyAlignment="1">
      <alignment horizontal="center" vertical="center"/>
    </xf>
    <xf numFmtId="0" fontId="35" fillId="0" borderId="0" xfId="9" applyFont="1" applyAlignment="1">
      <alignment vertical="center"/>
    </xf>
    <xf numFmtId="0" fontId="34" fillId="8" borderId="49" xfId="9" applyFont="1" applyFill="1" applyBorder="1" applyAlignment="1" applyProtection="1">
      <alignment horizontal="center" vertical="center" wrapText="1"/>
      <protection locked="0"/>
    </xf>
    <xf numFmtId="0" fontId="34" fillId="8" borderId="50" xfId="9" applyFont="1" applyFill="1" applyBorder="1" applyAlignment="1" applyProtection="1">
      <alignment horizontal="center" vertical="center" wrapText="1"/>
      <protection locked="0"/>
    </xf>
    <xf numFmtId="0" fontId="36" fillId="0" borderId="51" xfId="9" applyFont="1" applyBorder="1" applyAlignment="1" applyProtection="1">
      <alignment horizontal="center" vertical="center" wrapText="1"/>
      <protection locked="0"/>
    </xf>
    <xf numFmtId="164" fontId="36" fillId="2" borderId="52" xfId="1" applyFont="1" applyFill="1" applyBorder="1" applyAlignment="1" applyProtection="1">
      <alignment horizontal="center" vertical="center"/>
      <protection locked="0"/>
    </xf>
    <xf numFmtId="178" fontId="36" fillId="2" borderId="52" xfId="10" applyFont="1" applyFill="1" applyBorder="1" applyAlignment="1" applyProtection="1">
      <alignment horizontal="right" vertical="center"/>
      <protection locked="0"/>
    </xf>
    <xf numFmtId="178" fontId="36" fillId="2" borderId="52" xfId="10" applyFont="1" applyFill="1" applyBorder="1" applyAlignment="1" applyProtection="1">
      <alignment horizontal="center" vertical="center"/>
      <protection locked="0"/>
    </xf>
    <xf numFmtId="178" fontId="36" fillId="0" borderId="52" xfId="10" applyFont="1" applyFill="1" applyBorder="1" applyAlignment="1" applyProtection="1">
      <alignment horizontal="center" vertical="center"/>
      <protection locked="0"/>
    </xf>
    <xf numFmtId="178" fontId="36" fillId="0" borderId="53" xfId="10" applyFont="1" applyFill="1" applyBorder="1" applyAlignment="1" applyProtection="1">
      <alignment horizontal="center" vertical="center"/>
      <protection locked="0"/>
    </xf>
    <xf numFmtId="0" fontId="37" fillId="0" borderId="0" xfId="9" applyFont="1" applyAlignment="1">
      <alignment vertical="center"/>
    </xf>
    <xf numFmtId="0" fontId="34" fillId="8" borderId="54" xfId="9" applyFont="1" applyFill="1" applyBorder="1" applyAlignment="1" applyProtection="1">
      <alignment horizontal="center" vertical="center"/>
      <protection locked="0"/>
    </xf>
    <xf numFmtId="178" fontId="34" fillId="8" borderId="55" xfId="10" applyFont="1" applyFill="1" applyBorder="1" applyAlignment="1" applyProtection="1">
      <alignment horizontal="center" vertical="center"/>
      <protection locked="0"/>
    </xf>
    <xf numFmtId="178" fontId="34" fillId="8" borderId="56" xfId="10" applyFont="1" applyFill="1" applyBorder="1" applyAlignment="1" applyProtection="1">
      <alignment horizontal="center" vertical="center"/>
      <protection locked="0"/>
    </xf>
    <xf numFmtId="0" fontId="38" fillId="0" borderId="0" xfId="9" applyFont="1" applyAlignment="1">
      <alignment vertical="center"/>
    </xf>
    <xf numFmtId="43" fontId="38" fillId="0" borderId="0" xfId="9" applyNumberFormat="1" applyFont="1" applyAlignment="1">
      <alignment vertical="center"/>
    </xf>
    <xf numFmtId="164" fontId="38" fillId="0" borderId="0" xfId="1" applyFont="1" applyBorder="1" applyAlignment="1" applyProtection="1">
      <alignment vertical="center"/>
    </xf>
    <xf numFmtId="164" fontId="38" fillId="0" borderId="0" xfId="1" applyFont="1" applyBorder="1" applyAlignment="1" applyProtection="1">
      <alignment horizontal="right" vertical="center"/>
    </xf>
    <xf numFmtId="164" fontId="38" fillId="0" borderId="0" xfId="1" applyFont="1" applyBorder="1" applyAlignment="1" applyProtection="1">
      <alignment horizontal="left" vertical="center"/>
    </xf>
    <xf numFmtId="0" fontId="38" fillId="0" borderId="0" xfId="9" applyFont="1" applyAlignment="1">
      <alignment vertical="center" wrapText="1"/>
    </xf>
    <xf numFmtId="43" fontId="38" fillId="0" borderId="0" xfId="9" applyNumberFormat="1" applyFont="1" applyAlignment="1">
      <alignment vertical="center" wrapText="1"/>
    </xf>
    <xf numFmtId="0" fontId="31" fillId="2" borderId="0" xfId="9" applyFont="1" applyFill="1" applyAlignment="1">
      <alignment horizontal="right" vertical="center"/>
    </xf>
    <xf numFmtId="0" fontId="31" fillId="2" borderId="36" xfId="9" applyFont="1" applyFill="1" applyBorder="1" applyAlignment="1">
      <alignment horizontal="right" vertical="center"/>
    </xf>
    <xf numFmtId="3" fontId="36" fillId="0" borderId="44" xfId="9" applyNumberFormat="1" applyFont="1" applyBorder="1" applyAlignment="1" applyProtection="1">
      <alignment horizontal="center" vertical="center" wrapText="1"/>
      <protection locked="0"/>
    </xf>
    <xf numFmtId="0" fontId="31" fillId="2" borderId="0" xfId="9" applyFont="1" applyFill="1" applyAlignment="1">
      <alignment vertical="center"/>
    </xf>
    <xf numFmtId="0" fontId="12" fillId="2" borderId="17" xfId="5" applyNumberFormat="1" applyFont="1" applyFill="1" applyBorder="1" applyAlignment="1">
      <alignment horizontal="left" vertical="center" wrapText="1"/>
    </xf>
    <xf numFmtId="0" fontId="12" fillId="2" borderId="17" xfId="5" applyFont="1" applyFill="1" applyBorder="1" applyAlignment="1">
      <alignment horizontal="left" vertical="center" wrapText="1"/>
    </xf>
    <xf numFmtId="0" fontId="12" fillId="2" borderId="17" xfId="5" applyFont="1" applyFill="1" applyBorder="1" applyAlignment="1">
      <alignment horizontal="center" vertical="center" wrapText="1"/>
    </xf>
    <xf numFmtId="4" fontId="12" fillId="2" borderId="20" xfId="5" applyNumberFormat="1" applyFont="1" applyFill="1" applyBorder="1" applyAlignment="1">
      <alignment horizontal="center" vertical="center" wrapText="1"/>
    </xf>
    <xf numFmtId="4" fontId="12" fillId="2" borderId="21" xfId="5" applyNumberFormat="1" applyFont="1" applyFill="1" applyBorder="1" applyAlignment="1">
      <alignment horizontal="center" vertical="center"/>
    </xf>
    <xf numFmtId="4" fontId="12" fillId="2" borderId="22" xfId="5" applyNumberFormat="1" applyFont="1" applyFill="1" applyBorder="1" applyAlignment="1">
      <alignment horizontal="center" vertical="center" wrapText="1"/>
    </xf>
    <xf numFmtId="0" fontId="12" fillId="2" borderId="16" xfId="5" applyNumberFormat="1" applyFont="1" applyFill="1" applyBorder="1" applyAlignment="1">
      <alignment horizontal="left" vertical="center" wrapText="1"/>
    </xf>
    <xf numFmtId="167" fontId="12" fillId="2" borderId="16" xfId="5" applyNumberFormat="1" applyFont="1" applyFill="1" applyBorder="1" applyAlignment="1">
      <alignment horizontal="center" vertical="center" wrapText="1"/>
    </xf>
    <xf numFmtId="0" fontId="12" fillId="2" borderId="19" xfId="5" applyFont="1" applyFill="1" applyBorder="1" applyAlignment="1">
      <alignment horizontal="center" vertical="center" wrapText="1"/>
    </xf>
    <xf numFmtId="0" fontId="12" fillId="2" borderId="19" xfId="5" applyFont="1" applyFill="1" applyBorder="1" applyAlignment="1">
      <alignment horizontal="left" vertical="center" wrapText="1"/>
    </xf>
    <xf numFmtId="169" fontId="1" fillId="8" borderId="7" xfId="3" applyNumberFormat="1" applyFill="1" applyBorder="1" applyAlignment="1">
      <alignment horizontal="center" vertical="center"/>
    </xf>
    <xf numFmtId="165" fontId="4" fillId="2" borderId="14" xfId="0" applyNumberFormat="1" applyFont="1" applyFill="1" applyBorder="1"/>
    <xf numFmtId="165" fontId="4" fillId="2" borderId="3" xfId="0" applyNumberFormat="1" applyFont="1" applyFill="1" applyBorder="1"/>
    <xf numFmtId="4" fontId="1" fillId="8" borderId="10" xfId="3" applyNumberFormat="1" applyFill="1" applyBorder="1" applyAlignment="1">
      <alignment horizontal="center" vertical="center"/>
    </xf>
    <xf numFmtId="4" fontId="1" fillId="2" borderId="10" xfId="3" applyNumberFormat="1" applyFill="1" applyBorder="1" applyAlignment="1">
      <alignment horizontal="center" vertical="center"/>
    </xf>
    <xf numFmtId="4" fontId="3" fillId="3" borderId="2" xfId="3" applyNumberFormat="1" applyFont="1" applyFill="1" applyBorder="1" applyAlignment="1">
      <alignment horizontal="centerContinuous" vertical="center"/>
    </xf>
    <xf numFmtId="4" fontId="3" fillId="3" borderId="6" xfId="3" applyNumberFormat="1" applyFont="1" applyFill="1" applyBorder="1" applyAlignment="1">
      <alignment horizontal="centerContinuous" vertical="center"/>
    </xf>
    <xf numFmtId="2" fontId="4" fillId="2" borderId="0" xfId="0" applyNumberFormat="1" applyFont="1" applyFill="1"/>
    <xf numFmtId="165" fontId="4" fillId="2" borderId="0" xfId="0" applyNumberFormat="1" applyFont="1" applyFill="1"/>
    <xf numFmtId="2" fontId="4" fillId="2" borderId="8" xfId="0" applyNumberFormat="1" applyFont="1" applyFill="1" applyBorder="1"/>
    <xf numFmtId="0" fontId="3" fillId="8" borderId="10" xfId="3" applyFont="1" applyFill="1" applyBorder="1" applyAlignment="1">
      <alignment horizontal="center" vertical="top"/>
    </xf>
    <xf numFmtId="2" fontId="3" fillId="3" borderId="6" xfId="3" applyNumberFormat="1" applyFont="1" applyFill="1" applyBorder="1" applyAlignment="1">
      <alignment horizontal="center" vertical="center"/>
    </xf>
    <xf numFmtId="4" fontId="1" fillId="3" borderId="0" xfId="3" applyNumberFormat="1" applyFill="1"/>
    <xf numFmtId="43" fontId="1" fillId="3" borderId="0" xfId="7" applyFont="1" applyFill="1"/>
    <xf numFmtId="4" fontId="1" fillId="2" borderId="4" xfId="3" applyNumberFormat="1" applyFill="1" applyBorder="1" applyAlignment="1">
      <alignment horizontal="center" vertical="center"/>
    </xf>
    <xf numFmtId="2" fontId="39" fillId="2" borderId="1" xfId="3" applyNumberFormat="1" applyFont="1" applyFill="1" applyBorder="1" applyAlignment="1">
      <alignment horizontal="center" vertical="center"/>
    </xf>
    <xf numFmtId="0" fontId="1" fillId="2" borderId="1" xfId="3" applyFill="1" applyBorder="1" applyAlignment="1">
      <alignment vertical="center" wrapText="1"/>
    </xf>
    <xf numFmtId="4" fontId="1" fillId="2" borderId="7" xfId="3" applyNumberFormat="1" applyFill="1" applyBorder="1" applyAlignment="1">
      <alignment horizontal="right" vertical="center"/>
    </xf>
    <xf numFmtId="4" fontId="1" fillId="2" borderId="10" xfId="3" applyNumberFormat="1" applyFill="1" applyBorder="1" applyAlignment="1">
      <alignment horizontal="right" vertical="center"/>
    </xf>
    <xf numFmtId="0" fontId="1" fillId="2" borderId="5" xfId="3" applyFill="1" applyBorder="1" applyAlignment="1">
      <alignment horizontal="center" vertical="center" wrapText="1"/>
    </xf>
    <xf numFmtId="1" fontId="1" fillId="2" borderId="5" xfId="3" applyNumberFormat="1" applyFill="1" applyBorder="1" applyAlignment="1">
      <alignment horizontal="center" vertical="center"/>
    </xf>
    <xf numFmtId="2" fontId="1" fillId="2" borderId="5" xfId="3" applyNumberFormat="1" applyFill="1" applyBorder="1" applyAlignment="1">
      <alignment horizontal="center" vertical="center"/>
    </xf>
    <xf numFmtId="3" fontId="1" fillId="2" borderId="5" xfId="3" applyNumberFormat="1" applyFill="1" applyBorder="1" applyAlignment="1">
      <alignment horizontal="center" vertical="center"/>
    </xf>
    <xf numFmtId="4" fontId="1" fillId="2" borderId="5" xfId="3" applyNumberFormat="1" applyFill="1" applyBorder="1" applyAlignment="1">
      <alignment horizontal="center" vertical="center"/>
    </xf>
    <xf numFmtId="170" fontId="1" fillId="2" borderId="2" xfId="3" applyNumberFormat="1" applyFill="1" applyBorder="1" applyAlignment="1">
      <alignment horizontal="center" vertical="center"/>
    </xf>
    <xf numFmtId="4" fontId="1" fillId="2" borderId="3" xfId="3" applyNumberFormat="1" applyFill="1" applyBorder="1" applyAlignment="1">
      <alignment horizontal="center" vertical="center"/>
    </xf>
    <xf numFmtId="0" fontId="1" fillId="2" borderId="7" xfId="3" applyFill="1" applyBorder="1" applyAlignment="1">
      <alignment vertical="top" wrapText="1"/>
    </xf>
    <xf numFmtId="0" fontId="1" fillId="2" borderId="8" xfId="3" applyFill="1" applyBorder="1" applyAlignment="1">
      <alignment vertical="top" wrapText="1"/>
    </xf>
    <xf numFmtId="4" fontId="1" fillId="2" borderId="2" xfId="3" applyNumberFormat="1" applyFill="1" applyBorder="1" applyAlignment="1">
      <alignment horizontal="right" vertical="center"/>
    </xf>
    <xf numFmtId="0" fontId="1" fillId="2" borderId="6" xfId="3" applyFill="1" applyBorder="1" applyAlignment="1">
      <alignment horizontal="center" vertical="center" wrapText="1"/>
    </xf>
    <xf numFmtId="4" fontId="1" fillId="2" borderId="6" xfId="3" applyNumberFormat="1" applyFill="1" applyBorder="1" applyAlignment="1">
      <alignment horizontal="center" vertical="center"/>
    </xf>
    <xf numFmtId="4" fontId="1" fillId="2" borderId="0" xfId="3" applyNumberFormat="1" applyFill="1" applyAlignment="1">
      <alignment horizontal="right" vertical="center"/>
    </xf>
    <xf numFmtId="0" fontId="1" fillId="2" borderId="0" xfId="3" applyFill="1" applyAlignment="1">
      <alignment horizontal="center" vertical="center"/>
    </xf>
    <xf numFmtId="169" fontId="1" fillId="2" borderId="2" xfId="3" applyNumberFormat="1" applyFill="1" applyBorder="1" applyAlignment="1">
      <alignment horizontal="center" vertical="center"/>
    </xf>
    <xf numFmtId="0" fontId="7" fillId="2" borderId="0" xfId="3" applyFont="1" applyFill="1"/>
    <xf numFmtId="0" fontId="7" fillId="2" borderId="0" xfId="3" applyFont="1" applyFill="1" applyAlignment="1">
      <alignment vertical="center"/>
    </xf>
    <xf numFmtId="4" fontId="7" fillId="2" borderId="0" xfId="3" applyNumberFormat="1" applyFont="1" applyFill="1" applyAlignment="1">
      <alignment vertical="center"/>
    </xf>
    <xf numFmtId="0" fontId="1" fillId="8" borderId="12" xfId="3" applyFill="1" applyBorder="1" applyAlignment="1">
      <alignment horizontal="left" vertical="center" wrapText="1"/>
    </xf>
    <xf numFmtId="0" fontId="1" fillId="2" borderId="12" xfId="3" applyFill="1" applyBorder="1" applyAlignment="1">
      <alignment horizontal="left" vertical="center" wrapText="1"/>
    </xf>
    <xf numFmtId="0" fontId="16" fillId="0" borderId="0" xfId="9" applyFont="1" applyAlignment="1">
      <alignment vertical="center"/>
    </xf>
    <xf numFmtId="171" fontId="17" fillId="0" borderId="0" xfId="9" applyNumberFormat="1" applyFont="1" applyAlignment="1">
      <alignment vertical="center"/>
    </xf>
    <xf numFmtId="0" fontId="20" fillId="0" borderId="0" xfId="9" applyFont="1" applyAlignment="1">
      <alignment horizontal="center" vertical="center"/>
    </xf>
    <xf numFmtId="171" fontId="17" fillId="0" borderId="0" xfId="9" applyNumberFormat="1" applyFont="1" applyAlignment="1">
      <alignment vertical="top"/>
    </xf>
    <xf numFmtId="171" fontId="17" fillId="0" borderId="0" xfId="9" applyNumberFormat="1" applyFont="1"/>
    <xf numFmtId="0" fontId="20" fillId="0" borderId="0" xfId="9" applyFont="1" applyAlignment="1">
      <alignment horizontal="left" vertical="center"/>
    </xf>
    <xf numFmtId="172" fontId="20" fillId="0" borderId="0" xfId="9" applyNumberFormat="1" applyFont="1" applyAlignment="1">
      <alignment vertical="center"/>
    </xf>
    <xf numFmtId="172" fontId="20" fillId="0" borderId="0" xfId="9" applyNumberFormat="1" applyFont="1" applyAlignment="1">
      <alignment horizontal="center" vertical="center"/>
    </xf>
    <xf numFmtId="0" fontId="17" fillId="0" borderId="0" xfId="9" applyFont="1" applyAlignment="1">
      <alignment horizontal="left" vertical="center"/>
    </xf>
    <xf numFmtId="172" fontId="17" fillId="0" borderId="0" xfId="9" applyNumberFormat="1" applyFont="1" applyAlignment="1">
      <alignment vertical="center"/>
    </xf>
    <xf numFmtId="168" fontId="20" fillId="0" borderId="0" xfId="9" applyNumberFormat="1" applyFont="1" applyAlignment="1">
      <alignment horizontal="center" vertical="center"/>
    </xf>
    <xf numFmtId="2" fontId="20" fillId="0" borderId="0" xfId="9" applyNumberFormat="1" applyFont="1" applyAlignment="1">
      <alignment textRotation="90"/>
    </xf>
    <xf numFmtId="2" fontId="19" fillId="0" borderId="0" xfId="9" applyNumberFormat="1" applyFont="1" applyAlignment="1">
      <alignment textRotation="90"/>
    </xf>
    <xf numFmtId="0" fontId="21" fillId="0" borderId="0" xfId="9" applyFont="1" applyAlignment="1">
      <alignment vertical="center"/>
    </xf>
    <xf numFmtId="2" fontId="19" fillId="0" borderId="0" xfId="9" applyNumberFormat="1" applyFont="1" applyAlignment="1">
      <alignment vertical="center" textRotation="90"/>
    </xf>
    <xf numFmtId="2" fontId="20" fillId="0" borderId="0" xfId="9" applyNumberFormat="1" applyFont="1" applyAlignment="1">
      <alignment horizontal="center" vertical="center"/>
    </xf>
    <xf numFmtId="171" fontId="25" fillId="0" borderId="0" xfId="9" applyNumberFormat="1" applyFont="1" applyAlignment="1">
      <alignment vertical="center"/>
    </xf>
    <xf numFmtId="171" fontId="25" fillId="0" borderId="0" xfId="9" applyNumberFormat="1" applyFont="1" applyAlignment="1">
      <alignment horizontal="center" vertical="center"/>
    </xf>
    <xf numFmtId="0" fontId="20" fillId="0" borderId="0" xfId="9" applyFont="1" applyAlignment="1">
      <alignment vertical="center"/>
    </xf>
    <xf numFmtId="2" fontId="20" fillId="0" borderId="0" xfId="9" applyNumberFormat="1" applyFont="1" applyAlignment="1">
      <alignment vertical="center"/>
    </xf>
    <xf numFmtId="0" fontId="20" fillId="0" borderId="0" xfId="9" applyFont="1" applyAlignment="1">
      <alignment vertical="top" textRotation="90"/>
    </xf>
    <xf numFmtId="0" fontId="20" fillId="2" borderId="0" xfId="9" applyFont="1" applyFill="1" applyAlignment="1">
      <alignment horizontal="center" vertical="center"/>
    </xf>
    <xf numFmtId="173" fontId="27" fillId="0" borderId="0" xfId="9" applyNumberFormat="1" applyFont="1" applyAlignment="1">
      <alignment horizontal="left" vertical="center"/>
    </xf>
    <xf numFmtId="165" fontId="19" fillId="0" borderId="0" xfId="9" applyNumberFormat="1" applyFont="1" applyAlignment="1">
      <alignment textRotation="90"/>
    </xf>
    <xf numFmtId="171" fontId="20" fillId="0" borderId="0" xfId="9" applyNumberFormat="1" applyFont="1" applyAlignment="1">
      <alignment vertical="center"/>
    </xf>
    <xf numFmtId="171" fontId="20" fillId="0" borderId="0" xfId="9" applyNumberFormat="1" applyFont="1" applyAlignment="1">
      <alignment horizontal="center" vertical="center"/>
    </xf>
    <xf numFmtId="0" fontId="20" fillId="0" borderId="0" xfId="9" applyFont="1" applyAlignment="1">
      <alignment horizontal="right" vertical="center"/>
    </xf>
    <xf numFmtId="173" fontId="19" fillId="0" borderId="0" xfId="9" applyNumberFormat="1" applyFont="1" applyAlignment="1">
      <alignment vertical="center" textRotation="90"/>
    </xf>
    <xf numFmtId="2" fontId="20" fillId="0" borderId="0" xfId="9" quotePrefix="1" applyNumberFormat="1" applyFont="1" applyAlignment="1">
      <alignment vertical="center"/>
    </xf>
    <xf numFmtId="165" fontId="19" fillId="2" borderId="0" xfId="9" applyNumberFormat="1" applyFont="1" applyFill="1" applyAlignment="1">
      <alignment textRotation="90"/>
    </xf>
    <xf numFmtId="2" fontId="20" fillId="2" borderId="0" xfId="9" applyNumberFormat="1" applyFont="1" applyFill="1" applyAlignment="1">
      <alignment vertical="center"/>
    </xf>
    <xf numFmtId="0" fontId="28" fillId="2" borderId="0" xfId="9" applyFont="1" applyFill="1" applyAlignment="1">
      <alignment textRotation="90"/>
    </xf>
    <xf numFmtId="165" fontId="19" fillId="0" borderId="0" xfId="9" applyNumberFormat="1" applyFont="1" applyAlignment="1">
      <alignment vertical="top" textRotation="90"/>
    </xf>
    <xf numFmtId="174" fontId="20" fillId="0" borderId="0" xfId="9" applyNumberFormat="1" applyFont="1" applyAlignment="1">
      <alignment vertical="center" textRotation="90"/>
    </xf>
    <xf numFmtId="165" fontId="19" fillId="0" borderId="0" xfId="9" applyNumberFormat="1" applyFont="1" applyAlignment="1">
      <alignment vertical="center" textRotation="90"/>
    </xf>
    <xf numFmtId="171" fontId="24" fillId="0" borderId="0" xfId="9" applyNumberFormat="1" applyFont="1" applyAlignment="1">
      <alignment vertical="center"/>
    </xf>
    <xf numFmtId="171" fontId="20" fillId="2" borderId="0" xfId="9" applyNumberFormat="1" applyFont="1" applyFill="1" applyAlignment="1">
      <alignment horizontal="center" vertical="center"/>
    </xf>
    <xf numFmtId="0" fontId="20" fillId="0" borderId="0" xfId="9" applyFont="1" applyAlignment="1">
      <alignment vertical="center" textRotation="90"/>
    </xf>
    <xf numFmtId="0" fontId="21" fillId="0" borderId="0" xfId="9" applyFont="1" applyAlignment="1">
      <alignment vertical="center" textRotation="90"/>
    </xf>
    <xf numFmtId="174" fontId="20" fillId="0" borderId="0" xfId="9" applyNumberFormat="1" applyFont="1" applyAlignment="1">
      <alignment horizontal="center" vertical="center" textRotation="90"/>
    </xf>
    <xf numFmtId="0" fontId="24" fillId="0" borderId="0" xfId="9" applyFont="1" applyAlignment="1">
      <alignment vertical="center" textRotation="90"/>
    </xf>
    <xf numFmtId="175" fontId="20" fillId="0" borderId="0" xfId="9" applyNumberFormat="1" applyFont="1" applyAlignment="1">
      <alignment vertical="center" textRotation="90"/>
    </xf>
    <xf numFmtId="0" fontId="20" fillId="2" borderId="0" xfId="9" applyFont="1" applyFill="1" applyAlignment="1">
      <alignment vertical="center" textRotation="90"/>
    </xf>
    <xf numFmtId="2" fontId="19" fillId="0" borderId="0" xfId="9" applyNumberFormat="1" applyFont="1" applyAlignment="1">
      <alignment vertical="top" textRotation="90"/>
    </xf>
    <xf numFmtId="165" fontId="19" fillId="2" borderId="0" xfId="9" applyNumberFormat="1" applyFont="1" applyFill="1" applyAlignment="1">
      <alignment horizontal="center" textRotation="90"/>
    </xf>
    <xf numFmtId="0" fontId="20" fillId="2" borderId="0" xfId="9" applyFont="1" applyFill="1" applyAlignment="1">
      <alignment vertical="center"/>
    </xf>
    <xf numFmtId="173" fontId="20" fillId="0" borderId="0" xfId="9" applyNumberFormat="1" applyFont="1" applyAlignment="1">
      <alignment vertical="center" textRotation="90"/>
    </xf>
    <xf numFmtId="0" fontId="29" fillId="0" borderId="0" xfId="9" applyFont="1" applyAlignment="1">
      <alignment vertical="center" textRotation="90"/>
    </xf>
    <xf numFmtId="0" fontId="29" fillId="2" borderId="0" xfId="9" applyFont="1" applyFill="1" applyAlignment="1">
      <alignment vertical="center" textRotation="90"/>
    </xf>
    <xf numFmtId="0" fontId="20" fillId="2" borderId="0" xfId="9" applyFont="1" applyFill="1" applyAlignment="1">
      <alignment horizontal="center" vertical="center" textRotation="90"/>
    </xf>
    <xf numFmtId="0" fontId="26" fillId="2" borderId="0" xfId="9" applyFont="1" applyFill="1" applyAlignment="1">
      <alignment horizontal="center" vertical="center"/>
    </xf>
    <xf numFmtId="172" fontId="21" fillId="2" borderId="0" xfId="9" applyNumberFormat="1" applyFont="1" applyFill="1" applyAlignment="1">
      <alignment vertical="center"/>
    </xf>
    <xf numFmtId="0" fontId="17" fillId="0" borderId="0" xfId="9" applyFont="1" applyAlignment="1">
      <alignment textRotation="90"/>
    </xf>
    <xf numFmtId="176" fontId="20" fillId="0" borderId="0" xfId="9" applyNumberFormat="1" applyFont="1" applyAlignment="1">
      <alignment horizontal="center" vertical="center"/>
    </xf>
    <xf numFmtId="176" fontId="21" fillId="2" borderId="0" xfId="9" applyNumberFormat="1" applyFont="1" applyFill="1" applyAlignment="1">
      <alignment horizontal="center" vertical="center"/>
    </xf>
    <xf numFmtId="177" fontId="20" fillId="0" borderId="0" xfId="9" applyNumberFormat="1" applyFont="1" applyAlignment="1">
      <alignment horizontal="center" vertical="center"/>
    </xf>
    <xf numFmtId="0" fontId="20" fillId="0" borderId="0" xfId="9" applyFont="1" applyAlignment="1">
      <alignment vertical="center" wrapText="1" shrinkToFit="1"/>
    </xf>
    <xf numFmtId="0" fontId="24" fillId="0" borderId="0" xfId="9" applyFont="1" applyAlignment="1">
      <alignment horizontal="left" vertical="center"/>
    </xf>
    <xf numFmtId="176" fontId="21" fillId="0" borderId="0" xfId="9" applyNumberFormat="1" applyFont="1" applyAlignment="1">
      <alignment vertical="top"/>
    </xf>
    <xf numFmtId="0" fontId="20" fillId="2" borderId="0" xfId="9" applyFont="1" applyFill="1" applyAlignment="1">
      <alignment horizontal="left" vertical="center"/>
    </xf>
    <xf numFmtId="0" fontId="21" fillId="2" borderId="0" xfId="9" applyFont="1" applyFill="1" applyAlignment="1">
      <alignment horizontal="center" vertical="center"/>
    </xf>
    <xf numFmtId="0" fontId="26" fillId="0" borderId="0" xfId="9" applyFont="1" applyAlignment="1">
      <alignment vertical="center"/>
    </xf>
    <xf numFmtId="0" fontId="28" fillId="0" borderId="8" xfId="9" applyFont="1" applyBorder="1" applyAlignment="1">
      <alignment textRotation="90"/>
    </xf>
    <xf numFmtId="0" fontId="28" fillId="0" borderId="10" xfId="9" applyFont="1" applyBorder="1" applyAlignment="1">
      <alignment textRotation="90"/>
    </xf>
    <xf numFmtId="0" fontId="28" fillId="0" borderId="0" xfId="9" applyFont="1" applyAlignment="1">
      <alignment textRotation="90"/>
    </xf>
    <xf numFmtId="0" fontId="28" fillId="0" borderId="28" xfId="9" applyFont="1" applyBorder="1" applyAlignment="1">
      <alignment textRotation="90"/>
    </xf>
    <xf numFmtId="0" fontId="28" fillId="0" borderId="29" xfId="9" applyFont="1" applyBorder="1" applyAlignment="1">
      <alignment textRotation="90"/>
    </xf>
    <xf numFmtId="0" fontId="28" fillId="0" borderId="7" xfId="9" applyFont="1" applyBorder="1" applyAlignment="1">
      <alignment horizontal="center" textRotation="90"/>
    </xf>
    <xf numFmtId="0" fontId="28" fillId="0" borderId="0" xfId="9" applyFont="1" applyAlignment="1">
      <alignment vertical="top" textRotation="90"/>
    </xf>
    <xf numFmtId="0" fontId="20" fillId="10" borderId="2" xfId="9" applyFont="1" applyFill="1" applyBorder="1" applyAlignment="1">
      <alignment vertical="center"/>
    </xf>
    <xf numFmtId="0" fontId="20" fillId="10" borderId="3" xfId="9" applyFont="1" applyFill="1" applyBorder="1" applyAlignment="1">
      <alignment vertical="center"/>
    </xf>
    <xf numFmtId="0" fontId="21" fillId="0" borderId="8" xfId="9" applyFont="1" applyBorder="1" applyAlignment="1">
      <alignment vertical="top"/>
    </xf>
    <xf numFmtId="0" fontId="21" fillId="0" borderId="26" xfId="9" applyFont="1" applyBorder="1" applyAlignment="1">
      <alignment vertical="top"/>
    </xf>
    <xf numFmtId="0" fontId="21" fillId="0" borderId="0" xfId="9" applyFont="1" applyAlignment="1">
      <alignment vertical="top"/>
    </xf>
    <xf numFmtId="0" fontId="1" fillId="2" borderId="2" xfId="3" applyFill="1" applyBorder="1" applyAlignment="1">
      <alignment vertical="center" wrapText="1"/>
    </xf>
    <xf numFmtId="0" fontId="1" fillId="2" borderId="6" xfId="3" applyFill="1" applyBorder="1" applyAlignment="1">
      <alignment vertical="center" wrapText="1"/>
    </xf>
    <xf numFmtId="1" fontId="1" fillId="2" borderId="6" xfId="3" applyNumberFormat="1" applyFill="1" applyBorder="1" applyAlignment="1">
      <alignment horizontal="center" vertical="center"/>
    </xf>
    <xf numFmtId="169" fontId="1" fillId="2" borderId="6" xfId="3" applyNumberFormat="1" applyFill="1" applyBorder="1" applyAlignment="1">
      <alignment horizontal="center" vertical="center"/>
    </xf>
    <xf numFmtId="3" fontId="1" fillId="2" borderId="6" xfId="3" applyNumberFormat="1" applyFill="1" applyBorder="1" applyAlignment="1">
      <alignment horizontal="center" vertical="center"/>
    </xf>
    <xf numFmtId="2" fontId="1" fillId="2" borderId="6" xfId="3" applyNumberFormat="1" applyFill="1" applyBorder="1" applyAlignment="1">
      <alignment horizontal="center" vertical="center"/>
    </xf>
    <xf numFmtId="4" fontId="1" fillId="2" borderId="6" xfId="3" applyNumberFormat="1" applyFill="1" applyBorder="1" applyAlignment="1">
      <alignment horizontal="right" vertical="center"/>
    </xf>
    <xf numFmtId="0" fontId="1" fillId="3" borderId="11" xfId="3" applyFill="1" applyBorder="1" applyAlignment="1">
      <alignment vertical="center"/>
    </xf>
    <xf numFmtId="0" fontId="1" fillId="2" borderId="15" xfId="3" applyFill="1" applyBorder="1"/>
    <xf numFmtId="0" fontId="1" fillId="3" borderId="13" xfId="3" applyFill="1" applyBorder="1"/>
    <xf numFmtId="0" fontId="1" fillId="2" borderId="14" xfId="3" applyFill="1" applyBorder="1"/>
    <xf numFmtId="0" fontId="0" fillId="2" borderId="0" xfId="0" applyFill="1"/>
    <xf numFmtId="43" fontId="1" fillId="2" borderId="0" xfId="7" applyFont="1" applyFill="1" applyAlignment="1">
      <alignment vertical="center"/>
    </xf>
    <xf numFmtId="0" fontId="32" fillId="2" borderId="0" xfId="9" applyFont="1" applyFill="1" applyAlignment="1">
      <alignment vertical="center"/>
    </xf>
    <xf numFmtId="4" fontId="1" fillId="11" borderId="12" xfId="3" applyNumberFormat="1" applyFill="1" applyBorder="1" applyAlignment="1">
      <alignment horizontal="center" vertical="center"/>
    </xf>
    <xf numFmtId="1" fontId="1" fillId="11" borderId="12" xfId="3" applyNumberFormat="1" applyFill="1" applyBorder="1" applyAlignment="1">
      <alignment horizontal="center" vertical="center" wrapText="1"/>
    </xf>
    <xf numFmtId="1" fontId="1" fillId="11" borderId="12" xfId="3" applyNumberFormat="1" applyFill="1" applyBorder="1" applyAlignment="1">
      <alignment horizontal="center" vertical="center"/>
    </xf>
    <xf numFmtId="2" fontId="1" fillId="11" borderId="12" xfId="3" applyNumberFormat="1" applyFill="1" applyBorder="1" applyAlignment="1">
      <alignment horizontal="center" vertical="center"/>
    </xf>
    <xf numFmtId="0" fontId="1" fillId="11" borderId="0" xfId="3" applyFill="1" applyAlignment="1">
      <alignment vertical="center"/>
    </xf>
    <xf numFmtId="0" fontId="1" fillId="11" borderId="0" xfId="3" applyFill="1" applyAlignment="1">
      <alignment horizontal="center" vertical="center"/>
    </xf>
    <xf numFmtId="0" fontId="3" fillId="12" borderId="0" xfId="3" applyFont="1" applyFill="1" applyAlignment="1">
      <alignment vertical="center"/>
    </xf>
    <xf numFmtId="1" fontId="1" fillId="12" borderId="12" xfId="3" applyNumberFormat="1" applyFill="1" applyBorder="1" applyAlignment="1">
      <alignment horizontal="center" vertical="center"/>
    </xf>
    <xf numFmtId="2" fontId="1" fillId="12" borderId="12" xfId="3" applyNumberFormat="1" applyFill="1" applyBorder="1" applyAlignment="1">
      <alignment horizontal="center" vertical="center"/>
    </xf>
    <xf numFmtId="2" fontId="1" fillId="3" borderId="0" xfId="3" applyNumberFormat="1" applyFill="1" applyAlignment="1">
      <alignment vertical="center"/>
    </xf>
    <xf numFmtId="4" fontId="1" fillId="12" borderId="12" xfId="3" applyNumberFormat="1" applyFill="1" applyBorder="1" applyAlignment="1">
      <alignment horizontal="center" vertical="center"/>
    </xf>
    <xf numFmtId="0" fontId="1" fillId="11" borderId="12" xfId="3" applyFill="1" applyBorder="1" applyAlignment="1">
      <alignment horizontal="center" vertical="center" wrapText="1"/>
    </xf>
    <xf numFmtId="4" fontId="3" fillId="2" borderId="5" xfId="3" applyNumberFormat="1" applyFont="1" applyFill="1" applyBorder="1" applyAlignment="1">
      <alignment horizontal="center" vertical="center"/>
    </xf>
    <xf numFmtId="0" fontId="3" fillId="11" borderId="0" xfId="3" applyFont="1" applyFill="1"/>
    <xf numFmtId="0" fontId="3" fillId="8" borderId="14" xfId="3" applyFont="1" applyFill="1" applyBorder="1" applyAlignment="1">
      <alignment horizontal="center" vertical="center"/>
    </xf>
    <xf numFmtId="0" fontId="3" fillId="8" borderId="5" xfId="3" applyFont="1" applyFill="1" applyBorder="1" applyAlignment="1">
      <alignment horizontal="center" vertical="center"/>
    </xf>
    <xf numFmtId="0" fontId="3" fillId="8" borderId="15" xfId="3" applyFont="1" applyFill="1" applyBorder="1" applyAlignment="1">
      <alignment horizontal="centerContinuous" vertical="center"/>
    </xf>
    <xf numFmtId="0" fontId="3" fillId="8" borderId="14" xfId="3" applyFont="1" applyFill="1" applyBorder="1" applyAlignment="1">
      <alignment horizontal="centerContinuous" vertical="center"/>
    </xf>
    <xf numFmtId="0" fontId="9" fillId="6" borderId="19" xfId="5" applyNumberFormat="1" applyFont="1" applyFill="1" applyBorder="1" applyAlignment="1">
      <alignment vertical="center" wrapText="1"/>
    </xf>
    <xf numFmtId="0" fontId="9" fillId="6" borderId="17" xfId="5" applyNumberFormat="1" applyFont="1" applyFill="1" applyBorder="1" applyAlignment="1">
      <alignment vertical="center"/>
    </xf>
    <xf numFmtId="1" fontId="1" fillId="0" borderId="5" xfId="12" applyNumberFormat="1" applyFont="1" applyFill="1" applyBorder="1" applyAlignment="1">
      <alignment horizontal="center" vertical="center"/>
    </xf>
    <xf numFmtId="1" fontId="1" fillId="0" borderId="0" xfId="12" applyNumberFormat="1" applyFont="1" applyFill="1" applyBorder="1" applyAlignment="1">
      <alignment horizontal="center" vertical="center"/>
    </xf>
    <xf numFmtId="0" fontId="1" fillId="0" borderId="0" xfId="12" applyNumberFormat="1" applyFont="1" applyFill="1" applyBorder="1" applyAlignment="1">
      <alignment vertical="center"/>
    </xf>
    <xf numFmtId="0" fontId="3" fillId="0" borderId="0" xfId="12" applyNumberFormat="1" applyFont="1" applyFill="1" applyBorder="1" applyAlignment="1">
      <alignment horizontal="center" vertical="center" wrapText="1"/>
    </xf>
    <xf numFmtId="0" fontId="3" fillId="22" borderId="5" xfId="12" applyNumberFormat="1" applyFont="1" applyFill="1" applyBorder="1" applyAlignment="1">
      <alignment horizontal="center" vertical="center"/>
    </xf>
    <xf numFmtId="0" fontId="3" fillId="15" borderId="2" xfId="12" applyNumberFormat="1" applyFont="1" applyFill="1" applyBorder="1" applyAlignment="1">
      <alignment horizontal="center" vertical="center"/>
    </xf>
    <xf numFmtId="0" fontId="1" fillId="0" borderId="0" xfId="12" applyNumberFormat="1" applyFont="1" applyFill="1" applyBorder="1" applyAlignment="1">
      <alignment horizontal="center" vertical="center"/>
    </xf>
    <xf numFmtId="0" fontId="3" fillId="23" borderId="2" xfId="12" applyNumberFormat="1" applyFont="1" applyFill="1" applyBorder="1" applyAlignment="1">
      <alignment vertical="center"/>
    </xf>
    <xf numFmtId="0" fontId="3" fillId="23" borderId="6" xfId="12" applyNumberFormat="1" applyFont="1" applyFill="1" applyBorder="1" applyAlignment="1">
      <alignment vertical="center" wrapText="1"/>
    </xf>
    <xf numFmtId="0" fontId="3" fillId="23" borderId="6" xfId="12" applyNumberFormat="1" applyFont="1" applyFill="1" applyBorder="1" applyAlignment="1">
      <alignment horizontal="center" vertical="center" wrapText="1"/>
    </xf>
    <xf numFmtId="0" fontId="3" fillId="23" borderId="0" xfId="12" applyNumberFormat="1" applyFont="1" applyFill="1" applyBorder="1" applyAlignment="1">
      <alignment vertical="center" wrapText="1"/>
    </xf>
    <xf numFmtId="0" fontId="3" fillId="18" borderId="0" xfId="12" applyNumberFormat="1" applyFont="1" applyFill="1" applyBorder="1" applyAlignment="1">
      <alignment horizontal="center" vertical="center" wrapText="1"/>
    </xf>
    <xf numFmtId="0" fontId="3" fillId="0" borderId="5" xfId="12" applyNumberFormat="1" applyFont="1" applyFill="1" applyBorder="1" applyAlignment="1">
      <alignment vertical="center"/>
    </xf>
    <xf numFmtId="0" fontId="3" fillId="22" borderId="5" xfId="12" applyNumberFormat="1" applyFont="1" applyFill="1" applyBorder="1" applyAlignment="1">
      <alignment horizontal="center" vertical="center" wrapText="1"/>
    </xf>
    <xf numFmtId="0" fontId="3" fillId="19" borderId="5" xfId="12" applyNumberFormat="1" applyFont="1" applyFill="1" applyBorder="1" applyAlignment="1">
      <alignment horizontal="center" vertical="center" wrapText="1"/>
    </xf>
    <xf numFmtId="0" fontId="3" fillId="24" borderId="5" xfId="13" applyFont="1" applyFill="1" applyBorder="1" applyAlignment="1">
      <alignment horizontal="center" vertical="center" wrapText="1"/>
    </xf>
    <xf numFmtId="0" fontId="3" fillId="24" borderId="5" xfId="12" applyNumberFormat="1" applyFont="1" applyFill="1" applyBorder="1" applyAlignment="1">
      <alignment horizontal="center" vertical="center" wrapText="1"/>
    </xf>
    <xf numFmtId="0" fontId="3" fillId="25" borderId="5" xfId="13" applyFont="1" applyFill="1" applyBorder="1" applyAlignment="1">
      <alignment horizontal="center" vertical="center" wrapText="1"/>
    </xf>
    <xf numFmtId="0" fontId="3" fillId="25" borderId="5" xfId="12" applyNumberFormat="1" applyFont="1" applyFill="1" applyBorder="1" applyAlignment="1">
      <alignment horizontal="center" vertical="center" wrapText="1"/>
    </xf>
    <xf numFmtId="0" fontId="3" fillId="22" borderId="51" xfId="12" applyNumberFormat="1" applyFont="1" applyFill="1" applyBorder="1" applyAlignment="1">
      <alignment horizontal="center" vertical="center" wrapText="1"/>
    </xf>
    <xf numFmtId="0" fontId="3" fillId="19" borderId="52" xfId="12" applyNumberFormat="1" applyFont="1" applyFill="1" applyBorder="1" applyAlignment="1">
      <alignment horizontal="center" vertical="center" wrapText="1"/>
    </xf>
    <xf numFmtId="0" fontId="3" fillId="22" borderId="5" xfId="13" applyFont="1" applyFill="1" applyBorder="1" applyAlignment="1">
      <alignment horizontal="center" vertical="center" wrapText="1"/>
    </xf>
    <xf numFmtId="0" fontId="3" fillId="24" borderId="5" xfId="12" applyFont="1" applyFill="1" applyBorder="1" applyAlignment="1">
      <alignment horizontal="center" vertical="center" wrapText="1"/>
    </xf>
    <xf numFmtId="0" fontId="3" fillId="25" borderId="5" xfId="12" applyFont="1" applyFill="1" applyBorder="1" applyAlignment="1">
      <alignment horizontal="center" vertical="center" wrapText="1"/>
    </xf>
    <xf numFmtId="0" fontId="3" fillId="22" borderId="5" xfId="12" applyFont="1" applyFill="1" applyBorder="1" applyAlignment="1">
      <alignment horizontal="center" vertical="center" wrapText="1"/>
    </xf>
    <xf numFmtId="0" fontId="3" fillId="15" borderId="5" xfId="12" applyNumberFormat="1" applyFont="1" applyFill="1" applyBorder="1" applyAlignment="1">
      <alignment horizontal="center" vertical="center" wrapText="1"/>
    </xf>
    <xf numFmtId="0" fontId="3" fillId="20" borderId="5" xfId="12" applyNumberFormat="1" applyFont="1" applyFill="1" applyBorder="1" applyAlignment="1">
      <alignment horizontal="center" vertical="center" wrapText="1"/>
    </xf>
    <xf numFmtId="0" fontId="3" fillId="20" borderId="2" xfId="12" applyNumberFormat="1" applyFont="1" applyFill="1" applyBorder="1" applyAlignment="1">
      <alignment horizontal="center" vertical="center" wrapText="1"/>
    </xf>
    <xf numFmtId="0" fontId="3" fillId="21" borderId="5" xfId="12" applyNumberFormat="1" applyFont="1" applyFill="1" applyBorder="1" applyAlignment="1">
      <alignment horizontal="center" vertical="center" wrapText="1"/>
    </xf>
    <xf numFmtId="0" fontId="3" fillId="19" borderId="5" xfId="12" applyNumberFormat="1" applyFont="1" applyFill="1" applyBorder="1" applyAlignment="1">
      <alignment vertical="center" wrapText="1"/>
    </xf>
    <xf numFmtId="0" fontId="3" fillId="15" borderId="2" xfId="12" applyNumberFormat="1" applyFont="1" applyFill="1" applyBorder="1" applyAlignment="1">
      <alignment horizontal="center" vertical="center" wrapText="1"/>
    </xf>
    <xf numFmtId="0" fontId="3" fillId="0" borderId="11" xfId="12" applyNumberFormat="1" applyFont="1" applyFill="1" applyBorder="1" applyAlignment="1">
      <alignment horizontal="center" vertical="center" wrapText="1"/>
    </xf>
    <xf numFmtId="0" fontId="3" fillId="23" borderId="5" xfId="12" applyNumberFormat="1" applyFont="1" applyFill="1" applyBorder="1" applyAlignment="1">
      <alignment horizontal="center" vertical="center" wrapText="1"/>
    </xf>
    <xf numFmtId="0" fontId="3" fillId="26" borderId="5" xfId="12" applyNumberFormat="1" applyFont="1" applyFill="1" applyBorder="1" applyAlignment="1">
      <alignment horizontal="center" vertical="center" wrapText="1"/>
    </xf>
    <xf numFmtId="0" fontId="3" fillId="23" borderId="0" xfId="12" applyNumberFormat="1" applyFont="1" applyFill="1" applyBorder="1" applyAlignment="1">
      <alignment horizontal="center" vertical="center" wrapText="1"/>
    </xf>
    <xf numFmtId="0" fontId="3" fillId="18" borderId="5" xfId="12" applyNumberFormat="1" applyFont="1" applyFill="1" applyBorder="1" applyAlignment="1">
      <alignment horizontal="center" vertical="center" wrapText="1"/>
    </xf>
    <xf numFmtId="0" fontId="3" fillId="0" borderId="0" xfId="12" applyNumberFormat="1" applyFont="1" applyFill="1" applyBorder="1" applyAlignment="1">
      <alignment horizontal="center" vertical="center"/>
    </xf>
    <xf numFmtId="1" fontId="3" fillId="0" borderId="5" xfId="12" applyNumberFormat="1" applyFont="1" applyFill="1" applyBorder="1" applyAlignment="1">
      <alignment horizontal="center" vertical="center"/>
    </xf>
    <xf numFmtId="0" fontId="3" fillId="22" borderId="5" xfId="14" applyNumberFormat="1" applyFont="1" applyFill="1" applyBorder="1" applyAlignment="1">
      <alignment horizontal="center" vertical="center"/>
    </xf>
    <xf numFmtId="1" fontId="3" fillId="19" borderId="5" xfId="12" applyNumberFormat="1" applyFont="1" applyFill="1" applyBorder="1" applyAlignment="1">
      <alignment horizontal="center" vertical="center"/>
    </xf>
    <xf numFmtId="1" fontId="3" fillId="24" borderId="5" xfId="14" applyNumberFormat="1" applyFont="1" applyFill="1" applyBorder="1" applyAlignment="1">
      <alignment horizontal="center" vertical="center"/>
    </xf>
    <xf numFmtId="1" fontId="3" fillId="24" borderId="5" xfId="12" applyNumberFormat="1" applyFont="1" applyFill="1" applyBorder="1" applyAlignment="1">
      <alignment horizontal="center" vertical="center"/>
    </xf>
    <xf numFmtId="1" fontId="3" fillId="25" borderId="5" xfId="14" applyNumberFormat="1" applyFont="1" applyFill="1" applyBorder="1" applyAlignment="1">
      <alignment horizontal="center" vertical="center"/>
    </xf>
    <xf numFmtId="1" fontId="3" fillId="25" borderId="5" xfId="12" applyNumberFormat="1" applyFont="1" applyFill="1" applyBorder="1" applyAlignment="1">
      <alignment horizontal="center" vertical="center"/>
    </xf>
    <xf numFmtId="0" fontId="3" fillId="22" borderId="74" xfId="12" applyNumberFormat="1" applyFont="1" applyFill="1" applyBorder="1" applyAlignment="1">
      <alignment horizontal="center" vertical="center" wrapText="1"/>
    </xf>
    <xf numFmtId="1" fontId="3" fillId="19" borderId="5" xfId="14" applyNumberFormat="1" applyFont="1" applyFill="1" applyBorder="1" applyAlignment="1">
      <alignment horizontal="center" vertical="center"/>
    </xf>
    <xf numFmtId="1" fontId="3" fillId="22" borderId="5" xfId="14" applyNumberFormat="1" applyFont="1" applyFill="1" applyBorder="1" applyAlignment="1">
      <alignment horizontal="center" vertical="center"/>
    </xf>
    <xf numFmtId="1" fontId="3" fillId="22" borderId="5" xfId="12" applyNumberFormat="1" applyFont="1" applyFill="1" applyBorder="1" applyAlignment="1">
      <alignment horizontal="center" vertical="center"/>
    </xf>
    <xf numFmtId="0" fontId="3" fillId="24" borderId="5" xfId="14" applyNumberFormat="1" applyFont="1" applyFill="1" applyBorder="1" applyAlignment="1">
      <alignment horizontal="center" vertical="center"/>
    </xf>
    <xf numFmtId="1" fontId="3" fillId="15" borderId="5" xfId="12" applyNumberFormat="1" applyFont="1" applyFill="1" applyBorder="1" applyAlignment="1">
      <alignment horizontal="center" vertical="center"/>
    </xf>
    <xf numFmtId="1" fontId="3" fillId="20" borderId="5" xfId="12" applyNumberFormat="1" applyFont="1" applyFill="1" applyBorder="1" applyAlignment="1">
      <alignment horizontal="center" vertical="center"/>
    </xf>
    <xf numFmtId="1" fontId="3" fillId="20" borderId="2" xfId="12" applyNumberFormat="1" applyFont="1" applyFill="1" applyBorder="1" applyAlignment="1">
      <alignment horizontal="center" vertical="center"/>
    </xf>
    <xf numFmtId="1" fontId="3" fillId="21" borderId="5" xfId="12" applyNumberFormat="1" applyFont="1" applyFill="1" applyBorder="1" applyAlignment="1">
      <alignment horizontal="center" vertical="center"/>
    </xf>
    <xf numFmtId="1" fontId="3" fillId="0" borderId="0" xfId="12" applyNumberFormat="1" applyFont="1" applyFill="1" applyBorder="1" applyAlignment="1">
      <alignment horizontal="center" vertical="center"/>
    </xf>
    <xf numFmtId="1" fontId="3" fillId="15" borderId="5" xfId="14" applyNumberFormat="1" applyFont="1" applyFill="1" applyBorder="1" applyAlignment="1">
      <alignment horizontal="center" vertical="center"/>
    </xf>
    <xf numFmtId="1" fontId="1" fillId="0" borderId="0" xfId="12" applyNumberFormat="1" applyFont="1" applyFill="1" applyBorder="1" applyAlignment="1">
      <alignment vertical="center"/>
    </xf>
    <xf numFmtId="1" fontId="3" fillId="0" borderId="12" xfId="14" applyNumberFormat="1" applyFont="1" applyFill="1" applyBorder="1" applyAlignment="1">
      <alignment horizontal="center" vertical="center"/>
    </xf>
    <xf numFmtId="1" fontId="3" fillId="23" borderId="5" xfId="12" applyNumberFormat="1" applyFont="1" applyFill="1" applyBorder="1" applyAlignment="1">
      <alignment horizontal="center" vertical="center"/>
    </xf>
    <xf numFmtId="1" fontId="3" fillId="26" borderId="5" xfId="12" applyNumberFormat="1" applyFont="1" applyFill="1" applyBorder="1" applyAlignment="1">
      <alignment horizontal="center" vertical="center"/>
    </xf>
    <xf numFmtId="183" fontId="3" fillId="23" borderId="5" xfId="12" applyNumberFormat="1" applyFont="1" applyFill="1" applyBorder="1" applyAlignment="1">
      <alignment horizontal="center" vertical="center"/>
    </xf>
    <xf numFmtId="1" fontId="3" fillId="23" borderId="0" xfId="12" applyNumberFormat="1" applyFont="1" applyFill="1" applyBorder="1" applyAlignment="1">
      <alignment horizontal="center" vertical="center"/>
    </xf>
    <xf numFmtId="1" fontId="3" fillId="18" borderId="5" xfId="12" applyNumberFormat="1" applyFont="1" applyFill="1" applyBorder="1" applyAlignment="1">
      <alignment horizontal="center" vertical="center"/>
    </xf>
    <xf numFmtId="0" fontId="3" fillId="0" borderId="5" xfId="12" applyNumberFormat="1" applyFont="1" applyFill="1" applyBorder="1" applyAlignment="1">
      <alignment horizontal="center" vertical="center"/>
    </xf>
    <xf numFmtId="0" fontId="3" fillId="19" borderId="5" xfId="12" applyNumberFormat="1" applyFont="1" applyFill="1" applyBorder="1" applyAlignment="1">
      <alignment horizontal="center" vertical="center"/>
    </xf>
    <xf numFmtId="0" fontId="3" fillId="24" borderId="5" xfId="12" applyNumberFormat="1" applyFont="1" applyFill="1" applyBorder="1" applyAlignment="1">
      <alignment horizontal="center" vertical="center"/>
    </xf>
    <xf numFmtId="0" fontId="3" fillId="25" borderId="5" xfId="12" applyNumberFormat="1" applyFont="1" applyFill="1" applyBorder="1" applyAlignment="1">
      <alignment horizontal="center" vertical="center"/>
    </xf>
    <xf numFmtId="0" fontId="3" fillId="22" borderId="75" xfId="12" applyNumberFormat="1" applyFont="1" applyFill="1" applyBorder="1" applyAlignment="1">
      <alignment horizontal="center" vertical="center" wrapText="1"/>
    </xf>
    <xf numFmtId="1" fontId="3" fillId="19" borderId="49" xfId="14" applyNumberFormat="1" applyFont="1" applyFill="1" applyBorder="1" applyAlignment="1">
      <alignment horizontal="center" vertical="center"/>
    </xf>
    <xf numFmtId="0" fontId="3" fillId="15" borderId="5" xfId="12" applyNumberFormat="1" applyFont="1" applyFill="1" applyBorder="1" applyAlignment="1">
      <alignment horizontal="center" vertical="center"/>
    </xf>
    <xf numFmtId="0" fontId="3" fillId="20" borderId="5" xfId="12" applyNumberFormat="1" applyFont="1" applyFill="1" applyBorder="1" applyAlignment="1">
      <alignment horizontal="center" vertical="center"/>
    </xf>
    <xf numFmtId="0" fontId="3" fillId="20" borderId="2" xfId="12" applyNumberFormat="1" applyFont="1" applyFill="1" applyBorder="1" applyAlignment="1">
      <alignment horizontal="center" vertical="center"/>
    </xf>
    <xf numFmtId="0" fontId="3" fillId="21" borderId="5" xfId="12" applyNumberFormat="1" applyFont="1" applyFill="1" applyBorder="1" applyAlignment="1">
      <alignment horizontal="center" vertical="center"/>
    </xf>
    <xf numFmtId="0" fontId="3" fillId="22" borderId="5" xfId="12" applyFont="1" applyFill="1" applyBorder="1" applyAlignment="1">
      <alignment horizontal="center" vertical="center"/>
    </xf>
    <xf numFmtId="0" fontId="3" fillId="21" borderId="5" xfId="12" applyFont="1" applyFill="1" applyBorder="1" applyAlignment="1">
      <alignment horizontal="center" vertical="center"/>
    </xf>
    <xf numFmtId="0" fontId="3" fillId="23" borderId="1" xfId="12" applyNumberFormat="1" applyFont="1" applyFill="1" applyBorder="1" applyAlignment="1">
      <alignment horizontal="center" vertical="center"/>
    </xf>
    <xf numFmtId="0" fontId="3" fillId="26" borderId="1" xfId="12" applyNumberFormat="1" applyFont="1" applyFill="1" applyBorder="1" applyAlignment="1">
      <alignment horizontal="center" vertical="center"/>
    </xf>
    <xf numFmtId="1" fontId="3" fillId="24" borderId="1" xfId="14" applyNumberFormat="1" applyFont="1" applyFill="1" applyBorder="1" applyAlignment="1">
      <alignment horizontal="center" vertical="center"/>
    </xf>
    <xf numFmtId="0" fontId="3" fillId="24" borderId="1" xfId="12" applyNumberFormat="1" applyFont="1" applyFill="1" applyBorder="1" applyAlignment="1">
      <alignment horizontal="center" vertical="center"/>
    </xf>
    <xf numFmtId="0" fontId="3" fillId="23" borderId="0" xfId="12" applyNumberFormat="1" applyFont="1" applyFill="1" applyBorder="1" applyAlignment="1">
      <alignment horizontal="center" vertical="center"/>
    </xf>
    <xf numFmtId="0" fontId="3" fillId="18" borderId="1" xfId="12" applyNumberFormat="1" applyFont="1" applyFill="1" applyBorder="1" applyAlignment="1">
      <alignment horizontal="center" vertical="center"/>
    </xf>
    <xf numFmtId="0" fontId="1" fillId="0" borderId="5" xfId="12" applyFont="1" applyFill="1" applyBorder="1" applyAlignment="1">
      <alignment horizontal="left" vertical="center"/>
    </xf>
    <xf numFmtId="0" fontId="1" fillId="0" borderId="5" xfId="12" applyFont="1" applyFill="1" applyBorder="1" applyAlignment="1">
      <alignment horizontal="center" vertical="center"/>
    </xf>
    <xf numFmtId="175" fontId="1" fillId="0" borderId="5" xfId="12" applyNumberFormat="1" applyFont="1" applyFill="1" applyBorder="1" applyAlignment="1">
      <alignment horizontal="center" vertical="center"/>
    </xf>
    <xf numFmtId="175" fontId="1" fillId="0" borderId="4" xfId="12" applyNumberFormat="1" applyFont="1" applyFill="1" applyBorder="1" applyAlignment="1">
      <alignment horizontal="center" vertical="center"/>
    </xf>
    <xf numFmtId="175" fontId="1" fillId="0" borderId="0" xfId="12" applyNumberFormat="1" applyFont="1" applyFill="1" applyBorder="1" applyAlignment="1">
      <alignment horizontal="center" vertical="center"/>
    </xf>
    <xf numFmtId="183" fontId="1" fillId="0" borderId="5" xfId="12" applyNumberFormat="1" applyFont="1" applyFill="1" applyBorder="1" applyAlignment="1">
      <alignment horizontal="center" vertical="center"/>
    </xf>
    <xf numFmtId="0" fontId="1" fillId="0" borderId="11" xfId="12" applyNumberFormat="1" applyFont="1" applyFill="1" applyBorder="1" applyAlignment="1">
      <alignment vertical="center"/>
    </xf>
    <xf numFmtId="175" fontId="1" fillId="0" borderId="12" xfId="12" applyNumberFormat="1" applyFont="1" applyFill="1" applyBorder="1" applyAlignment="1">
      <alignment horizontal="center" vertical="center"/>
    </xf>
    <xf numFmtId="168" fontId="1" fillId="0" borderId="12" xfId="12" applyNumberFormat="1" applyFont="1" applyFill="1" applyBorder="1" applyAlignment="1">
      <alignment horizontal="center" vertical="center"/>
    </xf>
    <xf numFmtId="175" fontId="1" fillId="11" borderId="5" xfId="12" applyNumberFormat="1" applyFont="1" applyFill="1" applyBorder="1" applyAlignment="1">
      <alignment horizontal="center" vertical="center"/>
    </xf>
    <xf numFmtId="0" fontId="1" fillId="0" borderId="5" xfId="12" applyFont="1" applyFill="1" applyBorder="1" applyAlignment="1">
      <alignment vertical="center"/>
    </xf>
    <xf numFmtId="168" fontId="1" fillId="0" borderId="5" xfId="12" applyNumberFormat="1" applyFont="1" applyFill="1" applyBorder="1" applyAlignment="1">
      <alignment horizontal="center" vertical="center"/>
    </xf>
    <xf numFmtId="175" fontId="1" fillId="0" borderId="14" xfId="12" applyNumberFormat="1" applyFont="1" applyFill="1" applyBorder="1" applyAlignment="1">
      <alignment horizontal="center" vertical="center"/>
    </xf>
    <xf numFmtId="0" fontId="1" fillId="0" borderId="12" xfId="12" applyNumberFormat="1" applyFont="1" applyFill="1" applyBorder="1" applyAlignment="1">
      <alignment vertical="center"/>
    </xf>
    <xf numFmtId="0" fontId="1" fillId="0" borderId="5" xfId="14" applyNumberFormat="1" applyFont="1" applyFill="1" applyBorder="1" applyAlignment="1">
      <alignment horizontal="center" vertical="center"/>
    </xf>
    <xf numFmtId="0" fontId="1" fillId="0" borderId="5" xfId="14" applyFont="1" applyFill="1" applyBorder="1" applyAlignment="1">
      <alignment horizontal="left" vertical="center"/>
    </xf>
    <xf numFmtId="0" fontId="1" fillId="0" borderId="5" xfId="14" applyFont="1" applyFill="1" applyBorder="1" applyAlignment="1">
      <alignment horizontal="center" vertical="center"/>
    </xf>
    <xf numFmtId="0" fontId="24" fillId="27" borderId="10" xfId="12" applyFont="1" applyFill="1" applyBorder="1" applyAlignment="1">
      <alignment vertical="center"/>
    </xf>
    <xf numFmtId="0" fontId="24" fillId="27" borderId="0" xfId="12" applyFont="1" applyFill="1" applyBorder="1" applyAlignment="1">
      <alignment vertical="center"/>
    </xf>
    <xf numFmtId="0" fontId="1" fillId="0" borderId="5" xfId="12" applyNumberFormat="1" applyFont="1" applyFill="1" applyBorder="1" applyAlignment="1">
      <alignment horizontal="center" vertical="center"/>
    </xf>
    <xf numFmtId="168" fontId="1" fillId="0" borderId="14" xfId="12" applyNumberFormat="1" applyFont="1" applyFill="1" applyBorder="1" applyAlignment="1">
      <alignment horizontal="center" vertical="center"/>
    </xf>
    <xf numFmtId="168" fontId="1" fillId="0" borderId="4" xfId="12" applyNumberFormat="1" applyFont="1" applyFill="1" applyBorder="1" applyAlignment="1">
      <alignment horizontal="center" vertical="center"/>
    </xf>
    <xf numFmtId="1" fontId="1" fillId="11" borderId="5" xfId="12" applyNumberFormat="1" applyFont="1" applyFill="1" applyBorder="1" applyAlignment="1">
      <alignment horizontal="center" vertical="center"/>
    </xf>
    <xf numFmtId="0" fontId="1" fillId="11" borderId="5" xfId="12" applyFont="1" applyFill="1" applyBorder="1" applyAlignment="1">
      <alignment horizontal="left" vertical="center"/>
    </xf>
    <xf numFmtId="0" fontId="1" fillId="11" borderId="5" xfId="12" applyFont="1" applyFill="1" applyBorder="1" applyAlignment="1">
      <alignment horizontal="center" vertical="center"/>
    </xf>
    <xf numFmtId="175" fontId="1" fillId="22" borderId="5" xfId="12" applyNumberFormat="1" applyFont="1" applyFill="1" applyBorder="1" applyAlignment="1">
      <alignment horizontal="center" vertical="center"/>
    </xf>
    <xf numFmtId="168" fontId="1" fillId="11" borderId="5" xfId="12" applyNumberFormat="1" applyFont="1" applyFill="1" applyBorder="1" applyAlignment="1">
      <alignment horizontal="center" vertical="center"/>
    </xf>
    <xf numFmtId="175" fontId="1" fillId="11" borderId="4" xfId="12" applyNumberFormat="1" applyFont="1" applyFill="1" applyBorder="1" applyAlignment="1">
      <alignment horizontal="center" vertical="center"/>
    </xf>
    <xf numFmtId="0" fontId="1" fillId="0" borderId="0" xfId="14" applyNumberFormat="1" applyFont="1" applyFill="1" applyBorder="1" applyAlignment="1">
      <alignment horizontal="center" vertical="center"/>
    </xf>
    <xf numFmtId="0" fontId="1" fillId="0" borderId="0" xfId="14" applyNumberFormat="1" applyFont="1" applyFill="1" applyBorder="1" applyAlignment="1">
      <alignment horizontal="left" vertical="center"/>
    </xf>
    <xf numFmtId="1" fontId="1" fillId="0" borderId="0" xfId="14" applyNumberFormat="1" applyFont="1" applyFill="1" applyBorder="1" applyAlignment="1">
      <alignment horizontal="center" vertical="center" wrapText="1"/>
    </xf>
    <xf numFmtId="0" fontId="1" fillId="0" borderId="0" xfId="14" applyNumberFormat="1" applyFont="1" applyFill="1" applyBorder="1" applyAlignment="1">
      <alignment horizontal="center" vertical="center" wrapText="1"/>
    </xf>
    <xf numFmtId="1" fontId="1" fillId="0" borderId="0" xfId="14" applyNumberFormat="1" applyFont="1" applyFill="1" applyBorder="1" applyAlignment="1">
      <alignment horizontal="center" vertical="center"/>
    </xf>
    <xf numFmtId="0" fontId="1" fillId="0" borderId="0" xfId="14" applyNumberFormat="1" applyFont="1" applyFill="1" applyBorder="1" applyAlignment="1">
      <alignment vertical="center"/>
    </xf>
    <xf numFmtId="0" fontId="1" fillId="0" borderId="5" xfId="14" applyNumberFormat="1" applyFont="1" applyFill="1" applyBorder="1" applyAlignment="1">
      <alignment horizontal="center"/>
    </xf>
    <xf numFmtId="0" fontId="1" fillId="0" borderId="5" xfId="14" applyNumberFormat="1" applyFont="1" applyFill="1" applyBorder="1" applyAlignment="1"/>
    <xf numFmtId="4" fontId="1" fillId="0" borderId="5" xfId="14" applyNumberFormat="1" applyFont="1" applyFill="1" applyBorder="1" applyAlignment="1">
      <alignment horizontal="center"/>
    </xf>
    <xf numFmtId="0" fontId="1" fillId="0" borderId="0" xfId="14" applyNumberFormat="1" applyFont="1" applyFill="1" applyBorder="1" applyAlignment="1"/>
    <xf numFmtId="0" fontId="3" fillId="26" borderId="5" xfId="14" applyNumberFormat="1" applyFont="1" applyFill="1" applyBorder="1" applyAlignment="1">
      <alignment horizontal="center" vertical="center" wrapText="1"/>
    </xf>
    <xf numFmtId="0" fontId="3" fillId="26" borderId="5" xfId="14" applyNumberFormat="1" applyFont="1" applyFill="1" applyBorder="1" applyAlignment="1">
      <alignment horizontal="center" vertical="center"/>
    </xf>
    <xf numFmtId="4" fontId="1" fillId="0" borderId="2" xfId="14" applyNumberFormat="1" applyFont="1" applyFill="1" applyBorder="1" applyAlignment="1">
      <alignment horizontal="center"/>
    </xf>
    <xf numFmtId="168" fontId="3" fillId="0" borderId="5" xfId="14" applyNumberFormat="1" applyFont="1" applyFill="1" applyBorder="1" applyAlignment="1">
      <alignment horizontal="left" vertical="center"/>
    </xf>
    <xf numFmtId="2" fontId="1" fillId="0" borderId="5" xfId="14" applyNumberFormat="1" applyFont="1" applyFill="1" applyBorder="1" applyAlignment="1">
      <alignment horizontal="center" vertical="center"/>
    </xf>
    <xf numFmtId="2" fontId="1" fillId="0" borderId="5" xfId="16" applyNumberFormat="1" applyFont="1" applyFill="1" applyBorder="1" applyAlignment="1">
      <alignment horizontal="center" vertical="center" wrapText="1"/>
    </xf>
    <xf numFmtId="168" fontId="1" fillId="0" borderId="5" xfId="16" applyNumberFormat="1" applyFont="1" applyFill="1" applyBorder="1" applyAlignment="1">
      <alignment horizontal="center" vertical="center" wrapText="1"/>
    </xf>
    <xf numFmtId="4" fontId="1" fillId="0" borderId="5" xfId="16" applyNumberFormat="1" applyFont="1" applyFill="1" applyBorder="1" applyAlignment="1">
      <alignment horizontal="center" vertical="center" wrapText="1"/>
    </xf>
    <xf numFmtId="0" fontId="3" fillId="0" borderId="5" xfId="14" applyNumberFormat="1" applyFont="1" applyFill="1" applyBorder="1" applyAlignment="1">
      <alignment horizontal="left" vertical="center" wrapText="1"/>
    </xf>
    <xf numFmtId="4" fontId="1" fillId="22" borderId="5" xfId="14" applyNumberFormat="1" applyFont="1" applyFill="1" applyBorder="1" applyAlignment="1">
      <alignment horizontal="center" vertical="center"/>
    </xf>
    <xf numFmtId="184" fontId="1" fillId="0" borderId="5" xfId="16" applyNumberFormat="1" applyFont="1" applyFill="1" applyBorder="1" applyAlignment="1">
      <alignment horizontal="center" vertical="center" wrapText="1"/>
    </xf>
    <xf numFmtId="2" fontId="1" fillId="22" borderId="5" xfId="14" applyNumberFormat="1" applyFont="1" applyFill="1" applyBorder="1" applyAlignment="1">
      <alignment horizontal="center" vertical="center"/>
    </xf>
    <xf numFmtId="0" fontId="3" fillId="0" borderId="5" xfId="14" applyNumberFormat="1" applyFont="1" applyFill="1" applyBorder="1" applyAlignment="1">
      <alignment horizontal="left" vertical="center"/>
    </xf>
    <xf numFmtId="4" fontId="1" fillId="0" borderId="5" xfId="14" applyNumberFormat="1" applyFont="1" applyFill="1" applyBorder="1" applyAlignment="1">
      <alignment horizontal="center" vertical="center"/>
    </xf>
    <xf numFmtId="0" fontId="3" fillId="0" borderId="5" xfId="14" applyNumberFormat="1" applyFont="1" applyFill="1" applyBorder="1" applyAlignment="1">
      <alignment horizontal="center" vertical="center"/>
    </xf>
    <xf numFmtId="0" fontId="1" fillId="0" borderId="3" xfId="14" applyNumberFormat="1" applyFont="1" applyFill="1" applyBorder="1" applyAlignment="1">
      <alignment horizontal="center" vertical="center"/>
    </xf>
    <xf numFmtId="0" fontId="1" fillId="0" borderId="5" xfId="14" applyNumberFormat="1" applyFont="1" applyFill="1" applyBorder="1" applyAlignment="1">
      <alignment horizontal="center" vertical="center" wrapText="1"/>
    </xf>
    <xf numFmtId="0" fontId="3" fillId="0" borderId="10" xfId="14" applyNumberFormat="1" applyFont="1" applyFill="1" applyBorder="1" applyAlignment="1">
      <alignment horizontal="center" vertical="center" wrapText="1"/>
    </xf>
    <xf numFmtId="0" fontId="3" fillId="0" borderId="12" xfId="14" applyNumberFormat="1" applyFont="1" applyFill="1" applyBorder="1" applyAlignment="1">
      <alignment vertical="center" wrapText="1"/>
    </xf>
    <xf numFmtId="168" fontId="3" fillId="0" borderId="3" xfId="14" applyNumberFormat="1" applyFont="1" applyFill="1" applyBorder="1" applyAlignment="1">
      <alignment horizontal="center" vertical="center" wrapText="1"/>
    </xf>
    <xf numFmtId="0" fontId="3" fillId="0" borderId="5" xfId="14" applyNumberFormat="1" applyFont="1" applyFill="1" applyBorder="1" applyAlignment="1">
      <alignment horizontal="center" vertical="center" wrapText="1"/>
    </xf>
    <xf numFmtId="168" fontId="3" fillId="0" borderId="3" xfId="14" applyNumberFormat="1" applyFont="1" applyFill="1" applyBorder="1" applyAlignment="1">
      <alignment horizontal="center" vertical="center"/>
    </xf>
    <xf numFmtId="4" fontId="3" fillId="0" borderId="5" xfId="14" applyNumberFormat="1" applyFont="1" applyFill="1" applyBorder="1" applyAlignment="1">
      <alignment horizontal="center" vertical="center" wrapText="1"/>
    </xf>
    <xf numFmtId="0" fontId="3" fillId="0" borderId="4" xfId="14" applyNumberFormat="1" applyFont="1" applyFill="1" applyBorder="1" applyAlignment="1">
      <alignment vertical="center" wrapText="1"/>
    </xf>
    <xf numFmtId="0" fontId="3" fillId="0" borderId="3" xfId="14" applyNumberFormat="1" applyFont="1" applyFill="1" applyBorder="1" applyAlignment="1">
      <alignment horizontal="center" vertical="center"/>
    </xf>
    <xf numFmtId="0" fontId="1" fillId="22" borderId="5" xfId="14" applyNumberFormat="1" applyFont="1" applyFill="1" applyBorder="1" applyAlignment="1">
      <alignment horizontal="center" vertical="center"/>
    </xf>
    <xf numFmtId="4" fontId="1" fillId="11" borderId="4" xfId="14" applyNumberFormat="1" applyFont="1" applyFill="1" applyBorder="1" applyAlignment="1">
      <alignment horizontal="center" vertical="center"/>
    </xf>
    <xf numFmtId="170" fontId="1" fillId="0" borderId="4" xfId="14" applyNumberFormat="1" applyFont="1" applyFill="1" applyBorder="1" applyAlignment="1">
      <alignment horizontal="center" vertical="center"/>
    </xf>
    <xf numFmtId="4" fontId="1" fillId="0" borderId="4" xfId="14" applyNumberFormat="1" applyFont="1" applyFill="1" applyBorder="1" applyAlignment="1">
      <alignment horizontal="center" vertical="center"/>
    </xf>
    <xf numFmtId="168" fontId="1" fillId="0" borderId="4" xfId="14" applyNumberFormat="1" applyFont="1" applyFill="1" applyBorder="1" applyAlignment="1">
      <alignment horizontal="center" vertical="center"/>
    </xf>
    <xf numFmtId="0" fontId="1" fillId="11" borderId="5" xfId="14" applyNumberFormat="1" applyFont="1" applyFill="1" applyBorder="1" applyAlignment="1">
      <alignment horizontal="center" vertical="center"/>
    </xf>
    <xf numFmtId="168" fontId="1" fillId="0" borderId="0" xfId="14" applyNumberFormat="1" applyFont="1" applyFill="1" applyBorder="1" applyAlignment="1">
      <alignment horizontal="center" vertical="center"/>
    </xf>
    <xf numFmtId="0" fontId="58" fillId="0" borderId="10" xfId="3" applyFont="1" applyBorder="1" applyAlignment="1">
      <alignment horizontal="center" vertical="center" textRotation="90"/>
    </xf>
    <xf numFmtId="0" fontId="60" fillId="0" borderId="0" xfId="3" applyFont="1" applyAlignment="1">
      <alignment horizontal="center" vertical="center"/>
    </xf>
    <xf numFmtId="0" fontId="61" fillId="0" borderId="5" xfId="3" applyFont="1" applyBorder="1" applyAlignment="1">
      <alignment horizontal="center" vertical="center"/>
    </xf>
    <xf numFmtId="0" fontId="59" fillId="22" borderId="5" xfId="3" applyFont="1" applyFill="1" applyBorder="1" applyAlignment="1">
      <alignment horizontal="center" vertical="center"/>
    </xf>
    <xf numFmtId="0" fontId="60" fillId="0" borderId="0" xfId="3" applyFont="1"/>
    <xf numFmtId="0" fontId="61" fillId="18" borderId="8" xfId="3" applyFont="1" applyFill="1" applyBorder="1" applyAlignment="1">
      <alignment horizontal="center" vertical="center" wrapText="1"/>
    </xf>
    <xf numFmtId="0" fontId="59" fillId="19" borderId="5" xfId="3" applyFont="1" applyFill="1" applyBorder="1" applyAlignment="1">
      <alignment horizontal="center" vertical="center"/>
    </xf>
    <xf numFmtId="0" fontId="62" fillId="18" borderId="5" xfId="9" applyFont="1" applyFill="1" applyBorder="1" applyAlignment="1">
      <alignment horizontal="center" vertical="center"/>
    </xf>
    <xf numFmtId="0" fontId="62" fillId="18" borderId="3" xfId="9" applyFont="1" applyFill="1" applyBorder="1" applyAlignment="1">
      <alignment horizontal="center" vertical="center"/>
    </xf>
    <xf numFmtId="0" fontId="59" fillId="30" borderId="5" xfId="3" applyFont="1" applyFill="1" applyBorder="1" applyAlignment="1">
      <alignment horizontal="center" vertical="center"/>
    </xf>
    <xf numFmtId="0" fontId="62" fillId="29" borderId="5" xfId="9" applyFont="1" applyFill="1" applyBorder="1" applyAlignment="1">
      <alignment horizontal="center" vertical="center"/>
    </xf>
    <xf numFmtId="0" fontId="62" fillId="29" borderId="3" xfId="9" applyFont="1" applyFill="1" applyBorder="1" applyAlignment="1">
      <alignment horizontal="center" vertical="center"/>
    </xf>
    <xf numFmtId="0" fontId="62" fillId="18" borderId="5" xfId="9" applyFont="1" applyFill="1" applyBorder="1" applyAlignment="1">
      <alignment horizontal="center" vertical="center" wrapText="1"/>
    </xf>
    <xf numFmtId="0" fontId="62" fillId="18" borderId="3" xfId="9" applyFont="1" applyFill="1" applyBorder="1" applyAlignment="1">
      <alignment horizontal="center" vertical="center" wrapText="1"/>
    </xf>
    <xf numFmtId="0" fontId="60" fillId="0" borderId="0" xfId="3" applyFont="1" applyAlignment="1">
      <alignment horizontal="center" vertical="center" wrapText="1"/>
    </xf>
    <xf numFmtId="0" fontId="59" fillId="18" borderId="5" xfId="3" applyFont="1" applyFill="1" applyBorder="1" applyAlignment="1">
      <alignment horizontal="center" vertical="center"/>
    </xf>
    <xf numFmtId="0" fontId="62" fillId="29" borderId="5" xfId="9" applyFont="1" applyFill="1" applyBorder="1" applyAlignment="1">
      <alignment horizontal="center" vertical="center" wrapText="1"/>
    </xf>
    <xf numFmtId="0" fontId="62" fillId="29" borderId="3" xfId="9" applyFont="1" applyFill="1" applyBorder="1" applyAlignment="1">
      <alignment horizontal="center" vertical="center" wrapText="1"/>
    </xf>
    <xf numFmtId="9" fontId="59" fillId="11" borderId="5" xfId="17" applyFont="1" applyFill="1" applyBorder="1" applyAlignment="1">
      <alignment horizontal="center" vertical="center"/>
    </xf>
    <xf numFmtId="9" fontId="59" fillId="26" borderId="5" xfId="17" applyFont="1" applyFill="1" applyBorder="1" applyAlignment="1">
      <alignment horizontal="center" vertical="center"/>
    </xf>
    <xf numFmtId="0" fontId="59" fillId="27" borderId="5" xfId="3" applyFont="1" applyFill="1" applyBorder="1" applyAlignment="1">
      <alignment horizontal="center" vertical="center"/>
    </xf>
    <xf numFmtId="0" fontId="60" fillId="0" borderId="0" xfId="3" applyFont="1" applyAlignment="1">
      <alignment vertical="center"/>
    </xf>
    <xf numFmtId="0" fontId="64" fillId="0" borderId="4" xfId="3" applyFont="1" applyBorder="1" applyAlignment="1">
      <alignment horizontal="center" vertical="center"/>
    </xf>
    <xf numFmtId="0" fontId="59" fillId="0" borderId="4" xfId="3" applyFont="1" applyBorder="1" applyAlignment="1">
      <alignment horizontal="center" vertical="center"/>
    </xf>
    <xf numFmtId="0" fontId="60" fillId="0" borderId="5" xfId="3" applyFont="1" applyBorder="1" applyAlignment="1">
      <alignment vertical="center"/>
    </xf>
    <xf numFmtId="2" fontId="65" fillId="0" borderId="5" xfId="11" applyNumberFormat="1" applyFont="1" applyFill="1" applyBorder="1" applyAlignment="1">
      <alignment horizontal="center"/>
    </xf>
    <xf numFmtId="2" fontId="65" fillId="0" borderId="6" xfId="11" applyNumberFormat="1" applyFont="1" applyFill="1" applyBorder="1" applyAlignment="1">
      <alignment horizontal="center"/>
    </xf>
    <xf numFmtId="0" fontId="65" fillId="2" borderId="81" xfId="11" applyNumberFormat="1" applyFont="1" applyFill="1" applyBorder="1" applyAlignment="1">
      <alignment horizontal="center"/>
    </xf>
    <xf numFmtId="175" fontId="65" fillId="2" borderId="5" xfId="11" applyNumberFormat="1" applyFont="1" applyFill="1" applyBorder="1" applyAlignment="1">
      <alignment horizontal="center"/>
    </xf>
    <xf numFmtId="175" fontId="65" fillId="2" borderId="80" xfId="11" applyNumberFormat="1" applyFont="1" applyFill="1" applyBorder="1" applyAlignment="1">
      <alignment horizontal="center" vertical="center"/>
    </xf>
    <xf numFmtId="0" fontId="58" fillId="8" borderId="5" xfId="3" applyFont="1" applyFill="1" applyBorder="1" applyAlignment="1">
      <alignment vertical="top" textRotation="90" wrapText="1"/>
    </xf>
    <xf numFmtId="0" fontId="58" fillId="8" borderId="5" xfId="3" applyFont="1" applyFill="1" applyBorder="1" applyAlignment="1">
      <alignment textRotation="90" wrapText="1"/>
    </xf>
    <xf numFmtId="10" fontId="59" fillId="2" borderId="5" xfId="3" applyNumberFormat="1" applyFont="1" applyFill="1" applyBorder="1" applyAlignment="1">
      <alignment horizontal="center" vertical="center"/>
    </xf>
    <xf numFmtId="2" fontId="62" fillId="0" borderId="5" xfId="3" applyNumberFormat="1" applyFont="1" applyBorder="1" applyAlignment="1">
      <alignment horizontal="center" vertical="center"/>
    </xf>
    <xf numFmtId="1" fontId="62" fillId="0" borderId="5" xfId="3" applyNumberFormat="1" applyFont="1" applyBorder="1" applyAlignment="1">
      <alignment horizontal="center" vertical="center"/>
    </xf>
    <xf numFmtId="2" fontId="62" fillId="17" borderId="5" xfId="3" applyNumberFormat="1" applyFont="1" applyFill="1" applyBorder="1" applyAlignment="1">
      <alignment horizontal="center" vertical="center"/>
    </xf>
    <xf numFmtId="0" fontId="65" fillId="0" borderId="0" xfId="3" applyFont="1" applyAlignment="1">
      <alignment horizontal="center" vertical="center"/>
    </xf>
    <xf numFmtId="0" fontId="66" fillId="0" borderId="4" xfId="3" applyFont="1" applyBorder="1" applyAlignment="1">
      <alignment horizontal="center" vertical="center"/>
    </xf>
    <xf numFmtId="1" fontId="66" fillId="0" borderId="4" xfId="3" applyNumberFormat="1" applyFont="1" applyBorder="1" applyAlignment="1">
      <alignment horizontal="center" vertical="center"/>
    </xf>
    <xf numFmtId="0" fontId="66" fillId="11" borderId="4" xfId="3" applyFont="1" applyFill="1" applyBorder="1" applyAlignment="1">
      <alignment horizontal="center" vertical="center"/>
    </xf>
    <xf numFmtId="2" fontId="66" fillId="0" borderId="4" xfId="3" applyNumberFormat="1" applyFont="1" applyBorder="1" applyAlignment="1">
      <alignment horizontal="center" vertical="center"/>
    </xf>
    <xf numFmtId="4" fontId="65" fillId="0" borderId="4" xfId="3" applyNumberFormat="1" applyFont="1" applyBorder="1" applyAlignment="1">
      <alignment horizontal="center" vertical="center"/>
    </xf>
    <xf numFmtId="4" fontId="67" fillId="0" borderId="4" xfId="3" applyNumberFormat="1" applyFont="1" applyBorder="1" applyAlignment="1">
      <alignment horizontal="center" vertical="center"/>
    </xf>
    <xf numFmtId="2" fontId="65" fillId="0" borderId="5" xfId="3" applyNumberFormat="1" applyFont="1" applyBorder="1" applyAlignment="1">
      <alignment horizontal="center" vertical="center"/>
    </xf>
    <xf numFmtId="4" fontId="60" fillId="0" borderId="5" xfId="3" applyNumberFormat="1" applyFont="1" applyBorder="1"/>
    <xf numFmtId="0" fontId="60" fillId="0" borderId="5" xfId="3" applyFont="1" applyBorder="1"/>
    <xf numFmtId="2" fontId="60" fillId="0" borderId="5" xfId="3" applyNumberFormat="1" applyFont="1" applyBorder="1"/>
    <xf numFmtId="168" fontId="57" fillId="0" borderId="5" xfId="3" applyNumberFormat="1" applyFont="1" applyBorder="1"/>
    <xf numFmtId="0" fontId="57" fillId="0" borderId="0" xfId="3" applyFont="1"/>
    <xf numFmtId="2" fontId="65" fillId="17" borderId="5" xfId="11" applyNumberFormat="1" applyFont="1" applyFill="1" applyBorder="1" applyAlignment="1">
      <alignment horizontal="center"/>
    </xf>
    <xf numFmtId="2" fontId="65" fillId="17" borderId="6" xfId="11" applyNumberFormat="1" applyFont="1" applyFill="1" applyBorder="1" applyAlignment="1">
      <alignment horizontal="center"/>
    </xf>
    <xf numFmtId="0" fontId="65" fillId="17" borderId="81" xfId="11" applyNumberFormat="1" applyFont="1" applyFill="1" applyBorder="1" applyAlignment="1">
      <alignment horizontal="center"/>
    </xf>
    <xf numFmtId="175" fontId="65" fillId="17" borderId="5" xfId="11" applyNumberFormat="1" applyFont="1" applyFill="1" applyBorder="1" applyAlignment="1">
      <alignment horizontal="center"/>
    </xf>
    <xf numFmtId="175" fontId="65" fillId="17" borderId="80" xfId="11" applyNumberFormat="1" applyFont="1" applyFill="1" applyBorder="1" applyAlignment="1">
      <alignment horizontal="center" vertical="center"/>
    </xf>
    <xf numFmtId="10" fontId="59" fillId="17" borderId="5" xfId="3" applyNumberFormat="1" applyFont="1" applyFill="1" applyBorder="1" applyAlignment="1">
      <alignment horizontal="center" vertical="center"/>
    </xf>
    <xf numFmtId="1" fontId="62" fillId="17" borderId="5" xfId="3" applyNumberFormat="1" applyFont="1" applyFill="1" applyBorder="1" applyAlignment="1">
      <alignment horizontal="center" vertical="center"/>
    </xf>
    <xf numFmtId="0" fontId="60" fillId="17" borderId="0" xfId="3" applyFont="1" applyFill="1"/>
    <xf numFmtId="1" fontId="66" fillId="17" borderId="4" xfId="3" applyNumberFormat="1" applyFont="1" applyFill="1" applyBorder="1" applyAlignment="1">
      <alignment horizontal="center" vertical="center"/>
    </xf>
    <xf numFmtId="0" fontId="66" fillId="17" borderId="4" xfId="3" applyFont="1" applyFill="1" applyBorder="1" applyAlignment="1">
      <alignment horizontal="center" vertical="center"/>
    </xf>
    <xf numFmtId="2" fontId="66" fillId="17" borderId="4" xfId="3" applyNumberFormat="1" applyFont="1" applyFill="1" applyBorder="1" applyAlignment="1">
      <alignment horizontal="center" vertical="center"/>
    </xf>
    <xf numFmtId="4" fontId="65" fillId="17" borderId="4" xfId="3" applyNumberFormat="1" applyFont="1" applyFill="1" applyBorder="1" applyAlignment="1">
      <alignment horizontal="center" vertical="center"/>
    </xf>
    <xf numFmtId="4" fontId="67" fillId="17" borderId="4" xfId="3" applyNumberFormat="1" applyFont="1" applyFill="1" applyBorder="1" applyAlignment="1">
      <alignment horizontal="center" vertical="center"/>
    </xf>
    <xf numFmtId="2" fontId="65" fillId="17" borderId="5" xfId="3" applyNumberFormat="1" applyFont="1" applyFill="1" applyBorder="1" applyAlignment="1">
      <alignment horizontal="center" vertical="center"/>
    </xf>
    <xf numFmtId="4" fontId="60" fillId="17" borderId="5" xfId="3" applyNumberFormat="1" applyFont="1" applyFill="1" applyBorder="1"/>
    <xf numFmtId="0" fontId="60" fillId="17" borderId="5" xfId="3" applyFont="1" applyFill="1" applyBorder="1"/>
    <xf numFmtId="2" fontId="60" fillId="17" borderId="5" xfId="3" applyNumberFormat="1" applyFont="1" applyFill="1" applyBorder="1"/>
    <xf numFmtId="2" fontId="60" fillId="11" borderId="5" xfId="3" applyNumberFormat="1" applyFont="1" applyFill="1" applyBorder="1"/>
    <xf numFmtId="2" fontId="60" fillId="0" borderId="0" xfId="3" applyNumberFormat="1" applyFont="1"/>
    <xf numFmtId="2" fontId="65" fillId="18" borderId="5" xfId="11" applyNumberFormat="1" applyFont="1" applyFill="1" applyBorder="1" applyAlignment="1">
      <alignment horizontal="center"/>
    </xf>
    <xf numFmtId="2" fontId="65" fillId="18" borderId="6" xfId="11" applyNumberFormat="1" applyFont="1" applyFill="1" applyBorder="1" applyAlignment="1">
      <alignment horizontal="center"/>
    </xf>
    <xf numFmtId="0" fontId="65" fillId="18" borderId="81" xfId="11" applyNumberFormat="1" applyFont="1" applyFill="1" applyBorder="1" applyAlignment="1">
      <alignment horizontal="center"/>
    </xf>
    <xf numFmtId="175" fontId="65" fillId="18" borderId="5" xfId="11" applyNumberFormat="1" applyFont="1" applyFill="1" applyBorder="1" applyAlignment="1">
      <alignment horizontal="center"/>
    </xf>
    <xf numFmtId="175" fontId="65" fillId="18" borderId="80" xfId="11" applyNumberFormat="1" applyFont="1" applyFill="1" applyBorder="1" applyAlignment="1">
      <alignment horizontal="center" vertical="center"/>
    </xf>
    <xf numFmtId="0" fontId="58" fillId="18" borderId="5" xfId="3" applyFont="1" applyFill="1" applyBorder="1" applyAlignment="1">
      <alignment vertical="top" textRotation="90" wrapText="1"/>
    </xf>
    <xf numFmtId="0" fontId="58" fillId="18" borderId="5" xfId="3" applyFont="1" applyFill="1" applyBorder="1" applyAlignment="1">
      <alignment textRotation="90" wrapText="1"/>
    </xf>
    <xf numFmtId="10" fontId="59" fillId="18" borderId="5" xfId="3" applyNumberFormat="1" applyFont="1" applyFill="1" applyBorder="1" applyAlignment="1">
      <alignment horizontal="center" vertical="center"/>
    </xf>
    <xf numFmtId="2" fontId="62" fillId="18" borderId="5" xfId="3" applyNumberFormat="1" applyFont="1" applyFill="1" applyBorder="1" applyAlignment="1">
      <alignment horizontal="center" vertical="center"/>
    </xf>
    <xf numFmtId="1" fontId="62" fillId="18" borderId="5" xfId="3" applyNumberFormat="1" applyFont="1" applyFill="1" applyBorder="1" applyAlignment="1">
      <alignment horizontal="center" vertical="center"/>
    </xf>
    <xf numFmtId="0" fontId="60" fillId="18" borderId="0" xfId="3" applyFont="1" applyFill="1"/>
    <xf numFmtId="0" fontId="66" fillId="18" borderId="4" xfId="3" applyFont="1" applyFill="1" applyBorder="1" applyAlignment="1">
      <alignment horizontal="center" vertical="center"/>
    </xf>
    <xf numFmtId="1" fontId="66" fillId="18" borderId="4" xfId="3" applyNumberFormat="1" applyFont="1" applyFill="1" applyBorder="1" applyAlignment="1">
      <alignment horizontal="center" vertical="center"/>
    </xf>
    <xf numFmtId="2" fontId="66" fillId="18" borderId="4" xfId="3" applyNumberFormat="1" applyFont="1" applyFill="1" applyBorder="1" applyAlignment="1">
      <alignment horizontal="center" vertical="center"/>
    </xf>
    <xf numFmtId="4" fontId="65" fillId="18" borderId="4" xfId="3" applyNumberFormat="1" applyFont="1" applyFill="1" applyBorder="1" applyAlignment="1">
      <alignment horizontal="center" vertical="center"/>
    </xf>
    <xf numFmtId="4" fontId="67" fillId="18" borderId="4" xfId="3" applyNumberFormat="1" applyFont="1" applyFill="1" applyBorder="1" applyAlignment="1">
      <alignment horizontal="center" vertical="center"/>
    </xf>
    <xf numFmtId="2" fontId="65" fillId="18" borderId="5" xfId="3" applyNumberFormat="1" applyFont="1" applyFill="1" applyBorder="1" applyAlignment="1">
      <alignment horizontal="center" vertical="center"/>
    </xf>
    <xf numFmtId="4" fontId="60" fillId="18" borderId="5" xfId="3" applyNumberFormat="1" applyFont="1" applyFill="1" applyBorder="1"/>
    <xf numFmtId="0" fontId="60" fillId="18" borderId="5" xfId="3" applyFont="1" applyFill="1" applyBorder="1"/>
    <xf numFmtId="2" fontId="60" fillId="18" borderId="5" xfId="3" applyNumberFormat="1" applyFont="1" applyFill="1" applyBorder="1"/>
    <xf numFmtId="4" fontId="60" fillId="11" borderId="5" xfId="3" applyNumberFormat="1" applyFont="1" applyFill="1" applyBorder="1"/>
    <xf numFmtId="0" fontId="60" fillId="11" borderId="5" xfId="3" applyFont="1" applyFill="1" applyBorder="1"/>
    <xf numFmtId="0" fontId="60" fillId="32" borderId="0" xfId="3" applyFont="1" applyFill="1"/>
    <xf numFmtId="0" fontId="65" fillId="20" borderId="0" xfId="9" applyFont="1" applyFill="1" applyAlignment="1">
      <alignment horizontal="center"/>
    </xf>
    <xf numFmtId="0" fontId="58" fillId="20" borderId="0" xfId="3" applyFont="1" applyFill="1" applyAlignment="1">
      <alignment horizontal="center" vertical="center" textRotation="90"/>
    </xf>
    <xf numFmtId="0" fontId="59" fillId="20" borderId="0" xfId="3" applyFont="1" applyFill="1" applyAlignment="1">
      <alignment horizontal="center" vertical="center"/>
    </xf>
    <xf numFmtId="0" fontId="62" fillId="20" borderId="0" xfId="3" applyFont="1" applyFill="1"/>
    <xf numFmtId="0" fontId="60" fillId="20" borderId="0" xfId="3" applyFont="1" applyFill="1"/>
    <xf numFmtId="0" fontId="65" fillId="0" borderId="0" xfId="9" applyFont="1" applyAlignment="1">
      <alignment horizontal="center"/>
    </xf>
    <xf numFmtId="0" fontId="58" fillId="0" borderId="0" xfId="3" applyFont="1" applyAlignment="1">
      <alignment horizontal="center" vertical="center" textRotation="90"/>
    </xf>
    <xf numFmtId="0" fontId="59" fillId="0" borderId="0" xfId="3" applyFont="1" applyAlignment="1">
      <alignment horizontal="center" vertical="center"/>
    </xf>
    <xf numFmtId="0" fontId="62" fillId="0" borderId="0" xfId="3" applyFont="1"/>
    <xf numFmtId="0" fontId="62" fillId="0" borderId="0" xfId="9" applyFont="1" applyAlignment="1">
      <alignment horizontal="center" vertical="center"/>
    </xf>
    <xf numFmtId="0" fontId="62" fillId="0" borderId="12" xfId="9" applyFont="1" applyBorder="1" applyAlignment="1">
      <alignment horizontal="center" vertical="center" wrapText="1"/>
    </xf>
    <xf numFmtId="0" fontId="62" fillId="0" borderId="0" xfId="9" applyFont="1" applyAlignment="1">
      <alignment horizontal="center" vertical="center" wrapText="1"/>
    </xf>
    <xf numFmtId="0" fontId="62" fillId="18" borderId="5" xfId="9" applyFont="1" applyFill="1" applyBorder="1" applyAlignment="1">
      <alignment vertical="center" wrapText="1"/>
    </xf>
    <xf numFmtId="4" fontId="62" fillId="18" borderId="5" xfId="18" applyNumberFormat="1" applyFont="1" applyFill="1" applyBorder="1" applyAlignment="1">
      <alignment horizontal="center" vertical="center" wrapText="1"/>
    </xf>
    <xf numFmtId="4" fontId="62" fillId="18" borderId="2" xfId="18" applyNumberFormat="1" applyFont="1" applyFill="1" applyBorder="1" applyAlignment="1">
      <alignment horizontal="center" vertical="center" wrapText="1"/>
    </xf>
    <xf numFmtId="9" fontId="62" fillId="18" borderId="79" xfId="9" applyNumberFormat="1" applyFont="1" applyFill="1" applyBorder="1" applyAlignment="1">
      <alignment horizontal="center" vertical="center" wrapText="1"/>
    </xf>
    <xf numFmtId="9" fontId="62" fillId="18" borderId="5" xfId="9" applyNumberFormat="1" applyFont="1" applyFill="1" applyBorder="1" applyAlignment="1">
      <alignment horizontal="center" vertical="center" wrapText="1"/>
    </xf>
    <xf numFmtId="9" fontId="62" fillId="29" borderId="3" xfId="9" applyNumberFormat="1" applyFont="1" applyFill="1" applyBorder="1" applyAlignment="1">
      <alignment horizontal="center" vertical="center" wrapText="1"/>
    </xf>
    <xf numFmtId="9" fontId="62" fillId="29" borderId="5" xfId="9" applyNumberFormat="1" applyFont="1" applyFill="1" applyBorder="1" applyAlignment="1">
      <alignment horizontal="center" vertical="center" wrapText="1"/>
    </xf>
    <xf numFmtId="9" fontId="62" fillId="29" borderId="79" xfId="9" applyNumberFormat="1" applyFont="1" applyFill="1" applyBorder="1" applyAlignment="1">
      <alignment horizontal="center" vertical="center" wrapText="1"/>
    </xf>
    <xf numFmtId="9" fontId="63" fillId="29" borderId="3" xfId="9" applyNumberFormat="1" applyFont="1" applyFill="1" applyBorder="1" applyAlignment="1">
      <alignment horizontal="center" vertical="center" wrapText="1"/>
    </xf>
    <xf numFmtId="9" fontId="63" fillId="29" borderId="5" xfId="9" applyNumberFormat="1" applyFont="1" applyFill="1" applyBorder="1" applyAlignment="1">
      <alignment horizontal="center" vertical="center" wrapText="1"/>
    </xf>
    <xf numFmtId="9" fontId="63" fillId="29" borderId="79" xfId="9" applyNumberFormat="1" applyFont="1" applyFill="1" applyBorder="1" applyAlignment="1">
      <alignment horizontal="center" vertical="center" wrapText="1"/>
    </xf>
    <xf numFmtId="0" fontId="70" fillId="0" borderId="0" xfId="3" applyFont="1" applyAlignment="1">
      <alignment horizontal="center" vertical="top"/>
    </xf>
    <xf numFmtId="0" fontId="62" fillId="0" borderId="0" xfId="9" applyFont="1" applyAlignment="1">
      <alignment horizontal="center" vertical="top" wrapText="1"/>
    </xf>
    <xf numFmtId="0" fontId="73" fillId="22" borderId="5" xfId="3" applyFont="1" applyFill="1" applyBorder="1" applyAlignment="1">
      <alignment horizontal="center" vertical="center"/>
    </xf>
    <xf numFmtId="0" fontId="68" fillId="30" borderId="4" xfId="3" applyFont="1" applyFill="1" applyBorder="1" applyAlignment="1">
      <alignment horizontal="center" vertical="center"/>
    </xf>
    <xf numFmtId="0" fontId="68" fillId="19" borderId="5" xfId="3" applyFont="1" applyFill="1" applyBorder="1" applyAlignment="1">
      <alignment horizontal="center" vertical="center"/>
    </xf>
    <xf numFmtId="0" fontId="59" fillId="0" borderId="0" xfId="3" applyFont="1" applyAlignment="1">
      <alignment horizontal="center" vertical="top"/>
    </xf>
    <xf numFmtId="0" fontId="74" fillId="34" borderId="5" xfId="3" applyFont="1" applyFill="1" applyBorder="1" applyAlignment="1">
      <alignment horizontal="center" vertical="center"/>
    </xf>
    <xf numFmtId="0" fontId="74" fillId="35" borderId="5" xfId="3" applyFont="1" applyFill="1" applyBorder="1" applyAlignment="1">
      <alignment horizontal="center" vertical="center"/>
    </xf>
    <xf numFmtId="0" fontId="70" fillId="36" borderId="5" xfId="3" applyFont="1" applyFill="1" applyBorder="1" applyAlignment="1">
      <alignment horizontal="center" vertical="center"/>
    </xf>
    <xf numFmtId="0" fontId="62" fillId="0" borderId="0" xfId="9" applyFont="1" applyAlignment="1">
      <alignment horizontal="center" vertical="top"/>
    </xf>
    <xf numFmtId="0" fontId="70" fillId="37" borderId="5" xfId="3" applyFont="1" applyFill="1" applyBorder="1" applyAlignment="1">
      <alignment horizontal="center" vertical="center"/>
    </xf>
    <xf numFmtId="0" fontId="70" fillId="8" borderId="5" xfId="3" applyFont="1" applyFill="1" applyBorder="1" applyAlignment="1">
      <alignment horizontal="center" vertical="center"/>
    </xf>
    <xf numFmtId="10" fontId="59" fillId="33" borderId="4" xfId="9" applyNumberFormat="1" applyFont="1" applyFill="1" applyBorder="1" applyAlignment="1">
      <alignment horizontal="center" vertical="center"/>
    </xf>
    <xf numFmtId="9" fontId="62" fillId="0" borderId="5" xfId="9" applyNumberFormat="1" applyFont="1" applyBorder="1" applyAlignment="1">
      <alignment horizontal="center" vertical="center"/>
    </xf>
    <xf numFmtId="0" fontId="62" fillId="26" borderId="0" xfId="9" applyFont="1" applyFill="1" applyAlignment="1">
      <alignment horizontal="center" vertical="center"/>
    </xf>
    <xf numFmtId="0" fontId="59" fillId="26" borderId="6" xfId="9" applyFont="1" applyFill="1" applyBorder="1" applyAlignment="1">
      <alignment vertical="center"/>
    </xf>
    <xf numFmtId="0" fontId="59" fillId="26" borderId="3" xfId="9" applyFont="1" applyFill="1" applyBorder="1" applyAlignment="1">
      <alignment vertical="center"/>
    </xf>
    <xf numFmtId="4" fontId="62" fillId="26" borderId="5" xfId="9" applyNumberFormat="1" applyFont="1" applyFill="1" applyBorder="1" applyAlignment="1">
      <alignment horizontal="center" vertical="center"/>
    </xf>
    <xf numFmtId="4" fontId="63" fillId="26" borderId="5" xfId="9" applyNumberFormat="1" applyFont="1" applyFill="1" applyBorder="1" applyAlignment="1">
      <alignment horizontal="center" vertical="center"/>
    </xf>
    <xf numFmtId="0" fontId="73" fillId="26" borderId="4" xfId="3" applyFont="1" applyFill="1" applyBorder="1" applyAlignment="1">
      <alignment horizontal="center" vertical="center"/>
    </xf>
    <xf numFmtId="1" fontId="73" fillId="26" borderId="4" xfId="3" applyNumberFormat="1" applyFont="1" applyFill="1" applyBorder="1" applyAlignment="1">
      <alignment horizontal="center" vertical="center"/>
    </xf>
    <xf numFmtId="4" fontId="62" fillId="26" borderId="4" xfId="3" applyNumberFormat="1" applyFont="1" applyFill="1" applyBorder="1" applyAlignment="1">
      <alignment horizontal="center" vertical="center"/>
    </xf>
    <xf numFmtId="4" fontId="75" fillId="26" borderId="4" xfId="3" applyNumberFormat="1" applyFont="1" applyFill="1" applyBorder="1" applyAlignment="1">
      <alignment horizontal="center" vertical="center"/>
    </xf>
    <xf numFmtId="0" fontId="62" fillId="26" borderId="0" xfId="9" applyFont="1" applyFill="1" applyAlignment="1">
      <alignment horizontal="center" vertical="top"/>
    </xf>
    <xf numFmtId="1" fontId="68" fillId="26" borderId="4" xfId="3" applyNumberFormat="1" applyFont="1" applyFill="1" applyBorder="1" applyAlignment="1">
      <alignment horizontal="center" vertical="center"/>
    </xf>
    <xf numFmtId="0" fontId="68" fillId="26" borderId="4" xfId="3" applyFont="1" applyFill="1" applyBorder="1" applyAlignment="1">
      <alignment horizontal="center" vertical="center"/>
    </xf>
    <xf numFmtId="4" fontId="63" fillId="26" borderId="4" xfId="3" applyNumberFormat="1" applyFont="1" applyFill="1" applyBorder="1" applyAlignment="1">
      <alignment horizontal="center" vertical="center"/>
    </xf>
    <xf numFmtId="1" fontId="68" fillId="26" borderId="5" xfId="3" applyNumberFormat="1" applyFont="1" applyFill="1" applyBorder="1" applyAlignment="1">
      <alignment horizontal="center" vertical="center"/>
    </xf>
    <xf numFmtId="2" fontId="68" fillId="26" borderId="5" xfId="3" applyNumberFormat="1" applyFont="1" applyFill="1" applyBorder="1" applyAlignment="1">
      <alignment horizontal="center" vertical="center"/>
    </xf>
    <xf numFmtId="4" fontId="62" fillId="26" borderId="5" xfId="3" applyNumberFormat="1" applyFont="1" applyFill="1" applyBorder="1" applyAlignment="1">
      <alignment horizontal="center" vertical="center"/>
    </xf>
    <xf numFmtId="1" fontId="74" fillId="26" borderId="5" xfId="3" applyNumberFormat="1" applyFont="1" applyFill="1" applyBorder="1" applyAlignment="1">
      <alignment horizontal="center" vertical="center"/>
    </xf>
    <xf numFmtId="2" fontId="74" fillId="26" borderId="5" xfId="3" applyNumberFormat="1" applyFont="1" applyFill="1" applyBorder="1" applyAlignment="1">
      <alignment horizontal="center" vertical="center"/>
    </xf>
    <xf numFmtId="1" fontId="74" fillId="0" borderId="5" xfId="3" applyNumberFormat="1" applyFont="1" applyBorder="1" applyAlignment="1">
      <alignment horizontal="center" vertical="center"/>
    </xf>
    <xf numFmtId="2" fontId="74" fillId="0" borderId="5" xfId="3" applyNumberFormat="1" applyFont="1" applyBorder="1" applyAlignment="1">
      <alignment horizontal="center" vertical="center"/>
    </xf>
    <xf numFmtId="1" fontId="68" fillId="0" borderId="5" xfId="3" applyNumberFormat="1" applyFont="1" applyBorder="1" applyAlignment="1">
      <alignment horizontal="center" vertical="center"/>
    </xf>
    <xf numFmtId="1" fontId="70" fillId="26" borderId="5" xfId="3" applyNumberFormat="1" applyFont="1" applyFill="1" applyBorder="1" applyAlignment="1">
      <alignment horizontal="center" vertical="center"/>
    </xf>
    <xf numFmtId="2" fontId="70" fillId="26" borderId="5" xfId="3" applyNumberFormat="1" applyFont="1" applyFill="1" applyBorder="1" applyAlignment="1">
      <alignment horizontal="center" vertical="center"/>
    </xf>
    <xf numFmtId="1" fontId="70" fillId="0" borderId="5" xfId="3" applyNumberFormat="1" applyFont="1" applyBorder="1" applyAlignment="1">
      <alignment horizontal="center" vertical="center"/>
    </xf>
    <xf numFmtId="4" fontId="75" fillId="26" borderId="5" xfId="3" applyNumberFormat="1" applyFont="1" applyFill="1" applyBorder="1" applyAlignment="1">
      <alignment horizontal="center" vertical="center"/>
    </xf>
    <xf numFmtId="4" fontId="62" fillId="26" borderId="0" xfId="9" applyNumberFormat="1" applyFont="1" applyFill="1" applyAlignment="1">
      <alignment horizontal="center" vertical="center"/>
    </xf>
    <xf numFmtId="0" fontId="62" fillId="11" borderId="5" xfId="9" applyFont="1" applyFill="1" applyBorder="1" applyAlignment="1">
      <alignment horizontal="center" vertical="center"/>
    </xf>
    <xf numFmtId="4" fontId="62" fillId="11" borderId="3" xfId="9" applyNumberFormat="1" applyFont="1" applyFill="1" applyBorder="1" applyAlignment="1">
      <alignment horizontal="center" vertical="center"/>
    </xf>
    <xf numFmtId="4" fontId="62" fillId="11" borderId="5" xfId="9" applyNumberFormat="1" applyFont="1" applyFill="1" applyBorder="1" applyAlignment="1">
      <alignment horizontal="center" vertical="center"/>
    </xf>
    <xf numFmtId="4" fontId="62" fillId="0" borderId="5" xfId="9" applyNumberFormat="1" applyFont="1" applyBorder="1" applyAlignment="1">
      <alignment horizontal="center" vertical="center"/>
    </xf>
    <xf numFmtId="4" fontId="62" fillId="11" borderId="79" xfId="9" applyNumberFormat="1" applyFont="1" applyFill="1" applyBorder="1" applyAlignment="1">
      <alignment horizontal="center" vertical="center"/>
    </xf>
    <xf numFmtId="0" fontId="62" fillId="11" borderId="0" xfId="9" applyFont="1" applyFill="1" applyAlignment="1">
      <alignment horizontal="center" vertical="center"/>
    </xf>
    <xf numFmtId="4" fontId="63" fillId="11" borderId="5" xfId="9" applyNumberFormat="1" applyFont="1" applyFill="1" applyBorder="1" applyAlignment="1">
      <alignment horizontal="center" vertical="center"/>
    </xf>
    <xf numFmtId="0" fontId="73" fillId="11" borderId="4" xfId="3" applyFont="1" applyFill="1" applyBorder="1" applyAlignment="1">
      <alignment horizontal="center" vertical="center"/>
    </xf>
    <xf numFmtId="1" fontId="73" fillId="11" borderId="4" xfId="3" applyNumberFormat="1" applyFont="1" applyFill="1" applyBorder="1" applyAlignment="1">
      <alignment horizontal="center" vertical="center"/>
    </xf>
    <xf numFmtId="4" fontId="62" fillId="11" borderId="4" xfId="3" applyNumberFormat="1" applyFont="1" applyFill="1" applyBorder="1" applyAlignment="1">
      <alignment horizontal="center" vertical="center"/>
    </xf>
    <xf numFmtId="4" fontId="75" fillId="11" borderId="4" xfId="3" applyNumberFormat="1" applyFont="1" applyFill="1" applyBorder="1" applyAlignment="1">
      <alignment horizontal="center" vertical="center"/>
    </xf>
    <xf numFmtId="0" fontId="62" fillId="11" borderId="0" xfId="9" applyFont="1" applyFill="1" applyAlignment="1">
      <alignment horizontal="center" vertical="top"/>
    </xf>
    <xf numFmtId="1" fontId="68" fillId="11" borderId="4" xfId="3" applyNumberFormat="1" applyFont="1" applyFill="1" applyBorder="1" applyAlignment="1">
      <alignment horizontal="center" vertical="center"/>
    </xf>
    <xf numFmtId="0" fontId="68" fillId="11" borderId="4" xfId="3" applyFont="1" applyFill="1" applyBorder="1" applyAlignment="1">
      <alignment horizontal="center" vertical="center"/>
    </xf>
    <xf numFmtId="4" fontId="63" fillId="11" borderId="4" xfId="3" applyNumberFormat="1" applyFont="1" applyFill="1" applyBorder="1" applyAlignment="1">
      <alignment horizontal="center" vertical="center"/>
    </xf>
    <xf numFmtId="1" fontId="68" fillId="11" borderId="5" xfId="3" applyNumberFormat="1" applyFont="1" applyFill="1" applyBorder="1" applyAlignment="1">
      <alignment horizontal="center" vertical="center"/>
    </xf>
    <xf numFmtId="2" fontId="68" fillId="11" borderId="5" xfId="3" applyNumberFormat="1" applyFont="1" applyFill="1" applyBorder="1" applyAlignment="1">
      <alignment horizontal="center" vertical="center"/>
    </xf>
    <xf numFmtId="4" fontId="62" fillId="11" borderId="5" xfId="3" applyNumberFormat="1" applyFont="1" applyFill="1" applyBorder="1" applyAlignment="1">
      <alignment horizontal="center" vertical="center"/>
    </xf>
    <xf numFmtId="1" fontId="74" fillId="11" borderId="5" xfId="3" applyNumberFormat="1" applyFont="1" applyFill="1" applyBorder="1" applyAlignment="1">
      <alignment horizontal="center" vertical="center"/>
    </xf>
    <xf numFmtId="2" fontId="74" fillId="11" borderId="5" xfId="3" applyNumberFormat="1" applyFont="1" applyFill="1" applyBorder="1" applyAlignment="1">
      <alignment horizontal="center" vertical="center"/>
    </xf>
    <xf numFmtId="1" fontId="70" fillId="11" borderId="5" xfId="3" applyNumberFormat="1" applyFont="1" applyFill="1" applyBorder="1" applyAlignment="1">
      <alignment horizontal="center" vertical="center"/>
    </xf>
    <xf numFmtId="2" fontId="70" fillId="11" borderId="5" xfId="3" applyNumberFormat="1" applyFont="1" applyFill="1" applyBorder="1" applyAlignment="1">
      <alignment horizontal="center" vertical="center"/>
    </xf>
    <xf numFmtId="4" fontId="75" fillId="11" borderId="5" xfId="3" applyNumberFormat="1" applyFont="1" applyFill="1" applyBorder="1" applyAlignment="1">
      <alignment horizontal="center" vertical="center"/>
    </xf>
    <xf numFmtId="10" fontId="62" fillId="11" borderId="0" xfId="17" applyNumberFormat="1" applyFont="1" applyFill="1" applyAlignment="1">
      <alignment horizontal="center" vertical="center"/>
    </xf>
    <xf numFmtId="2" fontId="62" fillId="11" borderId="0" xfId="9" applyNumberFormat="1" applyFont="1" applyFill="1" applyAlignment="1">
      <alignment horizontal="center" vertical="center"/>
    </xf>
    <xf numFmtId="4" fontId="62" fillId="11" borderId="0" xfId="9" applyNumberFormat="1" applyFont="1" applyFill="1" applyAlignment="1">
      <alignment horizontal="center" vertical="center"/>
    </xf>
    <xf numFmtId="0" fontId="62" fillId="0" borderId="5" xfId="9" applyFont="1" applyBorder="1" applyAlignment="1">
      <alignment horizontal="center" vertical="center"/>
    </xf>
    <xf numFmtId="4" fontId="62" fillId="0" borderId="3" xfId="9" applyNumberFormat="1" applyFont="1" applyBorder="1" applyAlignment="1">
      <alignment horizontal="center" vertical="center"/>
    </xf>
    <xf numFmtId="4" fontId="62" fillId="0" borderId="79" xfId="9" applyNumberFormat="1" applyFont="1" applyBorder="1" applyAlignment="1">
      <alignment horizontal="center" vertical="center"/>
    </xf>
    <xf numFmtId="4" fontId="63" fillId="0" borderId="5" xfId="9" applyNumberFormat="1" applyFont="1" applyBorder="1" applyAlignment="1">
      <alignment horizontal="center" vertical="center"/>
    </xf>
    <xf numFmtId="4" fontId="62" fillId="0" borderId="5" xfId="19" applyNumberFormat="1" applyFont="1" applyBorder="1" applyAlignment="1">
      <alignment horizontal="center" vertical="center"/>
    </xf>
    <xf numFmtId="0" fontId="73" fillId="0" borderId="4" xfId="3" applyFont="1" applyBorder="1" applyAlignment="1">
      <alignment horizontal="center" vertical="center"/>
    </xf>
    <xf numFmtId="1" fontId="73" fillId="0" borderId="4" xfId="3" applyNumberFormat="1" applyFont="1" applyBorder="1" applyAlignment="1">
      <alignment horizontal="center" vertical="center"/>
    </xf>
    <xf numFmtId="4" fontId="62" fillId="0" borderId="4" xfId="3" applyNumberFormat="1" applyFont="1" applyBorder="1" applyAlignment="1">
      <alignment horizontal="center" vertical="center"/>
    </xf>
    <xf numFmtId="4" fontId="75" fillId="0" borderId="4" xfId="3" applyNumberFormat="1" applyFont="1" applyBorder="1" applyAlignment="1">
      <alignment horizontal="center" vertical="center"/>
    </xf>
    <xf numFmtId="1" fontId="68" fillId="0" borderId="4" xfId="3" applyNumberFormat="1" applyFont="1" applyBorder="1" applyAlignment="1">
      <alignment horizontal="center" vertical="center"/>
    </xf>
    <xf numFmtId="0" fontId="68" fillId="0" borderId="4" xfId="3" applyFont="1" applyBorder="1" applyAlignment="1">
      <alignment horizontal="center" vertical="center"/>
    </xf>
    <xf numFmtId="4" fontId="63" fillId="0" borderId="4" xfId="3" applyNumberFormat="1" applyFont="1" applyBorder="1" applyAlignment="1">
      <alignment horizontal="center" vertical="center"/>
    </xf>
    <xf numFmtId="1" fontId="59" fillId="0" borderId="5" xfId="3" applyNumberFormat="1" applyFont="1" applyBorder="1" applyAlignment="1">
      <alignment horizontal="center" vertical="center"/>
    </xf>
    <xf numFmtId="2" fontId="68" fillId="0" borderId="5" xfId="3" applyNumberFormat="1" applyFont="1" applyBorder="1" applyAlignment="1">
      <alignment horizontal="center" vertical="center"/>
    </xf>
    <xf numFmtId="4" fontId="62" fillId="0" borderId="5" xfId="3" applyNumberFormat="1" applyFont="1" applyBorder="1" applyAlignment="1">
      <alignment horizontal="center" vertical="center"/>
    </xf>
    <xf numFmtId="2" fontId="70" fillId="0" borderId="5" xfId="3" applyNumberFormat="1" applyFont="1" applyBorder="1" applyAlignment="1">
      <alignment horizontal="center" vertical="center"/>
    </xf>
    <xf numFmtId="4" fontId="75" fillId="0" borderId="5" xfId="3" applyNumberFormat="1" applyFont="1" applyBorder="1" applyAlignment="1">
      <alignment horizontal="center" vertical="center"/>
    </xf>
    <xf numFmtId="10" fontId="62" fillId="0" borderId="0" xfId="17" applyNumberFormat="1" applyFont="1" applyFill="1" applyAlignment="1">
      <alignment horizontal="center" vertical="center"/>
    </xf>
    <xf numFmtId="2" fontId="62" fillId="0" borderId="0" xfId="9" applyNumberFormat="1" applyFont="1" applyAlignment="1">
      <alignment horizontal="center" vertical="center"/>
    </xf>
    <xf numFmtId="4" fontId="62" fillId="0" borderId="0" xfId="9" applyNumberFormat="1" applyFont="1" applyAlignment="1">
      <alignment horizontal="center" vertical="center"/>
    </xf>
    <xf numFmtId="1" fontId="59" fillId="0" borderId="4" xfId="3" applyNumberFormat="1" applyFont="1" applyBorder="1" applyAlignment="1">
      <alignment horizontal="center" vertical="center"/>
    </xf>
    <xf numFmtId="2" fontId="59" fillId="0" borderId="5" xfId="3" applyNumberFormat="1" applyFont="1" applyBorder="1" applyAlignment="1">
      <alignment horizontal="center" vertical="center"/>
    </xf>
    <xf numFmtId="0" fontId="62" fillId="17" borderId="5" xfId="9" applyFont="1" applyFill="1" applyBorder="1" applyAlignment="1">
      <alignment horizontal="center" vertical="center"/>
    </xf>
    <xf numFmtId="4" fontId="62" fillId="17" borderId="3" xfId="9" applyNumberFormat="1" applyFont="1" applyFill="1" applyBorder="1" applyAlignment="1">
      <alignment horizontal="center" vertical="center"/>
    </xf>
    <xf numFmtId="4" fontId="62" fillId="17" borderId="5" xfId="9" applyNumberFormat="1" applyFont="1" applyFill="1" applyBorder="1" applyAlignment="1">
      <alignment horizontal="center" vertical="center"/>
    </xf>
    <xf numFmtId="4" fontId="62" fillId="17" borderId="79" xfId="9" applyNumberFormat="1" applyFont="1" applyFill="1" applyBorder="1" applyAlignment="1">
      <alignment horizontal="center" vertical="center"/>
    </xf>
    <xf numFmtId="0" fontId="62" fillId="17" borderId="0" xfId="9" applyFont="1" applyFill="1" applyAlignment="1">
      <alignment horizontal="center" vertical="center"/>
    </xf>
    <xf numFmtId="4" fontId="63" fillId="17" borderId="5" xfId="9" applyNumberFormat="1" applyFont="1" applyFill="1" applyBorder="1" applyAlignment="1">
      <alignment horizontal="center" vertical="center"/>
    </xf>
    <xf numFmtId="0" fontId="73" fillId="17" borderId="4" xfId="3" applyFont="1" applyFill="1" applyBorder="1" applyAlignment="1">
      <alignment horizontal="center" vertical="center"/>
    </xf>
    <xf numFmtId="1" fontId="73" fillId="17" borderId="4" xfId="3" applyNumberFormat="1" applyFont="1" applyFill="1" applyBorder="1" applyAlignment="1">
      <alignment horizontal="center" vertical="center"/>
    </xf>
    <xf numFmtId="4" fontId="75" fillId="17" borderId="4" xfId="3" applyNumberFormat="1" applyFont="1" applyFill="1" applyBorder="1" applyAlignment="1">
      <alignment horizontal="center" vertical="center"/>
    </xf>
    <xf numFmtId="0" fontId="62" fillId="17" borderId="0" xfId="9" applyFont="1" applyFill="1" applyAlignment="1">
      <alignment horizontal="center" vertical="top"/>
    </xf>
    <xf numFmtId="1" fontId="68" fillId="17" borderId="4" xfId="3" applyNumberFormat="1" applyFont="1" applyFill="1" applyBorder="1" applyAlignment="1">
      <alignment horizontal="center" vertical="center"/>
    </xf>
    <xf numFmtId="0" fontId="68" fillId="17" borderId="4" xfId="3" applyFont="1" applyFill="1" applyBorder="1" applyAlignment="1">
      <alignment horizontal="center" vertical="center"/>
    </xf>
    <xf numFmtId="4" fontId="63" fillId="17" borderId="4" xfId="3" applyNumberFormat="1" applyFont="1" applyFill="1" applyBorder="1" applyAlignment="1">
      <alignment horizontal="center" vertical="center"/>
    </xf>
    <xf numFmtId="1" fontId="68" fillId="17" borderId="5" xfId="3" applyNumberFormat="1" applyFont="1" applyFill="1" applyBorder="1" applyAlignment="1">
      <alignment horizontal="center" vertical="center"/>
    </xf>
    <xf numFmtId="2" fontId="68" fillId="17" borderId="5" xfId="3" applyNumberFormat="1" applyFont="1" applyFill="1" applyBorder="1" applyAlignment="1">
      <alignment horizontal="center" vertical="center"/>
    </xf>
    <xf numFmtId="1" fontId="74" fillId="17" borderId="5" xfId="3" applyNumberFormat="1" applyFont="1" applyFill="1" applyBorder="1" applyAlignment="1">
      <alignment horizontal="center" vertical="center"/>
    </xf>
    <xf numFmtId="2" fontId="74" fillId="17" borderId="5" xfId="3" applyNumberFormat="1" applyFont="1" applyFill="1" applyBorder="1" applyAlignment="1">
      <alignment horizontal="center" vertical="center"/>
    </xf>
    <xf numFmtId="4" fontId="62" fillId="17" borderId="5" xfId="3" applyNumberFormat="1" applyFont="1" applyFill="1" applyBorder="1" applyAlignment="1">
      <alignment horizontal="center" vertical="center"/>
    </xf>
    <xf numFmtId="1" fontId="70" fillId="17" borderId="5" xfId="3" applyNumberFormat="1" applyFont="1" applyFill="1" applyBorder="1" applyAlignment="1">
      <alignment horizontal="center" vertical="center"/>
    </xf>
    <xf numFmtId="2" fontId="70" fillId="17" borderId="5" xfId="3" applyNumberFormat="1" applyFont="1" applyFill="1" applyBorder="1" applyAlignment="1">
      <alignment horizontal="center" vertical="center"/>
    </xf>
    <xf numFmtId="4" fontId="75" fillId="17" borderId="5" xfId="3" applyNumberFormat="1" applyFont="1" applyFill="1" applyBorder="1" applyAlignment="1">
      <alignment horizontal="center" vertical="center"/>
    </xf>
    <xf numFmtId="10" fontId="62" fillId="17" borderId="0" xfId="17" applyNumberFormat="1" applyFont="1" applyFill="1" applyAlignment="1">
      <alignment horizontal="center" vertical="center"/>
    </xf>
    <xf numFmtId="2" fontId="62" fillId="17" borderId="0" xfId="9" applyNumberFormat="1" applyFont="1" applyFill="1" applyAlignment="1">
      <alignment horizontal="center" vertical="center"/>
    </xf>
    <xf numFmtId="4" fontId="62" fillId="17" borderId="0" xfId="9" applyNumberFormat="1" applyFont="1" applyFill="1" applyAlignment="1">
      <alignment horizontal="center" vertical="center"/>
    </xf>
    <xf numFmtId="4" fontId="62" fillId="30" borderId="3" xfId="9" applyNumberFormat="1" applyFont="1" applyFill="1" applyBorder="1" applyAlignment="1">
      <alignment horizontal="center" vertical="center"/>
    </xf>
    <xf numFmtId="4" fontId="62" fillId="30" borderId="5" xfId="9" applyNumberFormat="1" applyFont="1" applyFill="1" applyBorder="1" applyAlignment="1">
      <alignment horizontal="center" vertical="center"/>
    </xf>
    <xf numFmtId="10" fontId="62" fillId="0" borderId="0" xfId="17" applyNumberFormat="1" applyFont="1" applyAlignment="1">
      <alignment horizontal="center" vertical="center"/>
    </xf>
    <xf numFmtId="4" fontId="62" fillId="18" borderId="79" xfId="9" applyNumberFormat="1" applyFont="1" applyFill="1" applyBorder="1" applyAlignment="1">
      <alignment horizontal="center" vertical="center"/>
    </xf>
    <xf numFmtId="4" fontId="62" fillId="18" borderId="3" xfId="9" applyNumberFormat="1" applyFont="1" applyFill="1" applyBorder="1" applyAlignment="1">
      <alignment horizontal="center" vertical="center"/>
    </xf>
    <xf numFmtId="4" fontId="62" fillId="18" borderId="5" xfId="9" applyNumberFormat="1" applyFont="1" applyFill="1" applyBorder="1" applyAlignment="1">
      <alignment horizontal="center" vertical="center"/>
    </xf>
    <xf numFmtId="0" fontId="62" fillId="18" borderId="0" xfId="9" applyFont="1" applyFill="1" applyAlignment="1">
      <alignment horizontal="center" vertical="center"/>
    </xf>
    <xf numFmtId="4" fontId="63" fillId="18" borderId="5" xfId="9" applyNumberFormat="1" applyFont="1" applyFill="1" applyBorder="1" applyAlignment="1">
      <alignment horizontal="center" vertical="center"/>
    </xf>
    <xf numFmtId="0" fontId="73" fillId="18" borderId="4" xfId="3" applyFont="1" applyFill="1" applyBorder="1" applyAlignment="1">
      <alignment horizontal="center" vertical="center"/>
    </xf>
    <xf numFmtId="1" fontId="73" fillId="18" borderId="4" xfId="3" applyNumberFormat="1" applyFont="1" applyFill="1" applyBorder="1" applyAlignment="1">
      <alignment horizontal="center" vertical="center"/>
    </xf>
    <xf numFmtId="4" fontId="75" fillId="18" borderId="4" xfId="3" applyNumberFormat="1" applyFont="1" applyFill="1" applyBorder="1" applyAlignment="1">
      <alignment horizontal="center" vertical="center"/>
    </xf>
    <xf numFmtId="0" fontId="62" fillId="18" borderId="0" xfId="9" applyFont="1" applyFill="1" applyAlignment="1">
      <alignment horizontal="center" vertical="top"/>
    </xf>
    <xf numFmtId="1" fontId="68" fillId="18" borderId="4" xfId="3" applyNumberFormat="1" applyFont="1" applyFill="1" applyBorder="1" applyAlignment="1">
      <alignment horizontal="center" vertical="center"/>
    </xf>
    <xf numFmtId="0" fontId="68" fillId="18" borderId="4" xfId="3" applyFont="1" applyFill="1" applyBorder="1" applyAlignment="1">
      <alignment horizontal="center" vertical="center"/>
    </xf>
    <xf numFmtId="4" fontId="63" fillId="18" borderId="4" xfId="3" applyNumberFormat="1" applyFont="1" applyFill="1" applyBorder="1" applyAlignment="1">
      <alignment horizontal="center" vertical="center"/>
    </xf>
    <xf numFmtId="1" fontId="68" fillId="18" borderId="5" xfId="3" applyNumberFormat="1" applyFont="1" applyFill="1" applyBorder="1" applyAlignment="1">
      <alignment horizontal="center" vertical="center"/>
    </xf>
    <xf numFmtId="2" fontId="68" fillId="18" borderId="5" xfId="3" applyNumberFormat="1" applyFont="1" applyFill="1" applyBorder="1" applyAlignment="1">
      <alignment horizontal="center" vertical="center"/>
    </xf>
    <xf numFmtId="1" fontId="74" fillId="18" borderId="5" xfId="3" applyNumberFormat="1" applyFont="1" applyFill="1" applyBorder="1" applyAlignment="1">
      <alignment horizontal="center" vertical="center"/>
    </xf>
    <xf numFmtId="2" fontId="74" fillId="18" borderId="5" xfId="3" applyNumberFormat="1" applyFont="1" applyFill="1" applyBorder="1" applyAlignment="1">
      <alignment horizontal="center" vertical="center"/>
    </xf>
    <xf numFmtId="4" fontId="62" fillId="18" borderId="5" xfId="3" applyNumberFormat="1" applyFont="1" applyFill="1" applyBorder="1" applyAlignment="1">
      <alignment horizontal="center" vertical="center"/>
    </xf>
    <xf numFmtId="1" fontId="70" fillId="18" borderId="5" xfId="3" applyNumberFormat="1" applyFont="1" applyFill="1" applyBorder="1" applyAlignment="1">
      <alignment horizontal="center" vertical="center"/>
    </xf>
    <xf numFmtId="2" fontId="70" fillId="18" borderId="5" xfId="3" applyNumberFormat="1" applyFont="1" applyFill="1" applyBorder="1" applyAlignment="1">
      <alignment horizontal="center" vertical="center"/>
    </xf>
    <xf numFmtId="4" fontId="75" fillId="18" borderId="5" xfId="3" applyNumberFormat="1" applyFont="1" applyFill="1" applyBorder="1" applyAlignment="1">
      <alignment horizontal="center" vertical="center"/>
    </xf>
    <xf numFmtId="10" fontId="62" fillId="18" borderId="0" xfId="17" applyNumberFormat="1" applyFont="1" applyFill="1" applyAlignment="1">
      <alignment horizontal="center" vertical="center"/>
    </xf>
    <xf numFmtId="2" fontId="62" fillId="18" borderId="0" xfId="9" applyNumberFormat="1" applyFont="1" applyFill="1" applyAlignment="1">
      <alignment horizontal="center" vertical="center"/>
    </xf>
    <xf numFmtId="4" fontId="62" fillId="18" borderId="0" xfId="9" applyNumberFormat="1" applyFont="1" applyFill="1" applyAlignment="1">
      <alignment horizontal="center" vertical="center"/>
    </xf>
    <xf numFmtId="1" fontId="74" fillId="0" borderId="1" xfId="3" applyNumberFormat="1" applyFont="1" applyBorder="1" applyAlignment="1">
      <alignment horizontal="center" vertical="center"/>
    </xf>
    <xf numFmtId="1" fontId="70" fillId="0" borderId="1" xfId="3" applyNumberFormat="1" applyFont="1" applyBorder="1" applyAlignment="1">
      <alignment horizontal="center" vertical="center"/>
    </xf>
    <xf numFmtId="2" fontId="70" fillId="0" borderId="1" xfId="3" applyNumberFormat="1" applyFont="1" applyBorder="1" applyAlignment="1">
      <alignment horizontal="center" vertical="center"/>
    </xf>
    <xf numFmtId="4" fontId="62" fillId="0" borderId="1" xfId="3" applyNumberFormat="1" applyFont="1" applyBorder="1" applyAlignment="1">
      <alignment horizontal="center" vertical="center"/>
    </xf>
    <xf numFmtId="4" fontId="75" fillId="0" borderId="12" xfId="3" applyNumberFormat="1" applyFont="1" applyBorder="1" applyAlignment="1">
      <alignment horizontal="center" vertical="center"/>
    </xf>
    <xf numFmtId="0" fontId="62" fillId="18" borderId="5" xfId="9" applyFont="1" applyFill="1" applyBorder="1" applyAlignment="1">
      <alignment horizontal="center" vertical="top"/>
    </xf>
    <xf numFmtId="0" fontId="62" fillId="0" borderId="5" xfId="9" applyFont="1" applyBorder="1" applyAlignment="1">
      <alignment horizontal="center" vertical="top"/>
    </xf>
    <xf numFmtId="1" fontId="70" fillId="0" borderId="4" xfId="3" applyNumberFormat="1" applyFont="1" applyBorder="1" applyAlignment="1">
      <alignment horizontal="center" vertical="center"/>
    </xf>
    <xf numFmtId="0" fontId="62" fillId="32" borderId="0" xfId="9" applyFont="1" applyFill="1" applyAlignment="1">
      <alignment horizontal="center" vertical="center"/>
    </xf>
    <xf numFmtId="0" fontId="62" fillId="32" borderId="5" xfId="9" applyFont="1" applyFill="1" applyBorder="1" applyAlignment="1">
      <alignment horizontal="center" vertical="center"/>
    </xf>
    <xf numFmtId="4" fontId="62" fillId="32" borderId="3" xfId="9" applyNumberFormat="1" applyFont="1" applyFill="1" applyBorder="1" applyAlignment="1">
      <alignment horizontal="center" vertical="center"/>
    </xf>
    <xf numFmtId="4" fontId="62" fillId="32" borderId="5" xfId="9" applyNumberFormat="1" applyFont="1" applyFill="1" applyBorder="1" applyAlignment="1">
      <alignment horizontal="center" vertical="center"/>
    </xf>
    <xf numFmtId="4" fontId="62" fillId="32" borderId="79" xfId="9" applyNumberFormat="1" applyFont="1" applyFill="1" applyBorder="1" applyAlignment="1">
      <alignment horizontal="center" vertical="center"/>
    </xf>
    <xf numFmtId="4" fontId="63" fillId="32" borderId="5" xfId="9" applyNumberFormat="1" applyFont="1" applyFill="1" applyBorder="1" applyAlignment="1">
      <alignment horizontal="center" vertical="center"/>
    </xf>
    <xf numFmtId="4" fontId="62" fillId="32" borderId="5" xfId="19" applyNumberFormat="1" applyFont="1" applyFill="1" applyBorder="1" applyAlignment="1">
      <alignment horizontal="center" vertical="center"/>
    </xf>
    <xf numFmtId="0" fontId="73" fillId="32" borderId="4" xfId="3" applyFont="1" applyFill="1" applyBorder="1" applyAlignment="1">
      <alignment horizontal="center" vertical="center"/>
    </xf>
    <xf numFmtId="1" fontId="73" fillId="32" borderId="4" xfId="3" applyNumberFormat="1" applyFont="1" applyFill="1" applyBorder="1" applyAlignment="1">
      <alignment horizontal="center" vertical="center"/>
    </xf>
    <xf numFmtId="4" fontId="62" fillId="32" borderId="4" xfId="3" applyNumberFormat="1" applyFont="1" applyFill="1" applyBorder="1" applyAlignment="1">
      <alignment horizontal="center" vertical="center"/>
    </xf>
    <xf numFmtId="4" fontId="75" fillId="32" borderId="4" xfId="3" applyNumberFormat="1" applyFont="1" applyFill="1" applyBorder="1" applyAlignment="1">
      <alignment horizontal="center" vertical="center"/>
    </xf>
    <xf numFmtId="0" fontId="62" fillId="32" borderId="0" xfId="9" applyFont="1" applyFill="1" applyAlignment="1">
      <alignment horizontal="center" vertical="top"/>
    </xf>
    <xf numFmtId="1" fontId="68" fillId="32" borderId="4" xfId="3" applyNumberFormat="1" applyFont="1" applyFill="1" applyBorder="1" applyAlignment="1">
      <alignment horizontal="center" vertical="center"/>
    </xf>
    <xf numFmtId="0" fontId="68" fillId="32" borderId="4" xfId="3" applyFont="1" applyFill="1" applyBorder="1" applyAlignment="1">
      <alignment horizontal="center" vertical="center"/>
    </xf>
    <xf numFmtId="4" fontId="63" fillId="32" borderId="4" xfId="3" applyNumberFormat="1" applyFont="1" applyFill="1" applyBorder="1" applyAlignment="1">
      <alignment horizontal="center" vertical="center"/>
    </xf>
    <xf numFmtId="1" fontId="68" fillId="32" borderId="5" xfId="3" applyNumberFormat="1" applyFont="1" applyFill="1" applyBorder="1" applyAlignment="1">
      <alignment horizontal="center" vertical="center"/>
    </xf>
    <xf numFmtId="2" fontId="68" fillId="32" borderId="5" xfId="3" applyNumberFormat="1" applyFont="1" applyFill="1" applyBorder="1" applyAlignment="1">
      <alignment horizontal="center" vertical="center"/>
    </xf>
    <xf numFmtId="4" fontId="62" fillId="32" borderId="5" xfId="3" applyNumberFormat="1" applyFont="1" applyFill="1" applyBorder="1" applyAlignment="1">
      <alignment horizontal="center" vertical="center"/>
    </xf>
    <xf numFmtId="1" fontId="74" fillId="32" borderId="5" xfId="3" applyNumberFormat="1" applyFont="1" applyFill="1" applyBorder="1" applyAlignment="1">
      <alignment horizontal="center" vertical="center"/>
    </xf>
    <xf numFmtId="2" fontId="74" fillId="32" borderId="5" xfId="3" applyNumberFormat="1" applyFont="1" applyFill="1" applyBorder="1" applyAlignment="1">
      <alignment horizontal="center" vertical="center"/>
    </xf>
    <xf numFmtId="1" fontId="70" fillId="32" borderId="5" xfId="3" applyNumberFormat="1" applyFont="1" applyFill="1" applyBorder="1" applyAlignment="1">
      <alignment horizontal="center" vertical="center"/>
    </xf>
    <xf numFmtId="0" fontId="62" fillId="32" borderId="5" xfId="9" applyFont="1" applyFill="1" applyBorder="1" applyAlignment="1">
      <alignment horizontal="center" vertical="top"/>
    </xf>
    <xf numFmtId="2" fontId="70" fillId="32" borderId="5" xfId="3" applyNumberFormat="1" applyFont="1" applyFill="1" applyBorder="1" applyAlignment="1">
      <alignment horizontal="center" vertical="center"/>
    </xf>
    <xf numFmtId="4" fontId="75" fillId="32" borderId="5" xfId="3" applyNumberFormat="1" applyFont="1" applyFill="1" applyBorder="1" applyAlignment="1">
      <alignment horizontal="center" vertical="center"/>
    </xf>
    <xf numFmtId="4" fontId="62" fillId="32" borderId="0" xfId="9" applyNumberFormat="1" applyFont="1" applyFill="1" applyAlignment="1">
      <alignment horizontal="center" vertical="center"/>
    </xf>
    <xf numFmtId="2" fontId="62" fillId="32" borderId="0" xfId="9" applyNumberFormat="1" applyFont="1" applyFill="1" applyAlignment="1">
      <alignment horizontal="center" vertical="center"/>
    </xf>
    <xf numFmtId="4" fontId="62" fillId="0" borderId="6" xfId="9" applyNumberFormat="1" applyFont="1" applyBorder="1" applyAlignment="1">
      <alignment horizontal="center" vertical="center"/>
    </xf>
    <xf numFmtId="4" fontId="62" fillId="0" borderId="81" xfId="9" applyNumberFormat="1" applyFont="1" applyBorder="1" applyAlignment="1">
      <alignment horizontal="center" vertical="center"/>
    </xf>
    <xf numFmtId="4" fontId="63" fillId="0" borderId="0" xfId="9" applyNumberFormat="1" applyFont="1" applyAlignment="1">
      <alignment horizontal="center" vertical="center"/>
    </xf>
    <xf numFmtId="0" fontId="73" fillId="0" borderId="0" xfId="3" applyFont="1" applyAlignment="1">
      <alignment horizontal="center" vertical="center"/>
    </xf>
    <xf numFmtId="1" fontId="73" fillId="0" borderId="0" xfId="3" applyNumberFormat="1" applyFont="1" applyAlignment="1">
      <alignment horizontal="center" vertical="center"/>
    </xf>
    <xf numFmtId="4" fontId="62" fillId="0" borderId="0" xfId="3" applyNumberFormat="1" applyFont="1" applyAlignment="1">
      <alignment horizontal="center" vertical="center"/>
    </xf>
    <xf numFmtId="4" fontId="75" fillId="0" borderId="0" xfId="3" applyNumberFormat="1" applyFont="1" applyAlignment="1">
      <alignment horizontal="center" vertical="center"/>
    </xf>
    <xf numFmtId="1" fontId="68" fillId="0" borderId="0" xfId="3" applyNumberFormat="1" applyFont="1" applyAlignment="1">
      <alignment horizontal="center" vertical="center"/>
    </xf>
    <xf numFmtId="0" fontId="68" fillId="0" borderId="0" xfId="3" applyFont="1" applyAlignment="1">
      <alignment horizontal="center" vertical="center"/>
    </xf>
    <xf numFmtId="4" fontId="63" fillId="0" borderId="0" xfId="3" applyNumberFormat="1" applyFont="1" applyAlignment="1">
      <alignment horizontal="center" vertical="center"/>
    </xf>
    <xf numFmtId="2" fontId="68" fillId="0" borderId="0" xfId="3" applyNumberFormat="1" applyFont="1" applyAlignment="1">
      <alignment horizontal="center" vertical="center"/>
    </xf>
    <xf numFmtId="1" fontId="74" fillId="0" borderId="0" xfId="3" applyNumberFormat="1" applyFont="1" applyAlignment="1">
      <alignment horizontal="center" vertical="center"/>
    </xf>
    <xf numFmtId="1" fontId="70" fillId="0" borderId="0" xfId="3" applyNumberFormat="1" applyFont="1" applyAlignment="1">
      <alignment horizontal="center" vertical="center"/>
    </xf>
    <xf numFmtId="2" fontId="74" fillId="0" borderId="0" xfId="3" applyNumberFormat="1" applyFont="1" applyAlignment="1">
      <alignment horizontal="center" vertical="center"/>
    </xf>
    <xf numFmtId="2" fontId="70" fillId="0" borderId="0" xfId="3" applyNumberFormat="1" applyFont="1" applyAlignment="1">
      <alignment horizontal="center" vertical="center"/>
    </xf>
    <xf numFmtId="0" fontId="59" fillId="0" borderId="6" xfId="9" applyFont="1" applyBorder="1" applyAlignment="1">
      <alignment vertical="center"/>
    </xf>
    <xf numFmtId="4" fontId="59" fillId="0" borderId="5" xfId="18" applyNumberFormat="1" applyFont="1" applyBorder="1" applyAlignment="1">
      <alignment horizontal="center" vertical="center"/>
    </xf>
    <xf numFmtId="0" fontId="63" fillId="0" borderId="0" xfId="9" applyFont="1" applyAlignment="1">
      <alignment horizontal="center" vertical="center"/>
    </xf>
    <xf numFmtId="4" fontId="68" fillId="0" borderId="5" xfId="18" applyNumberFormat="1" applyFont="1" applyBorder="1" applyAlignment="1">
      <alignment horizontal="center" vertical="center"/>
    </xf>
    <xf numFmtId="4" fontId="62" fillId="0" borderId="0" xfId="18" applyNumberFormat="1" applyFont="1" applyAlignment="1">
      <alignment horizontal="center" vertical="center"/>
    </xf>
    <xf numFmtId="4" fontId="62" fillId="0" borderId="8" xfId="18" applyNumberFormat="1" applyFont="1" applyBorder="1" applyAlignment="1">
      <alignment vertical="center"/>
    </xf>
    <xf numFmtId="0" fontId="76" fillId="29" borderId="5" xfId="3" applyFont="1" applyFill="1" applyBorder="1" applyAlignment="1">
      <alignment horizontal="center" vertical="center"/>
    </xf>
    <xf numFmtId="0" fontId="76" fillId="18" borderId="5" xfId="3" applyFont="1" applyFill="1" applyBorder="1" applyAlignment="1">
      <alignment horizontal="center" vertical="center"/>
    </xf>
    <xf numFmtId="9" fontId="65" fillId="0" borderId="5" xfId="17" applyFont="1" applyFill="1" applyBorder="1" applyAlignment="1">
      <alignment horizontal="center" vertical="center"/>
    </xf>
    <xf numFmtId="175" fontId="65" fillId="0" borderId="5" xfId="17" applyNumberFormat="1" applyFont="1" applyFill="1" applyBorder="1" applyAlignment="1">
      <alignment horizontal="center" vertical="center"/>
    </xf>
    <xf numFmtId="186" fontId="65" fillId="0" borderId="5" xfId="17" applyNumberFormat="1" applyFont="1" applyFill="1" applyBorder="1" applyAlignment="1">
      <alignment horizontal="center" vertical="center"/>
    </xf>
    <xf numFmtId="0" fontId="65" fillId="0" borderId="5" xfId="3" applyFont="1" applyBorder="1" applyAlignment="1">
      <alignment horizontal="center" vertical="center"/>
    </xf>
    <xf numFmtId="0" fontId="65" fillId="0" borderId="2" xfId="3" applyFont="1" applyBorder="1" applyAlignment="1">
      <alignment horizontal="center" vertical="center"/>
    </xf>
    <xf numFmtId="4" fontId="65" fillId="0" borderId="5" xfId="3" applyNumberFormat="1" applyFont="1" applyBorder="1" applyAlignment="1">
      <alignment horizontal="center" vertical="center"/>
    </xf>
    <xf numFmtId="9" fontId="61" fillId="8" borderId="5" xfId="17" applyFont="1" applyFill="1" applyBorder="1" applyAlignment="1">
      <alignment horizontal="center" vertical="center"/>
    </xf>
    <xf numFmtId="175" fontId="65" fillId="8" borderId="5" xfId="17" applyNumberFormat="1" applyFont="1" applyFill="1" applyBorder="1" applyAlignment="1">
      <alignment horizontal="center" vertical="center"/>
    </xf>
    <xf numFmtId="186" fontId="65" fillId="8" borderId="5" xfId="17" applyNumberFormat="1" applyFont="1" applyFill="1" applyBorder="1" applyAlignment="1">
      <alignment horizontal="center" vertical="center"/>
    </xf>
    <xf numFmtId="0" fontId="76" fillId="0" borderId="5" xfId="3" applyFont="1" applyBorder="1" applyAlignment="1">
      <alignment horizontal="center" vertical="center"/>
    </xf>
    <xf numFmtId="4" fontId="76" fillId="0" borderId="5" xfId="3" applyNumberFormat="1" applyFont="1" applyBorder="1" applyAlignment="1">
      <alignment horizontal="center" vertical="center"/>
    </xf>
    <xf numFmtId="0" fontId="65" fillId="8" borderId="5" xfId="3" applyFont="1" applyFill="1" applyBorder="1" applyAlignment="1">
      <alignment horizontal="center" vertical="center"/>
    </xf>
    <xf numFmtId="0" fontId="65" fillId="0" borderId="5" xfId="3" applyFont="1" applyBorder="1" applyAlignment="1">
      <alignment vertical="center"/>
    </xf>
    <xf numFmtId="4" fontId="65" fillId="0" borderId="0" xfId="3" applyNumberFormat="1" applyFont="1" applyAlignment="1">
      <alignment horizontal="center" vertical="center"/>
    </xf>
    <xf numFmtId="0" fontId="1" fillId="0" borderId="0" xfId="20" applyAlignment="1">
      <alignment horizontal="center"/>
    </xf>
    <xf numFmtId="0" fontId="77" fillId="38" borderId="23" xfId="20" applyFont="1" applyFill="1" applyBorder="1" applyAlignment="1">
      <alignment horizontal="left" wrapText="1"/>
    </xf>
    <xf numFmtId="0" fontId="77" fillId="38" borderId="24" xfId="20" applyFont="1" applyFill="1" applyBorder="1" applyAlignment="1">
      <alignment horizontal="left" wrapText="1"/>
    </xf>
    <xf numFmtId="1" fontId="3" fillId="2" borderId="24" xfId="20" applyNumberFormat="1" applyFont="1" applyFill="1" applyBorder="1" applyAlignment="1">
      <alignment horizontal="left" vertical="center"/>
    </xf>
    <xf numFmtId="0" fontId="1" fillId="2" borderId="24" xfId="20" applyFill="1" applyBorder="1" applyAlignment="1">
      <alignment vertical="center"/>
    </xf>
    <xf numFmtId="1" fontId="1" fillId="2" borderId="24" xfId="20" applyNumberFormat="1" applyFill="1" applyBorder="1" applyAlignment="1">
      <alignment vertical="center"/>
    </xf>
    <xf numFmtId="0" fontId="1" fillId="2" borderId="24" xfId="20" applyFill="1" applyBorder="1" applyAlignment="1">
      <alignment horizontal="center" vertical="center"/>
    </xf>
    <xf numFmtId="0" fontId="77" fillId="39" borderId="24" xfId="20" applyFont="1" applyFill="1" applyBorder="1" applyAlignment="1">
      <alignment vertical="center" wrapText="1"/>
    </xf>
    <xf numFmtId="0" fontId="77" fillId="38" borderId="24" xfId="20" applyFont="1" applyFill="1" applyBorder="1" applyAlignment="1">
      <alignment horizontal="center" vertical="center" wrapText="1"/>
    </xf>
    <xf numFmtId="0" fontId="77" fillId="38" borderId="0" xfId="20" applyFont="1" applyFill="1" applyAlignment="1">
      <alignment horizontal="center" vertical="center" wrapText="1"/>
    </xf>
    <xf numFmtId="0" fontId="77" fillId="39" borderId="0" xfId="20" applyFont="1" applyFill="1" applyAlignment="1">
      <alignment vertical="center" wrapText="1"/>
    </xf>
    <xf numFmtId="0" fontId="77" fillId="38" borderId="0" xfId="20" applyFont="1" applyFill="1" applyAlignment="1">
      <alignment vertical="center" wrapText="1"/>
    </xf>
    <xf numFmtId="0" fontId="1" fillId="0" borderId="0" xfId="20"/>
    <xf numFmtId="0" fontId="1" fillId="0" borderId="0" xfId="21"/>
    <xf numFmtId="0" fontId="1" fillId="0" borderId="0" xfId="21" applyAlignment="1">
      <alignment horizontal="center"/>
    </xf>
    <xf numFmtId="1" fontId="3" fillId="0" borderId="0" xfId="21" applyNumberFormat="1" applyFont="1" applyAlignment="1">
      <alignment vertical="center"/>
    </xf>
    <xf numFmtId="1" fontId="3" fillId="0" borderId="0" xfId="21" applyNumberFormat="1" applyFont="1" applyAlignment="1">
      <alignment horizontal="center" vertical="center"/>
    </xf>
    <xf numFmtId="4" fontId="35" fillId="18" borderId="12" xfId="21" applyNumberFormat="1" applyFont="1" applyFill="1" applyBorder="1" applyAlignment="1">
      <alignment horizontal="center" vertical="center" wrapText="1"/>
    </xf>
    <xf numFmtId="4" fontId="3" fillId="0" borderId="0" xfId="21" applyNumberFormat="1" applyFont="1" applyAlignment="1">
      <alignment horizontal="center" vertical="center" wrapText="1"/>
    </xf>
    <xf numFmtId="10" fontId="35" fillId="11" borderId="5" xfId="17" applyNumberFormat="1" applyFont="1" applyFill="1" applyBorder="1" applyAlignment="1" applyProtection="1">
      <alignment horizontal="center" vertical="center"/>
      <protection locked="0"/>
    </xf>
    <xf numFmtId="0" fontId="1" fillId="0" borderId="0" xfId="20" applyAlignment="1">
      <alignment horizontal="center" vertical="center"/>
    </xf>
    <xf numFmtId="4" fontId="3" fillId="0" borderId="5" xfId="21" applyNumberFormat="1" applyFont="1" applyBorder="1" applyAlignment="1">
      <alignment horizontal="center" vertical="center"/>
    </xf>
    <xf numFmtId="4" fontId="3" fillId="0" borderId="12" xfId="21" applyNumberFormat="1" applyFont="1" applyBorder="1" applyAlignment="1">
      <alignment horizontal="center" vertical="center"/>
    </xf>
    <xf numFmtId="4" fontId="3" fillId="0" borderId="0" xfId="21" applyNumberFormat="1" applyFont="1" applyAlignment="1">
      <alignment horizontal="center" vertical="center"/>
    </xf>
    <xf numFmtId="4" fontId="78" fillId="0" borderId="1" xfId="21" applyNumberFormat="1" applyFont="1" applyBorder="1" applyAlignment="1">
      <alignment horizontal="center" vertical="center" wrapText="1"/>
    </xf>
    <xf numFmtId="0" fontId="1" fillId="0" borderId="0" xfId="21" applyAlignment="1">
      <alignment vertical="center"/>
    </xf>
    <xf numFmtId="4" fontId="3" fillId="0" borderId="10" xfId="21" applyNumberFormat="1" applyFont="1" applyBorder="1" applyAlignment="1">
      <alignment horizontal="center" vertical="center"/>
    </xf>
    <xf numFmtId="4" fontId="3" fillId="0" borderId="11" xfId="21" applyNumberFormat="1" applyFont="1" applyBorder="1" applyAlignment="1">
      <alignment horizontal="center" vertical="center"/>
    </xf>
    <xf numFmtId="0" fontId="35" fillId="18" borderId="2" xfId="21" applyFont="1" applyFill="1" applyBorder="1" applyAlignment="1">
      <alignment horizontal="left" vertical="center"/>
    </xf>
    <xf numFmtId="0" fontId="24" fillId="18" borderId="6" xfId="21" applyFont="1" applyFill="1" applyBorder="1" applyAlignment="1">
      <alignment vertical="center" wrapText="1"/>
    </xf>
    <xf numFmtId="0" fontId="35" fillId="18" borderId="6" xfId="21" applyFont="1" applyFill="1" applyBorder="1" applyAlignment="1">
      <alignment vertical="center" wrapText="1"/>
    </xf>
    <xf numFmtId="0" fontId="24" fillId="18" borderId="83" xfId="21" applyFont="1" applyFill="1" applyBorder="1" applyAlignment="1">
      <alignment vertical="center" wrapText="1"/>
    </xf>
    <xf numFmtId="0" fontId="24" fillId="18" borderId="8" xfId="21" applyFont="1" applyFill="1" applyBorder="1" applyAlignment="1">
      <alignment vertical="center" wrapText="1"/>
    </xf>
    <xf numFmtId="0" fontId="24" fillId="18" borderId="3" xfId="21" applyFont="1" applyFill="1" applyBorder="1" applyAlignment="1">
      <alignment vertical="center" wrapText="1"/>
    </xf>
    <xf numFmtId="4" fontId="1" fillId="0" borderId="13" xfId="21" applyNumberFormat="1" applyBorder="1" applyAlignment="1">
      <alignment horizontal="center" vertical="center"/>
    </xf>
    <xf numFmtId="3" fontId="1" fillId="0" borderId="0" xfId="20" applyNumberFormat="1" applyAlignment="1">
      <alignment horizontal="center"/>
    </xf>
    <xf numFmtId="3" fontId="37" fillId="0" borderId="5" xfId="21" applyNumberFormat="1" applyFont="1" applyBorder="1" applyAlignment="1" applyProtection="1">
      <alignment horizontal="center" vertical="center"/>
      <protection locked="0"/>
    </xf>
    <xf numFmtId="4" fontId="37" fillId="0" borderId="5" xfId="21" applyNumberFormat="1" applyFont="1" applyBorder="1" applyAlignment="1" applyProtection="1">
      <alignment horizontal="center" vertical="center"/>
      <protection locked="0"/>
    </xf>
    <xf numFmtId="4" fontId="37" fillId="0" borderId="5" xfId="21" applyNumberFormat="1" applyFont="1" applyBorder="1" applyAlignment="1">
      <alignment horizontal="center" vertical="center"/>
    </xf>
    <xf numFmtId="3" fontId="37" fillId="0" borderId="5" xfId="21" applyNumberFormat="1" applyFont="1" applyBorder="1" applyAlignment="1" applyProtection="1">
      <alignment horizontal="center" vertical="center" wrapText="1"/>
      <protection locked="0"/>
    </xf>
    <xf numFmtId="4" fontId="1" fillId="26" borderId="5" xfId="20" applyNumberFormat="1" applyFill="1" applyBorder="1" applyAlignment="1">
      <alignment horizontal="center" vertical="center"/>
    </xf>
    <xf numFmtId="0" fontId="1" fillId="26" borderId="5" xfId="20" applyFill="1" applyBorder="1" applyAlignment="1">
      <alignment horizontal="center" vertical="center"/>
    </xf>
    <xf numFmtId="4" fontId="79" fillId="0" borderId="4" xfId="21" applyNumberFormat="1" applyFont="1" applyBorder="1" applyAlignment="1">
      <alignment horizontal="center" vertical="center"/>
    </xf>
    <xf numFmtId="4" fontId="1" fillId="0" borderId="0" xfId="20" applyNumberFormat="1" applyAlignment="1">
      <alignment horizontal="center" vertical="center"/>
    </xf>
    <xf numFmtId="4" fontId="1" fillId="0" borderId="0" xfId="21" applyNumberFormat="1" applyAlignment="1">
      <alignment horizontal="center" vertical="center"/>
    </xf>
    <xf numFmtId="4" fontId="79" fillId="0" borderId="5" xfId="21" applyNumberFormat="1" applyFont="1" applyBorder="1" applyAlignment="1">
      <alignment horizontal="center" vertical="center"/>
    </xf>
    <xf numFmtId="0" fontId="37" fillId="0" borderId="5" xfId="21" applyFont="1" applyBorder="1" applyAlignment="1" applyProtection="1">
      <alignment horizontal="center" vertical="center"/>
      <protection locked="0"/>
    </xf>
    <xf numFmtId="0" fontId="77" fillId="0" borderId="0" xfId="20" applyFont="1" applyAlignment="1">
      <alignment vertical="center" wrapText="1"/>
    </xf>
    <xf numFmtId="4" fontId="1" fillId="0" borderId="5" xfId="20" applyNumberFormat="1" applyBorder="1" applyAlignment="1">
      <alignment horizontal="center" vertical="center"/>
    </xf>
    <xf numFmtId="0" fontId="1" fillId="0" borderId="5" xfId="20" applyBorder="1" applyAlignment="1">
      <alignment horizontal="center" vertical="center"/>
    </xf>
    <xf numFmtId="1" fontId="1" fillId="0" borderId="0" xfId="20" applyNumberFormat="1" applyAlignment="1">
      <alignment horizontal="center" vertical="center"/>
    </xf>
    <xf numFmtId="43" fontId="3" fillId="0" borderId="0" xfId="22" applyFont="1" applyFill="1" applyBorder="1" applyAlignment="1">
      <alignment horizontal="center" vertical="center"/>
    </xf>
    <xf numFmtId="0" fontId="1" fillId="0" borderId="8" xfId="20" applyBorder="1"/>
    <xf numFmtId="0" fontId="1" fillId="0" borderId="8" xfId="20" applyBorder="1" applyAlignment="1">
      <alignment horizontal="center"/>
    </xf>
    <xf numFmtId="0" fontId="1" fillId="0" borderId="8" xfId="21" applyBorder="1"/>
    <xf numFmtId="0" fontId="1" fillId="0" borderId="9" xfId="20" applyBorder="1" applyAlignment="1">
      <alignment vertical="center"/>
    </xf>
    <xf numFmtId="4" fontId="1" fillId="0" borderId="5" xfId="21" applyNumberFormat="1" applyBorder="1" applyAlignment="1" applyProtection="1">
      <alignment horizontal="center" vertical="center"/>
      <protection locked="0"/>
    </xf>
    <xf numFmtId="4" fontId="37" fillId="0" borderId="8" xfId="21" applyNumberFormat="1" applyFont="1" applyBorder="1" applyAlignment="1" applyProtection="1">
      <alignment horizontal="center" vertical="center"/>
      <protection locked="0"/>
    </xf>
    <xf numFmtId="164" fontId="3" fillId="0" borderId="5" xfId="1" applyFont="1" applyBorder="1"/>
    <xf numFmtId="4" fontId="3" fillId="0" borderId="5" xfId="20" applyNumberFormat="1" applyFont="1" applyBorder="1" applyAlignment="1">
      <alignment horizontal="center" vertical="center"/>
    </xf>
    <xf numFmtId="4" fontId="1" fillId="0" borderId="5" xfId="21" applyNumberFormat="1" applyBorder="1" applyAlignment="1">
      <alignment horizontal="center" vertical="center"/>
    </xf>
    <xf numFmtId="4" fontId="1" fillId="0" borderId="1" xfId="21" applyNumberFormat="1" applyBorder="1" applyAlignment="1">
      <alignment horizontal="center" vertical="center"/>
    </xf>
    <xf numFmtId="4" fontId="1" fillId="0" borderId="8" xfId="21" applyNumberFormat="1" applyBorder="1" applyAlignment="1">
      <alignment horizontal="center" vertical="center"/>
    </xf>
    <xf numFmtId="0" fontId="1" fillId="0" borderId="8" xfId="20" applyBorder="1" applyAlignment="1">
      <alignment horizontal="center" vertical="center"/>
    </xf>
    <xf numFmtId="0" fontId="1" fillId="0" borderId="5" xfId="20" applyBorder="1"/>
    <xf numFmtId="0" fontId="1" fillId="0" borderId="1" xfId="20" applyBorder="1"/>
    <xf numFmtId="0" fontId="3" fillId="0" borderId="14" xfId="20" applyFont="1" applyBorder="1" applyAlignment="1">
      <alignment vertical="center"/>
    </xf>
    <xf numFmtId="4" fontId="3" fillId="0" borderId="5" xfId="21" applyNumberFormat="1" applyFont="1" applyBorder="1"/>
    <xf numFmtId="187" fontId="1" fillId="0" borderId="0" xfId="1" applyNumberFormat="1" applyFont="1" applyAlignment="1">
      <alignment horizontal="center"/>
    </xf>
    <xf numFmtId="43" fontId="1" fillId="0" borderId="0" xfId="21" applyNumberFormat="1"/>
    <xf numFmtId="4" fontId="24" fillId="30" borderId="2" xfId="20" applyNumberFormat="1" applyFont="1" applyFill="1" applyBorder="1" applyAlignment="1">
      <alignment horizontal="center"/>
    </xf>
    <xf numFmtId="4" fontId="24" fillId="30" borderId="6" xfId="20" applyNumberFormat="1" applyFont="1" applyFill="1" applyBorder="1" applyAlignment="1">
      <alignment horizontal="center"/>
    </xf>
    <xf numFmtId="0" fontId="1" fillId="0" borderId="6" xfId="21" applyBorder="1"/>
    <xf numFmtId="4" fontId="24" fillId="30" borderId="3" xfId="20" applyNumberFormat="1" applyFont="1" applyFill="1" applyBorder="1" applyAlignment="1">
      <alignment horizontal="center"/>
    </xf>
    <xf numFmtId="0" fontId="24" fillId="30" borderId="2" xfId="20" applyFont="1" applyFill="1" applyBorder="1" applyAlignment="1">
      <alignment horizontal="center"/>
    </xf>
    <xf numFmtId="0" fontId="24" fillId="30" borderId="6" xfId="20" applyFont="1" applyFill="1" applyBorder="1" applyAlignment="1">
      <alignment horizontal="center"/>
    </xf>
    <xf numFmtId="0" fontId="24" fillId="30" borderId="3" xfId="20" applyFont="1" applyFill="1" applyBorder="1" applyAlignment="1">
      <alignment horizontal="center"/>
    </xf>
    <xf numFmtId="0" fontId="80" fillId="30" borderId="7" xfId="20" applyFont="1" applyFill="1" applyBorder="1" applyAlignment="1">
      <alignment horizontal="left" vertical="center"/>
    </xf>
    <xf numFmtId="0" fontId="80" fillId="30" borderId="8" xfId="20" applyFont="1" applyFill="1" applyBorder="1" applyAlignment="1">
      <alignment horizontal="center" vertical="center"/>
    </xf>
    <xf numFmtId="0" fontId="80" fillId="30" borderId="3" xfId="20" applyFont="1" applyFill="1" applyBorder="1" applyAlignment="1">
      <alignment horizontal="center" vertical="center"/>
    </xf>
    <xf numFmtId="43" fontId="1" fillId="0" borderId="0" xfId="20" applyNumberFormat="1"/>
    <xf numFmtId="0" fontId="1" fillId="0" borderId="7" xfId="20" applyBorder="1" applyAlignment="1">
      <alignment horizontal="center"/>
    </xf>
    <xf numFmtId="0" fontId="1" fillId="0" borderId="2" xfId="20" applyBorder="1" applyAlignment="1">
      <alignment horizontal="center" vertical="center"/>
    </xf>
    <xf numFmtId="0" fontId="1" fillId="0" borderId="2" xfId="20" applyBorder="1" applyAlignment="1">
      <alignment vertical="center"/>
    </xf>
    <xf numFmtId="0" fontId="1" fillId="0" borderId="6" xfId="20" applyBorder="1" applyAlignment="1">
      <alignment vertical="center"/>
    </xf>
    <xf numFmtId="0" fontId="1" fillId="0" borderId="3" xfId="20" applyBorder="1" applyAlignment="1">
      <alignment vertical="center"/>
    </xf>
    <xf numFmtId="0" fontId="1" fillId="0" borderId="9" xfId="20" applyBorder="1"/>
    <xf numFmtId="164" fontId="1" fillId="0" borderId="5" xfId="23" applyFont="1" applyFill="1" applyBorder="1" applyAlignment="1">
      <alignment horizontal="center" vertical="center"/>
    </xf>
    <xf numFmtId="0" fontId="1" fillId="0" borderId="10" xfId="20" applyBorder="1" applyAlignment="1">
      <alignment horizontal="center"/>
    </xf>
    <xf numFmtId="0" fontId="1" fillId="0" borderId="11" xfId="20" applyBorder="1"/>
    <xf numFmtId="4" fontId="1" fillId="0" borderId="0" xfId="20" applyNumberFormat="1"/>
    <xf numFmtId="10" fontId="1" fillId="0" borderId="0" xfId="24" applyNumberFormat="1" applyBorder="1" applyProtection="1"/>
    <xf numFmtId="0" fontId="1" fillId="0" borderId="15" xfId="20" applyBorder="1" applyAlignment="1">
      <alignment horizontal="center"/>
    </xf>
    <xf numFmtId="0" fontId="1" fillId="0" borderId="13" xfId="21" applyBorder="1"/>
    <xf numFmtId="0" fontId="1" fillId="0" borderId="13" xfId="20" applyBorder="1"/>
    <xf numFmtId="0" fontId="1" fillId="0" borderId="14" xfId="20" applyBorder="1"/>
    <xf numFmtId="10" fontId="1" fillId="0" borderId="0" xfId="20" applyNumberFormat="1"/>
    <xf numFmtId="4" fontId="1" fillId="0" borderId="0" xfId="20" applyNumberFormat="1" applyAlignment="1">
      <alignment horizontal="center"/>
    </xf>
    <xf numFmtId="0" fontId="80" fillId="30" borderId="7" xfId="20" applyFont="1" applyFill="1" applyBorder="1" applyAlignment="1">
      <alignment horizontal="center" vertical="center"/>
    </xf>
    <xf numFmtId="0" fontId="80" fillId="30" borderId="9" xfId="20" applyFont="1" applyFill="1" applyBorder="1" applyAlignment="1">
      <alignment horizontal="center" vertical="center"/>
    </xf>
    <xf numFmtId="1" fontId="1" fillId="0" borderId="0" xfId="20" applyNumberFormat="1"/>
    <xf numFmtId="0" fontId="1" fillId="0" borderId="13" xfId="20" applyBorder="1" applyAlignment="1">
      <alignment horizontal="left" vertical="center"/>
    </xf>
    <xf numFmtId="0" fontId="1" fillId="0" borderId="13" xfId="20" applyBorder="1" applyAlignment="1">
      <alignment vertical="center"/>
    </xf>
    <xf numFmtId="4" fontId="37" fillId="0" borderId="0" xfId="21" applyNumberFormat="1" applyFont="1"/>
    <xf numFmtId="0" fontId="1" fillId="0" borderId="0" xfId="21" applyAlignment="1">
      <alignment horizontal="center" vertical="center"/>
    </xf>
    <xf numFmtId="2" fontId="1" fillId="0" borderId="0" xfId="21" applyNumberFormat="1" applyAlignment="1">
      <alignment horizontal="center" vertical="center"/>
    </xf>
    <xf numFmtId="0" fontId="65" fillId="0" borderId="0" xfId="9" applyFont="1" applyAlignment="1">
      <alignment horizontal="center" vertical="center"/>
    </xf>
    <xf numFmtId="0" fontId="65" fillId="0" borderId="0" xfId="9" applyFont="1" applyAlignment="1">
      <alignment horizontal="center" vertical="center" wrapText="1"/>
    </xf>
    <xf numFmtId="0" fontId="65" fillId="22" borderId="4" xfId="9" applyFont="1" applyFill="1" applyBorder="1" applyAlignment="1" applyProtection="1">
      <alignment horizontal="center" vertical="center"/>
      <protection locked="0"/>
    </xf>
    <xf numFmtId="0" fontId="65" fillId="22" borderId="15" xfId="9" applyFont="1" applyFill="1" applyBorder="1" applyAlignment="1" applyProtection="1">
      <alignment horizontal="center" vertical="center"/>
      <protection locked="0"/>
    </xf>
    <xf numFmtId="186" fontId="65" fillId="22" borderId="15" xfId="17" applyNumberFormat="1" applyFont="1" applyFill="1" applyBorder="1" applyAlignment="1">
      <alignment horizontal="center" vertical="center"/>
    </xf>
    <xf numFmtId="4" fontId="65" fillId="22" borderId="4" xfId="9" applyNumberFormat="1" applyFont="1" applyFill="1" applyBorder="1" applyAlignment="1">
      <alignment horizontal="center" vertical="center"/>
    </xf>
    <xf numFmtId="0" fontId="65" fillId="0" borderId="4" xfId="9" applyFont="1" applyBorder="1" applyAlignment="1" applyProtection="1">
      <alignment horizontal="center" vertical="center"/>
      <protection locked="0"/>
    </xf>
    <xf numFmtId="0" fontId="65" fillId="0" borderId="15" xfId="9" applyFont="1" applyBorder="1" applyAlignment="1" applyProtection="1">
      <alignment horizontal="center" vertical="center"/>
      <protection locked="0"/>
    </xf>
    <xf numFmtId="186" fontId="65" fillId="0" borderId="15" xfId="17" applyNumberFormat="1" applyFont="1" applyBorder="1" applyAlignment="1">
      <alignment horizontal="center" vertical="center"/>
    </xf>
    <xf numFmtId="4" fontId="65" fillId="0" borderId="4" xfId="9" applyNumberFormat="1" applyFont="1" applyBorder="1" applyAlignment="1">
      <alignment horizontal="center" vertical="center"/>
    </xf>
    <xf numFmtId="4" fontId="61" fillId="0" borderId="4" xfId="9" applyNumberFormat="1" applyFont="1" applyBorder="1" applyAlignment="1">
      <alignment horizontal="center" vertical="center"/>
    </xf>
    <xf numFmtId="0" fontId="61" fillId="0" borderId="0" xfId="9" applyFont="1" applyAlignment="1" applyProtection="1">
      <alignment horizontal="center" vertical="center"/>
      <protection locked="0"/>
    </xf>
    <xf numFmtId="4" fontId="61" fillId="0" borderId="0" xfId="9" applyNumberFormat="1" applyFont="1" applyAlignment="1" applyProtection="1">
      <alignment horizontal="center" vertical="center"/>
      <protection locked="0"/>
    </xf>
    <xf numFmtId="4" fontId="61" fillId="0" borderId="0" xfId="9" applyNumberFormat="1" applyFont="1" applyAlignment="1">
      <alignment horizontal="center" vertical="center"/>
    </xf>
    <xf numFmtId="4" fontId="65" fillId="0" borderId="0" xfId="9" applyNumberFormat="1" applyFont="1" applyAlignment="1">
      <alignment horizontal="center" vertical="center"/>
    </xf>
    <xf numFmtId="0" fontId="65" fillId="18" borderId="0" xfId="9" applyFont="1" applyFill="1" applyAlignment="1">
      <alignment horizontal="center" vertical="center"/>
    </xf>
    <xf numFmtId="0" fontId="61" fillId="18" borderId="1" xfId="9" applyFont="1" applyFill="1" applyBorder="1" applyAlignment="1">
      <alignment horizontal="center" vertical="center" wrapText="1"/>
    </xf>
    <xf numFmtId="4" fontId="61" fillId="18" borderId="1" xfId="9" applyNumberFormat="1" applyFont="1" applyFill="1" applyBorder="1" applyAlignment="1">
      <alignment horizontal="center" vertical="center" wrapText="1"/>
    </xf>
    <xf numFmtId="0" fontId="61" fillId="18" borderId="4" xfId="9" applyFont="1" applyFill="1" applyBorder="1" applyAlignment="1">
      <alignment horizontal="center" vertical="center" wrapText="1"/>
    </xf>
    <xf numFmtId="4" fontId="61" fillId="18" borderId="4" xfId="9" applyNumberFormat="1" applyFont="1" applyFill="1" applyBorder="1" applyAlignment="1">
      <alignment horizontal="center" vertical="center" wrapText="1"/>
    </xf>
    <xf numFmtId="0" fontId="65" fillId="22" borderId="0" xfId="9" applyFont="1" applyFill="1" applyAlignment="1">
      <alignment horizontal="center" vertical="center"/>
    </xf>
    <xf numFmtId="4" fontId="65" fillId="22" borderId="5" xfId="9" applyNumberFormat="1" applyFont="1" applyFill="1" applyBorder="1" applyAlignment="1">
      <alignment horizontal="center" vertical="center"/>
    </xf>
    <xf numFmtId="2" fontId="65" fillId="22" borderId="5" xfId="9" applyNumberFormat="1" applyFont="1" applyFill="1" applyBorder="1" applyAlignment="1" applyProtection="1">
      <alignment horizontal="center" vertical="center"/>
      <protection locked="0"/>
    </xf>
    <xf numFmtId="0" fontId="65" fillId="22" borderId="5" xfId="9" applyFont="1" applyFill="1" applyBorder="1" applyAlignment="1" applyProtection="1">
      <alignment horizontal="center" vertical="center"/>
      <protection locked="0"/>
    </xf>
    <xf numFmtId="4" fontId="65" fillId="0" borderId="5" xfId="9" applyNumberFormat="1" applyFont="1" applyBorder="1" applyAlignment="1">
      <alignment horizontal="center" vertical="center"/>
    </xf>
    <xf numFmtId="2" fontId="65" fillId="0" borderId="5" xfId="9" applyNumberFormat="1" applyFont="1" applyBorder="1" applyAlignment="1" applyProtection="1">
      <alignment horizontal="center" vertical="center"/>
      <protection locked="0"/>
    </xf>
    <xf numFmtId="0" fontId="65" fillId="0" borderId="5" xfId="9" applyFont="1" applyBorder="1" applyAlignment="1" applyProtection="1">
      <alignment horizontal="center" vertical="center"/>
      <protection locked="0"/>
    </xf>
    <xf numFmtId="2" fontId="65" fillId="0" borderId="15" xfId="9" applyNumberFormat="1" applyFont="1" applyBorder="1" applyAlignment="1" applyProtection="1">
      <alignment horizontal="center" vertical="center"/>
      <protection locked="0"/>
    </xf>
    <xf numFmtId="2" fontId="65" fillId="0" borderId="5" xfId="9" applyNumberFormat="1" applyFont="1" applyBorder="1" applyAlignment="1">
      <alignment horizontal="center" vertical="center"/>
    </xf>
    <xf numFmtId="0" fontId="61" fillId="29" borderId="1" xfId="9" applyFont="1" applyFill="1" applyBorder="1" applyAlignment="1">
      <alignment horizontal="center" vertical="center" wrapText="1"/>
    </xf>
    <xf numFmtId="0" fontId="61" fillId="29" borderId="15" xfId="9" applyFont="1" applyFill="1" applyBorder="1" applyAlignment="1">
      <alignment horizontal="center" vertical="center" wrapText="1"/>
    </xf>
    <xf numFmtId="4" fontId="65" fillId="0" borderId="5" xfId="9" applyNumberFormat="1" applyFont="1" applyBorder="1" applyAlignment="1">
      <alignment horizontal="center" vertical="center" wrapText="1"/>
    </xf>
    <xf numFmtId="0" fontId="3" fillId="40" borderId="15" xfId="20" applyFont="1" applyFill="1" applyBorder="1" applyAlignment="1">
      <alignment vertical="center"/>
    </xf>
    <xf numFmtId="0" fontId="3" fillId="40" borderId="13" xfId="20" applyFont="1" applyFill="1" applyBorder="1" applyAlignment="1">
      <alignment vertical="center"/>
    </xf>
    <xf numFmtId="4" fontId="1" fillId="0" borderId="0" xfId="21" applyNumberFormat="1"/>
    <xf numFmtId="0" fontId="35" fillId="18" borderId="1" xfId="20" applyFont="1" applyFill="1" applyBorder="1" applyAlignment="1">
      <alignment vertical="center" wrapText="1"/>
    </xf>
    <xf numFmtId="0" fontId="35" fillId="18" borderId="1" xfId="20" applyFont="1" applyFill="1" applyBorder="1" applyAlignment="1">
      <alignment horizontal="center" vertical="center" wrapText="1"/>
    </xf>
    <xf numFmtId="0" fontId="35" fillId="18" borderId="4" xfId="20" applyFont="1" applyFill="1" applyBorder="1" applyAlignment="1">
      <alignment vertical="center" wrapText="1"/>
    </xf>
    <xf numFmtId="0" fontId="35" fillId="18" borderId="4" xfId="20" applyFont="1" applyFill="1" applyBorder="1" applyAlignment="1">
      <alignment horizontal="center" vertical="center" wrapText="1"/>
    </xf>
    <xf numFmtId="0" fontId="37" fillId="0" borderId="5" xfId="20" applyFont="1" applyBorder="1" applyAlignment="1" applyProtection="1">
      <alignment horizontal="center" vertical="center"/>
      <protection locked="0"/>
    </xf>
    <xf numFmtId="4" fontId="37" fillId="0" borderId="5" xfId="20" applyNumberFormat="1" applyFont="1" applyBorder="1" applyAlignment="1">
      <alignment horizontal="center" vertical="center"/>
    </xf>
    <xf numFmtId="164" fontId="37" fillId="0" borderId="5" xfId="1" applyFont="1" applyBorder="1" applyAlignment="1">
      <alignment horizontal="center" vertical="center"/>
    </xf>
    <xf numFmtId="0" fontId="37" fillId="0" borderId="4" xfId="20" applyFont="1" applyBorder="1" applyAlignment="1" applyProtection="1">
      <alignment horizontal="center" vertical="center"/>
      <protection locked="0"/>
    </xf>
    <xf numFmtId="3" fontId="37" fillId="0" borderId="4" xfId="21" applyNumberFormat="1" applyFont="1" applyBorder="1" applyAlignment="1" applyProtection="1">
      <alignment horizontal="center" vertical="center"/>
      <protection locked="0"/>
    </xf>
    <xf numFmtId="4" fontId="37" fillId="0" borderId="4" xfId="20" applyNumberFormat="1" applyFont="1" applyBorder="1" applyAlignment="1">
      <alignment horizontal="center" vertical="center"/>
    </xf>
    <xf numFmtId="169" fontId="37" fillId="0" borderId="5" xfId="20" applyNumberFormat="1" applyFont="1" applyBorder="1" applyAlignment="1">
      <alignment horizontal="center" vertical="center"/>
    </xf>
    <xf numFmtId="0" fontId="35" fillId="0" borderId="2" xfId="20" applyFont="1" applyBorder="1" applyAlignment="1">
      <alignment vertical="center"/>
    </xf>
    <xf numFmtId="0" fontId="35" fillId="0" borderId="6" xfId="20" applyFont="1" applyBorder="1" applyAlignment="1">
      <alignment vertical="center"/>
    </xf>
    <xf numFmtId="0" fontId="35" fillId="0" borderId="3" xfId="20" applyFont="1" applyBorder="1" applyAlignment="1">
      <alignment vertical="center"/>
    </xf>
    <xf numFmtId="4" fontId="35" fillId="0" borderId="4" xfId="20" applyNumberFormat="1" applyFont="1" applyBorder="1" applyAlignment="1">
      <alignment horizontal="center" vertical="center"/>
    </xf>
    <xf numFmtId="164" fontId="35" fillId="0" borderId="4" xfId="1" applyFont="1" applyBorder="1" applyAlignment="1">
      <alignment horizontal="center" vertical="center"/>
    </xf>
    <xf numFmtId="0" fontId="1" fillId="0" borderId="5" xfId="21" applyBorder="1"/>
    <xf numFmtId="164" fontId="1" fillId="0" borderId="5" xfId="1" applyFont="1" applyBorder="1"/>
    <xf numFmtId="0" fontId="15" fillId="0" borderId="10" xfId="20" applyFont="1" applyBorder="1"/>
    <xf numFmtId="0" fontId="15" fillId="0" borderId="0" xfId="20" applyFont="1"/>
    <xf numFmtId="0" fontId="38" fillId="0" borderId="10" xfId="20" applyFont="1" applyBorder="1"/>
    <xf numFmtId="0" fontId="38" fillId="0" borderId="0" xfId="20" applyFont="1"/>
    <xf numFmtId="0" fontId="45" fillId="18" borderId="8" xfId="20" applyFont="1" applyFill="1" applyBorder="1" applyAlignment="1">
      <alignment horizontal="center" vertical="center"/>
    </xf>
    <xf numFmtId="0" fontId="45" fillId="18" borderId="7" xfId="20" applyFont="1" applyFill="1" applyBorder="1" applyAlignment="1">
      <alignment horizontal="center" vertical="center"/>
    </xf>
    <xf numFmtId="0" fontId="45" fillId="18" borderId="1" xfId="20" applyFont="1" applyFill="1" applyBorder="1" applyAlignment="1">
      <alignment horizontal="center" vertical="center"/>
    </xf>
    <xf numFmtId="0" fontId="45" fillId="18" borderId="12" xfId="20" applyFont="1" applyFill="1" applyBorder="1" applyAlignment="1">
      <alignment horizontal="center" vertical="center" wrapText="1"/>
    </xf>
    <xf numFmtId="0" fontId="45" fillId="18" borderId="13" xfId="20" applyFont="1" applyFill="1" applyBorder="1" applyAlignment="1">
      <alignment horizontal="center" vertical="center"/>
    </xf>
    <xf numFmtId="0" fontId="45" fillId="18" borderId="5" xfId="20" applyFont="1" applyFill="1" applyBorder="1" applyAlignment="1">
      <alignment horizontal="center" vertical="center"/>
    </xf>
    <xf numFmtId="0" fontId="45" fillId="18" borderId="5" xfId="20" applyFont="1" applyFill="1" applyBorder="1" applyAlignment="1">
      <alignment horizontal="center" vertical="center" wrapText="1"/>
    </xf>
    <xf numFmtId="0" fontId="45" fillId="18" borderId="4" xfId="20" applyFont="1" applyFill="1" applyBorder="1" applyAlignment="1">
      <alignment horizontal="center" vertical="center"/>
    </xf>
    <xf numFmtId="0" fontId="37" fillId="0" borderId="2" xfId="20" applyFont="1" applyBorder="1" applyAlignment="1">
      <alignment horizontal="center" vertical="center"/>
    </xf>
    <xf numFmtId="0" fontId="37" fillId="0" borderId="6" xfId="20" applyFont="1" applyBorder="1" applyAlignment="1">
      <alignment horizontal="center" vertical="center"/>
    </xf>
    <xf numFmtId="0" fontId="37" fillId="0" borderId="3" xfId="20" applyFont="1" applyBorder="1" applyAlignment="1">
      <alignment horizontal="center" vertical="center"/>
    </xf>
    <xf numFmtId="4" fontId="37" fillId="0" borderId="5" xfId="23" applyNumberFormat="1" applyFont="1" applyFill="1" applyBorder="1" applyAlignment="1">
      <alignment horizontal="center" vertical="center"/>
    </xf>
    <xf numFmtId="10" fontId="37" fillId="0" borderId="5" xfId="23" applyNumberFormat="1" applyFont="1" applyFill="1" applyBorder="1" applyAlignment="1">
      <alignment horizontal="center" vertical="center"/>
    </xf>
    <xf numFmtId="4" fontId="37" fillId="0" borderId="3" xfId="23" applyNumberFormat="1" applyFont="1" applyFill="1" applyBorder="1" applyAlignment="1">
      <alignment horizontal="center" vertical="center"/>
    </xf>
    <xf numFmtId="0" fontId="37" fillId="0" borderId="5" xfId="23" applyNumberFormat="1" applyFont="1" applyFill="1" applyBorder="1" applyAlignment="1">
      <alignment horizontal="center" vertical="center"/>
    </xf>
    <xf numFmtId="4" fontId="37" fillId="32" borderId="5" xfId="23" applyNumberFormat="1" applyFont="1" applyFill="1" applyBorder="1" applyAlignment="1">
      <alignment horizontal="center" vertical="center"/>
    </xf>
    <xf numFmtId="43" fontId="38" fillId="0" borderId="0" xfId="20" applyNumberFormat="1" applyFont="1"/>
    <xf numFmtId="4" fontId="38" fillId="0" borderId="10" xfId="20" applyNumberFormat="1" applyFont="1" applyBorder="1"/>
    <xf numFmtId="188" fontId="38" fillId="0" borderId="0" xfId="20" applyNumberFormat="1" applyFont="1"/>
    <xf numFmtId="164" fontId="1" fillId="0" borderId="0" xfId="20" applyNumberFormat="1" applyAlignment="1">
      <alignment horizontal="center"/>
    </xf>
    <xf numFmtId="0" fontId="1" fillId="0" borderId="0" xfId="20" applyAlignment="1">
      <alignment horizontal="right"/>
    </xf>
    <xf numFmtId="164" fontId="1" fillId="0" borderId="0" xfId="23" applyFont="1" applyFill="1" applyBorder="1" applyAlignment="1"/>
    <xf numFmtId="0" fontId="37" fillId="0" borderId="7" xfId="20" applyFont="1" applyBorder="1" applyAlignment="1">
      <alignment horizontal="left" vertical="center"/>
    </xf>
    <xf numFmtId="0" fontId="37" fillId="0" borderId="8" xfId="20" applyFont="1" applyBorder="1" applyAlignment="1">
      <alignment horizontal="left" vertical="center"/>
    </xf>
    <xf numFmtId="4" fontId="37" fillId="0" borderId="8" xfId="20" applyNumberFormat="1" applyFont="1" applyBorder="1" applyAlignment="1">
      <alignment horizontal="left" vertical="center"/>
    </xf>
    <xf numFmtId="0" fontId="37" fillId="0" borderId="8" xfId="20" applyFont="1" applyBorder="1" applyAlignment="1">
      <alignment horizontal="center" vertical="center"/>
    </xf>
    <xf numFmtId="0" fontId="37" fillId="0" borderId="9" xfId="20" applyFont="1" applyBorder="1" applyAlignment="1">
      <alignment horizontal="center" vertical="center"/>
    </xf>
    <xf numFmtId="0" fontId="37" fillId="0" borderId="10" xfId="20" applyFont="1" applyBorder="1" applyAlignment="1">
      <alignment horizontal="left" vertical="center"/>
    </xf>
    <xf numFmtId="0" fontId="37" fillId="0" borderId="0" xfId="20" applyFont="1" applyAlignment="1">
      <alignment horizontal="left" vertical="center"/>
    </xf>
    <xf numFmtId="43" fontId="37" fillId="0" borderId="0" xfId="20" applyNumberFormat="1" applyFont="1" applyAlignment="1">
      <alignment horizontal="left" vertical="center"/>
    </xf>
    <xf numFmtId="0" fontId="37" fillId="0" borderId="0" xfId="20" applyFont="1" applyAlignment="1">
      <alignment horizontal="center" vertical="center"/>
    </xf>
    <xf numFmtId="0" fontId="37" fillId="0" borderId="11" xfId="20" applyFont="1" applyBorder="1" applyAlignment="1">
      <alignment horizontal="center" vertical="center"/>
    </xf>
    <xf numFmtId="2" fontId="35" fillId="0" borderId="8" xfId="20" applyNumberFormat="1" applyFont="1" applyBorder="1" applyAlignment="1">
      <alignment horizontal="center" vertical="center"/>
    </xf>
    <xf numFmtId="4" fontId="37" fillId="0" borderId="5" xfId="25" applyNumberFormat="1" applyFont="1" applyFill="1" applyBorder="1" applyAlignment="1">
      <alignment horizontal="center" vertical="center"/>
    </xf>
    <xf numFmtId="4" fontId="37" fillId="0" borderId="5" xfId="26" applyNumberFormat="1" applyFont="1" applyBorder="1" applyAlignment="1">
      <alignment horizontal="center" vertical="center"/>
    </xf>
    <xf numFmtId="0" fontId="37" fillId="0" borderId="5" xfId="20" applyFont="1" applyBorder="1" applyAlignment="1">
      <alignment horizontal="right" vertical="center"/>
    </xf>
    <xf numFmtId="10" fontId="37" fillId="0" borderId="5" xfId="27" applyNumberFormat="1" applyFont="1" applyFill="1" applyBorder="1" applyAlignment="1">
      <alignment horizontal="center" vertical="center"/>
    </xf>
    <xf numFmtId="2" fontId="37" fillId="0" borderId="5" xfId="23" applyNumberFormat="1" applyFont="1" applyFill="1" applyBorder="1" applyAlignment="1">
      <alignment horizontal="center" vertical="center"/>
    </xf>
    <xf numFmtId="2" fontId="37" fillId="0" borderId="5" xfId="20" applyNumberFormat="1" applyFont="1" applyBorder="1" applyAlignment="1">
      <alignment horizontal="center" vertical="center"/>
    </xf>
    <xf numFmtId="4" fontId="35" fillId="0" borderId="5" xfId="23" applyNumberFormat="1" applyFont="1" applyFill="1" applyBorder="1" applyAlignment="1">
      <alignment horizontal="center" vertical="center"/>
    </xf>
    <xf numFmtId="0" fontId="35" fillId="0" borderId="7" xfId="20" applyFont="1" applyBorder="1" applyAlignment="1">
      <alignment vertical="center"/>
    </xf>
    <xf numFmtId="0" fontId="35" fillId="0" borderId="8" xfId="20" applyFont="1" applyBorder="1" applyAlignment="1">
      <alignment vertical="center"/>
    </xf>
    <xf numFmtId="0" fontId="35" fillId="0" borderId="9" xfId="20" applyFont="1" applyBorder="1" applyAlignment="1">
      <alignment vertical="center"/>
    </xf>
    <xf numFmtId="0" fontId="35" fillId="0" borderId="10" xfId="20" applyFont="1" applyBorder="1" applyAlignment="1">
      <alignment vertical="center"/>
    </xf>
    <xf numFmtId="0" fontId="35" fillId="0" borderId="0" xfId="20" applyFont="1" applyAlignment="1">
      <alignment vertical="center"/>
    </xf>
    <xf numFmtId="0" fontId="35" fillId="0" borderId="11" xfId="20" applyFont="1" applyBorder="1" applyAlignment="1">
      <alignment vertical="center"/>
    </xf>
    <xf numFmtId="0" fontId="35" fillId="0" borderId="15" xfId="20" applyFont="1" applyBorder="1" applyAlignment="1">
      <alignment vertical="center"/>
    </xf>
    <xf numFmtId="0" fontId="35" fillId="0" borderId="13" xfId="20" applyFont="1" applyBorder="1" applyAlignment="1">
      <alignment vertical="center"/>
    </xf>
    <xf numFmtId="0" fontId="35" fillId="0" borderId="14" xfId="20" applyFont="1" applyBorder="1" applyAlignment="1">
      <alignment vertical="center"/>
    </xf>
    <xf numFmtId="10" fontId="35" fillId="0" borderId="5" xfId="28" applyNumberFormat="1" applyFont="1" applyFill="1" applyBorder="1" applyAlignment="1">
      <alignment horizontal="center" vertical="center"/>
    </xf>
    <xf numFmtId="10" fontId="37" fillId="0" borderId="5" xfId="28" applyNumberFormat="1" applyFont="1" applyFill="1" applyBorder="1" applyAlignment="1">
      <alignment horizontal="center" vertical="center"/>
    </xf>
    <xf numFmtId="164" fontId="37" fillId="0" borderId="0" xfId="20" applyNumberFormat="1" applyFont="1" applyAlignment="1">
      <alignment horizontal="left" vertical="center"/>
    </xf>
    <xf numFmtId="164" fontId="35" fillId="0" borderId="0" xfId="20" applyNumberFormat="1" applyFont="1" applyAlignment="1">
      <alignment horizontal="right" vertical="center"/>
    </xf>
    <xf numFmtId="0" fontId="37" fillId="0" borderId="0" xfId="20" applyFont="1" applyAlignment="1">
      <alignment vertical="center"/>
    </xf>
    <xf numFmtId="164" fontId="1" fillId="0" borderId="0" xfId="20" applyNumberFormat="1"/>
    <xf numFmtId="4" fontId="37" fillId="0" borderId="0" xfId="20" applyNumberFormat="1" applyFont="1" applyAlignment="1">
      <alignment vertical="center"/>
    </xf>
    <xf numFmtId="4" fontId="35" fillId="0" borderId="5" xfId="20" applyNumberFormat="1" applyFont="1" applyBorder="1" applyAlignment="1">
      <alignment horizontal="center" vertical="center"/>
    </xf>
    <xf numFmtId="164" fontId="37" fillId="0" borderId="0" xfId="20" applyNumberFormat="1" applyFont="1" applyAlignment="1">
      <alignment vertical="center"/>
    </xf>
    <xf numFmtId="43" fontId="37" fillId="0" borderId="5" xfId="25" applyFont="1" applyBorder="1" applyAlignment="1">
      <alignment horizontal="center" vertical="center"/>
    </xf>
    <xf numFmtId="0" fontId="37" fillId="0" borderId="13" xfId="20" applyFont="1" applyBorder="1" applyAlignment="1">
      <alignment vertical="center"/>
    </xf>
    <xf numFmtId="164" fontId="37" fillId="0" borderId="7" xfId="20" applyNumberFormat="1" applyFont="1" applyBorder="1" applyAlignment="1">
      <alignment horizontal="left" vertical="center"/>
    </xf>
    <xf numFmtId="0" fontId="35" fillId="0" borderId="0" xfId="20" applyFont="1" applyAlignment="1">
      <alignment horizontal="left" vertical="center"/>
    </xf>
    <xf numFmtId="4" fontId="37" fillId="0" borderId="0" xfId="23" applyNumberFormat="1" applyFont="1" applyFill="1" applyBorder="1" applyAlignment="1">
      <alignment horizontal="center" vertical="center"/>
    </xf>
    <xf numFmtId="10" fontId="37" fillId="0" borderId="0" xfId="28" applyNumberFormat="1" applyFont="1" applyFill="1" applyBorder="1" applyAlignment="1">
      <alignment horizontal="center" vertical="center"/>
    </xf>
    <xf numFmtId="10" fontId="37" fillId="0" borderId="11" xfId="28" applyNumberFormat="1" applyFont="1" applyFill="1" applyBorder="1" applyAlignment="1">
      <alignment vertical="center"/>
    </xf>
    <xf numFmtId="2" fontId="37" fillId="0" borderId="0" xfId="23" applyNumberFormat="1" applyFont="1" applyFill="1" applyBorder="1" applyAlignment="1">
      <alignment horizontal="center" vertical="center"/>
    </xf>
    <xf numFmtId="10" fontId="37" fillId="0" borderId="0" xfId="28" applyNumberFormat="1" applyFont="1" applyFill="1" applyBorder="1" applyAlignment="1">
      <alignment vertical="center"/>
    </xf>
    <xf numFmtId="164" fontId="37" fillId="0" borderId="13" xfId="20" applyNumberFormat="1" applyFont="1" applyBorder="1" applyAlignment="1">
      <alignment horizontal="left" vertical="center"/>
    </xf>
    <xf numFmtId="2" fontId="37" fillId="0" borderId="13" xfId="23" applyNumberFormat="1" applyFont="1" applyFill="1" applyBorder="1" applyAlignment="1">
      <alignment horizontal="center" vertical="center"/>
    </xf>
    <xf numFmtId="10" fontId="37" fillId="0" borderId="13" xfId="28" applyNumberFormat="1" applyFont="1" applyFill="1" applyBorder="1" applyAlignment="1">
      <alignment vertical="center"/>
    </xf>
    <xf numFmtId="10" fontId="37" fillId="0" borderId="14" xfId="28" applyNumberFormat="1" applyFont="1" applyFill="1" applyBorder="1" applyAlignment="1">
      <alignment vertical="center"/>
    </xf>
    <xf numFmtId="0" fontId="1" fillId="0" borderId="15" xfId="20" applyBorder="1"/>
    <xf numFmtId="0" fontId="1" fillId="0" borderId="14" xfId="20" applyBorder="1" applyAlignment="1">
      <alignment vertical="center"/>
    </xf>
    <xf numFmtId="0" fontId="38" fillId="0" borderId="8" xfId="20" applyFont="1" applyBorder="1" applyAlignment="1">
      <alignment vertical="center"/>
    </xf>
    <xf numFmtId="0" fontId="38" fillId="0" borderId="9" xfId="20" applyFont="1" applyBorder="1" applyAlignment="1">
      <alignment vertical="center"/>
    </xf>
    <xf numFmtId="0" fontId="38" fillId="0" borderId="0" xfId="20" applyFont="1" applyAlignment="1">
      <alignment vertical="center"/>
    </xf>
    <xf numFmtId="0" fontId="38" fillId="0" borderId="11" xfId="20" applyFont="1" applyBorder="1" applyAlignment="1">
      <alignment vertical="center"/>
    </xf>
    <xf numFmtId="0" fontId="38" fillId="0" borderId="13" xfId="20" applyFont="1" applyBorder="1" applyAlignment="1">
      <alignment vertical="center"/>
    </xf>
    <xf numFmtId="0" fontId="38" fillId="0" borderId="14" xfId="20" applyFont="1" applyBorder="1" applyAlignment="1">
      <alignment vertical="center"/>
    </xf>
    <xf numFmtId="0" fontId="51" fillId="0" borderId="90" xfId="21" applyFont="1" applyBorder="1" applyAlignment="1">
      <alignment horizontal="center" vertical="center"/>
    </xf>
    <xf numFmtId="0" fontId="51" fillId="0" borderId="94" xfId="21" applyFont="1" applyBorder="1" applyAlignment="1">
      <alignment horizontal="left" vertical="center"/>
    </xf>
    <xf numFmtId="1" fontId="1" fillId="0" borderId="73" xfId="21" applyNumberFormat="1" applyBorder="1" applyAlignment="1">
      <alignment horizontal="center" vertical="center"/>
    </xf>
    <xf numFmtId="0" fontId="1" fillId="0" borderId="95" xfId="21" applyBorder="1" applyAlignment="1">
      <alignment horizontal="center" vertical="center"/>
    </xf>
    <xf numFmtId="4" fontId="1" fillId="33" borderId="5" xfId="21" applyNumberFormat="1" applyFill="1" applyBorder="1" applyAlignment="1">
      <alignment horizontal="right" vertical="center"/>
    </xf>
    <xf numFmtId="0" fontId="0" fillId="0" borderId="5" xfId="20" applyFont="1" applyBorder="1"/>
    <xf numFmtId="43" fontId="1" fillId="0" borderId="5" xfId="25" applyBorder="1"/>
    <xf numFmtId="0" fontId="1" fillId="0" borderId="73" xfId="21" applyBorder="1" applyAlignment="1">
      <alignment horizontal="center" vertical="center"/>
    </xf>
    <xf numFmtId="4" fontId="1" fillId="11" borderId="5" xfId="21" applyNumberFormat="1" applyFill="1" applyBorder="1" applyAlignment="1">
      <alignment horizontal="right" vertical="center"/>
    </xf>
    <xf numFmtId="4" fontId="49" fillId="33" borderId="5" xfId="21" applyNumberFormat="1" applyFont="1" applyFill="1" applyBorder="1" applyAlignment="1">
      <alignment horizontal="right" vertical="center"/>
    </xf>
    <xf numFmtId="0" fontId="49" fillId="0" borderId="5" xfId="20" applyFont="1" applyBorder="1"/>
    <xf numFmtId="43" fontId="49" fillId="0" borderId="5" xfId="25" applyFont="1" applyBorder="1"/>
    <xf numFmtId="1" fontId="0" fillId="0" borderId="0" xfId="0" applyNumberFormat="1"/>
    <xf numFmtId="0" fontId="12" fillId="2" borderId="16" xfId="5" applyNumberFormat="1" applyFont="1" applyFill="1" applyBorder="1" applyAlignment="1">
      <alignment horizontal="center" vertical="center" wrapText="1"/>
    </xf>
    <xf numFmtId="0" fontId="84" fillId="0" borderId="23" xfId="29" applyBorder="1"/>
    <xf numFmtId="0" fontId="1" fillId="0" borderId="24" xfId="29" applyFont="1" applyBorder="1" applyAlignment="1">
      <alignment horizontal="center"/>
    </xf>
    <xf numFmtId="0" fontId="84" fillId="0" borderId="24" xfId="29" applyBorder="1"/>
    <xf numFmtId="0" fontId="84" fillId="0" borderId="24" xfId="29" applyBorder="1" applyAlignment="1">
      <alignment horizontal="center"/>
    </xf>
    <xf numFmtId="0" fontId="84" fillId="0" borderId="25" xfId="29" applyBorder="1"/>
    <xf numFmtId="0" fontId="84" fillId="0" borderId="0" xfId="29"/>
    <xf numFmtId="0" fontId="84" fillId="0" borderId="26" xfId="29" applyBorder="1"/>
    <xf numFmtId="0" fontId="84" fillId="0" borderId="27" xfId="29" applyBorder="1"/>
    <xf numFmtId="0" fontId="3" fillId="8" borderId="1" xfId="29" applyFont="1" applyFill="1" applyBorder="1" applyAlignment="1">
      <alignment horizontal="center" vertical="center"/>
    </xf>
    <xf numFmtId="0" fontId="3" fillId="8" borderId="1" xfId="29" applyFont="1" applyFill="1" applyBorder="1" applyAlignment="1">
      <alignment horizontal="center"/>
    </xf>
    <xf numFmtId="0" fontId="86" fillId="0" borderId="0" xfId="29" applyFont="1" applyAlignment="1">
      <alignment horizontal="center"/>
    </xf>
    <xf numFmtId="0" fontId="45" fillId="8" borderId="4" xfId="29" applyFont="1" applyFill="1" applyBorder="1" applyAlignment="1">
      <alignment horizontal="center" vertical="center"/>
    </xf>
    <xf numFmtId="0" fontId="3" fillId="8" borderId="4" xfId="29" applyFont="1" applyFill="1" applyBorder="1" applyAlignment="1">
      <alignment horizontal="center" vertical="center"/>
    </xf>
    <xf numFmtId="0" fontId="3" fillId="8" borderId="5" xfId="29" applyFont="1" applyFill="1" applyBorder="1" applyAlignment="1">
      <alignment horizontal="center" vertical="center"/>
    </xf>
    <xf numFmtId="0" fontId="1" fillId="0" borderId="61" xfId="29" applyFont="1" applyBorder="1" applyAlignment="1">
      <alignment horizontal="center"/>
    </xf>
    <xf numFmtId="2" fontId="1" fillId="0" borderId="61" xfId="29" applyNumberFormat="1" applyFont="1" applyBorder="1" applyAlignment="1">
      <alignment horizontal="center"/>
    </xf>
    <xf numFmtId="189" fontId="1" fillId="0" borderId="61" xfId="29" applyNumberFormat="1" applyFont="1" applyBorder="1" applyAlignment="1">
      <alignment horizontal="center"/>
    </xf>
    <xf numFmtId="179" fontId="1" fillId="0" borderId="61" xfId="29" applyNumberFormat="1" applyFont="1" applyBorder="1" applyAlignment="1">
      <alignment horizontal="center"/>
    </xf>
    <xf numFmtId="169" fontId="86" fillId="0" borderId="0" xfId="29" applyNumberFormat="1" applyFont="1"/>
    <xf numFmtId="0" fontId="84" fillId="11" borderId="26" xfId="29" applyFill="1" applyBorder="1"/>
    <xf numFmtId="0" fontId="1" fillId="11" borderId="61" xfId="29" applyFont="1" applyFill="1" applyBorder="1" applyAlignment="1">
      <alignment horizontal="center"/>
    </xf>
    <xf numFmtId="2" fontId="1" fillId="11" borderId="61" xfId="29" applyNumberFormat="1" applyFont="1" applyFill="1" applyBorder="1" applyAlignment="1">
      <alignment horizontal="center"/>
    </xf>
    <xf numFmtId="189" fontId="1" fillId="11" borderId="61" xfId="29" applyNumberFormat="1" applyFont="1" applyFill="1" applyBorder="1" applyAlignment="1">
      <alignment horizontal="center"/>
    </xf>
    <xf numFmtId="179" fontId="1" fillId="11" borderId="61" xfId="29" applyNumberFormat="1" applyFont="1" applyFill="1" applyBorder="1" applyAlignment="1">
      <alignment horizontal="center"/>
    </xf>
    <xf numFmtId="0" fontId="84" fillId="11" borderId="27" xfId="29" applyFill="1" applyBorder="1"/>
    <xf numFmtId="0" fontId="84" fillId="11" borderId="0" xfId="29" applyFill="1"/>
    <xf numFmtId="169" fontId="86" fillId="11" borderId="0" xfId="29" applyNumberFormat="1" applyFont="1" applyFill="1"/>
    <xf numFmtId="179" fontId="1" fillId="0" borderId="30" xfId="29" applyNumberFormat="1" applyFont="1" applyBorder="1" applyAlignment="1">
      <alignment horizontal="center"/>
    </xf>
    <xf numFmtId="0" fontId="87" fillId="0" borderId="61" xfId="29" applyFont="1" applyBorder="1" applyAlignment="1">
      <alignment horizontal="center"/>
    </xf>
    <xf numFmtId="189" fontId="87" fillId="0" borderId="61" xfId="29" applyNumberFormat="1" applyFont="1" applyBorder="1" applyAlignment="1">
      <alignment horizontal="center"/>
    </xf>
    <xf numFmtId="179" fontId="87" fillId="0" borderId="61" xfId="29" applyNumberFormat="1" applyFont="1" applyBorder="1" applyAlignment="1">
      <alignment horizontal="center"/>
    </xf>
    <xf numFmtId="179" fontId="87" fillId="0" borderId="30" xfId="29" applyNumberFormat="1" applyFont="1" applyBorder="1" applyAlignment="1">
      <alignment horizontal="center"/>
    </xf>
    <xf numFmtId="0" fontId="1" fillId="0" borderId="62" xfId="29" applyFont="1" applyBorder="1" applyAlignment="1">
      <alignment horizontal="center"/>
    </xf>
    <xf numFmtId="189" fontId="1" fillId="0" borderId="62" xfId="29" applyNumberFormat="1" applyFont="1" applyBorder="1" applyAlignment="1">
      <alignment horizontal="center"/>
    </xf>
    <xf numFmtId="179" fontId="1" fillId="0" borderId="62" xfId="29" applyNumberFormat="1" applyFont="1" applyBorder="1" applyAlignment="1">
      <alignment horizontal="center"/>
    </xf>
    <xf numFmtId="0" fontId="1" fillId="0" borderId="8" xfId="29" applyFont="1" applyBorder="1" applyAlignment="1">
      <alignment horizontal="center"/>
    </xf>
    <xf numFmtId="189" fontId="1" fillId="0" borderId="8" xfId="29" applyNumberFormat="1" applyFont="1" applyBorder="1" applyAlignment="1">
      <alignment horizontal="center"/>
    </xf>
    <xf numFmtId="179" fontId="1" fillId="0" borderId="8" xfId="29" applyNumberFormat="1" applyFont="1" applyBorder="1" applyAlignment="1">
      <alignment horizontal="center"/>
    </xf>
    <xf numFmtId="0" fontId="45" fillId="0" borderId="0" xfId="29" applyFont="1" applyAlignment="1">
      <alignment horizontal="left"/>
    </xf>
    <xf numFmtId="0" fontId="1" fillId="0" borderId="0" xfId="29" applyFont="1" applyAlignment="1">
      <alignment horizontal="center"/>
    </xf>
    <xf numFmtId="189" fontId="1" fillId="0" borderId="0" xfId="29" applyNumberFormat="1" applyFont="1" applyAlignment="1">
      <alignment horizontal="center"/>
    </xf>
    <xf numFmtId="179" fontId="1" fillId="0" borderId="0" xfId="29" applyNumberFormat="1" applyFont="1" applyAlignment="1">
      <alignment horizontal="center"/>
    </xf>
    <xf numFmtId="0" fontId="38" fillId="0" borderId="0" xfId="29" applyFont="1" applyAlignment="1">
      <alignment horizontal="left"/>
    </xf>
    <xf numFmtId="190" fontId="38" fillId="0" borderId="0" xfId="29" applyNumberFormat="1" applyFont="1" applyAlignment="1">
      <alignment horizontal="left"/>
    </xf>
    <xf numFmtId="0" fontId="38" fillId="0" borderId="0" xfId="29" applyFont="1" applyAlignment="1">
      <alignment horizontal="center"/>
    </xf>
    <xf numFmtId="179" fontId="38" fillId="0" borderId="0" xfId="29" applyNumberFormat="1" applyFont="1" applyAlignment="1">
      <alignment horizontal="center"/>
    </xf>
    <xf numFmtId="0" fontId="84" fillId="0" borderId="35" xfId="29" applyBorder="1"/>
    <xf numFmtId="0" fontId="84" fillId="0" borderId="36" xfId="29" applyBorder="1"/>
    <xf numFmtId="0" fontId="1" fillId="0" borderId="36" xfId="29" applyFont="1" applyBorder="1" applyAlignment="1">
      <alignment horizontal="center"/>
    </xf>
    <xf numFmtId="0" fontId="38" fillId="0" borderId="36" xfId="29" applyFont="1" applyBorder="1" applyAlignment="1">
      <alignment horizontal="center"/>
    </xf>
    <xf numFmtId="190" fontId="38" fillId="0" borderId="36" xfId="29" applyNumberFormat="1" applyFont="1" applyBorder="1" applyAlignment="1">
      <alignment horizontal="center"/>
    </xf>
    <xf numFmtId="179" fontId="38" fillId="0" borderId="36" xfId="29" applyNumberFormat="1" applyFont="1" applyBorder="1" applyAlignment="1">
      <alignment horizontal="center"/>
    </xf>
    <xf numFmtId="0" fontId="84" fillId="0" borderId="37" xfId="29" applyBorder="1"/>
    <xf numFmtId="0" fontId="38" fillId="0" borderId="24" xfId="29" applyFont="1" applyBorder="1" applyAlignment="1">
      <alignment horizontal="center"/>
    </xf>
    <xf numFmtId="190" fontId="38" fillId="0" borderId="24" xfId="29" applyNumberFormat="1" applyFont="1" applyBorder="1" applyAlignment="1">
      <alignment horizontal="center"/>
    </xf>
    <xf numFmtId="179" fontId="38" fillId="0" borderId="24" xfId="29" applyNumberFormat="1" applyFont="1" applyBorder="1" applyAlignment="1">
      <alignment horizontal="center"/>
    </xf>
    <xf numFmtId="0" fontId="1" fillId="0" borderId="1" xfId="29" applyFont="1" applyBorder="1" applyAlignment="1">
      <alignment horizontal="center" vertical="center"/>
    </xf>
    <xf numFmtId="0" fontId="84" fillId="0" borderId="1" xfId="29" applyBorder="1" applyAlignment="1">
      <alignment horizontal="center" vertical="center"/>
    </xf>
    <xf numFmtId="0" fontId="84" fillId="0" borderId="1" xfId="29" applyBorder="1" applyAlignment="1">
      <alignment horizontal="center"/>
    </xf>
    <xf numFmtId="0" fontId="1" fillId="0" borderId="1" xfId="29" applyFont="1" applyBorder="1" applyAlignment="1">
      <alignment horizontal="center"/>
    </xf>
    <xf numFmtId="0" fontId="84" fillId="0" borderId="7" xfId="29" applyBorder="1" applyAlignment="1">
      <alignment horizontal="center"/>
    </xf>
    <xf numFmtId="0" fontId="84" fillId="0" borderId="9" xfId="29" applyBorder="1" applyAlignment="1">
      <alignment horizontal="center"/>
    </xf>
    <xf numFmtId="0" fontId="38" fillId="0" borderId="4" xfId="29" applyFont="1" applyBorder="1" applyAlignment="1">
      <alignment horizontal="center" vertical="center"/>
    </xf>
    <xf numFmtId="0" fontId="84" fillId="0" borderId="4" xfId="29" applyBorder="1" applyAlignment="1">
      <alignment horizontal="center" vertical="center"/>
    </xf>
    <xf numFmtId="0" fontId="1" fillId="0" borderId="4" xfId="29" applyFont="1" applyBorder="1" applyAlignment="1">
      <alignment horizontal="center" vertical="center"/>
    </xf>
    <xf numFmtId="0" fontId="1" fillId="0" borderId="5" xfId="29" applyFont="1" applyBorder="1" applyAlignment="1">
      <alignment horizontal="center" vertical="center"/>
    </xf>
    <xf numFmtId="0" fontId="87" fillId="0" borderId="60" xfId="29" applyFont="1" applyBorder="1" applyAlignment="1">
      <alignment horizontal="center"/>
    </xf>
    <xf numFmtId="189" fontId="87" fillId="0" borderId="60" xfId="29" applyNumberFormat="1" applyFont="1" applyBorder="1" applyAlignment="1">
      <alignment horizontal="center"/>
    </xf>
    <xf numFmtId="179" fontId="87" fillId="0" borderId="60" xfId="29" applyNumberFormat="1" applyFont="1" applyBorder="1" applyAlignment="1">
      <alignment horizontal="center"/>
    </xf>
    <xf numFmtId="179" fontId="1" fillId="0" borderId="60" xfId="29" applyNumberFormat="1" applyFont="1" applyBorder="1" applyAlignment="1">
      <alignment horizontal="center"/>
    </xf>
    <xf numFmtId="0" fontId="1" fillId="0" borderId="30" xfId="29" applyFont="1" applyBorder="1" applyAlignment="1">
      <alignment horizontal="center"/>
    </xf>
    <xf numFmtId="189" fontId="1" fillId="0" borderId="30" xfId="29" applyNumberFormat="1" applyFont="1" applyBorder="1" applyAlignment="1">
      <alignment horizontal="center"/>
    </xf>
    <xf numFmtId="179" fontId="1" fillId="0" borderId="12" xfId="29" applyNumberFormat="1" applyFont="1" applyBorder="1" applyAlignment="1">
      <alignment horizontal="center"/>
    </xf>
    <xf numFmtId="0" fontId="84" fillId="0" borderId="0" xfId="29" applyAlignment="1">
      <alignment horizontal="center"/>
    </xf>
    <xf numFmtId="0" fontId="38" fillId="0" borderId="36" xfId="29" applyFont="1" applyBorder="1" applyAlignment="1">
      <alignment horizontal="left"/>
    </xf>
    <xf numFmtId="0" fontId="1" fillId="0" borderId="23" xfId="19" applyBorder="1"/>
    <xf numFmtId="0" fontId="17" fillId="0" borderId="24" xfId="19" applyFont="1" applyBorder="1" applyAlignment="1">
      <alignment vertical="center"/>
    </xf>
    <xf numFmtId="0" fontId="1" fillId="0" borderId="25" xfId="19" applyBorder="1"/>
    <xf numFmtId="0" fontId="1" fillId="0" borderId="0" xfId="19"/>
    <xf numFmtId="0" fontId="1" fillId="0" borderId="26" xfId="19" applyBorder="1"/>
    <xf numFmtId="0" fontId="17" fillId="0" borderId="0" xfId="19" applyFont="1" applyAlignment="1">
      <alignment vertical="center"/>
    </xf>
    <xf numFmtId="0" fontId="1" fillId="0" borderId="27" xfId="19" applyBorder="1"/>
    <xf numFmtId="0" fontId="43" fillId="14" borderId="7" xfId="19" applyFont="1" applyFill="1" applyBorder="1" applyAlignment="1">
      <alignment wrapText="1"/>
    </xf>
    <xf numFmtId="0" fontId="43" fillId="14" borderId="15" xfId="19" applyFont="1" applyFill="1" applyBorder="1" applyAlignment="1">
      <alignment wrapText="1"/>
    </xf>
    <xf numFmtId="0" fontId="3" fillId="8" borderId="1" xfId="19" applyFont="1" applyFill="1" applyBorder="1" applyAlignment="1">
      <alignment horizontal="center"/>
    </xf>
    <xf numFmtId="0" fontId="43" fillId="14" borderId="7" xfId="19" applyFont="1" applyFill="1" applyBorder="1" applyAlignment="1">
      <alignment horizontal="center" wrapText="1"/>
    </xf>
    <xf numFmtId="0" fontId="3" fillId="8" borderId="5" xfId="19" applyFont="1" applyFill="1" applyBorder="1" applyAlignment="1">
      <alignment horizontal="center"/>
    </xf>
    <xf numFmtId="0" fontId="3" fillId="8" borderId="4" xfId="19" applyFont="1" applyFill="1" applyBorder="1" applyAlignment="1">
      <alignment horizontal="center"/>
    </xf>
    <xf numFmtId="0" fontId="37" fillId="0" borderId="0" xfId="19" applyFont="1"/>
    <xf numFmtId="0" fontId="37" fillId="0" borderId="60" xfId="19" applyFont="1" applyBorder="1" applyAlignment="1">
      <alignment horizontal="center"/>
    </xf>
    <xf numFmtId="179" fontId="37" fillId="0" borderId="60" xfId="19" applyNumberFormat="1" applyFont="1" applyBorder="1" applyAlignment="1">
      <alignment horizontal="center"/>
    </xf>
    <xf numFmtId="4" fontId="37" fillId="0" borderId="60" xfId="19" applyNumberFormat="1" applyFont="1" applyBorder="1" applyAlignment="1">
      <alignment horizontal="center"/>
    </xf>
    <xf numFmtId="0" fontId="37" fillId="2" borderId="60" xfId="19" applyFont="1" applyFill="1" applyBorder="1" applyAlignment="1">
      <alignment horizontal="center"/>
    </xf>
    <xf numFmtId="179" fontId="37" fillId="2" borderId="60" xfId="19" applyNumberFormat="1" applyFont="1" applyFill="1" applyBorder="1" applyAlignment="1">
      <alignment horizontal="center"/>
    </xf>
    <xf numFmtId="4" fontId="37" fillId="2" borderId="60" xfId="19" applyNumberFormat="1" applyFont="1" applyFill="1" applyBorder="1" applyAlignment="1">
      <alignment horizontal="center"/>
    </xf>
    <xf numFmtId="0" fontId="37" fillId="0" borderId="61" xfId="19" applyFont="1" applyBorder="1" applyAlignment="1">
      <alignment horizontal="center"/>
    </xf>
    <xf numFmtId="179" fontId="37" fillId="0" borderId="61" xfId="19" applyNumberFormat="1" applyFont="1" applyBorder="1" applyAlignment="1">
      <alignment horizontal="center"/>
    </xf>
    <xf numFmtId="4" fontId="37" fillId="0" borderId="61" xfId="19" applyNumberFormat="1" applyFont="1" applyBorder="1" applyAlignment="1">
      <alignment horizontal="center"/>
    </xf>
    <xf numFmtId="0" fontId="37" fillId="0" borderId="62" xfId="19" applyFont="1" applyBorder="1" applyAlignment="1">
      <alignment horizontal="center"/>
    </xf>
    <xf numFmtId="179" fontId="37" fillId="0" borderId="62" xfId="19" applyNumberFormat="1" applyFont="1" applyBorder="1" applyAlignment="1">
      <alignment horizontal="center"/>
    </xf>
    <xf numFmtId="4" fontId="37" fillId="0" borderId="62" xfId="19" applyNumberFormat="1" applyFont="1" applyBorder="1" applyAlignment="1">
      <alignment horizontal="center"/>
    </xf>
    <xf numFmtId="0" fontId="38" fillId="0" borderId="0" xfId="19" applyFont="1" applyAlignment="1">
      <alignment horizontal="center"/>
    </xf>
    <xf numFmtId="179" fontId="38" fillId="0" borderId="0" xfId="19" applyNumberFormat="1" applyFont="1" applyAlignment="1">
      <alignment horizontal="center"/>
    </xf>
    <xf numFmtId="0" fontId="45" fillId="0" borderId="26" xfId="19" applyFont="1" applyBorder="1"/>
    <xf numFmtId="0" fontId="45" fillId="0" borderId="0" xfId="19" applyFont="1" applyAlignment="1">
      <alignment horizontal="left"/>
    </xf>
    <xf numFmtId="0" fontId="38" fillId="0" borderId="26" xfId="19" applyFont="1" applyBorder="1" applyAlignment="1">
      <alignment horizontal="right"/>
    </xf>
    <xf numFmtId="0" fontId="38" fillId="0" borderId="0" xfId="19" applyFont="1"/>
    <xf numFmtId="0" fontId="38" fillId="0" borderId="26" xfId="19" applyFont="1" applyBorder="1"/>
    <xf numFmtId="0" fontId="1" fillId="0" borderId="35" xfId="19" applyBorder="1"/>
    <xf numFmtId="0" fontId="1" fillId="0" borderId="36" xfId="19" applyBorder="1"/>
    <xf numFmtId="0" fontId="1" fillId="0" borderId="37" xfId="19" applyBorder="1"/>
    <xf numFmtId="0" fontId="48" fillId="0" borderId="0" xfId="19" applyFont="1"/>
    <xf numFmtId="0" fontId="43" fillId="14" borderId="5" xfId="19" applyFont="1" applyFill="1" applyBorder="1" applyAlignment="1">
      <alignment horizontal="center" vertical="center" wrapText="1"/>
    </xf>
    <xf numFmtId="0" fontId="48" fillId="0" borderId="0" xfId="19" applyFont="1" applyAlignment="1">
      <alignment vertical="center"/>
    </xf>
    <xf numFmtId="0" fontId="1" fillId="2" borderId="63" xfId="19" applyFill="1" applyBorder="1" applyAlignment="1">
      <alignment horizontal="center" vertical="center"/>
    </xf>
    <xf numFmtId="0" fontId="1" fillId="2" borderId="64" xfId="19" applyFill="1" applyBorder="1" applyAlignment="1">
      <alignment horizontal="center" vertical="center"/>
    </xf>
    <xf numFmtId="2" fontId="1" fillId="2" borderId="64" xfId="19" applyNumberFormat="1" applyFill="1" applyBorder="1" applyAlignment="1">
      <alignment horizontal="center" vertical="center"/>
    </xf>
    <xf numFmtId="1" fontId="1" fillId="2" borderId="64" xfId="19" applyNumberFormat="1" applyFill="1" applyBorder="1" applyAlignment="1">
      <alignment horizontal="center" vertical="center"/>
    </xf>
    <xf numFmtId="2" fontId="1" fillId="2" borderId="65" xfId="19" applyNumberFormat="1" applyFill="1" applyBorder="1" applyAlignment="1">
      <alignment horizontal="center" vertical="center"/>
    </xf>
    <xf numFmtId="0" fontId="1" fillId="0" borderId="0" xfId="19" applyAlignment="1">
      <alignment vertical="center"/>
    </xf>
    <xf numFmtId="2" fontId="1" fillId="0" borderId="0" xfId="19" applyNumberFormat="1" applyAlignment="1">
      <alignment vertical="center"/>
    </xf>
    <xf numFmtId="0" fontId="1" fillId="11" borderId="63" xfId="19" applyFill="1" applyBorder="1" applyAlignment="1">
      <alignment horizontal="center" vertical="center"/>
    </xf>
    <xf numFmtId="0" fontId="1" fillId="11" borderId="64" xfId="19" applyFill="1" applyBorder="1" applyAlignment="1">
      <alignment horizontal="center" vertical="center"/>
    </xf>
    <xf numFmtId="2" fontId="1" fillId="11" borderId="64" xfId="19" applyNumberFormat="1" applyFill="1" applyBorder="1" applyAlignment="1">
      <alignment horizontal="center" vertical="center"/>
    </xf>
    <xf numFmtId="1" fontId="1" fillId="11" borderId="64" xfId="19" applyNumberFormat="1" applyFill="1" applyBorder="1" applyAlignment="1">
      <alignment horizontal="center" vertical="center"/>
    </xf>
    <xf numFmtId="2" fontId="1" fillId="11" borderId="65" xfId="19" applyNumberFormat="1" applyFill="1" applyBorder="1" applyAlignment="1">
      <alignment horizontal="center" vertical="center"/>
    </xf>
    <xf numFmtId="0" fontId="1" fillId="11" borderId="0" xfId="19" applyFill="1" applyAlignment="1">
      <alignment vertical="center"/>
    </xf>
    <xf numFmtId="2" fontId="1" fillId="11" borderId="0" xfId="19" applyNumberFormat="1" applyFill="1" applyAlignment="1">
      <alignment vertical="center"/>
    </xf>
    <xf numFmtId="2" fontId="49" fillId="2" borderId="64" xfId="19" applyNumberFormat="1" applyFont="1" applyFill="1" applyBorder="1" applyAlignment="1">
      <alignment horizontal="center" vertical="center"/>
    </xf>
    <xf numFmtId="0" fontId="1" fillId="0" borderId="63" xfId="19" applyBorder="1" applyAlignment="1">
      <alignment horizontal="center" vertical="center"/>
    </xf>
    <xf numFmtId="0" fontId="1" fillId="0" borderId="64" xfId="19" applyBorder="1" applyAlignment="1">
      <alignment horizontal="center" vertical="center"/>
    </xf>
    <xf numFmtId="2" fontId="1" fillId="0" borderId="64" xfId="19" applyNumberFormat="1" applyBorder="1" applyAlignment="1">
      <alignment horizontal="center" vertical="center"/>
    </xf>
    <xf numFmtId="2" fontId="1" fillId="0" borderId="65" xfId="19" applyNumberFormat="1" applyBorder="1" applyAlignment="1">
      <alignment horizontal="center" vertical="center"/>
    </xf>
    <xf numFmtId="0" fontId="1" fillId="2" borderId="66" xfId="19" applyFill="1" applyBorder="1" applyAlignment="1">
      <alignment horizontal="center" vertical="center"/>
    </xf>
    <xf numFmtId="0" fontId="1" fillId="2" borderId="67" xfId="19" applyFill="1" applyBorder="1" applyAlignment="1">
      <alignment horizontal="center" vertical="center"/>
    </xf>
    <xf numFmtId="2" fontId="1" fillId="2" borderId="67" xfId="19" applyNumberFormat="1" applyFill="1" applyBorder="1" applyAlignment="1">
      <alignment horizontal="center" vertical="center"/>
    </xf>
    <xf numFmtId="1" fontId="1" fillId="2" borderId="67" xfId="19" applyNumberFormat="1" applyFill="1" applyBorder="1" applyAlignment="1">
      <alignment horizontal="center" vertical="center"/>
    </xf>
    <xf numFmtId="2" fontId="49" fillId="2" borderId="67" xfId="19" applyNumberFormat="1" applyFont="1" applyFill="1" applyBorder="1" applyAlignment="1">
      <alignment horizontal="center" vertical="center"/>
    </xf>
    <xf numFmtId="2" fontId="1" fillId="2" borderId="68" xfId="19" applyNumberFormat="1" applyFill="1" applyBorder="1" applyAlignment="1">
      <alignment horizontal="center" vertical="center"/>
    </xf>
    <xf numFmtId="0" fontId="1" fillId="2" borderId="0" xfId="19" applyFill="1"/>
    <xf numFmtId="0" fontId="3" fillId="2" borderId="0" xfId="19" applyFont="1" applyFill="1" applyAlignment="1">
      <alignment horizontal="right"/>
    </xf>
    <xf numFmtId="0" fontId="3" fillId="2" borderId="0" xfId="19" applyFont="1" applyFill="1"/>
    <xf numFmtId="0" fontId="17" fillId="0" borderId="0" xfId="29" applyFont="1" applyAlignment="1">
      <alignment vertical="center"/>
    </xf>
    <xf numFmtId="0" fontId="35" fillId="8" borderId="1" xfId="29" applyFont="1" applyFill="1" applyBorder="1" applyAlignment="1">
      <alignment horizontal="center" vertical="center" wrapText="1"/>
    </xf>
    <xf numFmtId="0" fontId="35" fillId="8" borderId="5" xfId="29" applyFont="1" applyFill="1" applyBorder="1" applyAlignment="1">
      <alignment horizontal="center"/>
    </xf>
    <xf numFmtId="0" fontId="35" fillId="8" borderId="4" xfId="29" applyFont="1" applyFill="1" applyBorder="1" applyAlignment="1">
      <alignment horizontal="center" vertical="center" wrapText="1"/>
    </xf>
    <xf numFmtId="0" fontId="38" fillId="0" borderId="60" xfId="29" applyFont="1" applyBorder="1" applyAlignment="1">
      <alignment horizontal="center"/>
    </xf>
    <xf numFmtId="179" fontId="38" fillId="0" borderId="60" xfId="29" applyNumberFormat="1" applyFont="1" applyBorder="1" applyAlignment="1">
      <alignment horizontal="center"/>
    </xf>
    <xf numFmtId="0" fontId="38" fillId="0" borderId="61" xfId="29" applyFont="1" applyBorder="1" applyAlignment="1">
      <alignment horizontal="center"/>
    </xf>
    <xf numFmtId="179" fontId="38" fillId="0" borderId="61" xfId="29" applyNumberFormat="1" applyFont="1" applyBorder="1" applyAlignment="1">
      <alignment horizontal="center"/>
    </xf>
    <xf numFmtId="0" fontId="45" fillId="0" borderId="60" xfId="29" applyFont="1" applyBorder="1" applyAlignment="1">
      <alignment horizontal="center"/>
    </xf>
    <xf numFmtId="179" fontId="45" fillId="0" borderId="60" xfId="29" applyNumberFormat="1" applyFont="1" applyBorder="1" applyAlignment="1">
      <alignment horizontal="center"/>
    </xf>
    <xf numFmtId="0" fontId="38" fillId="0" borderId="62" xfId="29" applyFont="1" applyBorder="1" applyAlignment="1">
      <alignment horizontal="center"/>
    </xf>
    <xf numFmtId="179" fontId="45" fillId="0" borderId="62" xfId="29" applyNumberFormat="1" applyFont="1" applyBorder="1" applyAlignment="1">
      <alignment horizontal="center"/>
    </xf>
    <xf numFmtId="179" fontId="38" fillId="0" borderId="62" xfId="29" applyNumberFormat="1" applyFont="1" applyBorder="1" applyAlignment="1">
      <alignment horizontal="center"/>
    </xf>
    <xf numFmtId="0" fontId="38" fillId="0" borderId="4" xfId="29" applyFont="1" applyBorder="1" applyAlignment="1">
      <alignment horizontal="center"/>
    </xf>
    <xf numFmtId="0" fontId="45" fillId="0" borderId="0" xfId="29" applyFont="1"/>
    <xf numFmtId="0" fontId="38" fillId="0" borderId="0" xfId="29" applyFont="1"/>
    <xf numFmtId="4" fontId="45" fillId="0" borderId="0" xfId="29" applyNumberFormat="1" applyFont="1" applyAlignment="1">
      <alignment horizontal="right"/>
    </xf>
    <xf numFmtId="0" fontId="38" fillId="0" borderId="0" xfId="29" applyFont="1" applyAlignment="1">
      <alignment horizontal="right"/>
    </xf>
    <xf numFmtId="0" fontId="45" fillId="0" borderId="26" xfId="29" applyFont="1" applyBorder="1" applyAlignment="1">
      <alignment horizontal="right"/>
    </xf>
    <xf numFmtId="4" fontId="38" fillId="0" borderId="0" xfId="29" applyNumberFormat="1" applyFont="1"/>
    <xf numFmtId="0" fontId="38" fillId="0" borderId="26" xfId="29" applyFont="1" applyBorder="1" applyAlignment="1">
      <alignment horizontal="right"/>
    </xf>
    <xf numFmtId="4" fontId="45" fillId="0" borderId="0" xfId="29" applyNumberFormat="1" applyFont="1"/>
    <xf numFmtId="0" fontId="38" fillId="0" borderId="26" xfId="29" applyFont="1" applyBorder="1"/>
    <xf numFmtId="0" fontId="38" fillId="0" borderId="35" xfId="29" applyFont="1" applyBorder="1"/>
    <xf numFmtId="0" fontId="38" fillId="0" borderId="36" xfId="29" applyFont="1" applyBorder="1"/>
    <xf numFmtId="0" fontId="45" fillId="0" borderId="36" xfId="29" applyFont="1" applyBorder="1"/>
    <xf numFmtId="4" fontId="45" fillId="0" borderId="36" xfId="29" applyNumberFormat="1" applyFont="1" applyBorder="1"/>
    <xf numFmtId="0" fontId="1" fillId="2" borderId="64" xfId="29" applyFont="1" applyFill="1" applyBorder="1" applyAlignment="1">
      <alignment horizontal="center" vertical="center"/>
    </xf>
    <xf numFmtId="0" fontId="1" fillId="0" borderId="0" xfId="29" applyFont="1"/>
    <xf numFmtId="0" fontId="84" fillId="2" borderId="64" xfId="29" applyFill="1" applyBorder="1" applyAlignment="1">
      <alignment horizontal="center" vertical="center"/>
    </xf>
    <xf numFmtId="0" fontId="1" fillId="2" borderId="63" xfId="29" applyFont="1" applyFill="1" applyBorder="1" applyAlignment="1">
      <alignment horizontal="center" vertical="center"/>
    </xf>
    <xf numFmtId="2" fontId="1" fillId="2" borderId="64" xfId="29" applyNumberFormat="1" applyFont="1" applyFill="1" applyBorder="1" applyAlignment="1">
      <alignment horizontal="center" vertical="center"/>
    </xf>
    <xf numFmtId="2" fontId="1" fillId="2" borderId="69" xfId="29" applyNumberFormat="1" applyFont="1" applyFill="1" applyBorder="1" applyAlignment="1">
      <alignment horizontal="center" vertical="center"/>
    </xf>
    <xf numFmtId="2" fontId="1" fillId="2" borderId="65" xfId="29" applyNumberFormat="1" applyFont="1" applyFill="1" applyBorder="1" applyAlignment="1">
      <alignment horizontal="center" vertical="center"/>
    </xf>
    <xf numFmtId="0" fontId="84" fillId="0" borderId="0" xfId="29" applyAlignment="1">
      <alignment vertical="center"/>
    </xf>
    <xf numFmtId="2" fontId="84" fillId="0" borderId="0" xfId="29" applyNumberFormat="1" applyAlignment="1">
      <alignment vertical="center"/>
    </xf>
    <xf numFmtId="2" fontId="1" fillId="0" borderId="0" xfId="29" applyNumberFormat="1" applyFont="1" applyAlignment="1">
      <alignment vertical="center"/>
    </xf>
    <xf numFmtId="0" fontId="1" fillId="2" borderId="64" xfId="29" applyFont="1" applyFill="1" applyBorder="1" applyAlignment="1">
      <alignment horizontal="center" vertical="center" wrapText="1"/>
    </xf>
    <xf numFmtId="2" fontId="84" fillId="2" borderId="64" xfId="29" applyNumberFormat="1" applyFill="1" applyBorder="1" applyAlignment="1">
      <alignment horizontal="center" vertical="center"/>
    </xf>
    <xf numFmtId="2" fontId="84" fillId="2" borderId="65" xfId="29" applyNumberFormat="1" applyFill="1" applyBorder="1" applyAlignment="1">
      <alignment horizontal="center" vertical="center"/>
    </xf>
    <xf numFmtId="0" fontId="84" fillId="2" borderId="63" xfId="29" applyFill="1" applyBorder="1" applyAlignment="1">
      <alignment horizontal="center" vertical="center"/>
    </xf>
    <xf numFmtId="0" fontId="84" fillId="2" borderId="65" xfId="29" applyFill="1" applyBorder="1" applyAlignment="1">
      <alignment horizontal="center" vertical="center"/>
    </xf>
    <xf numFmtId="0" fontId="84" fillId="0" borderId="63" xfId="29" applyBorder="1" applyAlignment="1">
      <alignment horizontal="center" vertical="center"/>
    </xf>
    <xf numFmtId="0" fontId="84" fillId="0" borderId="64" xfId="29" applyBorder="1" applyAlignment="1">
      <alignment horizontal="center" vertical="center"/>
    </xf>
    <xf numFmtId="2" fontId="84" fillId="0" borderId="64" xfId="29" applyNumberFormat="1" applyBorder="1" applyAlignment="1">
      <alignment horizontal="center" vertical="center"/>
    </xf>
    <xf numFmtId="0" fontId="84" fillId="0" borderId="65" xfId="29" applyBorder="1" applyAlignment="1">
      <alignment horizontal="center" vertical="center"/>
    </xf>
    <xf numFmtId="0" fontId="84" fillId="2" borderId="66" xfId="29" applyFill="1" applyBorder="1" applyAlignment="1">
      <alignment horizontal="center" vertical="center"/>
    </xf>
    <xf numFmtId="0" fontId="84" fillId="2" borderId="67" xfId="29" applyFill="1" applyBorder="1" applyAlignment="1">
      <alignment horizontal="center" vertical="center"/>
    </xf>
    <xf numFmtId="2" fontId="84" fillId="2" borderId="67" xfId="29" applyNumberFormat="1" applyFill="1" applyBorder="1" applyAlignment="1">
      <alignment horizontal="center" vertical="center"/>
    </xf>
    <xf numFmtId="0" fontId="84" fillId="2" borderId="68" xfId="29" applyFill="1" applyBorder="1" applyAlignment="1">
      <alignment horizontal="center" vertical="center"/>
    </xf>
    <xf numFmtId="0" fontId="3" fillId="2" borderId="0" xfId="29" applyFont="1" applyFill="1" applyAlignment="1">
      <alignment horizontal="left"/>
    </xf>
    <xf numFmtId="0" fontId="84" fillId="2" borderId="0" xfId="29" applyFill="1"/>
    <xf numFmtId="0" fontId="37" fillId="2" borderId="0" xfId="29" applyFont="1" applyFill="1"/>
    <xf numFmtId="0" fontId="3" fillId="2" borderId="0" xfId="29" applyFont="1" applyFill="1"/>
    <xf numFmtId="0" fontId="1" fillId="0" borderId="0" xfId="30"/>
    <xf numFmtId="0" fontId="1" fillId="0" borderId="0" xfId="30" applyAlignment="1" applyProtection="1">
      <alignment wrapText="1"/>
      <protection locked="0"/>
    </xf>
    <xf numFmtId="0" fontId="53" fillId="16" borderId="73" xfId="30" applyFont="1" applyFill="1" applyBorder="1" applyAlignment="1">
      <alignment horizontal="center" vertical="center" wrapText="1"/>
    </xf>
    <xf numFmtId="0" fontId="53" fillId="0" borderId="73" xfId="30" applyFont="1" applyBorder="1" applyAlignment="1">
      <alignment horizontal="left" vertical="center" wrapText="1"/>
    </xf>
    <xf numFmtId="0" fontId="53" fillId="0" borderId="73" xfId="30" applyFont="1" applyBorder="1" applyAlignment="1">
      <alignment vertical="center" wrapText="1"/>
    </xf>
    <xf numFmtId="180" fontId="53" fillId="0" borderId="73" xfId="30" applyNumberFormat="1" applyFont="1" applyBorder="1" applyAlignment="1">
      <alignment horizontal="right" vertical="center" wrapText="1"/>
    </xf>
    <xf numFmtId="0" fontId="54" fillId="0" borderId="73" xfId="30" applyFont="1" applyBorder="1" applyAlignment="1">
      <alignment horizontal="left" vertical="center" wrapText="1"/>
    </xf>
    <xf numFmtId="0" fontId="54" fillId="0" borderId="73" xfId="30" applyFont="1" applyBorder="1" applyAlignment="1">
      <alignment horizontal="center" vertical="center" wrapText="1"/>
    </xf>
    <xf numFmtId="0" fontId="54" fillId="0" borderId="73" xfId="30" applyFont="1" applyBorder="1" applyAlignment="1">
      <alignment horizontal="justify" vertical="center" wrapText="1"/>
    </xf>
    <xf numFmtId="4" fontId="54" fillId="0" borderId="73" xfId="30" applyNumberFormat="1" applyFont="1" applyBorder="1" applyAlignment="1">
      <alignment horizontal="right" vertical="center" wrapText="1"/>
    </xf>
    <xf numFmtId="180" fontId="54" fillId="0" borderId="73" xfId="30" applyNumberFormat="1" applyFont="1" applyBorder="1" applyAlignment="1">
      <alignment horizontal="right" vertical="center" wrapText="1"/>
    </xf>
    <xf numFmtId="181" fontId="54" fillId="0" borderId="73" xfId="30" applyNumberFormat="1" applyFont="1" applyBorder="1" applyAlignment="1">
      <alignment horizontal="right" vertical="center" wrapText="1"/>
    </xf>
    <xf numFmtId="0" fontId="1" fillId="17" borderId="0" xfId="30" applyFill="1"/>
    <xf numFmtId="0" fontId="89" fillId="0" borderId="73" xfId="29" applyFont="1" applyBorder="1" applyAlignment="1">
      <alignment horizontal="center" vertical="center" wrapText="1"/>
    </xf>
    <xf numFmtId="0" fontId="89" fillId="0" borderId="73" xfId="29" applyFont="1" applyBorder="1" applyAlignment="1">
      <alignment horizontal="justify" vertical="center" wrapText="1"/>
    </xf>
    <xf numFmtId="4" fontId="89" fillId="0" borderId="73" xfId="29" applyNumberFormat="1" applyFont="1" applyBorder="1" applyAlignment="1">
      <alignment horizontal="right" vertical="center" wrapText="1"/>
    </xf>
    <xf numFmtId="182" fontId="3" fillId="23" borderId="5" xfId="25" applyNumberFormat="1" applyFont="1" applyFill="1" applyBorder="1" applyAlignment="1">
      <alignment horizontal="center" vertical="center"/>
    </xf>
    <xf numFmtId="182" fontId="3" fillId="26" borderId="5" xfId="25" applyNumberFormat="1" applyFont="1" applyFill="1" applyBorder="1" applyAlignment="1">
      <alignment horizontal="center" vertical="center"/>
    </xf>
    <xf numFmtId="182" fontId="3" fillId="24" borderId="5" xfId="25" applyNumberFormat="1" applyFont="1" applyFill="1" applyBorder="1" applyAlignment="1">
      <alignment horizontal="center" vertical="center"/>
    </xf>
    <xf numFmtId="2" fontId="1" fillId="0" borderId="0" xfId="29" applyNumberFormat="1" applyFont="1" applyAlignment="1">
      <alignment horizontal="center"/>
    </xf>
    <xf numFmtId="2" fontId="1" fillId="0" borderId="26" xfId="29" applyNumberFormat="1" applyFont="1" applyBorder="1" applyAlignment="1">
      <alignment horizontal="center"/>
    </xf>
    <xf numFmtId="2" fontId="1" fillId="0" borderId="27" xfId="29" applyNumberFormat="1" applyFont="1" applyBorder="1" applyAlignment="1">
      <alignment horizontal="center"/>
    </xf>
    <xf numFmtId="2" fontId="80" fillId="0" borderId="13" xfId="29" applyNumberFormat="1" applyFont="1" applyBorder="1" applyAlignment="1">
      <alignment vertical="center"/>
    </xf>
    <xf numFmtId="2" fontId="80" fillId="0" borderId="0" xfId="29" applyNumberFormat="1" applyFont="1" applyAlignment="1">
      <alignment vertical="center"/>
    </xf>
    <xf numFmtId="4" fontId="90" fillId="41" borderId="100" xfId="29" applyNumberFormat="1" applyFont="1" applyFill="1" applyBorder="1" applyAlignment="1">
      <alignment horizontal="center"/>
    </xf>
    <xf numFmtId="4" fontId="1" fillId="0" borderId="12" xfId="29" applyNumberFormat="1" applyFont="1" applyBorder="1" applyAlignment="1">
      <alignment horizontal="center"/>
    </xf>
    <xf numFmtId="2" fontId="91" fillId="41" borderId="102" xfId="29" applyNumberFormat="1" applyFont="1" applyFill="1" applyBorder="1" applyAlignment="1">
      <alignment horizontal="center"/>
    </xf>
    <xf numFmtId="4" fontId="90" fillId="41" borderId="103" xfId="29" applyNumberFormat="1" applyFont="1" applyFill="1" applyBorder="1" applyAlignment="1">
      <alignment horizontal="center"/>
    </xf>
    <xf numFmtId="2" fontId="15" fillId="0" borderId="12" xfId="29" applyNumberFormat="1" applyFont="1" applyBorder="1" applyAlignment="1">
      <alignment horizontal="center" vertical="center"/>
    </xf>
    <xf numFmtId="4" fontId="49" fillId="0" borderId="12" xfId="31" applyNumberFormat="1" applyFont="1" applyBorder="1" applyAlignment="1">
      <alignment horizontal="center"/>
    </xf>
    <xf numFmtId="0" fontId="1" fillId="0" borderId="70" xfId="29" applyFont="1" applyBorder="1" applyAlignment="1">
      <alignment horizontal="right"/>
    </xf>
    <xf numFmtId="2" fontId="1" fillId="0" borderId="71" xfId="29" applyNumberFormat="1" applyFont="1" applyBorder="1" applyAlignment="1">
      <alignment horizontal="center"/>
    </xf>
    <xf numFmtId="191" fontId="1" fillId="0" borderId="104" xfId="29" applyNumberFormat="1" applyFont="1" applyBorder="1" applyAlignment="1">
      <alignment horizontal="left"/>
    </xf>
    <xf numFmtId="0" fontId="1" fillId="0" borderId="105" xfId="29" applyFont="1" applyBorder="1" applyAlignment="1">
      <alignment horizontal="right"/>
    </xf>
    <xf numFmtId="2" fontId="1" fillId="0" borderId="64" xfId="29" applyNumberFormat="1" applyFont="1" applyBorder="1" applyAlignment="1">
      <alignment horizontal="center"/>
    </xf>
    <xf numFmtId="4" fontId="1" fillId="0" borderId="64" xfId="31" applyNumberFormat="1" applyFont="1" applyBorder="1" applyAlignment="1">
      <alignment horizontal="center"/>
    </xf>
    <xf numFmtId="2" fontId="1" fillId="0" borderId="64" xfId="31" applyNumberFormat="1" applyFont="1" applyBorder="1" applyAlignment="1">
      <alignment horizontal="center"/>
    </xf>
    <xf numFmtId="4" fontId="1" fillId="0" borderId="72" xfId="29" applyNumberFormat="1" applyFont="1" applyBorder="1"/>
    <xf numFmtId="1" fontId="1" fillId="0" borderId="70" xfId="29" applyNumberFormat="1" applyFont="1" applyBorder="1" applyAlignment="1">
      <alignment horizontal="right"/>
    </xf>
    <xf numFmtId="2" fontId="1" fillId="0" borderId="104" xfId="29" applyNumberFormat="1" applyFont="1" applyBorder="1" applyAlignment="1">
      <alignment horizontal="left"/>
    </xf>
    <xf numFmtId="1" fontId="1" fillId="0" borderId="105" xfId="29" applyNumberFormat="1" applyFont="1" applyBorder="1" applyAlignment="1">
      <alignment horizontal="right"/>
    </xf>
    <xf numFmtId="2" fontId="1" fillId="0" borderId="106" xfId="31" applyNumberFormat="1" applyFont="1" applyBorder="1" applyAlignment="1">
      <alignment horizontal="center"/>
    </xf>
    <xf numFmtId="168" fontId="1" fillId="0" borderId="64" xfId="31" applyNumberFormat="1" applyFont="1" applyBorder="1" applyAlignment="1">
      <alignment horizontal="center"/>
    </xf>
    <xf numFmtId="4" fontId="1" fillId="0" borderId="65" xfId="31" applyNumberFormat="1" applyFont="1" applyBorder="1" applyAlignment="1">
      <alignment horizontal="right"/>
    </xf>
    <xf numFmtId="0" fontId="49" fillId="0" borderId="70" xfId="29" applyFont="1" applyBorder="1" applyAlignment="1">
      <alignment horizontal="right"/>
    </xf>
    <xf numFmtId="2" fontId="49" fillId="0" borderId="71" xfId="29" applyNumberFormat="1" applyFont="1" applyBorder="1" applyAlignment="1">
      <alignment horizontal="center"/>
    </xf>
    <xf numFmtId="2" fontId="49" fillId="0" borderId="104" xfId="29" applyNumberFormat="1" applyFont="1" applyBorder="1" applyAlignment="1">
      <alignment horizontal="left"/>
    </xf>
    <xf numFmtId="0" fontId="49" fillId="0" borderId="105" xfId="29" applyFont="1" applyBorder="1" applyAlignment="1">
      <alignment horizontal="right"/>
    </xf>
    <xf numFmtId="2" fontId="49" fillId="0" borderId="64" xfId="29" applyNumberFormat="1" applyFont="1" applyBorder="1" applyAlignment="1">
      <alignment horizontal="center"/>
    </xf>
    <xf numFmtId="4" fontId="49" fillId="0" borderId="64" xfId="31" applyNumberFormat="1" applyFont="1" applyBorder="1" applyAlignment="1">
      <alignment horizontal="center"/>
    </xf>
    <xf numFmtId="2" fontId="49" fillId="0" borderId="64" xfId="31" applyNumberFormat="1" applyFont="1" applyBorder="1" applyAlignment="1">
      <alignment horizontal="center"/>
    </xf>
    <xf numFmtId="4" fontId="49" fillId="0" borderId="72" xfId="29" applyNumberFormat="1" applyFont="1" applyBorder="1"/>
    <xf numFmtId="4" fontId="1" fillId="0" borderId="12" xfId="31" applyNumberFormat="1" applyFont="1" applyBorder="1" applyAlignment="1">
      <alignment horizontal="center"/>
    </xf>
    <xf numFmtId="4" fontId="1" fillId="0" borderId="106" xfId="31" applyNumberFormat="1" applyFont="1" applyBorder="1" applyAlignment="1">
      <alignment horizontal="center"/>
    </xf>
    <xf numFmtId="168" fontId="1" fillId="0" borderId="106" xfId="31" applyNumberFormat="1" applyFont="1" applyBorder="1" applyAlignment="1">
      <alignment horizontal="center"/>
    </xf>
    <xf numFmtId="4" fontId="3" fillId="2" borderId="109" xfId="31" applyNumberFormat="1" applyFont="1" applyFill="1" applyBorder="1" applyAlignment="1">
      <alignment horizontal="right"/>
    </xf>
    <xf numFmtId="1" fontId="1" fillId="0" borderId="8" xfId="29" applyNumberFormat="1" applyFont="1" applyBorder="1" applyAlignment="1">
      <alignment horizontal="right"/>
    </xf>
    <xf numFmtId="2" fontId="1" fillId="0" borderId="8" xfId="29" applyNumberFormat="1" applyFont="1" applyBorder="1" applyAlignment="1">
      <alignment horizontal="center"/>
    </xf>
    <xf numFmtId="2" fontId="1" fillId="0" borderId="8" xfId="29" applyNumberFormat="1" applyFont="1" applyBorder="1" applyAlignment="1">
      <alignment horizontal="left"/>
    </xf>
    <xf numFmtId="4" fontId="1" fillId="0" borderId="8" xfId="31" applyNumberFormat="1" applyFont="1" applyBorder="1" applyAlignment="1">
      <alignment horizontal="center"/>
    </xf>
    <xf numFmtId="2" fontId="1" fillId="0" borderId="8" xfId="31" applyNumberFormat="1" applyFont="1" applyBorder="1" applyAlignment="1">
      <alignment horizontal="center"/>
    </xf>
    <xf numFmtId="168" fontId="1" fillId="0" borderId="8" xfId="31" applyNumberFormat="1" applyFont="1" applyBorder="1" applyAlignment="1">
      <alignment horizontal="center"/>
    </xf>
    <xf numFmtId="4" fontId="1" fillId="0" borderId="8" xfId="31" applyNumberFormat="1" applyFont="1" applyBorder="1" applyAlignment="1">
      <alignment horizontal="right"/>
    </xf>
    <xf numFmtId="4" fontId="1" fillId="0" borderId="0" xfId="31" applyNumberFormat="1" applyFont="1" applyBorder="1" applyAlignment="1">
      <alignment horizontal="center"/>
    </xf>
    <xf numFmtId="1" fontId="1" fillId="0" borderId="8" xfId="29" applyNumberFormat="1" applyFont="1" applyBorder="1" applyAlignment="1">
      <alignment horizontal="center"/>
    </xf>
    <xf numFmtId="2" fontId="86" fillId="0" borderId="0" xfId="29" applyNumberFormat="1" applyFont="1" applyAlignment="1">
      <alignment horizontal="left"/>
    </xf>
    <xf numFmtId="2" fontId="86" fillId="0" borderId="0" xfId="29" applyNumberFormat="1" applyFont="1" applyAlignment="1">
      <alignment horizontal="center"/>
    </xf>
    <xf numFmtId="4" fontId="86" fillId="0" borderId="0" xfId="29" applyNumberFormat="1" applyFont="1" applyAlignment="1">
      <alignment horizontal="center"/>
    </xf>
    <xf numFmtId="1" fontId="1" fillId="0" borderId="0" xfId="29" applyNumberFormat="1" applyFont="1" applyAlignment="1">
      <alignment horizontal="right"/>
    </xf>
    <xf numFmtId="2" fontId="1" fillId="0" borderId="0" xfId="29" applyNumberFormat="1" applyFont="1" applyAlignment="1">
      <alignment horizontal="left"/>
    </xf>
    <xf numFmtId="4" fontId="1" fillId="0" borderId="0" xfId="29" applyNumberFormat="1" applyFont="1" applyAlignment="1">
      <alignment horizontal="center"/>
    </xf>
    <xf numFmtId="1" fontId="1" fillId="0" borderId="0" xfId="29" applyNumberFormat="1" applyFont="1" applyAlignment="1">
      <alignment horizontal="center"/>
    </xf>
    <xf numFmtId="1" fontId="3" fillId="0" borderId="0" xfId="29" applyNumberFormat="1" applyFont="1" applyAlignment="1">
      <alignment horizontal="right"/>
    </xf>
    <xf numFmtId="2" fontId="1" fillId="3" borderId="26" xfId="29" applyNumberFormat="1" applyFont="1" applyFill="1" applyBorder="1" applyAlignment="1">
      <alignment horizontal="center"/>
    </xf>
    <xf numFmtId="1" fontId="1" fillId="3" borderId="0" xfId="29" applyNumberFormat="1" applyFont="1" applyFill="1" applyAlignment="1">
      <alignment horizontal="right"/>
    </xf>
    <xf numFmtId="1" fontId="1" fillId="3" borderId="0" xfId="29" applyNumberFormat="1" applyFont="1" applyFill="1"/>
    <xf numFmtId="4" fontId="1" fillId="3" borderId="0" xfId="29" applyNumberFormat="1" applyFont="1" applyFill="1" applyAlignment="1">
      <alignment horizontal="center"/>
    </xf>
    <xf numFmtId="2" fontId="1" fillId="3" borderId="0" xfId="29" applyNumberFormat="1" applyFont="1" applyFill="1" applyAlignment="1">
      <alignment horizontal="center"/>
    </xf>
    <xf numFmtId="2" fontId="1" fillId="3" borderId="0" xfId="29" applyNumberFormat="1" applyFont="1" applyFill="1" applyAlignment="1">
      <alignment horizontal="left"/>
    </xf>
    <xf numFmtId="1" fontId="1" fillId="3" borderId="0" xfId="29" applyNumberFormat="1" applyFont="1" applyFill="1" applyAlignment="1">
      <alignment horizontal="center"/>
    </xf>
    <xf numFmtId="2" fontId="1" fillId="3" borderId="27" xfId="29" applyNumberFormat="1" applyFont="1" applyFill="1" applyBorder="1" applyAlignment="1">
      <alignment horizontal="center"/>
    </xf>
    <xf numFmtId="2" fontId="1" fillId="3" borderId="35" xfId="29" applyNumberFormat="1" applyFont="1" applyFill="1" applyBorder="1" applyAlignment="1">
      <alignment horizontal="center"/>
    </xf>
    <xf numFmtId="1" fontId="1" fillId="3" borderId="36" xfId="29" applyNumberFormat="1" applyFont="1" applyFill="1" applyBorder="1" applyAlignment="1">
      <alignment horizontal="right"/>
    </xf>
    <xf numFmtId="2" fontId="1" fillId="3" borderId="36" xfId="29" applyNumberFormat="1" applyFont="1" applyFill="1" applyBorder="1" applyAlignment="1">
      <alignment horizontal="center"/>
    </xf>
    <xf numFmtId="2" fontId="1" fillId="3" borderId="36" xfId="29" applyNumberFormat="1" applyFont="1" applyFill="1" applyBorder="1" applyAlignment="1">
      <alignment horizontal="left"/>
    </xf>
    <xf numFmtId="4" fontId="1" fillId="3" borderId="36" xfId="29" applyNumberFormat="1" applyFont="1" applyFill="1" applyBorder="1" applyAlignment="1">
      <alignment horizontal="center"/>
    </xf>
    <xf numFmtId="1" fontId="1" fillId="3" borderId="36" xfId="29" applyNumberFormat="1" applyFont="1" applyFill="1" applyBorder="1" applyAlignment="1">
      <alignment horizontal="center"/>
    </xf>
    <xf numFmtId="2" fontId="1" fillId="3" borderId="37" xfId="29" applyNumberFormat="1" applyFont="1" applyFill="1" applyBorder="1" applyAlignment="1">
      <alignment horizontal="center"/>
    </xf>
    <xf numFmtId="2" fontId="1" fillId="0" borderId="23" xfId="29" applyNumberFormat="1" applyFont="1" applyBorder="1" applyAlignment="1">
      <alignment horizontal="center"/>
    </xf>
    <xf numFmtId="1" fontId="1" fillId="0" borderId="24" xfId="29" applyNumberFormat="1" applyFont="1" applyBorder="1" applyAlignment="1">
      <alignment horizontal="right"/>
    </xf>
    <xf numFmtId="2" fontId="1" fillId="0" borderId="24" xfId="29" applyNumberFormat="1" applyFont="1" applyBorder="1" applyAlignment="1">
      <alignment horizontal="center"/>
    </xf>
    <xf numFmtId="2" fontId="1" fillId="0" borderId="24" xfId="29" applyNumberFormat="1" applyFont="1" applyBorder="1" applyAlignment="1">
      <alignment horizontal="left"/>
    </xf>
    <xf numFmtId="4" fontId="1" fillId="0" borderId="24" xfId="29" applyNumberFormat="1" applyFont="1" applyBorder="1" applyAlignment="1">
      <alignment horizontal="center"/>
    </xf>
    <xf numFmtId="2" fontId="1" fillId="0" borderId="25" xfId="29" applyNumberFormat="1" applyFont="1" applyBorder="1" applyAlignment="1">
      <alignment horizontal="center"/>
    </xf>
    <xf numFmtId="2" fontId="1" fillId="0" borderId="29" xfId="29" applyNumberFormat="1" applyFont="1" applyBorder="1" applyAlignment="1">
      <alignment horizontal="center"/>
    </xf>
    <xf numFmtId="176" fontId="1" fillId="0" borderId="70" xfId="29" applyNumberFormat="1" applyFont="1" applyBorder="1" applyAlignment="1">
      <alignment horizontal="right"/>
    </xf>
    <xf numFmtId="176" fontId="1" fillId="0" borderId="105" xfId="29" applyNumberFormat="1" applyFont="1" applyBorder="1" applyAlignment="1">
      <alignment horizontal="right"/>
    </xf>
    <xf numFmtId="0" fontId="1" fillId="0" borderId="28" xfId="29" applyFont="1" applyBorder="1" applyAlignment="1">
      <alignment horizontal="right"/>
    </xf>
    <xf numFmtId="191" fontId="1" fillId="0" borderId="110" xfId="29" applyNumberFormat="1" applyFont="1" applyBorder="1" applyAlignment="1">
      <alignment horizontal="left"/>
    </xf>
    <xf numFmtId="0" fontId="1" fillId="0" borderId="111" xfId="29" applyFont="1" applyBorder="1" applyAlignment="1">
      <alignment horizontal="right"/>
    </xf>
    <xf numFmtId="2" fontId="1" fillId="0" borderId="106" xfId="29" applyNumberFormat="1" applyFont="1" applyBorder="1" applyAlignment="1">
      <alignment horizontal="center"/>
    </xf>
    <xf numFmtId="2" fontId="1" fillId="0" borderId="110" xfId="29" applyNumberFormat="1" applyFont="1" applyBorder="1" applyAlignment="1">
      <alignment horizontal="left"/>
    </xf>
    <xf numFmtId="176" fontId="1" fillId="3" borderId="70" xfId="29" applyNumberFormat="1" applyFont="1" applyFill="1" applyBorder="1" applyAlignment="1">
      <alignment horizontal="right"/>
    </xf>
    <xf numFmtId="4" fontId="1" fillId="0" borderId="65" xfId="29" applyNumberFormat="1" applyFont="1" applyBorder="1"/>
    <xf numFmtId="0" fontId="1" fillId="3" borderId="70" xfId="29" applyFont="1" applyFill="1" applyBorder="1" applyAlignment="1">
      <alignment horizontal="right"/>
    </xf>
    <xf numFmtId="0" fontId="1" fillId="3" borderId="28" xfId="29" applyFont="1" applyFill="1" applyBorder="1" applyAlignment="1">
      <alignment horizontal="right"/>
    </xf>
    <xf numFmtId="4" fontId="1" fillId="0" borderId="112" xfId="29" applyNumberFormat="1" applyFont="1" applyBorder="1"/>
    <xf numFmtId="1" fontId="1" fillId="0" borderId="105" xfId="29" applyNumberFormat="1" applyFont="1" applyBorder="1"/>
    <xf numFmtId="0" fontId="92" fillId="14" borderId="95" xfId="29" applyFont="1" applyFill="1" applyBorder="1" applyAlignment="1">
      <alignment horizontal="center" vertical="center" wrapText="1"/>
    </xf>
    <xf numFmtId="0" fontId="93" fillId="0" borderId="73" xfId="29" applyFont="1" applyBorder="1" applyAlignment="1">
      <alignment horizontal="center" vertical="center" wrapText="1"/>
    </xf>
    <xf numFmtId="0" fontId="93" fillId="0" borderId="73" xfId="29" applyFont="1" applyBorder="1" applyAlignment="1">
      <alignment horizontal="left" vertical="center" wrapText="1"/>
    </xf>
    <xf numFmtId="4" fontId="93" fillId="0" borderId="73" xfId="29" applyNumberFormat="1" applyFont="1" applyBorder="1" applyAlignment="1">
      <alignment horizontal="right" vertical="center" wrapText="1"/>
    </xf>
    <xf numFmtId="171" fontId="22" fillId="0" borderId="0" xfId="9" applyNumberFormat="1" applyFont="1" applyAlignment="1">
      <alignment horizontal="center"/>
    </xf>
    <xf numFmtId="171" fontId="22" fillId="0" borderId="0" xfId="9" applyNumberFormat="1" applyFont="1" applyAlignment="1">
      <alignment horizontal="center" vertical="top"/>
    </xf>
    <xf numFmtId="2" fontId="19" fillId="0" borderId="0" xfId="9" applyNumberFormat="1" applyFont="1" applyAlignment="1">
      <alignment horizontal="center" vertical="top" textRotation="90"/>
    </xf>
    <xf numFmtId="171" fontId="17" fillId="0" borderId="0" xfId="9" applyNumberFormat="1" applyFont="1" applyAlignment="1">
      <alignment horizontal="left"/>
    </xf>
    <xf numFmtId="0" fontId="17" fillId="0" borderId="0" xfId="9" applyFont="1" applyAlignment="1">
      <alignment horizontal="center" vertical="center"/>
    </xf>
    <xf numFmtId="171" fontId="17" fillId="0" borderId="0" xfId="9" applyNumberFormat="1" applyFont="1" applyAlignment="1">
      <alignment horizontal="right"/>
    </xf>
    <xf numFmtId="2" fontId="20" fillId="0" borderId="0" xfId="9" applyNumberFormat="1" applyFont="1" applyAlignment="1">
      <alignment horizontal="center" textRotation="90"/>
    </xf>
    <xf numFmtId="165" fontId="19" fillId="0" borderId="0" xfId="9" applyNumberFormat="1" applyFont="1" applyAlignment="1">
      <alignment horizontal="left" textRotation="90"/>
    </xf>
    <xf numFmtId="0" fontId="20" fillId="0" borderId="0" xfId="9" applyFont="1" applyAlignment="1">
      <alignment horizontal="center" vertical="center" textRotation="90"/>
    </xf>
    <xf numFmtId="0" fontId="20" fillId="0" borderId="27" xfId="9" applyFont="1" applyBorder="1" applyAlignment="1">
      <alignment horizontal="center" vertical="center" textRotation="90"/>
    </xf>
    <xf numFmtId="174" fontId="20" fillId="0" borderId="0" xfId="9" applyNumberFormat="1" applyFont="1" applyAlignment="1">
      <alignment horizontal="center" vertical="top" textRotation="90"/>
    </xf>
    <xf numFmtId="0" fontId="17" fillId="0" borderId="0" xfId="9" applyFont="1" applyAlignment="1">
      <alignment horizontal="center" textRotation="90"/>
    </xf>
    <xf numFmtId="0" fontId="21" fillId="0" borderId="0" xfId="9" applyFont="1" applyAlignment="1">
      <alignment horizontal="left" vertical="center"/>
    </xf>
    <xf numFmtId="0" fontId="3" fillId="8" borderId="1" xfId="3" applyFont="1" applyFill="1" applyBorder="1" applyAlignment="1">
      <alignment horizontal="center" vertical="center"/>
    </xf>
    <xf numFmtId="0" fontId="3" fillId="8" borderId="12" xfId="3" applyFont="1" applyFill="1" applyBorder="1" applyAlignment="1">
      <alignment horizontal="center" vertical="center"/>
    </xf>
    <xf numFmtId="0" fontId="3" fillId="8" borderId="2" xfId="3" applyFont="1" applyFill="1" applyBorder="1" applyAlignment="1">
      <alignment horizontal="center" vertical="center"/>
    </xf>
    <xf numFmtId="0" fontId="3" fillId="8" borderId="3" xfId="3" applyFont="1" applyFill="1" applyBorder="1" applyAlignment="1">
      <alignment horizontal="center" vertical="center"/>
    </xf>
    <xf numFmtId="0" fontId="3" fillId="8" borderId="4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/>
    </xf>
    <xf numFmtId="0" fontId="3" fillId="8" borderId="12" xfId="3" applyFont="1" applyFill="1" applyBorder="1" applyAlignment="1">
      <alignment horizontal="center" vertical="center" wrapText="1"/>
    </xf>
    <xf numFmtId="4" fontId="3" fillId="3" borderId="2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1" fillId="3" borderId="2" xfId="3" applyNumberFormat="1" applyFill="1" applyBorder="1" applyAlignment="1">
      <alignment horizontal="center" vertical="center"/>
    </xf>
    <xf numFmtId="4" fontId="1" fillId="3" borderId="3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1" fontId="1" fillId="0" borderId="12" xfId="3" applyNumberFormat="1" applyBorder="1" applyAlignment="1">
      <alignment horizontal="center" vertical="center"/>
    </xf>
    <xf numFmtId="2" fontId="1" fillId="0" borderId="12" xfId="3" applyNumberFormat="1" applyBorder="1" applyAlignment="1">
      <alignment horizontal="center" vertical="center"/>
    </xf>
    <xf numFmtId="0" fontId="3" fillId="2" borderId="8" xfId="3" applyFont="1" applyFill="1" applyBorder="1" applyAlignment="1">
      <alignment horizontal="centerContinuous" vertical="center"/>
    </xf>
    <xf numFmtId="0" fontId="3" fillId="2" borderId="1" xfId="3" applyFont="1" applyFill="1" applyBorder="1" applyAlignment="1">
      <alignment vertical="center" textRotation="90"/>
    </xf>
    <xf numFmtId="0" fontId="3" fillId="2" borderId="2" xfId="3" applyFont="1" applyFill="1" applyBorder="1" applyAlignment="1">
      <alignment horizontal="centerContinuous" vertical="center"/>
    </xf>
    <xf numFmtId="0" fontId="3" fillId="2" borderId="6" xfId="3" applyFont="1" applyFill="1" applyBorder="1" applyAlignment="1">
      <alignment horizontal="centerContinuous" vertical="center"/>
    </xf>
    <xf numFmtId="0" fontId="3" fillId="2" borderId="3" xfId="3" applyFont="1" applyFill="1" applyBorder="1" applyAlignment="1">
      <alignment horizontal="centerContinuous" vertical="center"/>
    </xf>
    <xf numFmtId="0" fontId="3" fillId="2" borderId="5" xfId="3" applyFont="1" applyFill="1" applyBorder="1" applyAlignment="1">
      <alignment horizontal="center" vertical="center"/>
    </xf>
    <xf numFmtId="0" fontId="3" fillId="2" borderId="15" xfId="3" applyFont="1" applyFill="1" applyBorder="1" applyAlignment="1">
      <alignment horizontal="centerContinuous" vertical="center"/>
    </xf>
    <xf numFmtId="0" fontId="3" fillId="2" borderId="14" xfId="3" applyFont="1" applyFill="1" applyBorder="1" applyAlignment="1">
      <alignment horizontal="centerContinuous" vertical="center"/>
    </xf>
    <xf numFmtId="0" fontId="3" fillId="2" borderId="0" xfId="3" applyFont="1" applyFill="1"/>
    <xf numFmtId="0" fontId="3" fillId="8" borderId="1" xfId="3" applyFont="1" applyFill="1" applyBorder="1" applyAlignment="1">
      <alignment vertical="center"/>
    </xf>
    <xf numFmtId="0" fontId="3" fillId="11" borderId="8" xfId="3" applyFont="1" applyFill="1" applyBorder="1" applyAlignment="1">
      <alignment horizontal="centerContinuous" vertical="center"/>
    </xf>
    <xf numFmtId="0" fontId="3" fillId="11" borderId="9" xfId="3" applyFont="1" applyFill="1" applyBorder="1" applyAlignment="1">
      <alignment horizontal="centerContinuous" vertical="center"/>
    </xf>
    <xf numFmtId="0" fontId="3" fillId="11" borderId="1" xfId="3" applyFont="1" applyFill="1" applyBorder="1" applyAlignment="1">
      <alignment horizontal="center" vertical="center"/>
    </xf>
    <xf numFmtId="0" fontId="3" fillId="11" borderId="1" xfId="3" applyFont="1" applyFill="1" applyBorder="1" applyAlignment="1">
      <alignment vertical="center" textRotation="90"/>
    </xf>
    <xf numFmtId="0" fontId="3" fillId="11" borderId="7" xfId="3" applyFont="1" applyFill="1" applyBorder="1" applyAlignment="1">
      <alignment horizontal="centerContinuous" vertical="center"/>
    </xf>
    <xf numFmtId="0" fontId="3" fillId="11" borderId="2" xfId="3" applyFont="1" applyFill="1" applyBorder="1" applyAlignment="1">
      <alignment horizontal="centerContinuous" vertical="center"/>
    </xf>
    <xf numFmtId="0" fontId="3" fillId="11" borderId="6" xfId="3" applyFont="1" applyFill="1" applyBorder="1" applyAlignment="1">
      <alignment horizontal="centerContinuous" vertical="center"/>
    </xf>
    <xf numFmtId="0" fontId="3" fillId="11" borderId="3" xfId="3" applyFont="1" applyFill="1" applyBorder="1" applyAlignment="1">
      <alignment horizontal="centerContinuous" vertical="center"/>
    </xf>
    <xf numFmtId="0" fontId="3" fillId="11" borderId="12" xfId="3" applyFont="1" applyFill="1" applyBorder="1" applyAlignment="1">
      <alignment horizontal="center" vertical="center"/>
    </xf>
    <xf numFmtId="0" fontId="3" fillId="11" borderId="12" xfId="3" applyFont="1" applyFill="1" applyBorder="1" applyAlignment="1">
      <alignment horizontal="center" vertical="center" wrapText="1"/>
    </xf>
    <xf numFmtId="0" fontId="3" fillId="11" borderId="10" xfId="3" applyFont="1" applyFill="1" applyBorder="1" applyAlignment="1">
      <alignment horizontal="centerContinuous" vertical="center"/>
    </xf>
    <xf numFmtId="0" fontId="3" fillId="11" borderId="11" xfId="3" applyFont="1" applyFill="1" applyBorder="1" applyAlignment="1">
      <alignment horizontal="centerContinuous" vertical="center"/>
    </xf>
    <xf numFmtId="0" fontId="3" fillId="11" borderId="3" xfId="3" applyFont="1" applyFill="1" applyBorder="1" applyAlignment="1">
      <alignment horizontal="center" vertical="center"/>
    </xf>
    <xf numFmtId="0" fontId="3" fillId="11" borderId="5" xfId="3" applyFont="1" applyFill="1" applyBorder="1" applyAlignment="1">
      <alignment horizontal="center" vertical="center"/>
    </xf>
    <xf numFmtId="0" fontId="3" fillId="11" borderId="4" xfId="3" applyFont="1" applyFill="1" applyBorder="1" applyAlignment="1">
      <alignment horizontal="center" vertical="center"/>
    </xf>
    <xf numFmtId="0" fontId="3" fillId="11" borderId="15" xfId="3" applyFont="1" applyFill="1" applyBorder="1" applyAlignment="1">
      <alignment horizontal="centerContinuous" vertical="center"/>
    </xf>
    <xf numFmtId="0" fontId="3" fillId="11" borderId="14" xfId="3" applyFont="1" applyFill="1" applyBorder="1" applyAlignment="1">
      <alignment horizontal="centerContinuous" vertical="center"/>
    </xf>
    <xf numFmtId="3" fontId="1" fillId="11" borderId="12" xfId="3" applyNumberFormat="1" applyFill="1" applyBorder="1" applyAlignment="1">
      <alignment horizontal="center" vertical="center"/>
    </xf>
    <xf numFmtId="169" fontId="1" fillId="11" borderId="10" xfId="3" applyNumberFormat="1" applyFill="1" applyBorder="1" applyAlignment="1">
      <alignment horizontal="center" vertical="center"/>
    </xf>
    <xf numFmtId="4" fontId="1" fillId="11" borderId="11" xfId="3" applyNumberFormat="1" applyFill="1" applyBorder="1" applyAlignment="1">
      <alignment horizontal="center" vertical="center"/>
    </xf>
    <xf numFmtId="4" fontId="1" fillId="11" borderId="10" xfId="3" applyNumberFormat="1" applyFill="1" applyBorder="1" applyAlignment="1">
      <alignment horizontal="center" vertical="center"/>
    </xf>
    <xf numFmtId="0" fontId="3" fillId="12" borderId="0" xfId="3" applyFont="1" applyFill="1"/>
    <xf numFmtId="0" fontId="1" fillId="12" borderId="0" xfId="3" applyFill="1"/>
    <xf numFmtId="4" fontId="3" fillId="11" borderId="0" xfId="3" applyNumberFormat="1" applyFont="1" applyFill="1"/>
    <xf numFmtId="4" fontId="1" fillId="3" borderId="5" xfId="3" applyNumberFormat="1" applyFill="1" applyBorder="1"/>
    <xf numFmtId="49" fontId="3" fillId="2" borderId="12" xfId="3" applyNumberFormat="1" applyFont="1" applyFill="1" applyBorder="1" applyAlignment="1">
      <alignment vertical="top" wrapText="1"/>
    </xf>
    <xf numFmtId="2" fontId="3" fillId="2" borderId="5" xfId="3" applyNumberFormat="1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/>
    </xf>
    <xf numFmtId="1" fontId="3" fillId="2" borderId="5" xfId="3" applyNumberFormat="1" applyFont="1" applyFill="1" applyBorder="1" applyAlignment="1">
      <alignment horizontal="center" vertical="center"/>
    </xf>
    <xf numFmtId="2" fontId="3" fillId="2" borderId="2" xfId="3" applyNumberFormat="1" applyFont="1" applyFill="1" applyBorder="1" applyAlignment="1">
      <alignment horizontal="centerContinuous" vertical="center"/>
    </xf>
    <xf numFmtId="2" fontId="3" fillId="2" borderId="6" xfId="3" applyNumberFormat="1" applyFont="1" applyFill="1" applyBorder="1" applyAlignment="1">
      <alignment horizontal="centerContinuous" vertical="center"/>
    </xf>
    <xf numFmtId="4" fontId="3" fillId="2" borderId="6" xfId="3" applyNumberFormat="1" applyFont="1" applyFill="1" applyBorder="1" applyAlignment="1">
      <alignment horizontal="center" vertical="center"/>
    </xf>
    <xf numFmtId="2" fontId="3" fillId="2" borderId="3" xfId="3" applyNumberFormat="1" applyFont="1" applyFill="1" applyBorder="1" applyAlignment="1">
      <alignment horizontal="center" vertical="center"/>
    </xf>
    <xf numFmtId="4" fontId="3" fillId="2" borderId="3" xfId="3" applyNumberFormat="1" applyFont="1" applyFill="1" applyBorder="1" applyAlignment="1">
      <alignment horizontal="center" vertical="center"/>
    </xf>
    <xf numFmtId="4" fontId="1" fillId="2" borderId="0" xfId="3" applyNumberFormat="1" applyFill="1"/>
    <xf numFmtId="4" fontId="3" fillId="2" borderId="0" xfId="3" applyNumberFormat="1" applyFont="1" applyFill="1"/>
    <xf numFmtId="0" fontId="3" fillId="3" borderId="0" xfId="3" applyFont="1" applyFill="1"/>
    <xf numFmtId="4" fontId="3" fillId="3" borderId="0" xfId="3" applyNumberFormat="1" applyFont="1" applyFill="1" applyAlignment="1">
      <alignment horizontal="left"/>
    </xf>
    <xf numFmtId="4" fontId="3" fillId="12" borderId="0" xfId="3" applyNumberFormat="1" applyFont="1" applyFill="1" applyAlignment="1">
      <alignment horizontal="left"/>
    </xf>
    <xf numFmtId="0" fontId="1" fillId="3" borderId="7" xfId="3" applyFill="1" applyBorder="1"/>
    <xf numFmtId="0" fontId="1" fillId="3" borderId="9" xfId="3" applyFill="1" applyBorder="1"/>
    <xf numFmtId="2" fontId="3" fillId="3" borderId="11" xfId="3" applyNumberFormat="1" applyFont="1" applyFill="1" applyBorder="1"/>
    <xf numFmtId="0" fontId="3" fillId="3" borderId="10" xfId="3" applyFont="1" applyFill="1" applyBorder="1"/>
    <xf numFmtId="0" fontId="1" fillId="3" borderId="11" xfId="3" applyFill="1" applyBorder="1"/>
    <xf numFmtId="0" fontId="3" fillId="3" borderId="0" xfId="3" applyFont="1" applyFill="1" applyAlignment="1">
      <alignment horizontal="right"/>
    </xf>
    <xf numFmtId="2" fontId="3" fillId="3" borderId="0" xfId="3" applyNumberFormat="1" applyFont="1" applyFill="1"/>
    <xf numFmtId="0" fontId="1" fillId="3" borderId="10" xfId="3" applyFill="1" applyBorder="1"/>
    <xf numFmtId="4" fontId="3" fillId="3" borderId="0" xfId="3" applyNumberFormat="1" applyFont="1" applyFill="1"/>
    <xf numFmtId="0" fontId="1" fillId="3" borderId="15" xfId="3" applyFill="1" applyBorder="1"/>
    <xf numFmtId="0" fontId="1" fillId="3" borderId="14" xfId="3" applyFill="1" applyBorder="1"/>
    <xf numFmtId="4" fontId="1" fillId="12" borderId="0" xfId="3" applyNumberFormat="1" applyFill="1"/>
    <xf numFmtId="0" fontId="1" fillId="0" borderId="0" xfId="0" applyFont="1" applyAlignment="1">
      <alignment vertical="center"/>
    </xf>
    <xf numFmtId="1" fontId="37" fillId="0" borderId="5" xfId="0" applyNumberFormat="1" applyFont="1" applyBorder="1" applyAlignment="1" applyProtection="1">
      <alignment horizontal="center" vertical="center"/>
      <protection hidden="1"/>
    </xf>
    <xf numFmtId="9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37" fillId="0" borderId="5" xfId="0" applyFont="1" applyBorder="1" applyAlignment="1">
      <alignment horizontal="center" vertical="center" wrapText="1"/>
    </xf>
    <xf numFmtId="0" fontId="37" fillId="0" borderId="5" xfId="1" applyNumberFormat="1" applyFont="1" applyFill="1" applyBorder="1" applyAlignment="1">
      <alignment horizontal="center" vertical="center"/>
    </xf>
    <xf numFmtId="2" fontId="37" fillId="0" borderId="5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2" fontId="3" fillId="12" borderId="0" xfId="0" applyNumberFormat="1" applyFont="1" applyFill="1" applyAlignment="1">
      <alignment horizontal="center" vertical="center"/>
    </xf>
    <xf numFmtId="179" fontId="37" fillId="19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left"/>
    </xf>
    <xf numFmtId="0" fontId="12" fillId="0" borderId="17" xfId="5" applyFont="1" applyFill="1" applyBorder="1" applyAlignment="1">
      <alignment horizontal="left" vertical="center" wrapText="1"/>
    </xf>
    <xf numFmtId="0" fontId="12" fillId="0" borderId="17" xfId="5" applyFont="1" applyFill="1" applyBorder="1" applyAlignment="1">
      <alignment horizontal="center" vertical="center" wrapText="1"/>
    </xf>
    <xf numFmtId="4" fontId="12" fillId="0" borderId="16" xfId="5" applyNumberFormat="1" applyFont="1" applyFill="1" applyBorder="1" applyAlignment="1">
      <alignment horizontal="center" vertical="center" wrapText="1"/>
    </xf>
    <xf numFmtId="0" fontId="12" fillId="0" borderId="19" xfId="8" applyFont="1" applyFill="1" applyBorder="1" applyAlignment="1">
      <alignment vertical="top" wrapText="1"/>
    </xf>
    <xf numFmtId="0" fontId="12" fillId="0" borderId="18" xfId="5" applyFont="1" applyFill="1" applyBorder="1" applyAlignment="1">
      <alignment vertical="top" wrapText="1"/>
    </xf>
    <xf numFmtId="0" fontId="12" fillId="0" borderId="19" xfId="5" applyFont="1" applyFill="1" applyBorder="1" applyAlignment="1">
      <alignment horizontal="left" vertical="center" wrapText="1"/>
    </xf>
    <xf numFmtId="0" fontId="8" fillId="0" borderId="19" xfId="5" applyFont="1" applyFill="1" applyBorder="1" applyAlignment="1">
      <alignment horizontal="left" vertical="center" wrapText="1"/>
    </xf>
    <xf numFmtId="0" fontId="8" fillId="0" borderId="17" xfId="5" applyFont="1" applyFill="1" applyBorder="1" applyAlignment="1">
      <alignment horizontal="center" vertical="center" wrapText="1"/>
    </xf>
    <xf numFmtId="4" fontId="8" fillId="0" borderId="16" xfId="5" applyNumberFormat="1" applyFont="1" applyFill="1" applyBorder="1" applyAlignment="1">
      <alignment horizontal="center" vertical="center" wrapText="1"/>
    </xf>
    <xf numFmtId="0" fontId="96" fillId="0" borderId="60" xfId="29" applyFont="1" applyBorder="1" applyAlignment="1">
      <alignment horizontal="center"/>
    </xf>
    <xf numFmtId="179" fontId="96" fillId="0" borderId="60" xfId="29" applyNumberFormat="1" applyFont="1" applyBorder="1" applyAlignment="1">
      <alignment horizontal="center"/>
    </xf>
    <xf numFmtId="0" fontId="38" fillId="0" borderId="23" xfId="19" applyFont="1" applyBorder="1"/>
    <xf numFmtId="0" fontId="38" fillId="0" borderId="24" xfId="19" applyFont="1" applyBorder="1" applyAlignment="1">
      <alignment horizontal="center"/>
    </xf>
    <xf numFmtId="2" fontId="38" fillId="0" borderId="24" xfId="19" applyNumberFormat="1" applyFont="1" applyBorder="1" applyAlignment="1">
      <alignment horizontal="center"/>
    </xf>
    <xf numFmtId="0" fontId="38" fillId="0" borderId="25" xfId="19" applyFont="1" applyBorder="1"/>
    <xf numFmtId="0" fontId="38" fillId="0" borderId="27" xfId="19" applyFont="1" applyBorder="1"/>
    <xf numFmtId="0" fontId="92" fillId="14" borderId="1" xfId="19" applyFont="1" applyFill="1" applyBorder="1" applyAlignment="1">
      <alignment horizontal="center"/>
    </xf>
    <xf numFmtId="0" fontId="92" fillId="14" borderId="4" xfId="19" applyFont="1" applyFill="1" applyBorder="1" applyAlignment="1">
      <alignment horizontal="center"/>
    </xf>
    <xf numFmtId="0" fontId="91" fillId="14" borderId="5" xfId="19" applyFont="1" applyFill="1" applyBorder="1" applyAlignment="1">
      <alignment horizontal="center"/>
    </xf>
    <xf numFmtId="0" fontId="92" fillId="14" borderId="5" xfId="19" applyFont="1" applyFill="1" applyBorder="1" applyAlignment="1">
      <alignment horizontal="center"/>
    </xf>
    <xf numFmtId="0" fontId="38" fillId="0" borderId="60" xfId="19" applyFont="1" applyBorder="1" applyAlignment="1">
      <alignment horizontal="center"/>
    </xf>
    <xf numFmtId="1" fontId="38" fillId="0" borderId="60" xfId="19" applyNumberFormat="1" applyFont="1" applyBorder="1" applyAlignment="1">
      <alignment horizontal="center"/>
    </xf>
    <xf numFmtId="2" fontId="38" fillId="0" borderId="60" xfId="19" applyNumberFormat="1" applyFont="1" applyBorder="1" applyAlignment="1">
      <alignment horizontal="center"/>
    </xf>
    <xf numFmtId="0" fontId="97" fillId="0" borderId="61" xfId="29" applyFont="1" applyBorder="1" applyAlignment="1">
      <alignment horizontal="center"/>
    </xf>
    <xf numFmtId="179" fontId="97" fillId="0" borderId="61" xfId="29" applyNumberFormat="1" applyFont="1" applyBorder="1" applyAlignment="1">
      <alignment horizontal="center"/>
    </xf>
    <xf numFmtId="0" fontId="38" fillId="0" borderId="62" xfId="19" applyFont="1" applyBorder="1" applyAlignment="1">
      <alignment horizontal="center"/>
    </xf>
    <xf numFmtId="2" fontId="38" fillId="0" borderId="62" xfId="19" applyNumberFormat="1" applyFont="1" applyBorder="1" applyAlignment="1">
      <alignment horizontal="center"/>
    </xf>
    <xf numFmtId="1" fontId="38" fillId="0" borderId="62" xfId="19" applyNumberFormat="1" applyFont="1" applyBorder="1" applyAlignment="1">
      <alignment horizontal="center"/>
    </xf>
    <xf numFmtId="2" fontId="38" fillId="0" borderId="0" xfId="19" applyNumberFormat="1" applyFont="1" applyAlignment="1">
      <alignment horizontal="center"/>
    </xf>
    <xf numFmtId="4" fontId="45" fillId="0" borderId="0" xfId="19" applyNumberFormat="1" applyFont="1" applyAlignment="1">
      <alignment horizontal="right"/>
    </xf>
    <xf numFmtId="0" fontId="38" fillId="0" borderId="0" xfId="19" applyFont="1" applyAlignment="1">
      <alignment horizontal="right"/>
    </xf>
    <xf numFmtId="4" fontId="38" fillId="0" borderId="0" xfId="19" applyNumberFormat="1" applyFont="1" applyAlignment="1">
      <alignment horizontal="left"/>
    </xf>
    <xf numFmtId="2" fontId="45" fillId="0" borderId="0" xfId="19" applyNumberFormat="1" applyFont="1" applyAlignment="1">
      <alignment horizontal="left"/>
    </xf>
    <xf numFmtId="4" fontId="45" fillId="0" borderId="0" xfId="29" applyNumberFormat="1" applyFont="1" applyAlignment="1">
      <alignment horizontal="left"/>
    </xf>
    <xf numFmtId="0" fontId="38" fillId="0" borderId="35" xfId="19" applyFont="1" applyBorder="1"/>
    <xf numFmtId="0" fontId="38" fillId="0" borderId="36" xfId="19" applyFont="1" applyBorder="1" applyAlignment="1">
      <alignment horizontal="center"/>
    </xf>
    <xf numFmtId="2" fontId="38" fillId="0" borderId="36" xfId="19" applyNumberFormat="1" applyFont="1" applyBorder="1" applyAlignment="1">
      <alignment horizontal="center"/>
    </xf>
    <xf numFmtId="179" fontId="38" fillId="0" borderId="36" xfId="19" applyNumberFormat="1" applyFont="1" applyBorder="1" applyAlignment="1">
      <alignment horizontal="center"/>
    </xf>
    <xf numFmtId="0" fontId="38" fillId="0" borderId="37" xfId="19" applyFont="1" applyBorder="1"/>
    <xf numFmtId="0" fontId="38" fillId="20" borderId="0" xfId="19" applyFont="1" applyFill="1" applyAlignment="1">
      <alignment horizontal="center"/>
    </xf>
    <xf numFmtId="0" fontId="84" fillId="20" borderId="0" xfId="29" applyFill="1"/>
    <xf numFmtId="0" fontId="17" fillId="0" borderId="0" xfId="29" applyFont="1" applyAlignment="1">
      <alignment horizontal="center" vertical="center"/>
    </xf>
    <xf numFmtId="0" fontId="0" fillId="42" borderId="5" xfId="0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38" fillId="0" borderId="5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" fontId="38" fillId="0" borderId="5" xfId="0" applyNumberFormat="1" applyFont="1" applyBorder="1" applyAlignment="1">
      <alignment horizontal="center" vertical="center"/>
    </xf>
    <xf numFmtId="2" fontId="38" fillId="0" borderId="5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38" fillId="0" borderId="4" xfId="0" applyNumberFormat="1" applyFon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2" borderId="0" xfId="0" applyFill="1" applyAlignment="1">
      <alignment vertical="top"/>
    </xf>
    <xf numFmtId="2" fontId="0" fillId="0" borderId="1" xfId="0" applyNumberFormat="1" applyBorder="1" applyAlignment="1">
      <alignment horizontal="center" vertical="center"/>
    </xf>
    <xf numFmtId="1" fontId="38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8" fillId="0" borderId="0" xfId="0" applyFont="1"/>
    <xf numFmtId="0" fontId="98" fillId="0" borderId="5" xfId="0" quotePrefix="1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5" fillId="18" borderId="5" xfId="9" applyFont="1" applyFill="1" applyBorder="1" applyAlignment="1">
      <alignment horizontal="center" vertical="center"/>
    </xf>
    <xf numFmtId="192" fontId="35" fillId="18" borderId="5" xfId="9" applyNumberFormat="1" applyFont="1" applyFill="1" applyBorder="1" applyAlignment="1">
      <alignment horizontal="center" vertical="center"/>
    </xf>
    <xf numFmtId="0" fontId="35" fillId="18" borderId="5" xfId="9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193" fontId="1" fillId="0" borderId="113" xfId="0" applyNumberFormat="1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0" fontId="100" fillId="2" borderId="17" xfId="5" applyNumberFormat="1" applyFont="1" applyFill="1" applyBorder="1" applyAlignment="1">
      <alignment horizontal="left" vertical="center" wrapText="1"/>
    </xf>
    <xf numFmtId="0" fontId="100" fillId="0" borderId="17" xfId="5" applyFont="1" applyFill="1" applyBorder="1" applyAlignment="1">
      <alignment horizontal="left" vertical="center" wrapText="1"/>
    </xf>
    <xf numFmtId="0" fontId="100" fillId="0" borderId="17" xfId="5" applyFont="1" applyFill="1" applyBorder="1" applyAlignment="1">
      <alignment horizontal="center" vertical="center" wrapText="1"/>
    </xf>
    <xf numFmtId="4" fontId="100" fillId="0" borderId="16" xfId="5" applyNumberFormat="1" applyFont="1" applyFill="1" applyBorder="1" applyAlignment="1">
      <alignment horizontal="center" vertical="center" wrapText="1"/>
    </xf>
    <xf numFmtId="4" fontId="100" fillId="2" borderId="16" xfId="5" applyNumberFormat="1" applyFont="1" applyFill="1" applyBorder="1" applyAlignment="1">
      <alignment horizontal="center" vertical="center" wrapText="1"/>
    </xf>
    <xf numFmtId="4" fontId="100" fillId="2" borderId="21" xfId="5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3" fontId="1" fillId="11" borderId="5" xfId="14" applyNumberFormat="1" applyFont="1" applyFill="1" applyBorder="1" applyAlignment="1">
      <alignment horizontal="center" vertical="center"/>
    </xf>
    <xf numFmtId="0" fontId="35" fillId="33" borderId="1" xfId="29" applyFont="1" applyFill="1" applyBorder="1" applyAlignment="1">
      <alignment horizontal="center" vertical="center" wrapText="1"/>
    </xf>
    <xf numFmtId="0" fontId="35" fillId="33" borderId="4" xfId="29" applyFont="1" applyFill="1" applyBorder="1" applyAlignment="1">
      <alignment horizontal="center" vertical="center" wrapText="1"/>
    </xf>
    <xf numFmtId="0" fontId="35" fillId="33" borderId="5" xfId="29" applyFont="1" applyFill="1" applyBorder="1" applyAlignment="1">
      <alignment horizontal="center" vertical="center" wrapText="1"/>
    </xf>
    <xf numFmtId="193" fontId="1" fillId="0" borderId="97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32" applyFont="1" applyBorder="1" applyAlignment="1" applyProtection="1">
      <alignment vertical="center"/>
      <protection locked="0"/>
    </xf>
    <xf numFmtId="4" fontId="1" fillId="0" borderId="5" xfId="0" applyNumberFormat="1" applyFont="1" applyBorder="1" applyAlignment="1" applyProtection="1">
      <alignment horizontal="center" vertical="center"/>
      <protection locked="0"/>
    </xf>
    <xf numFmtId="3" fontId="1" fillId="0" borderId="5" xfId="0" applyNumberFormat="1" applyFont="1" applyBorder="1" applyAlignment="1" applyProtection="1">
      <alignment horizontal="center" vertical="center"/>
      <protection locked="0"/>
    </xf>
    <xf numFmtId="0" fontId="102" fillId="18" borderId="5" xfId="0" applyFont="1" applyFill="1" applyBorder="1" applyAlignment="1">
      <alignment horizontal="center" vertical="center" wrapText="1"/>
    </xf>
    <xf numFmtId="0" fontId="26" fillId="0" borderId="5" xfId="0" applyFont="1" applyBorder="1" applyAlignment="1" applyProtection="1">
      <alignment horizontal="center" vertical="center"/>
      <protection locked="0"/>
    </xf>
    <xf numFmtId="0" fontId="103" fillId="0" borderId="5" xfId="0" applyFont="1" applyBorder="1" applyAlignment="1">
      <alignment horizontal="center" vertical="center" wrapText="1"/>
    </xf>
    <xf numFmtId="2" fontId="26" fillId="0" borderId="5" xfId="0" applyNumberFormat="1" applyFont="1" applyBorder="1" applyAlignment="1">
      <alignment horizontal="center" vertical="center"/>
    </xf>
    <xf numFmtId="2" fontId="103" fillId="0" borderId="5" xfId="0" applyNumberFormat="1" applyFont="1" applyBorder="1" applyAlignment="1">
      <alignment horizontal="center" vertical="center"/>
    </xf>
    <xf numFmtId="4" fontId="103" fillId="0" borderId="5" xfId="0" applyNumberFormat="1" applyFont="1" applyBorder="1" applyAlignment="1">
      <alignment horizontal="center" vertical="center"/>
    </xf>
    <xf numFmtId="4" fontId="102" fillId="18" borderId="5" xfId="0" applyNumberFormat="1" applyFont="1" applyFill="1" applyBorder="1" applyAlignment="1">
      <alignment horizontal="center" vertical="center"/>
    </xf>
    <xf numFmtId="0" fontId="41" fillId="0" borderId="23" xfId="9" applyFont="1" applyBorder="1" applyAlignment="1">
      <alignment horizontal="center" vertical="center"/>
    </xf>
    <xf numFmtId="0" fontId="41" fillId="0" borderId="24" xfId="9" applyFont="1" applyBorder="1" applyAlignment="1">
      <alignment horizontal="center" vertical="center"/>
    </xf>
    <xf numFmtId="0" fontId="41" fillId="0" borderId="25" xfId="9" applyFont="1" applyBorder="1" applyAlignment="1">
      <alignment horizontal="center" vertical="center"/>
    </xf>
    <xf numFmtId="0" fontId="41" fillId="0" borderId="26" xfId="9" applyFont="1" applyBorder="1" applyAlignment="1">
      <alignment horizontal="center" vertical="center"/>
    </xf>
    <xf numFmtId="0" fontId="41" fillId="0" borderId="0" xfId="9" applyFont="1" applyAlignment="1">
      <alignment horizontal="center" vertical="center"/>
    </xf>
    <xf numFmtId="0" fontId="41" fillId="0" borderId="27" xfId="9" applyFont="1" applyBorder="1" applyAlignment="1">
      <alignment horizontal="center" vertical="center"/>
    </xf>
    <xf numFmtId="171" fontId="17" fillId="0" borderId="0" xfId="9" applyNumberFormat="1" applyFont="1" applyAlignment="1">
      <alignment horizontal="center" vertical="center"/>
    </xf>
    <xf numFmtId="0" fontId="18" fillId="0" borderId="0" xfId="9" applyFont="1" applyAlignment="1">
      <alignment horizontal="center" vertical="center"/>
    </xf>
    <xf numFmtId="165" fontId="19" fillId="0" borderId="0" xfId="9" applyNumberFormat="1" applyFont="1" applyAlignment="1">
      <alignment horizontal="center" vertical="center" textRotation="90"/>
    </xf>
    <xf numFmtId="165" fontId="19" fillId="0" borderId="0" xfId="9" applyNumberFormat="1" applyFont="1" applyAlignment="1">
      <alignment horizontal="right" vertical="center" textRotation="90"/>
    </xf>
    <xf numFmtId="0" fontId="21" fillId="0" borderId="0" xfId="9" applyFont="1" applyAlignment="1">
      <alignment horizontal="center" vertical="center"/>
    </xf>
    <xf numFmtId="171" fontId="22" fillId="0" borderId="10" xfId="9" applyNumberFormat="1" applyFont="1" applyBorder="1" applyAlignment="1">
      <alignment horizontal="center"/>
    </xf>
    <xf numFmtId="171" fontId="22" fillId="0" borderId="0" xfId="9" applyNumberFormat="1" applyFont="1" applyAlignment="1">
      <alignment horizontal="center"/>
    </xf>
    <xf numFmtId="171" fontId="17" fillId="0" borderId="0" xfId="9" applyNumberFormat="1" applyFont="1" applyAlignment="1">
      <alignment horizontal="center"/>
    </xf>
    <xf numFmtId="171" fontId="17" fillId="0" borderId="0" xfId="9" applyNumberFormat="1" applyFont="1" applyAlignment="1">
      <alignment horizontal="left"/>
    </xf>
    <xf numFmtId="0" fontId="17" fillId="0" borderId="0" xfId="9" applyFont="1" applyAlignment="1">
      <alignment horizontal="center" vertical="center"/>
    </xf>
    <xf numFmtId="171" fontId="17" fillId="0" borderId="0" xfId="9" applyNumberFormat="1" applyFont="1" applyAlignment="1">
      <alignment horizontal="right"/>
    </xf>
    <xf numFmtId="2" fontId="20" fillId="0" borderId="0" xfId="9" applyNumberFormat="1" applyFont="1" applyAlignment="1">
      <alignment horizontal="center" textRotation="90"/>
    </xf>
    <xf numFmtId="2" fontId="20" fillId="0" borderId="27" xfId="9" applyNumberFormat="1" applyFont="1" applyBorder="1" applyAlignment="1">
      <alignment horizontal="center" textRotation="90"/>
    </xf>
    <xf numFmtId="2" fontId="27" fillId="0" borderId="13" xfId="1" applyNumberFormat="1" applyFont="1" applyFill="1" applyBorder="1" applyAlignment="1">
      <alignment horizontal="right" vertical="center"/>
    </xf>
    <xf numFmtId="0" fontId="23" fillId="0" borderId="0" xfId="9" applyFont="1" applyAlignment="1">
      <alignment horizontal="center" vertical="center"/>
    </xf>
    <xf numFmtId="0" fontId="20" fillId="0" borderId="0" xfId="9" applyFont="1" applyAlignment="1">
      <alignment horizontal="center" vertical="center" textRotation="90"/>
    </xf>
    <xf numFmtId="172" fontId="21" fillId="0" borderId="10" xfId="9" applyNumberFormat="1" applyFont="1" applyBorder="1" applyAlignment="1">
      <alignment horizontal="center" vertical="center"/>
    </xf>
    <xf numFmtId="172" fontId="21" fillId="0" borderId="0" xfId="9" applyNumberFormat="1" applyFont="1" applyAlignment="1">
      <alignment horizontal="center" vertical="center"/>
    </xf>
    <xf numFmtId="171" fontId="24" fillId="0" borderId="0" xfId="9" applyNumberFormat="1" applyFont="1" applyAlignment="1">
      <alignment horizontal="right" vertical="center"/>
    </xf>
    <xf numFmtId="171" fontId="22" fillId="0" borderId="10" xfId="9" applyNumberFormat="1" applyFont="1" applyBorder="1" applyAlignment="1">
      <alignment horizontal="center" vertical="top"/>
    </xf>
    <xf numFmtId="171" fontId="22" fillId="0" borderId="0" xfId="9" applyNumberFormat="1" applyFont="1" applyAlignment="1">
      <alignment horizontal="center" vertical="top"/>
    </xf>
    <xf numFmtId="2" fontId="19" fillId="0" borderId="0" xfId="9" applyNumberFormat="1" applyFont="1" applyAlignment="1">
      <alignment horizontal="center" vertical="top" textRotation="90"/>
    </xf>
    <xf numFmtId="2" fontId="19" fillId="0" borderId="13" xfId="9" applyNumberFormat="1" applyFont="1" applyBorder="1" applyAlignment="1">
      <alignment horizontal="center" vertical="top" textRotation="90"/>
    </xf>
    <xf numFmtId="0" fontId="19" fillId="0" borderId="0" xfId="9" applyFont="1" applyAlignment="1">
      <alignment horizontal="right" vertical="center" textRotation="90"/>
    </xf>
    <xf numFmtId="0" fontId="19" fillId="0" borderId="13" xfId="9" applyFont="1" applyBorder="1" applyAlignment="1">
      <alignment horizontal="right" vertical="center" textRotation="90"/>
    </xf>
    <xf numFmtId="0" fontId="19" fillId="0" borderId="0" xfId="9" applyFont="1" applyAlignment="1">
      <alignment horizontal="left" textRotation="90"/>
    </xf>
    <xf numFmtId="0" fontId="28" fillId="0" borderId="0" xfId="9" applyFont="1" applyAlignment="1">
      <alignment horizontal="right" vertical="center" textRotation="90"/>
    </xf>
    <xf numFmtId="0" fontId="28" fillId="0" borderId="11" xfId="9" applyFont="1" applyBorder="1" applyAlignment="1">
      <alignment horizontal="right" vertical="center" textRotation="90"/>
    </xf>
    <xf numFmtId="165" fontId="19" fillId="0" borderId="8" xfId="9" applyNumberFormat="1" applyFont="1" applyBorder="1" applyAlignment="1">
      <alignment horizontal="center" vertical="center" textRotation="90"/>
    </xf>
    <xf numFmtId="171" fontId="24" fillId="0" borderId="8" xfId="9" applyNumberFormat="1" applyFont="1" applyBorder="1" applyAlignment="1">
      <alignment horizontal="right"/>
    </xf>
    <xf numFmtId="2" fontId="19" fillId="0" borderId="8" xfId="9" applyNumberFormat="1" applyFont="1" applyBorder="1" applyAlignment="1">
      <alignment horizontal="center" vertical="center" textRotation="90"/>
    </xf>
    <xf numFmtId="2" fontId="19" fillId="0" borderId="0" xfId="9" applyNumberFormat="1" applyFont="1" applyAlignment="1">
      <alignment horizontal="center" vertical="center" textRotation="90"/>
    </xf>
    <xf numFmtId="0" fontId="28" fillId="2" borderId="10" xfId="9" applyFont="1" applyFill="1" applyBorder="1" applyAlignment="1">
      <alignment horizontal="left" textRotation="90"/>
    </xf>
    <xf numFmtId="0" fontId="28" fillId="2" borderId="0" xfId="9" applyFont="1" applyFill="1" applyAlignment="1">
      <alignment horizontal="left" textRotation="90"/>
    </xf>
    <xf numFmtId="165" fontId="19" fillId="0" borderId="0" xfId="9" applyNumberFormat="1" applyFont="1" applyAlignment="1">
      <alignment horizontal="left" vertical="center" textRotation="90"/>
    </xf>
    <xf numFmtId="165" fontId="19" fillId="0" borderId="0" xfId="9" applyNumberFormat="1" applyFont="1" applyAlignment="1">
      <alignment horizontal="center" vertical="top" textRotation="90"/>
    </xf>
    <xf numFmtId="0" fontId="24" fillId="0" borderId="0" xfId="9" applyFont="1" applyAlignment="1">
      <alignment horizontal="left" vertical="top" textRotation="90"/>
    </xf>
    <xf numFmtId="165" fontId="19" fillId="0" borderId="0" xfId="9" applyNumberFormat="1" applyFont="1" applyAlignment="1">
      <alignment horizontal="center" textRotation="90"/>
    </xf>
    <xf numFmtId="165" fontId="21" fillId="0" borderId="0" xfId="9" applyNumberFormat="1" applyFont="1" applyAlignment="1">
      <alignment horizontal="right" textRotation="90"/>
    </xf>
    <xf numFmtId="165" fontId="21" fillId="0" borderId="29" xfId="9" applyNumberFormat="1" applyFont="1" applyBorder="1" applyAlignment="1">
      <alignment horizontal="right" textRotation="90"/>
    </xf>
    <xf numFmtId="165" fontId="19" fillId="0" borderId="0" xfId="9" applyNumberFormat="1" applyFont="1" applyAlignment="1">
      <alignment horizontal="left" textRotation="90"/>
    </xf>
    <xf numFmtId="0" fontId="17" fillId="0" borderId="0" xfId="9" applyFont="1" applyAlignment="1">
      <alignment horizontal="center" textRotation="90"/>
    </xf>
    <xf numFmtId="0" fontId="20" fillId="0" borderId="27" xfId="9" applyFont="1" applyBorder="1" applyAlignment="1">
      <alignment horizontal="center" vertical="center" textRotation="90"/>
    </xf>
    <xf numFmtId="174" fontId="20" fillId="0" borderId="0" xfId="9" applyNumberFormat="1" applyFont="1" applyAlignment="1">
      <alignment horizontal="center" vertical="top" textRotation="90"/>
    </xf>
    <xf numFmtId="174" fontId="20" fillId="0" borderId="27" xfId="9" applyNumberFormat="1" applyFont="1" applyBorder="1" applyAlignment="1">
      <alignment horizontal="center" vertical="top" textRotation="90"/>
    </xf>
    <xf numFmtId="174" fontId="20" fillId="2" borderId="0" xfId="9" applyNumberFormat="1" applyFont="1" applyFill="1" applyAlignment="1">
      <alignment horizontal="center" vertical="center" textRotation="90"/>
    </xf>
    <xf numFmtId="0" fontId="19" fillId="0" borderId="0" xfId="9" applyFont="1" applyAlignment="1">
      <alignment horizontal="center" textRotation="90"/>
    </xf>
    <xf numFmtId="0" fontId="17" fillId="0" borderId="0" xfId="9" applyFont="1" applyAlignment="1">
      <alignment horizontal="center"/>
    </xf>
    <xf numFmtId="0" fontId="30" fillId="0" borderId="0" xfId="9" applyFont="1" applyAlignment="1">
      <alignment horizontal="center" vertical="center"/>
    </xf>
    <xf numFmtId="0" fontId="21" fillId="0" borderId="33" xfId="9" applyFont="1" applyBorder="1" applyAlignment="1">
      <alignment horizontal="center" vertical="top"/>
    </xf>
    <xf numFmtId="0" fontId="21" fillId="0" borderId="8" xfId="9" applyFont="1" applyBorder="1" applyAlignment="1">
      <alignment horizontal="center" vertical="top"/>
    </xf>
    <xf numFmtId="0" fontId="21" fillId="0" borderId="26" xfId="9" applyFont="1" applyBorder="1" applyAlignment="1">
      <alignment horizontal="center" vertical="top"/>
    </xf>
    <xf numFmtId="0" fontId="21" fillId="0" borderId="0" xfId="9" applyFont="1" applyAlignment="1">
      <alignment horizontal="center" vertical="top"/>
    </xf>
    <xf numFmtId="0" fontId="3" fillId="0" borderId="8" xfId="9" applyFont="1" applyBorder="1" applyAlignment="1">
      <alignment horizontal="center" vertical="center"/>
    </xf>
    <xf numFmtId="0" fontId="3" fillId="0" borderId="34" xfId="9" applyFont="1" applyBorder="1" applyAlignment="1">
      <alignment horizontal="center" vertical="center"/>
    </xf>
    <xf numFmtId="176" fontId="21" fillId="0" borderId="0" xfId="9" applyNumberFormat="1" applyFont="1" applyAlignment="1">
      <alignment horizontal="center" vertical="center"/>
    </xf>
    <xf numFmtId="176" fontId="20" fillId="0" borderId="0" xfId="9" applyNumberFormat="1" applyFont="1" applyAlignment="1">
      <alignment horizontal="left" vertical="center"/>
    </xf>
    <xf numFmtId="0" fontId="21" fillId="0" borderId="0" xfId="9" applyFont="1" applyAlignment="1">
      <alignment horizontal="left" vertical="center"/>
    </xf>
    <xf numFmtId="0" fontId="21" fillId="0" borderId="0" xfId="9" applyFont="1" applyAlignment="1">
      <alignment horizontal="right" vertical="center"/>
    </xf>
    <xf numFmtId="0" fontId="21" fillId="0" borderId="0" xfId="9" applyFont="1" applyAlignment="1">
      <alignment horizontal="left" vertical="top"/>
    </xf>
    <xf numFmtId="0" fontId="31" fillId="8" borderId="38" xfId="9" applyFont="1" applyFill="1" applyBorder="1" applyAlignment="1">
      <alignment horizontal="center" vertical="center"/>
    </xf>
    <xf numFmtId="0" fontId="31" fillId="8" borderId="39" xfId="9" applyFont="1" applyFill="1" applyBorder="1" applyAlignment="1">
      <alignment horizontal="center" vertical="center"/>
    </xf>
    <xf numFmtId="0" fontId="31" fillId="8" borderId="40" xfId="9" applyFont="1" applyFill="1" applyBorder="1" applyAlignment="1">
      <alignment horizontal="center" vertical="center"/>
    </xf>
    <xf numFmtId="0" fontId="32" fillId="2" borderId="24" xfId="9" applyFont="1" applyFill="1" applyBorder="1" applyAlignment="1">
      <alignment horizontal="left" vertical="center"/>
    </xf>
    <xf numFmtId="0" fontId="33" fillId="8" borderId="23" xfId="9" applyFont="1" applyFill="1" applyBorder="1" applyAlignment="1">
      <alignment horizontal="center" vertical="center"/>
    </xf>
    <xf numFmtId="0" fontId="33" fillId="8" borderId="24" xfId="9" applyFont="1" applyFill="1" applyBorder="1" applyAlignment="1">
      <alignment horizontal="center" vertical="center"/>
    </xf>
    <xf numFmtId="0" fontId="33" fillId="8" borderId="25" xfId="9" applyFont="1" applyFill="1" applyBorder="1" applyAlignment="1">
      <alignment horizontal="center" vertical="center"/>
    </xf>
    <xf numFmtId="0" fontId="34" fillId="8" borderId="41" xfId="9" applyFont="1" applyFill="1" applyBorder="1" applyAlignment="1" applyProtection="1">
      <alignment horizontal="center" vertical="center"/>
      <protection locked="0"/>
    </xf>
    <xf numFmtId="0" fontId="34" fillId="8" borderId="47" xfId="9" applyFont="1" applyFill="1" applyBorder="1" applyAlignment="1" applyProtection="1">
      <alignment horizontal="center" vertical="center"/>
      <protection locked="0"/>
    </xf>
    <xf numFmtId="0" fontId="34" fillId="8" borderId="42" xfId="9" applyFont="1" applyFill="1" applyBorder="1" applyAlignment="1" applyProtection="1">
      <alignment horizontal="center" vertical="center" wrapText="1"/>
      <protection locked="0"/>
    </xf>
    <xf numFmtId="0" fontId="34" fillId="8" borderId="48" xfId="9" applyFont="1" applyFill="1" applyBorder="1" applyAlignment="1" applyProtection="1">
      <alignment horizontal="center" vertical="center" wrapText="1"/>
      <protection locked="0"/>
    </xf>
    <xf numFmtId="0" fontId="34" fillId="8" borderId="43" xfId="9" applyFont="1" applyFill="1" applyBorder="1" applyAlignment="1" applyProtection="1">
      <alignment horizontal="center" vertical="center" wrapText="1"/>
      <protection locked="0"/>
    </xf>
    <xf numFmtId="0" fontId="34" fillId="8" borderId="44" xfId="9" applyFont="1" applyFill="1" applyBorder="1" applyAlignment="1" applyProtection="1">
      <alignment horizontal="center" vertical="center" wrapText="1"/>
      <protection locked="0"/>
    </xf>
    <xf numFmtId="0" fontId="34" fillId="8" borderId="45" xfId="9" applyFont="1" applyFill="1" applyBorder="1" applyAlignment="1" applyProtection="1">
      <alignment horizontal="center" vertical="center" wrapText="1"/>
      <protection locked="0"/>
    </xf>
    <xf numFmtId="0" fontId="34" fillId="8" borderId="46" xfId="9" applyFont="1" applyFill="1" applyBorder="1" applyAlignment="1" applyProtection="1">
      <alignment horizontal="center" vertical="center" wrapText="1"/>
      <protection locked="0"/>
    </xf>
    <xf numFmtId="0" fontId="3" fillId="8" borderId="1" xfId="3" applyFont="1" applyFill="1" applyBorder="1" applyAlignment="1">
      <alignment horizontal="center" vertical="center"/>
    </xf>
    <xf numFmtId="0" fontId="3" fillId="8" borderId="12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top" wrapText="1"/>
    </xf>
    <xf numFmtId="0" fontId="3" fillId="3" borderId="12" xfId="3" applyFont="1" applyFill="1" applyBorder="1" applyAlignment="1">
      <alignment horizontal="center" vertical="top" wrapText="1"/>
    </xf>
    <xf numFmtId="49" fontId="3" fillId="3" borderId="6" xfId="3" applyNumberFormat="1" applyFont="1" applyFill="1" applyBorder="1" applyAlignment="1">
      <alignment horizontal="center" vertical="center"/>
    </xf>
    <xf numFmtId="49" fontId="3" fillId="3" borderId="3" xfId="3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3" fillId="8" borderId="2" xfId="3" applyFont="1" applyFill="1" applyBorder="1" applyAlignment="1">
      <alignment horizontal="center" vertical="center"/>
    </xf>
    <xf numFmtId="0" fontId="3" fillId="8" borderId="3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8" borderId="4" xfId="3" applyFont="1" applyFill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3" fillId="11" borderId="1" xfId="3" applyFont="1" applyFill="1" applyBorder="1" applyAlignment="1">
      <alignment horizontal="center" vertical="center"/>
    </xf>
    <xf numFmtId="0" fontId="3" fillId="11" borderId="12" xfId="3" applyFont="1" applyFill="1" applyBorder="1" applyAlignment="1">
      <alignment horizontal="center" vertical="center"/>
    </xf>
    <xf numFmtId="0" fontId="3" fillId="11" borderId="4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12" borderId="1" xfId="3" applyFont="1" applyFill="1" applyBorder="1" applyAlignment="1">
      <alignment horizontal="center" vertical="center" wrapText="1"/>
    </xf>
    <xf numFmtId="0" fontId="3" fillId="12" borderId="12" xfId="3" applyFont="1" applyFill="1" applyBorder="1" applyAlignment="1">
      <alignment horizontal="center" vertical="center" wrapText="1"/>
    </xf>
    <xf numFmtId="0" fontId="3" fillId="12" borderId="4" xfId="3" applyFont="1" applyFill="1" applyBorder="1" applyAlignment="1">
      <alignment horizontal="center" vertical="center" wrapText="1"/>
    </xf>
    <xf numFmtId="0" fontId="3" fillId="8" borderId="1" xfId="3" applyFont="1" applyFill="1" applyBorder="1" applyAlignment="1">
      <alignment horizontal="center" vertical="center" textRotation="90"/>
    </xf>
    <xf numFmtId="0" fontId="3" fillId="8" borderId="12" xfId="3" applyFont="1" applyFill="1" applyBorder="1" applyAlignment="1">
      <alignment horizontal="center" vertical="center" textRotation="90"/>
    </xf>
    <xf numFmtId="0" fontId="3" fillId="8" borderId="4" xfId="3" applyFont="1" applyFill="1" applyBorder="1" applyAlignment="1">
      <alignment horizontal="center" vertical="center" textRotation="90"/>
    </xf>
    <xf numFmtId="0" fontId="3" fillId="3" borderId="12" xfId="3" applyFont="1" applyFill="1" applyBorder="1" applyAlignment="1">
      <alignment horizontal="center" vertical="center" wrapText="1"/>
    </xf>
    <xf numFmtId="0" fontId="3" fillId="8" borderId="6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49" fontId="3" fillId="2" borderId="6" xfId="3" applyNumberFormat="1" applyFont="1" applyFill="1" applyBorder="1" applyAlignment="1">
      <alignment horizontal="center" vertical="center"/>
    </xf>
    <xf numFmtId="49" fontId="3" fillId="2" borderId="3" xfId="3" applyNumberFormat="1" applyFont="1" applyFill="1" applyBorder="1" applyAlignment="1">
      <alignment horizontal="center" vertical="center"/>
    </xf>
    <xf numFmtId="0" fontId="40" fillId="8" borderId="7" xfId="0" applyFont="1" applyFill="1" applyBorder="1" applyAlignment="1">
      <alignment horizontal="center" vertical="center" wrapText="1"/>
    </xf>
    <xf numFmtId="0" fontId="40" fillId="8" borderId="8" xfId="0" applyFont="1" applyFill="1" applyBorder="1" applyAlignment="1">
      <alignment horizontal="center" vertical="center" wrapText="1"/>
    </xf>
    <xf numFmtId="0" fontId="40" fillId="8" borderId="9" xfId="0" applyFont="1" applyFill="1" applyBorder="1" applyAlignment="1">
      <alignment horizontal="center" vertical="center" wrapText="1"/>
    </xf>
    <xf numFmtId="0" fontId="40" fillId="8" borderId="15" xfId="0" applyFont="1" applyFill="1" applyBorder="1" applyAlignment="1">
      <alignment horizontal="center" vertical="center" wrapText="1"/>
    </xf>
    <xf numFmtId="0" fontId="40" fillId="8" borderId="13" xfId="0" applyFont="1" applyFill="1" applyBorder="1" applyAlignment="1">
      <alignment horizontal="center" vertical="center" wrapText="1"/>
    </xf>
    <xf numFmtId="0" fontId="40" fillId="8" borderId="14" xfId="0" applyFont="1" applyFill="1" applyBorder="1" applyAlignment="1">
      <alignment horizontal="center" vertical="center" wrapText="1"/>
    </xf>
    <xf numFmtId="0" fontId="3" fillId="2" borderId="6" xfId="3" applyFont="1" applyFill="1" applyBorder="1" applyAlignment="1">
      <alignment horizontal="center" vertical="center"/>
    </xf>
    <xf numFmtId="0" fontId="1" fillId="3" borderId="0" xfId="3" applyFill="1" applyAlignment="1">
      <alignment horizontal="center"/>
    </xf>
    <xf numFmtId="0" fontId="3" fillId="3" borderId="2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2" fontId="3" fillId="3" borderId="2" xfId="3" applyNumberFormat="1" applyFont="1" applyFill="1" applyBorder="1" applyAlignment="1">
      <alignment horizontal="center"/>
    </xf>
    <xf numFmtId="2" fontId="3" fillId="3" borderId="6" xfId="3" applyNumberFormat="1" applyFont="1" applyFill="1" applyBorder="1" applyAlignment="1">
      <alignment horizontal="center"/>
    </xf>
    <xf numFmtId="2" fontId="3" fillId="3" borderId="3" xfId="3" applyNumberFormat="1" applyFont="1" applyFill="1" applyBorder="1" applyAlignment="1">
      <alignment horizontal="center"/>
    </xf>
    <xf numFmtId="0" fontId="22" fillId="2" borderId="10" xfId="5" applyFont="1" applyFill="1" applyBorder="1" applyAlignment="1">
      <alignment horizontal="left" vertical="center" wrapText="1"/>
    </xf>
    <xf numFmtId="0" fontId="22" fillId="2" borderId="0" xfId="5" applyFont="1" applyFill="1" applyBorder="1" applyAlignment="1">
      <alignment horizontal="left" vertical="center" wrapText="1"/>
    </xf>
    <xf numFmtId="0" fontId="3" fillId="8" borderId="1" xfId="3" applyFont="1" applyFill="1" applyBorder="1" applyAlignment="1">
      <alignment horizontal="center" vertical="center" wrapText="1"/>
    </xf>
    <xf numFmtId="0" fontId="3" fillId="8" borderId="12" xfId="3" applyFont="1" applyFill="1" applyBorder="1" applyAlignment="1">
      <alignment horizontal="center" vertical="center" wrapText="1"/>
    </xf>
    <xf numFmtId="0" fontId="3" fillId="8" borderId="4" xfId="3" applyFont="1" applyFill="1" applyBorder="1" applyAlignment="1">
      <alignment horizontal="center" vertical="center" wrapText="1"/>
    </xf>
    <xf numFmtId="0" fontId="3" fillId="12" borderId="0" xfId="3" applyFont="1" applyFill="1" applyAlignment="1">
      <alignment horizontal="center"/>
    </xf>
    <xf numFmtId="4" fontId="3" fillId="12" borderId="0" xfId="3" applyNumberFormat="1" applyFont="1" applyFill="1" applyAlignment="1">
      <alignment horizontal="center"/>
    </xf>
    <xf numFmtId="49" fontId="3" fillId="3" borderId="12" xfId="3" applyNumberFormat="1" applyFont="1" applyFill="1" applyBorder="1" applyAlignment="1">
      <alignment horizontal="center" vertical="top" wrapText="1"/>
    </xf>
    <xf numFmtId="0" fontId="3" fillId="3" borderId="4" xfId="3" applyFont="1" applyFill="1" applyBorder="1" applyAlignment="1">
      <alignment horizontal="center" vertical="center" wrapText="1"/>
    </xf>
    <xf numFmtId="4" fontId="3" fillId="3" borderId="2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1" fillId="3" borderId="2" xfId="3" applyNumberFormat="1" applyFill="1" applyBorder="1" applyAlignment="1">
      <alignment horizontal="center" vertical="center"/>
    </xf>
    <xf numFmtId="4" fontId="1" fillId="3" borderId="3" xfId="3" applyNumberFormat="1" applyFill="1" applyBorder="1" applyAlignment="1">
      <alignment horizontal="center" vertical="center"/>
    </xf>
    <xf numFmtId="0" fontId="1" fillId="3" borderId="2" xfId="3" applyFill="1" applyBorder="1" applyAlignment="1">
      <alignment horizontal="center" vertical="center"/>
    </xf>
    <xf numFmtId="0" fontId="1" fillId="3" borderId="3" xfId="3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165" fontId="1" fillId="3" borderId="15" xfId="3" applyNumberFormat="1" applyFill="1" applyBorder="1" applyAlignment="1">
      <alignment horizontal="center" vertical="center"/>
    </xf>
    <xf numFmtId="165" fontId="1" fillId="3" borderId="13" xfId="3" applyNumberFormat="1" applyFill="1" applyBorder="1" applyAlignment="1">
      <alignment horizontal="center" vertical="center"/>
    </xf>
    <xf numFmtId="165" fontId="1" fillId="3" borderId="14" xfId="3" applyNumberForma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3" borderId="15" xfId="3" applyFont="1" applyFill="1" applyBorder="1" applyAlignment="1">
      <alignment horizontal="center" vertical="center"/>
    </xf>
    <xf numFmtId="0" fontId="3" fillId="3" borderId="13" xfId="3" applyFont="1" applyFill="1" applyBorder="1" applyAlignment="1">
      <alignment horizontal="center" vertical="center"/>
    </xf>
    <xf numFmtId="16" fontId="5" fillId="2" borderId="1" xfId="0" quotePrefix="1" applyNumberFormat="1" applyFont="1" applyFill="1" applyBorder="1" applyAlignment="1">
      <alignment horizontal="center" vertical="center"/>
    </xf>
    <xf numFmtId="16" fontId="5" fillId="2" borderId="12" xfId="0" quotePrefix="1" applyNumberFormat="1" applyFont="1" applyFill="1" applyBorder="1" applyAlignment="1">
      <alignment horizontal="center" vertical="center"/>
    </xf>
    <xf numFmtId="16" fontId="5" fillId="2" borderId="4" xfId="0" quotePrefix="1" applyNumberFormat="1" applyFont="1" applyFill="1" applyBorder="1" applyAlignment="1">
      <alignment horizontal="center" vertical="center"/>
    </xf>
    <xf numFmtId="2" fontId="1" fillId="3" borderId="10" xfId="3" applyNumberFormat="1" applyFill="1" applyBorder="1" applyAlignment="1">
      <alignment horizontal="center" vertical="center"/>
    </xf>
    <xf numFmtId="2" fontId="1" fillId="3" borderId="11" xfId="3" applyNumberFormat="1" applyFill="1" applyBorder="1" applyAlignment="1">
      <alignment horizontal="center" vertical="center"/>
    </xf>
    <xf numFmtId="0" fontId="3" fillId="8" borderId="1" xfId="3" applyFont="1" applyFill="1" applyBorder="1" applyAlignment="1">
      <alignment horizontal="center" wrapText="1"/>
    </xf>
    <xf numFmtId="0" fontId="3" fillId="8" borderId="12" xfId="3" applyFont="1" applyFill="1" applyBorder="1" applyAlignment="1">
      <alignment horizontal="center" wrapText="1"/>
    </xf>
    <xf numFmtId="0" fontId="3" fillId="2" borderId="7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5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0" fontId="3" fillId="8" borderId="7" xfId="3" applyFont="1" applyFill="1" applyBorder="1" applyAlignment="1">
      <alignment horizontal="left" vertical="center" wrapText="1"/>
    </xf>
    <xf numFmtId="0" fontId="3" fillId="8" borderId="8" xfId="3" applyFont="1" applyFill="1" applyBorder="1" applyAlignment="1">
      <alignment horizontal="left" vertical="center" wrapText="1"/>
    </xf>
    <xf numFmtId="0" fontId="3" fillId="8" borderId="9" xfId="3" applyFont="1" applyFill="1" applyBorder="1" applyAlignment="1">
      <alignment horizontal="left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8" xfId="3" applyFont="1" applyFill="1" applyBorder="1" applyAlignment="1">
      <alignment horizontal="center" vertical="center" wrapText="1"/>
    </xf>
    <xf numFmtId="0" fontId="3" fillId="2" borderId="9" xfId="3" applyFont="1" applyFill="1" applyBorder="1" applyAlignment="1">
      <alignment horizontal="center" vertical="center" wrapText="1"/>
    </xf>
    <xf numFmtId="0" fontId="3" fillId="8" borderId="2" xfId="3" applyFont="1" applyFill="1" applyBorder="1" applyAlignment="1">
      <alignment horizontal="left" vertical="center" wrapText="1"/>
    </xf>
    <xf numFmtId="0" fontId="3" fillId="8" borderId="6" xfId="3" applyFont="1" applyFill="1" applyBorder="1" applyAlignment="1">
      <alignment horizontal="left" vertical="center" wrapText="1"/>
    </xf>
    <xf numFmtId="0" fontId="3" fillId="8" borderId="3" xfId="3" applyFont="1" applyFill="1" applyBorder="1" applyAlignment="1">
      <alignment horizontal="left" vertical="center" wrapText="1"/>
    </xf>
    <xf numFmtId="169" fontId="1" fillId="2" borderId="2" xfId="3" applyNumberFormat="1" applyFill="1" applyBorder="1" applyAlignment="1">
      <alignment horizontal="center" vertical="center"/>
    </xf>
    <xf numFmtId="169" fontId="1" fillId="2" borderId="3" xfId="3" applyNumberFormat="1" applyFill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7" fillId="0" borderId="5" xfId="0" applyFont="1" applyBorder="1" applyAlignment="1">
      <alignment horizontal="left" vertical="center"/>
    </xf>
    <xf numFmtId="0" fontId="37" fillId="0" borderId="5" xfId="0" applyFont="1" applyBorder="1" applyAlignment="1">
      <alignment horizontal="left" vertical="center" wrapText="1"/>
    </xf>
    <xf numFmtId="0" fontId="3" fillId="12" borderId="2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14" fontId="37" fillId="0" borderId="5" xfId="0" applyNumberFormat="1" applyFont="1" applyBorder="1" applyAlignment="1">
      <alignment horizontal="left" vertical="center"/>
    </xf>
    <xf numFmtId="0" fontId="37" fillId="0" borderId="5" xfId="0" applyFont="1" applyBorder="1" applyAlignment="1" applyProtection="1">
      <alignment horizontal="left" vertical="center"/>
      <protection locked="0"/>
    </xf>
    <xf numFmtId="0" fontId="37" fillId="0" borderId="1" xfId="0" applyFont="1" applyBorder="1" applyAlignment="1">
      <alignment horizontal="center" vertical="center" textRotation="90" wrapText="1"/>
    </xf>
    <xf numFmtId="0" fontId="37" fillId="0" borderId="12" xfId="0" applyFont="1" applyBorder="1" applyAlignment="1">
      <alignment horizontal="center" vertical="center" textRotation="90" wrapText="1"/>
    </xf>
    <xf numFmtId="0" fontId="37" fillId="0" borderId="4" xfId="0" applyFont="1" applyBorder="1" applyAlignment="1">
      <alignment horizontal="center" vertical="center" textRotation="90" wrapText="1"/>
    </xf>
    <xf numFmtId="0" fontId="37" fillId="2" borderId="5" xfId="0" applyFont="1" applyFill="1" applyBorder="1" applyAlignment="1">
      <alignment horizontal="left" vertical="center"/>
    </xf>
    <xf numFmtId="0" fontId="59" fillId="26" borderId="5" xfId="3" applyFont="1" applyFill="1" applyBorder="1" applyAlignment="1">
      <alignment horizontal="center" vertical="center" textRotation="90" wrapText="1"/>
    </xf>
    <xf numFmtId="0" fontId="57" fillId="31" borderId="5" xfId="3" applyFont="1" applyFill="1" applyBorder="1" applyAlignment="1">
      <alignment horizontal="center" vertical="center" wrapText="1"/>
    </xf>
    <xf numFmtId="0" fontId="59" fillId="26" borderId="5" xfId="3" applyFont="1" applyFill="1" applyBorder="1" applyAlignment="1">
      <alignment horizontal="center" vertical="center" textRotation="255" wrapText="1"/>
    </xf>
    <xf numFmtId="0" fontId="59" fillId="11" borderId="5" xfId="3" applyFont="1" applyFill="1" applyBorder="1" applyAlignment="1">
      <alignment horizontal="center" vertical="center" textRotation="90" wrapText="1"/>
    </xf>
    <xf numFmtId="0" fontId="57" fillId="26" borderId="5" xfId="9" applyFont="1" applyFill="1" applyBorder="1" applyAlignment="1">
      <alignment horizontal="center" vertical="center"/>
    </xf>
    <xf numFmtId="0" fontId="61" fillId="29" borderId="7" xfId="3" applyFont="1" applyFill="1" applyBorder="1" applyAlignment="1">
      <alignment horizontal="center" vertical="center" wrapText="1"/>
    </xf>
    <xf numFmtId="0" fontId="61" fillId="29" borderId="8" xfId="3" applyFont="1" applyFill="1" applyBorder="1" applyAlignment="1">
      <alignment horizontal="center" vertical="center" wrapText="1"/>
    </xf>
    <xf numFmtId="0" fontId="61" fillId="29" borderId="3" xfId="9" applyFont="1" applyFill="1" applyBorder="1" applyAlignment="1">
      <alignment horizontal="center" vertical="center"/>
    </xf>
    <xf numFmtId="0" fontId="61" fillId="29" borderId="5" xfId="9" applyFont="1" applyFill="1" applyBorder="1" applyAlignment="1">
      <alignment horizontal="center" vertical="center"/>
    </xf>
    <xf numFmtId="0" fontId="62" fillId="29" borderId="5" xfId="9" applyFont="1" applyFill="1" applyBorder="1" applyAlignment="1">
      <alignment horizontal="center" vertical="center" wrapText="1"/>
    </xf>
    <xf numFmtId="0" fontId="57" fillId="31" borderId="7" xfId="3" applyFont="1" applyFill="1" applyBorder="1" applyAlignment="1">
      <alignment horizontal="center" vertical="center" wrapText="1"/>
    </xf>
    <xf numFmtId="0" fontId="57" fillId="31" borderId="8" xfId="3" applyFont="1" applyFill="1" applyBorder="1" applyAlignment="1">
      <alignment horizontal="center" vertical="center" wrapText="1"/>
    </xf>
    <xf numFmtId="0" fontId="57" fillId="31" borderId="9" xfId="3" applyFont="1" applyFill="1" applyBorder="1" applyAlignment="1">
      <alignment horizontal="center" vertical="center" wrapText="1"/>
    </xf>
    <xf numFmtId="0" fontId="57" fillId="31" borderId="15" xfId="3" applyFont="1" applyFill="1" applyBorder="1" applyAlignment="1">
      <alignment horizontal="center" vertical="center" wrapText="1"/>
    </xf>
    <xf numFmtId="0" fontId="57" fillId="31" borderId="13" xfId="3" applyFont="1" applyFill="1" applyBorder="1" applyAlignment="1">
      <alignment horizontal="center" vertical="center" wrapText="1"/>
    </xf>
    <xf numFmtId="0" fontId="57" fillId="31" borderId="14" xfId="3" applyFont="1" applyFill="1" applyBorder="1" applyAlignment="1">
      <alignment horizontal="center" vertical="center" wrapText="1"/>
    </xf>
    <xf numFmtId="0" fontId="57" fillId="18" borderId="5" xfId="9" applyFont="1" applyFill="1" applyBorder="1" applyAlignment="1">
      <alignment horizontal="center" vertical="center"/>
    </xf>
    <xf numFmtId="0" fontId="58" fillId="0" borderId="10" xfId="3" applyFont="1" applyBorder="1" applyAlignment="1">
      <alignment vertical="center" textRotation="90"/>
    </xf>
    <xf numFmtId="0" fontId="59" fillId="26" borderId="1" xfId="3" applyFont="1" applyFill="1" applyBorder="1" applyAlignment="1">
      <alignment horizontal="center" vertical="center" textRotation="90"/>
    </xf>
    <xf numFmtId="0" fontId="59" fillId="26" borderId="12" xfId="3" applyFont="1" applyFill="1" applyBorder="1" applyAlignment="1">
      <alignment horizontal="center" vertical="center" textRotation="90"/>
    </xf>
    <xf numFmtId="0" fontId="59" fillId="26" borderId="4" xfId="3" applyFont="1" applyFill="1" applyBorder="1" applyAlignment="1">
      <alignment horizontal="center" vertical="center" textRotation="90"/>
    </xf>
    <xf numFmtId="0" fontId="61" fillId="18" borderId="7" xfId="3" applyFont="1" applyFill="1" applyBorder="1" applyAlignment="1">
      <alignment horizontal="center" vertical="center" wrapText="1"/>
    </xf>
    <xf numFmtId="0" fontId="61" fillId="18" borderId="8" xfId="3" applyFont="1" applyFill="1" applyBorder="1" applyAlignment="1">
      <alignment horizontal="center" vertical="center" wrapText="1"/>
    </xf>
    <xf numFmtId="0" fontId="61" fillId="18" borderId="79" xfId="9" applyFont="1" applyFill="1" applyBorder="1" applyAlignment="1">
      <alignment horizontal="center" vertical="center"/>
    </xf>
    <xf numFmtId="0" fontId="61" fillId="18" borderId="5" xfId="9" applyFont="1" applyFill="1" applyBorder="1" applyAlignment="1">
      <alignment horizontal="center" vertical="center"/>
    </xf>
    <xf numFmtId="0" fontId="61" fillId="18" borderId="80" xfId="9" applyFont="1" applyFill="1" applyBorder="1" applyAlignment="1">
      <alignment horizontal="center" vertical="center"/>
    </xf>
    <xf numFmtId="0" fontId="61" fillId="18" borderId="3" xfId="9" applyFont="1" applyFill="1" applyBorder="1" applyAlignment="1">
      <alignment horizontal="center" vertical="center"/>
    </xf>
    <xf numFmtId="0" fontId="63" fillId="18" borderId="79" xfId="9" applyFont="1" applyFill="1" applyBorder="1" applyAlignment="1">
      <alignment horizontal="center" vertical="center" wrapText="1"/>
    </xf>
    <xf numFmtId="175" fontId="61" fillId="18" borderId="7" xfId="11" applyNumberFormat="1" applyFont="1" applyFill="1" applyBorder="1" applyAlignment="1">
      <alignment horizontal="center" vertical="center"/>
    </xf>
    <xf numFmtId="175" fontId="61" fillId="18" borderId="8" xfId="11" applyNumberFormat="1" applyFont="1" applyFill="1" applyBorder="1" applyAlignment="1">
      <alignment horizontal="center" vertical="center"/>
    </xf>
    <xf numFmtId="0" fontId="62" fillId="18" borderId="5" xfId="9" applyFont="1" applyFill="1" applyBorder="1" applyAlignment="1">
      <alignment horizontal="center" vertical="center" wrapText="1"/>
    </xf>
    <xf numFmtId="0" fontId="62" fillId="18" borderId="80" xfId="9" applyFont="1" applyFill="1" applyBorder="1" applyAlignment="1">
      <alignment horizontal="center" vertical="center" wrapText="1"/>
    </xf>
    <xf numFmtId="4" fontId="59" fillId="0" borderId="81" xfId="9" applyNumberFormat="1" applyFont="1" applyBorder="1" applyAlignment="1">
      <alignment horizontal="center" vertical="center"/>
    </xf>
    <xf numFmtId="4" fontId="59" fillId="0" borderId="6" xfId="9" applyNumberFormat="1" applyFont="1" applyBorder="1" applyAlignment="1">
      <alignment horizontal="center" vertical="center"/>
    </xf>
    <xf numFmtId="4" fontId="59" fillId="0" borderId="3" xfId="9" applyNumberFormat="1" applyFont="1" applyBorder="1" applyAlignment="1">
      <alignment horizontal="center" vertical="center"/>
    </xf>
    <xf numFmtId="0" fontId="70" fillId="37" borderId="15" xfId="3" quotePrefix="1" applyFont="1" applyFill="1" applyBorder="1" applyAlignment="1">
      <alignment horizontal="center" vertical="center" wrapText="1"/>
    </xf>
    <xf numFmtId="0" fontId="70" fillId="37" borderId="13" xfId="3" quotePrefix="1" applyFont="1" applyFill="1" applyBorder="1" applyAlignment="1">
      <alignment horizontal="center" vertical="center" wrapText="1"/>
    </xf>
    <xf numFmtId="0" fontId="70" fillId="37" borderId="14" xfId="3" quotePrefix="1" applyFont="1" applyFill="1" applyBorder="1" applyAlignment="1">
      <alignment horizontal="center" vertical="center" wrapText="1"/>
    </xf>
    <xf numFmtId="0" fontId="70" fillId="8" borderId="15" xfId="3" applyFont="1" applyFill="1" applyBorder="1" applyAlignment="1">
      <alignment horizontal="center" vertical="center" wrapText="1"/>
    </xf>
    <xf numFmtId="0" fontId="70" fillId="8" borderId="13" xfId="3" applyFont="1" applyFill="1" applyBorder="1" applyAlignment="1">
      <alignment horizontal="center" vertical="center" wrapText="1"/>
    </xf>
    <xf numFmtId="0" fontId="70" fillId="8" borderId="14" xfId="3" applyFont="1" applyFill="1" applyBorder="1" applyAlignment="1">
      <alignment horizontal="center" vertical="center" wrapText="1"/>
    </xf>
    <xf numFmtId="0" fontId="62" fillId="18" borderId="2" xfId="9" applyFont="1" applyFill="1" applyBorder="1" applyAlignment="1">
      <alignment horizontal="center" vertical="center"/>
    </xf>
    <xf numFmtId="0" fontId="62" fillId="18" borderId="6" xfId="9" applyFont="1" applyFill="1" applyBorder="1" applyAlignment="1">
      <alignment horizontal="center" vertical="center"/>
    </xf>
    <xf numFmtId="0" fontId="62" fillId="18" borderId="3" xfId="9" applyFont="1" applyFill="1" applyBorder="1" applyAlignment="1">
      <alignment horizontal="center" vertical="center"/>
    </xf>
    <xf numFmtId="0" fontId="62" fillId="29" borderId="2" xfId="9" applyFont="1" applyFill="1" applyBorder="1" applyAlignment="1">
      <alignment horizontal="center" vertical="center" wrapText="1"/>
    </xf>
    <xf numFmtId="0" fontId="62" fillId="29" borderId="6" xfId="9" applyFont="1" applyFill="1" applyBorder="1" applyAlignment="1">
      <alignment horizontal="center" vertical="center" wrapText="1"/>
    </xf>
    <xf numFmtId="0" fontId="62" fillId="29" borderId="3" xfId="9" applyFont="1" applyFill="1" applyBorder="1" applyAlignment="1">
      <alignment horizontal="center" vertical="center" wrapText="1"/>
    </xf>
    <xf numFmtId="0" fontId="63" fillId="29" borderId="2" xfId="9" applyFont="1" applyFill="1" applyBorder="1" applyAlignment="1">
      <alignment horizontal="center" vertical="center" wrapText="1"/>
    </xf>
    <xf numFmtId="0" fontId="63" fillId="29" borderId="6" xfId="9" applyFont="1" applyFill="1" applyBorder="1" applyAlignment="1">
      <alignment horizontal="center" vertical="center" wrapText="1"/>
    </xf>
    <xf numFmtId="0" fontId="63" fillId="29" borderId="3" xfId="9" applyFont="1" applyFill="1" applyBorder="1" applyAlignment="1">
      <alignment horizontal="center" vertical="center" wrapText="1"/>
    </xf>
    <xf numFmtId="0" fontId="73" fillId="22" borderId="5" xfId="3" applyFont="1" applyFill="1" applyBorder="1" applyAlignment="1">
      <alignment horizontal="center" vertical="center" wrapText="1"/>
    </xf>
    <xf numFmtId="0" fontId="68" fillId="30" borderId="15" xfId="3" applyFont="1" applyFill="1" applyBorder="1" applyAlignment="1">
      <alignment horizontal="center" vertical="center" wrapText="1"/>
    </xf>
    <xf numFmtId="0" fontId="68" fillId="30" borderId="13" xfId="3" applyFont="1" applyFill="1" applyBorder="1" applyAlignment="1">
      <alignment horizontal="center" vertical="center" wrapText="1"/>
    </xf>
    <xf numFmtId="0" fontId="68" fillId="30" borderId="14" xfId="3" applyFont="1" applyFill="1" applyBorder="1" applyAlignment="1">
      <alignment horizontal="center" vertical="center" wrapText="1"/>
    </xf>
    <xf numFmtId="0" fontId="68" fillId="19" borderId="15" xfId="3" quotePrefix="1" applyFont="1" applyFill="1" applyBorder="1" applyAlignment="1">
      <alignment horizontal="center" vertical="center" wrapText="1"/>
    </xf>
    <xf numFmtId="0" fontId="68" fillId="19" borderId="13" xfId="3" quotePrefix="1" applyFont="1" applyFill="1" applyBorder="1" applyAlignment="1">
      <alignment horizontal="center" vertical="center" wrapText="1"/>
    </xf>
    <xf numFmtId="0" fontId="68" fillId="19" borderId="14" xfId="3" quotePrefix="1" applyFont="1" applyFill="1" applyBorder="1" applyAlignment="1">
      <alignment horizontal="center" vertical="center" wrapText="1"/>
    </xf>
    <xf numFmtId="0" fontId="74" fillId="34" borderId="15" xfId="3" quotePrefix="1" applyFont="1" applyFill="1" applyBorder="1" applyAlignment="1">
      <alignment horizontal="center" vertical="center" wrapText="1"/>
    </xf>
    <xf numFmtId="0" fontId="74" fillId="34" borderId="13" xfId="3" quotePrefix="1" applyFont="1" applyFill="1" applyBorder="1" applyAlignment="1">
      <alignment horizontal="center" vertical="center" wrapText="1"/>
    </xf>
    <xf numFmtId="0" fontId="74" fillId="34" borderId="14" xfId="3" quotePrefix="1" applyFont="1" applyFill="1" applyBorder="1" applyAlignment="1">
      <alignment horizontal="center" vertical="center" wrapText="1"/>
    </xf>
    <xf numFmtId="0" fontId="74" fillId="35" borderId="15" xfId="3" quotePrefix="1" applyFont="1" applyFill="1" applyBorder="1" applyAlignment="1">
      <alignment horizontal="center" vertical="center" wrapText="1"/>
    </xf>
    <xf numFmtId="0" fontId="74" fillId="35" borderId="13" xfId="3" quotePrefix="1" applyFont="1" applyFill="1" applyBorder="1" applyAlignment="1">
      <alignment horizontal="center" vertical="center" wrapText="1"/>
    </xf>
    <xf numFmtId="0" fontId="74" fillId="35" borderId="14" xfId="3" quotePrefix="1" applyFont="1" applyFill="1" applyBorder="1" applyAlignment="1">
      <alignment horizontal="center" vertical="center" wrapText="1"/>
    </xf>
    <xf numFmtId="0" fontId="70" fillId="36" borderId="15" xfId="3" quotePrefix="1" applyFont="1" applyFill="1" applyBorder="1" applyAlignment="1">
      <alignment horizontal="center" vertical="center" wrapText="1"/>
    </xf>
    <xf numFmtId="0" fontId="70" fillId="36" borderId="13" xfId="3" quotePrefix="1" applyFont="1" applyFill="1" applyBorder="1" applyAlignment="1">
      <alignment horizontal="center" vertical="center" wrapText="1"/>
    </xf>
    <xf numFmtId="0" fontId="70" fillId="36" borderId="14" xfId="3" quotePrefix="1" applyFont="1" applyFill="1" applyBorder="1" applyAlignment="1">
      <alignment horizontal="center" vertical="center" wrapText="1"/>
    </xf>
    <xf numFmtId="0" fontId="62" fillId="18" borderId="2" xfId="9" applyFont="1" applyFill="1" applyBorder="1" applyAlignment="1">
      <alignment horizontal="center" vertical="center" wrapText="1"/>
    </xf>
    <xf numFmtId="0" fontId="62" fillId="18" borderId="6" xfId="9" applyFont="1" applyFill="1" applyBorder="1" applyAlignment="1">
      <alignment horizontal="center" vertical="center" wrapText="1"/>
    </xf>
    <xf numFmtId="0" fontId="62" fillId="18" borderId="1" xfId="9" applyFont="1" applyFill="1" applyBorder="1" applyAlignment="1">
      <alignment horizontal="center" vertical="center" wrapText="1"/>
    </xf>
    <xf numFmtId="0" fontId="62" fillId="18" borderId="4" xfId="9" applyFont="1" applyFill="1" applyBorder="1" applyAlignment="1">
      <alignment horizontal="center" vertical="center" wrapText="1"/>
    </xf>
    <xf numFmtId="0" fontId="69" fillId="27" borderId="7" xfId="9" applyFont="1" applyFill="1" applyBorder="1" applyAlignment="1">
      <alignment horizontal="center" vertical="center"/>
    </xf>
    <xf numFmtId="0" fontId="69" fillId="27" borderId="8" xfId="9" applyFont="1" applyFill="1" applyBorder="1" applyAlignment="1">
      <alignment horizontal="center" vertical="center"/>
    </xf>
    <xf numFmtId="0" fontId="69" fillId="27" borderId="9" xfId="9" applyFont="1" applyFill="1" applyBorder="1" applyAlignment="1">
      <alignment horizontal="center" vertical="center"/>
    </xf>
    <xf numFmtId="0" fontId="69" fillId="27" borderId="15" xfId="9" applyFont="1" applyFill="1" applyBorder="1" applyAlignment="1">
      <alignment horizontal="center" vertical="center"/>
    </xf>
    <xf numFmtId="0" fontId="69" fillId="27" borderId="13" xfId="9" applyFont="1" applyFill="1" applyBorder="1" applyAlignment="1">
      <alignment horizontal="center" vertical="center"/>
    </xf>
    <xf numFmtId="0" fontId="69" fillId="27" borderId="14" xfId="9" applyFont="1" applyFill="1" applyBorder="1" applyAlignment="1">
      <alignment horizontal="center" vertical="center"/>
    </xf>
    <xf numFmtId="0" fontId="62" fillId="0" borderId="12" xfId="9" applyFont="1" applyBorder="1" applyAlignment="1">
      <alignment horizontal="center" vertical="center" wrapText="1"/>
    </xf>
    <xf numFmtId="0" fontId="63" fillId="29" borderId="81" xfId="9" applyFont="1" applyFill="1" applyBorder="1" applyAlignment="1">
      <alignment horizontal="center" vertical="center" wrapText="1"/>
    </xf>
    <xf numFmtId="0" fontId="72" fillId="18" borderId="5" xfId="3" applyFont="1" applyFill="1" applyBorder="1" applyAlignment="1">
      <alignment horizontal="center" vertical="center" wrapText="1"/>
    </xf>
    <xf numFmtId="0" fontId="72" fillId="18" borderId="5" xfId="3" applyFont="1" applyFill="1" applyBorder="1" applyAlignment="1">
      <alignment horizontal="center" vertical="center"/>
    </xf>
    <xf numFmtId="185" fontId="72" fillId="11" borderId="5" xfId="3" applyNumberFormat="1" applyFont="1" applyFill="1" applyBorder="1" applyAlignment="1">
      <alignment horizontal="center" vertical="center" wrapText="1"/>
    </xf>
    <xf numFmtId="0" fontId="62" fillId="11" borderId="81" xfId="9" applyFont="1" applyFill="1" applyBorder="1" applyAlignment="1">
      <alignment horizontal="center" vertical="center" wrapText="1"/>
    </xf>
    <xf numFmtId="0" fontId="62" fillId="11" borderId="3" xfId="9" applyFont="1" applyFill="1" applyBorder="1" applyAlignment="1">
      <alignment horizontal="center" vertical="center" wrapText="1"/>
    </xf>
    <xf numFmtId="0" fontId="59" fillId="33" borderId="1" xfId="9" applyFont="1" applyFill="1" applyBorder="1" applyAlignment="1">
      <alignment horizontal="center" vertical="center"/>
    </xf>
    <xf numFmtId="0" fontId="59" fillId="33" borderId="12" xfId="9" applyFont="1" applyFill="1" applyBorder="1" applyAlignment="1">
      <alignment horizontal="center" vertical="center"/>
    </xf>
    <xf numFmtId="0" fontId="70" fillId="8" borderId="5" xfId="3" applyFont="1" applyFill="1" applyBorder="1" applyAlignment="1">
      <alignment horizontal="center" vertical="center" wrapText="1"/>
    </xf>
    <xf numFmtId="0" fontId="62" fillId="18" borderId="3" xfId="9" applyFont="1" applyFill="1" applyBorder="1" applyAlignment="1">
      <alignment horizontal="center" vertical="center" wrapText="1"/>
    </xf>
    <xf numFmtId="4" fontId="62" fillId="18" borderId="5" xfId="9" applyNumberFormat="1" applyFont="1" applyFill="1" applyBorder="1" applyAlignment="1">
      <alignment horizontal="center" vertical="center" wrapText="1"/>
    </xf>
    <xf numFmtId="4" fontId="62" fillId="18" borderId="2" xfId="9" applyNumberFormat="1" applyFont="1" applyFill="1" applyBorder="1" applyAlignment="1">
      <alignment horizontal="center" vertical="center" wrapText="1"/>
    </xf>
    <xf numFmtId="0" fontId="62" fillId="18" borderId="81" xfId="9" applyFont="1" applyFill="1" applyBorder="1" applyAlignment="1">
      <alignment horizontal="center" vertical="center" wrapText="1"/>
    </xf>
    <xf numFmtId="0" fontId="59" fillId="18" borderId="0" xfId="9" applyFont="1" applyFill="1" applyAlignment="1">
      <alignment horizontal="center" vertical="center" wrapText="1"/>
    </xf>
    <xf numFmtId="0" fontId="59" fillId="18" borderId="11" xfId="9" applyFont="1" applyFill="1" applyBorder="1" applyAlignment="1">
      <alignment horizontal="center" vertical="center" wrapText="1"/>
    </xf>
    <xf numFmtId="0" fontId="59" fillId="26" borderId="2" xfId="9" applyFont="1" applyFill="1" applyBorder="1" applyAlignment="1">
      <alignment horizontal="center" vertical="center" wrapText="1"/>
    </xf>
    <xf numFmtId="0" fontId="59" fillId="26" borderId="6" xfId="9" applyFont="1" applyFill="1" applyBorder="1" applyAlignment="1">
      <alignment horizontal="center" vertical="center" wrapText="1"/>
    </xf>
    <xf numFmtId="0" fontId="59" fillId="26" borderId="3" xfId="9" applyFont="1" applyFill="1" applyBorder="1" applyAlignment="1">
      <alignment horizontal="center" vertical="center" wrapText="1"/>
    </xf>
    <xf numFmtId="0" fontId="68" fillId="26" borderId="2" xfId="9" applyFont="1" applyFill="1" applyBorder="1" applyAlignment="1">
      <alignment horizontal="center" vertical="center" wrapText="1"/>
    </xf>
    <xf numFmtId="0" fontId="68" fillId="26" borderId="6" xfId="9" applyFont="1" applyFill="1" applyBorder="1" applyAlignment="1">
      <alignment horizontal="center" vertical="center" wrapText="1"/>
    </xf>
    <xf numFmtId="0" fontId="68" fillId="26" borderId="3" xfId="9" applyFont="1" applyFill="1" applyBorder="1" applyAlignment="1">
      <alignment horizontal="center" vertical="center" wrapText="1"/>
    </xf>
    <xf numFmtId="0" fontId="69" fillId="27" borderId="15" xfId="9" applyFont="1" applyFill="1" applyBorder="1" applyAlignment="1">
      <alignment horizontal="center" vertical="center" wrapText="1"/>
    </xf>
    <xf numFmtId="0" fontId="69" fillId="27" borderId="13" xfId="9" applyFont="1" applyFill="1" applyBorder="1" applyAlignment="1">
      <alignment horizontal="center" vertical="center" wrapText="1"/>
    </xf>
    <xf numFmtId="0" fontId="61" fillId="34" borderId="2" xfId="3" applyFont="1" applyFill="1" applyBorder="1" applyAlignment="1">
      <alignment horizontal="center" vertical="center"/>
    </xf>
    <xf numFmtId="0" fontId="61" fillId="34" borderId="6" xfId="3" applyFont="1" applyFill="1" applyBorder="1" applyAlignment="1">
      <alignment horizontal="center" vertical="center"/>
    </xf>
    <xf numFmtId="0" fontId="61" fillId="34" borderId="3" xfId="3" applyFont="1" applyFill="1" applyBorder="1" applyAlignment="1">
      <alignment horizontal="center" vertical="center"/>
    </xf>
    <xf numFmtId="0" fontId="61" fillId="34" borderId="5" xfId="3" applyFont="1" applyFill="1" applyBorder="1" applyAlignment="1">
      <alignment horizontal="center" vertical="center"/>
    </xf>
    <xf numFmtId="0" fontId="61" fillId="0" borderId="2" xfId="3" applyFont="1" applyBorder="1" applyAlignment="1">
      <alignment horizontal="center" vertical="center"/>
    </xf>
    <xf numFmtId="0" fontId="61" fillId="0" borderId="6" xfId="3" applyFont="1" applyBorder="1" applyAlignment="1">
      <alignment horizontal="center" vertical="center"/>
    </xf>
    <xf numFmtId="0" fontId="65" fillId="0" borderId="7" xfId="3" applyFont="1" applyBorder="1" applyAlignment="1">
      <alignment horizontal="center" vertical="center"/>
    </xf>
    <xf numFmtId="0" fontId="65" fillId="0" borderId="8" xfId="3" applyFont="1" applyBorder="1" applyAlignment="1">
      <alignment horizontal="center" vertical="center"/>
    </xf>
    <xf numFmtId="0" fontId="65" fillId="0" borderId="9" xfId="3" applyFont="1" applyBorder="1" applyAlignment="1">
      <alignment horizontal="center" vertical="center"/>
    </xf>
    <xf numFmtId="0" fontId="65" fillId="0" borderId="10" xfId="3" applyFont="1" applyBorder="1" applyAlignment="1">
      <alignment horizontal="center" vertical="center"/>
    </xf>
    <xf numFmtId="0" fontId="65" fillId="0" borderId="0" xfId="3" applyFont="1" applyAlignment="1">
      <alignment horizontal="center" vertical="center"/>
    </xf>
    <xf numFmtId="0" fontId="65" fillId="0" borderId="11" xfId="3" applyFont="1" applyBorder="1" applyAlignment="1">
      <alignment horizontal="center" vertical="center"/>
    </xf>
    <xf numFmtId="0" fontId="65" fillId="0" borderId="5" xfId="3" applyFont="1" applyBorder="1" applyAlignment="1">
      <alignment horizontal="center" vertical="center"/>
    </xf>
    <xf numFmtId="0" fontId="76" fillId="18" borderId="5" xfId="3" applyFont="1" applyFill="1" applyBorder="1" applyAlignment="1">
      <alignment horizontal="center" vertical="center"/>
    </xf>
    <xf numFmtId="0" fontId="61" fillId="18" borderId="1" xfId="3" applyFont="1" applyFill="1" applyBorder="1" applyAlignment="1">
      <alignment horizontal="center" vertical="center"/>
    </xf>
    <xf numFmtId="0" fontId="61" fillId="18" borderId="4" xfId="3" applyFont="1" applyFill="1" applyBorder="1" applyAlignment="1">
      <alignment horizontal="center" vertical="center"/>
    </xf>
    <xf numFmtId="0" fontId="76" fillId="18" borderId="1" xfId="3" applyFont="1" applyFill="1" applyBorder="1" applyAlignment="1">
      <alignment horizontal="center" vertical="center" wrapText="1"/>
    </xf>
    <xf numFmtId="0" fontId="76" fillId="18" borderId="4" xfId="3" applyFont="1" applyFill="1" applyBorder="1" applyAlignment="1">
      <alignment horizontal="center" vertical="center" wrapText="1"/>
    </xf>
    <xf numFmtId="0" fontId="61" fillId="18" borderId="5" xfId="3" applyFont="1" applyFill="1" applyBorder="1" applyAlignment="1">
      <alignment horizontal="center" vertical="center"/>
    </xf>
    <xf numFmtId="0" fontId="61" fillId="0" borderId="8" xfId="3" applyFont="1" applyBorder="1" applyAlignment="1">
      <alignment horizontal="left" vertical="center"/>
    </xf>
    <xf numFmtId="0" fontId="61" fillId="0" borderId="9" xfId="3" applyFont="1" applyBorder="1" applyAlignment="1">
      <alignment horizontal="left" vertical="center"/>
    </xf>
    <xf numFmtId="0" fontId="65" fillId="0" borderId="5" xfId="3" applyFont="1" applyBorder="1" applyAlignment="1">
      <alignment horizontal="left" vertical="top" wrapText="1"/>
    </xf>
    <xf numFmtId="0" fontId="76" fillId="29" borderId="2" xfId="3" applyFont="1" applyFill="1" applyBorder="1" applyAlignment="1">
      <alignment horizontal="center" vertical="center"/>
    </xf>
    <xf numFmtId="0" fontId="76" fillId="29" borderId="3" xfId="3" applyFont="1" applyFill="1" applyBorder="1" applyAlignment="1">
      <alignment horizontal="center" vertical="center"/>
    </xf>
    <xf numFmtId="0" fontId="76" fillId="18" borderId="1" xfId="3" applyFont="1" applyFill="1" applyBorder="1" applyAlignment="1">
      <alignment horizontal="center" vertical="center"/>
    </xf>
    <xf numFmtId="0" fontId="76" fillId="18" borderId="4" xfId="3" applyFont="1" applyFill="1" applyBorder="1" applyAlignment="1">
      <alignment horizontal="center" vertical="center"/>
    </xf>
    <xf numFmtId="0" fontId="1" fillId="0" borderId="2" xfId="20" applyBorder="1" applyAlignment="1">
      <alignment vertical="center"/>
    </xf>
    <xf numFmtId="0" fontId="1" fillId="0" borderId="6" xfId="20" applyBorder="1" applyAlignment="1">
      <alignment vertical="center"/>
    </xf>
    <xf numFmtId="0" fontId="1" fillId="0" borderId="3" xfId="20" applyBorder="1" applyAlignment="1">
      <alignment vertical="center"/>
    </xf>
    <xf numFmtId="1" fontId="3" fillId="17" borderId="5" xfId="21" applyNumberFormat="1" applyFont="1" applyFill="1" applyBorder="1" applyAlignment="1">
      <alignment horizontal="center" vertical="center"/>
    </xf>
    <xf numFmtId="0" fontId="3" fillId="0" borderId="5" xfId="20" applyFont="1" applyBorder="1" applyAlignment="1">
      <alignment horizontal="center" vertical="center"/>
    </xf>
    <xf numFmtId="0" fontId="24" fillId="30" borderId="2" xfId="20" applyFont="1" applyFill="1" applyBorder="1" applyAlignment="1">
      <alignment horizontal="center"/>
    </xf>
    <xf numFmtId="0" fontId="24" fillId="30" borderId="6" xfId="20" applyFont="1" applyFill="1" applyBorder="1" applyAlignment="1">
      <alignment horizontal="center"/>
    </xf>
    <xf numFmtId="0" fontId="24" fillId="30" borderId="3" xfId="20" applyFont="1" applyFill="1" applyBorder="1" applyAlignment="1">
      <alignment horizontal="center"/>
    </xf>
    <xf numFmtId="1" fontId="3" fillId="0" borderId="5" xfId="21" applyNumberFormat="1" applyFont="1" applyBorder="1" applyAlignment="1">
      <alignment horizontal="center" vertical="center"/>
    </xf>
    <xf numFmtId="1" fontId="3" fillId="0" borderId="15" xfId="21" applyNumberFormat="1" applyFont="1" applyBorder="1" applyAlignment="1">
      <alignment horizontal="center" vertical="center"/>
    </xf>
    <xf numFmtId="1" fontId="3" fillId="0" borderId="13" xfId="21" applyNumberFormat="1" applyFont="1" applyBorder="1" applyAlignment="1">
      <alignment horizontal="center" vertical="center"/>
    </xf>
    <xf numFmtId="1" fontId="3" fillId="0" borderId="2" xfId="21" applyNumberFormat="1" applyFont="1" applyBorder="1" applyAlignment="1">
      <alignment horizontal="center" vertical="center"/>
    </xf>
    <xf numFmtId="1" fontId="3" fillId="0" borderId="6" xfId="21" applyNumberFormat="1" applyFont="1" applyBorder="1" applyAlignment="1">
      <alignment horizontal="center" vertical="center"/>
    </xf>
    <xf numFmtId="1" fontId="3" fillId="0" borderId="3" xfId="21" applyNumberFormat="1" applyFont="1" applyBorder="1" applyAlignment="1">
      <alignment horizontal="center" vertical="center"/>
    </xf>
    <xf numFmtId="4" fontId="3" fillId="0" borderId="1" xfId="21" applyNumberFormat="1" applyFont="1" applyBorder="1" applyAlignment="1">
      <alignment horizontal="center" vertical="center" wrapText="1"/>
    </xf>
    <xf numFmtId="4" fontId="3" fillId="0" borderId="4" xfId="21" applyNumberFormat="1" applyFont="1" applyBorder="1" applyAlignment="1">
      <alignment horizontal="center" vertical="center" wrapText="1"/>
    </xf>
    <xf numFmtId="4" fontId="35" fillId="18" borderId="1" xfId="21" applyNumberFormat="1" applyFont="1" applyFill="1" applyBorder="1" applyAlignment="1">
      <alignment horizontal="center" vertical="center" wrapText="1"/>
    </xf>
    <xf numFmtId="4" fontId="35" fillId="18" borderId="4" xfId="21" applyNumberFormat="1" applyFont="1" applyFill="1" applyBorder="1" applyAlignment="1">
      <alignment horizontal="center" vertical="center" wrapText="1"/>
    </xf>
    <xf numFmtId="0" fontId="45" fillId="18" borderId="1" xfId="21" applyFont="1" applyFill="1" applyBorder="1" applyAlignment="1">
      <alignment horizontal="center" vertical="center" wrapText="1"/>
    </xf>
    <xf numFmtId="0" fontId="45" fillId="18" borderId="4" xfId="21" applyFont="1" applyFill="1" applyBorder="1" applyAlignment="1">
      <alignment horizontal="center" vertical="center" wrapText="1"/>
    </xf>
    <xf numFmtId="4" fontId="35" fillId="18" borderId="12" xfId="21" applyNumberFormat="1" applyFont="1" applyFill="1" applyBorder="1" applyAlignment="1">
      <alignment horizontal="center" vertical="center" wrapText="1"/>
    </xf>
    <xf numFmtId="0" fontId="35" fillId="18" borderId="83" xfId="21" applyFont="1" applyFill="1" applyBorder="1" applyAlignment="1">
      <alignment horizontal="center" vertical="center" wrapText="1"/>
    </xf>
    <xf numFmtId="0" fontId="35" fillId="18" borderId="8" xfId="21" applyFont="1" applyFill="1" applyBorder="1" applyAlignment="1">
      <alignment horizontal="center" vertical="center" wrapText="1"/>
    </xf>
    <xf numFmtId="0" fontId="35" fillId="18" borderId="9" xfId="21" applyFont="1" applyFill="1" applyBorder="1" applyAlignment="1">
      <alignment horizontal="center" vertical="center" wrapText="1"/>
    </xf>
    <xf numFmtId="0" fontId="35" fillId="18" borderId="88" xfId="21" applyFont="1" applyFill="1" applyBorder="1" applyAlignment="1">
      <alignment horizontal="center" vertical="center" wrapText="1"/>
    </xf>
    <xf numFmtId="0" fontId="35" fillId="18" borderId="0" xfId="21" applyFont="1" applyFill="1" applyAlignment="1">
      <alignment horizontal="center" vertical="center" wrapText="1"/>
    </xf>
    <xf numFmtId="0" fontId="35" fillId="18" borderId="11" xfId="21" applyFont="1" applyFill="1" applyBorder="1" applyAlignment="1">
      <alignment horizontal="center" vertical="center" wrapText="1"/>
    </xf>
    <xf numFmtId="0" fontId="35" fillId="18" borderId="85" xfId="21" applyFont="1" applyFill="1" applyBorder="1" applyAlignment="1">
      <alignment horizontal="center" vertical="center" wrapText="1"/>
    </xf>
    <xf numFmtId="0" fontId="35" fillId="18" borderId="13" xfId="21" applyFont="1" applyFill="1" applyBorder="1" applyAlignment="1">
      <alignment horizontal="center" vertical="center" wrapText="1"/>
    </xf>
    <xf numFmtId="0" fontId="35" fillId="18" borderId="14" xfId="21" applyFont="1" applyFill="1" applyBorder="1" applyAlignment="1">
      <alignment horizontal="center" vertical="center" wrapText="1"/>
    </xf>
    <xf numFmtId="0" fontId="35" fillId="18" borderId="7" xfId="21" applyFont="1" applyFill="1" applyBorder="1" applyAlignment="1">
      <alignment horizontal="center" vertical="center" wrapText="1"/>
    </xf>
    <xf numFmtId="0" fontId="35" fillId="18" borderId="10" xfId="21" applyFont="1" applyFill="1" applyBorder="1" applyAlignment="1">
      <alignment horizontal="center" vertical="center" wrapText="1"/>
    </xf>
    <xf numFmtId="0" fontId="35" fillId="18" borderId="15" xfId="21" applyFont="1" applyFill="1" applyBorder="1" applyAlignment="1">
      <alignment horizontal="center" vertical="center" wrapText="1"/>
    </xf>
    <xf numFmtId="0" fontId="35" fillId="18" borderId="1" xfId="21" applyFont="1" applyFill="1" applyBorder="1" applyAlignment="1">
      <alignment horizontal="center" vertical="center"/>
    </xf>
    <xf numFmtId="0" fontId="35" fillId="18" borderId="12" xfId="21" applyFont="1" applyFill="1" applyBorder="1" applyAlignment="1">
      <alignment horizontal="center" vertical="center"/>
    </xf>
    <xf numFmtId="0" fontId="35" fillId="18" borderId="4" xfId="21" applyFont="1" applyFill="1" applyBorder="1" applyAlignment="1">
      <alignment horizontal="center" vertical="center"/>
    </xf>
    <xf numFmtId="4" fontId="35" fillId="18" borderId="7" xfId="21" applyNumberFormat="1" applyFont="1" applyFill="1" applyBorder="1" applyAlignment="1">
      <alignment horizontal="center" vertical="center" wrapText="1"/>
    </xf>
    <xf numFmtId="4" fontId="35" fillId="18" borderId="8" xfId="21" applyNumberFormat="1" applyFont="1" applyFill="1" applyBorder="1" applyAlignment="1">
      <alignment horizontal="center" vertical="center" wrapText="1"/>
    </xf>
    <xf numFmtId="4" fontId="35" fillId="18" borderId="9" xfId="21" applyNumberFormat="1" applyFont="1" applyFill="1" applyBorder="1" applyAlignment="1">
      <alignment horizontal="center" vertical="center" wrapText="1"/>
    </xf>
    <xf numFmtId="4" fontId="35" fillId="18" borderId="15" xfId="21" applyNumberFormat="1" applyFont="1" applyFill="1" applyBorder="1" applyAlignment="1">
      <alignment horizontal="center" vertical="center" wrapText="1"/>
    </xf>
    <xf numFmtId="4" fontId="35" fillId="18" borderId="13" xfId="21" applyNumberFormat="1" applyFont="1" applyFill="1" applyBorder="1" applyAlignment="1">
      <alignment horizontal="center" vertical="center" wrapText="1"/>
    </xf>
    <xf numFmtId="4" fontId="35" fillId="18" borderId="14" xfId="21" applyNumberFormat="1" applyFont="1" applyFill="1" applyBorder="1" applyAlignment="1">
      <alignment horizontal="center" vertical="center" wrapText="1"/>
    </xf>
    <xf numFmtId="0" fontId="35" fillId="18" borderId="1" xfId="21" applyFont="1" applyFill="1" applyBorder="1" applyAlignment="1">
      <alignment horizontal="center" vertical="center" wrapText="1"/>
    </xf>
    <xf numFmtId="0" fontId="35" fillId="18" borderId="12" xfId="21" applyFont="1" applyFill="1" applyBorder="1" applyAlignment="1">
      <alignment horizontal="center" vertical="center" wrapText="1"/>
    </xf>
    <xf numFmtId="0" fontId="35" fillId="18" borderId="4" xfId="21" applyFont="1" applyFill="1" applyBorder="1" applyAlignment="1">
      <alignment horizontal="center" vertical="center" wrapText="1"/>
    </xf>
    <xf numFmtId="0" fontId="35" fillId="18" borderId="86" xfId="21" applyFont="1" applyFill="1" applyBorder="1" applyAlignment="1">
      <alignment horizontal="center" vertical="center" wrapText="1"/>
    </xf>
    <xf numFmtId="0" fontId="35" fillId="18" borderId="87" xfId="21" applyFont="1" applyFill="1" applyBorder="1" applyAlignment="1">
      <alignment horizontal="center" vertical="center" wrapText="1"/>
    </xf>
    <xf numFmtId="0" fontId="35" fillId="18" borderId="89" xfId="21" applyFont="1" applyFill="1" applyBorder="1" applyAlignment="1">
      <alignment horizontal="center" vertical="center" wrapText="1"/>
    </xf>
    <xf numFmtId="0" fontId="3" fillId="18" borderId="7" xfId="21" applyFont="1" applyFill="1" applyBorder="1" applyAlignment="1">
      <alignment horizontal="center" vertical="center" wrapText="1"/>
    </xf>
    <xf numFmtId="0" fontId="3" fillId="18" borderId="8" xfId="21" applyFont="1" applyFill="1" applyBorder="1" applyAlignment="1">
      <alignment horizontal="center" vertical="center" wrapText="1"/>
    </xf>
    <xf numFmtId="0" fontId="3" fillId="18" borderId="82" xfId="21" applyFont="1" applyFill="1" applyBorder="1" applyAlignment="1">
      <alignment horizontal="center" vertical="center" wrapText="1"/>
    </xf>
    <xf numFmtId="0" fontId="3" fillId="18" borderId="15" xfId="21" applyFont="1" applyFill="1" applyBorder="1" applyAlignment="1">
      <alignment horizontal="center" vertical="center" wrapText="1"/>
    </xf>
    <xf numFmtId="0" fontId="3" fillId="18" borderId="13" xfId="21" applyFont="1" applyFill="1" applyBorder="1" applyAlignment="1">
      <alignment horizontal="center" vertical="center" wrapText="1"/>
    </xf>
    <xf numFmtId="0" fontId="3" fillId="18" borderId="84" xfId="21" applyFont="1" applyFill="1" applyBorder="1" applyAlignment="1">
      <alignment horizontal="center" vertical="center" wrapText="1"/>
    </xf>
    <xf numFmtId="0" fontId="3" fillId="18" borderId="83" xfId="21" applyFont="1" applyFill="1" applyBorder="1" applyAlignment="1">
      <alignment horizontal="center" vertical="center" wrapText="1"/>
    </xf>
    <xf numFmtId="0" fontId="3" fillId="18" borderId="9" xfId="21" applyFont="1" applyFill="1" applyBorder="1" applyAlignment="1">
      <alignment horizontal="center" vertical="center" wrapText="1"/>
    </xf>
    <xf numFmtId="0" fontId="3" fillId="18" borderId="85" xfId="21" applyFont="1" applyFill="1" applyBorder="1" applyAlignment="1">
      <alignment horizontal="center" vertical="center" wrapText="1"/>
    </xf>
    <xf numFmtId="0" fontId="3" fillId="18" borderId="14" xfId="21" applyFont="1" applyFill="1" applyBorder="1" applyAlignment="1">
      <alignment horizontal="center" vertical="center" wrapText="1"/>
    </xf>
    <xf numFmtId="0" fontId="1" fillId="0" borderId="0" xfId="21" applyAlignment="1">
      <alignment horizontal="center"/>
    </xf>
    <xf numFmtId="0" fontId="24" fillId="40" borderId="2" xfId="21" applyFont="1" applyFill="1" applyBorder="1" applyAlignment="1">
      <alignment horizontal="center" vertical="center"/>
    </xf>
    <xf numFmtId="0" fontId="24" fillId="40" borderId="6" xfId="21" applyFont="1" applyFill="1" applyBorder="1" applyAlignment="1">
      <alignment horizontal="center" vertical="center"/>
    </xf>
    <xf numFmtId="0" fontId="24" fillId="40" borderId="3" xfId="21" applyFont="1" applyFill="1" applyBorder="1" applyAlignment="1">
      <alignment horizontal="center" vertical="center"/>
    </xf>
    <xf numFmtId="0" fontId="61" fillId="0" borderId="5" xfId="9" applyFont="1" applyBorder="1" applyAlignment="1" applyProtection="1">
      <alignment horizontal="center" vertical="center"/>
      <protection locked="0"/>
    </xf>
    <xf numFmtId="0" fontId="61" fillId="26" borderId="5" xfId="9" applyFont="1" applyFill="1" applyBorder="1" applyAlignment="1">
      <alignment horizontal="center" vertical="center"/>
    </xf>
    <xf numFmtId="0" fontId="61" fillId="29" borderId="1" xfId="9" applyFont="1" applyFill="1" applyBorder="1" applyAlignment="1">
      <alignment horizontal="center" vertical="center" wrapText="1"/>
    </xf>
    <xf numFmtId="0" fontId="61" fillId="29" borderId="4" xfId="9" applyFont="1" applyFill="1" applyBorder="1" applyAlignment="1">
      <alignment horizontal="center" vertical="center" wrapText="1"/>
    </xf>
    <xf numFmtId="0" fontId="61" fillId="29" borderId="7" xfId="9" applyFont="1" applyFill="1" applyBorder="1" applyAlignment="1">
      <alignment horizontal="center" vertical="center" wrapText="1"/>
    </xf>
    <xf numFmtId="0" fontId="61" fillId="29" borderId="8" xfId="9" applyFont="1" applyFill="1" applyBorder="1" applyAlignment="1">
      <alignment horizontal="center" vertical="center" wrapText="1"/>
    </xf>
    <xf numFmtId="0" fontId="61" fillId="29" borderId="9" xfId="9" applyFont="1" applyFill="1" applyBorder="1" applyAlignment="1">
      <alignment horizontal="center" vertical="center" wrapText="1"/>
    </xf>
    <xf numFmtId="0" fontId="61" fillId="29" borderId="15" xfId="9" applyFont="1" applyFill="1" applyBorder="1" applyAlignment="1">
      <alignment horizontal="center" vertical="center" wrapText="1"/>
    </xf>
    <xf numFmtId="0" fontId="61" fillId="29" borderId="13" xfId="9" applyFont="1" applyFill="1" applyBorder="1" applyAlignment="1">
      <alignment horizontal="center" vertical="center" wrapText="1"/>
    </xf>
    <xf numFmtId="0" fontId="61" fillId="29" borderId="14" xfId="9" applyFont="1" applyFill="1" applyBorder="1" applyAlignment="1">
      <alignment horizontal="center" vertical="center" wrapText="1"/>
    </xf>
    <xf numFmtId="4" fontId="61" fillId="29" borderId="1" xfId="9" applyNumberFormat="1" applyFont="1" applyFill="1" applyBorder="1" applyAlignment="1">
      <alignment horizontal="center" vertical="center" wrapText="1"/>
    </xf>
    <xf numFmtId="4" fontId="61" fillId="29" borderId="4" xfId="9" applyNumberFormat="1" applyFont="1" applyFill="1" applyBorder="1" applyAlignment="1">
      <alignment horizontal="center" vertical="center" wrapText="1"/>
    </xf>
    <xf numFmtId="0" fontId="61" fillId="0" borderId="2" xfId="9" applyFont="1" applyBorder="1" applyAlignment="1" applyProtection="1">
      <alignment horizontal="center" vertical="center"/>
      <protection locked="0"/>
    </xf>
    <xf numFmtId="0" fontId="61" fillId="0" borderId="6" xfId="9" applyFont="1" applyBorder="1" applyAlignment="1" applyProtection="1">
      <alignment horizontal="center" vertical="center"/>
      <protection locked="0"/>
    </xf>
    <xf numFmtId="0" fontId="61" fillId="0" borderId="3" xfId="9" applyFont="1" applyBorder="1" applyAlignment="1" applyProtection="1">
      <alignment horizontal="center" vertical="center"/>
      <protection locked="0"/>
    </xf>
    <xf numFmtId="0" fontId="59" fillId="8" borderId="7" xfId="9" applyFont="1" applyFill="1" applyBorder="1" applyAlignment="1">
      <alignment horizontal="center" vertical="center" wrapText="1"/>
    </xf>
    <xf numFmtId="0" fontId="59" fillId="8" borderId="8" xfId="9" applyFont="1" applyFill="1" applyBorder="1" applyAlignment="1">
      <alignment horizontal="center" vertical="center" wrapText="1"/>
    </xf>
    <xf numFmtId="0" fontId="59" fillId="8" borderId="9" xfId="9" applyFont="1" applyFill="1" applyBorder="1" applyAlignment="1">
      <alignment horizontal="center" vertical="center" wrapText="1"/>
    </xf>
    <xf numFmtId="0" fontId="59" fillId="8" borderId="15" xfId="9" applyFont="1" applyFill="1" applyBorder="1" applyAlignment="1">
      <alignment horizontal="center" vertical="center" wrapText="1"/>
    </xf>
    <xf numFmtId="0" fontId="59" fillId="8" borderId="13" xfId="9" applyFont="1" applyFill="1" applyBorder="1" applyAlignment="1">
      <alignment horizontal="center" vertical="center" wrapText="1"/>
    </xf>
    <xf numFmtId="0" fontId="59" fillId="8" borderId="14" xfId="9" applyFont="1" applyFill="1" applyBorder="1" applyAlignment="1">
      <alignment horizontal="center" vertical="center" wrapText="1"/>
    </xf>
    <xf numFmtId="0" fontId="61" fillId="18" borderId="1" xfId="9" applyFont="1" applyFill="1" applyBorder="1" applyAlignment="1">
      <alignment horizontal="center" vertical="center" wrapText="1"/>
    </xf>
    <xf numFmtId="0" fontId="61" fillId="18" borderId="4" xfId="9" applyFont="1" applyFill="1" applyBorder="1" applyAlignment="1">
      <alignment horizontal="center" vertical="center" wrapText="1"/>
    </xf>
    <xf numFmtId="0" fontId="61" fillId="18" borderId="7" xfId="9" applyFont="1" applyFill="1" applyBorder="1" applyAlignment="1">
      <alignment horizontal="center" vertical="center" wrapText="1"/>
    </xf>
    <xf numFmtId="0" fontId="61" fillId="18" borderId="8" xfId="9" applyFont="1" applyFill="1" applyBorder="1" applyAlignment="1">
      <alignment horizontal="center" vertical="center" wrapText="1"/>
    </xf>
    <xf numFmtId="0" fontId="61" fillId="18" borderId="9" xfId="9" applyFont="1" applyFill="1" applyBorder="1" applyAlignment="1">
      <alignment horizontal="center" vertical="center" wrapText="1"/>
    </xf>
    <xf numFmtId="0" fontId="61" fillId="18" borderId="15" xfId="9" applyFont="1" applyFill="1" applyBorder="1" applyAlignment="1">
      <alignment horizontal="center" vertical="center" wrapText="1"/>
    </xf>
    <xf numFmtId="0" fontId="61" fillId="18" borderId="13" xfId="9" applyFont="1" applyFill="1" applyBorder="1" applyAlignment="1">
      <alignment horizontal="center" vertical="center" wrapText="1"/>
    </xf>
    <xf numFmtId="0" fontId="61" fillId="18" borderId="14" xfId="9" applyFont="1" applyFill="1" applyBorder="1" applyAlignment="1">
      <alignment horizontal="center" vertical="center" wrapText="1"/>
    </xf>
    <xf numFmtId="4" fontId="61" fillId="18" borderId="1" xfId="9" applyNumberFormat="1" applyFont="1" applyFill="1" applyBorder="1" applyAlignment="1">
      <alignment horizontal="center" vertical="center" wrapText="1"/>
    </xf>
    <xf numFmtId="4" fontId="61" fillId="18" borderId="4" xfId="9" applyNumberFormat="1" applyFont="1" applyFill="1" applyBorder="1" applyAlignment="1">
      <alignment horizontal="center" vertical="center" wrapText="1"/>
    </xf>
    <xf numFmtId="0" fontId="35" fillId="18" borderId="2" xfId="20" applyFont="1" applyFill="1" applyBorder="1" applyAlignment="1">
      <alignment horizontal="center" vertical="center"/>
    </xf>
    <xf numFmtId="0" fontId="35" fillId="18" borderId="6" xfId="20" applyFont="1" applyFill="1" applyBorder="1" applyAlignment="1">
      <alignment horizontal="center" vertical="center"/>
    </xf>
    <xf numFmtId="0" fontId="35" fillId="18" borderId="3" xfId="20" applyFont="1" applyFill="1" applyBorder="1" applyAlignment="1">
      <alignment horizontal="center" vertical="center"/>
    </xf>
    <xf numFmtId="0" fontId="45" fillId="18" borderId="2" xfId="20" applyFont="1" applyFill="1" applyBorder="1" applyAlignment="1">
      <alignment horizontal="center" vertical="center"/>
    </xf>
    <xf numFmtId="0" fontId="45" fillId="18" borderId="6" xfId="20" applyFont="1" applyFill="1" applyBorder="1" applyAlignment="1">
      <alignment horizontal="center" vertical="center"/>
    </xf>
    <xf numFmtId="0" fontId="45" fillId="18" borderId="3" xfId="20" applyFont="1" applyFill="1" applyBorder="1" applyAlignment="1">
      <alignment horizontal="center" vertical="center"/>
    </xf>
    <xf numFmtId="0" fontId="1" fillId="0" borderId="95" xfId="21" applyBorder="1" applyAlignment="1">
      <alignment vertical="center"/>
    </xf>
    <xf numFmtId="0" fontId="1" fillId="0" borderId="96" xfId="21" applyBorder="1" applyAlignment="1">
      <alignment vertical="center"/>
    </xf>
    <xf numFmtId="0" fontId="1" fillId="0" borderId="97" xfId="21" applyBorder="1" applyAlignment="1">
      <alignment vertical="center"/>
    </xf>
    <xf numFmtId="0" fontId="51" fillId="0" borderId="5" xfId="21" applyFont="1" applyBorder="1" applyAlignment="1">
      <alignment horizontal="center" vertical="center"/>
    </xf>
    <xf numFmtId="0" fontId="51" fillId="0" borderId="1" xfId="21" applyFont="1" applyBorder="1" applyAlignment="1">
      <alignment horizontal="center" vertical="center"/>
    </xf>
    <xf numFmtId="0" fontId="51" fillId="0" borderId="91" xfId="21" applyFont="1" applyBorder="1" applyAlignment="1">
      <alignment horizontal="left" vertical="center"/>
    </xf>
    <xf numFmtId="0" fontId="1" fillId="0" borderId="92" xfId="21" applyBorder="1"/>
    <xf numFmtId="0" fontId="1" fillId="0" borderId="93" xfId="21" applyBorder="1"/>
    <xf numFmtId="0" fontId="37" fillId="0" borderId="2" xfId="20" applyFont="1" applyBorder="1" applyAlignment="1">
      <alignment vertical="center"/>
    </xf>
    <xf numFmtId="0" fontId="37" fillId="0" borderId="6" xfId="20" applyFont="1" applyBorder="1" applyAlignment="1">
      <alignment vertical="center"/>
    </xf>
    <xf numFmtId="0" fontId="37" fillId="0" borderId="3" xfId="20" applyFont="1" applyBorder="1" applyAlignment="1">
      <alignment vertical="center"/>
    </xf>
    <xf numFmtId="0" fontId="38" fillId="0" borderId="2" xfId="20" applyFont="1" applyBorder="1" applyAlignment="1">
      <alignment horizontal="left" vertical="center"/>
    </xf>
    <xf numFmtId="0" fontId="38" fillId="0" borderId="6" xfId="20" applyFont="1" applyBorder="1" applyAlignment="1">
      <alignment horizontal="left" vertical="center"/>
    </xf>
    <xf numFmtId="0" fontId="38" fillId="0" borderId="3" xfId="20" applyFont="1" applyBorder="1" applyAlignment="1">
      <alignment horizontal="left" vertical="center"/>
    </xf>
    <xf numFmtId="0" fontId="38" fillId="0" borderId="7" xfId="20" applyFont="1" applyBorder="1" applyAlignment="1">
      <alignment vertical="center"/>
    </xf>
    <xf numFmtId="0" fontId="38" fillId="0" borderId="8" xfId="20" applyFont="1" applyBorder="1" applyAlignment="1">
      <alignment vertical="center"/>
    </xf>
    <xf numFmtId="0" fontId="38" fillId="0" borderId="9" xfId="20" applyFont="1" applyBorder="1" applyAlignment="1">
      <alignment vertical="center"/>
    </xf>
    <xf numFmtId="0" fontId="38" fillId="0" borderId="10" xfId="20" applyFont="1" applyBorder="1" applyAlignment="1">
      <alignment vertical="center"/>
    </xf>
    <xf numFmtId="0" fontId="38" fillId="0" borderId="0" xfId="20" applyFont="1" applyAlignment="1">
      <alignment vertical="center"/>
    </xf>
    <xf numFmtId="0" fontId="38" fillId="0" borderId="11" xfId="20" applyFont="1" applyBorder="1" applyAlignment="1">
      <alignment vertical="center"/>
    </xf>
    <xf numFmtId="0" fontId="38" fillId="0" borderId="15" xfId="20" applyFont="1" applyBorder="1" applyAlignment="1">
      <alignment vertical="center"/>
    </xf>
    <xf numFmtId="0" fontId="38" fillId="0" borderId="13" xfId="20" applyFont="1" applyBorder="1" applyAlignment="1">
      <alignment vertical="center"/>
    </xf>
    <xf numFmtId="0" fontId="38" fillId="0" borderId="14" xfId="20" applyFont="1" applyBorder="1" applyAlignment="1">
      <alignment vertical="center"/>
    </xf>
    <xf numFmtId="0" fontId="35" fillId="0" borderId="2" xfId="20" applyFont="1" applyBorder="1" applyAlignment="1">
      <alignment vertical="center"/>
    </xf>
    <xf numFmtId="0" fontId="35" fillId="0" borderId="6" xfId="20" applyFont="1" applyBorder="1" applyAlignment="1">
      <alignment vertical="center"/>
    </xf>
    <xf numFmtId="0" fontId="35" fillId="0" borderId="3" xfId="20" applyFont="1" applyBorder="1" applyAlignment="1">
      <alignment vertical="center"/>
    </xf>
    <xf numFmtId="0" fontId="37" fillId="0" borderId="2" xfId="20" applyFont="1" applyBorder="1" applyAlignment="1">
      <alignment horizontal="left" vertical="center"/>
    </xf>
    <xf numFmtId="0" fontId="37" fillId="0" borderId="6" xfId="20" applyFont="1" applyBorder="1" applyAlignment="1">
      <alignment horizontal="left" vertical="center"/>
    </xf>
    <xf numFmtId="0" fontId="37" fillId="0" borderId="3" xfId="20" applyFont="1" applyBorder="1" applyAlignment="1">
      <alignment horizontal="left" vertical="center"/>
    </xf>
    <xf numFmtId="0" fontId="35" fillId="0" borderId="5" xfId="20" applyFont="1" applyBorder="1" applyAlignment="1">
      <alignment horizontal="left" vertical="center"/>
    </xf>
    <xf numFmtId="0" fontId="37" fillId="0" borderId="5" xfId="20" applyFont="1" applyBorder="1" applyAlignment="1">
      <alignment vertical="center"/>
    </xf>
    <xf numFmtId="0" fontId="35" fillId="0" borderId="5" xfId="20" applyFont="1" applyBorder="1" applyAlignment="1">
      <alignment horizontal="center" vertical="center"/>
    </xf>
    <xf numFmtId="164" fontId="38" fillId="0" borderId="2" xfId="20" applyNumberFormat="1" applyFont="1" applyBorder="1" applyAlignment="1">
      <alignment horizontal="left" vertical="center"/>
    </xf>
    <xf numFmtId="164" fontId="38" fillId="0" borderId="6" xfId="20" applyNumberFormat="1" applyFont="1" applyBorder="1" applyAlignment="1">
      <alignment horizontal="left" vertical="center"/>
    </xf>
    <xf numFmtId="164" fontId="38" fillId="0" borderId="3" xfId="20" applyNumberFormat="1" applyFont="1" applyBorder="1" applyAlignment="1">
      <alignment horizontal="left" vertical="center"/>
    </xf>
    <xf numFmtId="0" fontId="37" fillId="0" borderId="2" xfId="20" applyFont="1" applyBorder="1" applyAlignment="1">
      <alignment horizontal="center" vertical="center"/>
    </xf>
    <xf numFmtId="0" fontId="37" fillId="0" borderId="6" xfId="20" applyFont="1" applyBorder="1" applyAlignment="1">
      <alignment horizontal="center" vertical="center"/>
    </xf>
    <xf numFmtId="0" fontId="37" fillId="0" borderId="3" xfId="20" applyFont="1" applyBorder="1" applyAlignment="1">
      <alignment horizontal="center" vertical="center"/>
    </xf>
    <xf numFmtId="0" fontId="37" fillId="0" borderId="7" xfId="20" applyFont="1" applyBorder="1" applyAlignment="1">
      <alignment vertical="center"/>
    </xf>
    <xf numFmtId="0" fontId="37" fillId="0" borderId="8" xfId="20" applyFont="1" applyBorder="1" applyAlignment="1">
      <alignment vertical="center"/>
    </xf>
    <xf numFmtId="0" fontId="37" fillId="0" borderId="9" xfId="20" applyFont="1" applyBorder="1" applyAlignment="1">
      <alignment vertical="center"/>
    </xf>
    <xf numFmtId="4" fontId="37" fillId="0" borderId="1" xfId="23" applyNumberFormat="1" applyFont="1" applyFill="1" applyBorder="1" applyAlignment="1">
      <alignment horizontal="center" vertical="center"/>
    </xf>
    <xf numFmtId="4" fontId="37" fillId="0" borderId="4" xfId="23" applyNumberFormat="1" applyFont="1" applyFill="1" applyBorder="1" applyAlignment="1">
      <alignment horizontal="center" vertical="center"/>
    </xf>
    <xf numFmtId="0" fontId="37" fillId="0" borderId="7" xfId="20" applyFont="1" applyBorder="1" applyAlignment="1">
      <alignment horizontal="left" vertical="center"/>
    </xf>
    <xf numFmtId="0" fontId="37" fillId="0" borderId="8" xfId="20" applyFont="1" applyBorder="1" applyAlignment="1">
      <alignment horizontal="left" vertical="center"/>
    </xf>
    <xf numFmtId="0" fontId="37" fillId="0" borderId="15" xfId="20" applyFont="1" applyBorder="1" applyAlignment="1">
      <alignment horizontal="left" vertical="top"/>
    </xf>
    <xf numFmtId="0" fontId="37" fillId="0" borderId="13" xfId="20" applyFont="1" applyBorder="1" applyAlignment="1">
      <alignment horizontal="left" vertical="top"/>
    </xf>
    <xf numFmtId="0" fontId="37" fillId="0" borderId="14" xfId="20" applyFont="1" applyBorder="1" applyAlignment="1">
      <alignment horizontal="left" vertical="top"/>
    </xf>
    <xf numFmtId="0" fontId="35" fillId="0" borderId="2" xfId="20" applyFont="1" applyBorder="1" applyAlignment="1">
      <alignment horizontal="left" vertical="center"/>
    </xf>
    <xf numFmtId="0" fontId="35" fillId="0" borderId="6" xfId="20" applyFont="1" applyBorder="1" applyAlignment="1">
      <alignment horizontal="left" vertical="center"/>
    </xf>
    <xf numFmtId="0" fontId="35" fillId="0" borderId="3" xfId="20" applyFont="1" applyBorder="1" applyAlignment="1">
      <alignment horizontal="left" vertical="center"/>
    </xf>
    <xf numFmtId="0" fontId="38" fillId="19" borderId="2" xfId="20" applyFont="1" applyFill="1" applyBorder="1" applyAlignment="1">
      <alignment horizontal="left" vertical="center"/>
    </xf>
    <xf numFmtId="0" fontId="38" fillId="19" borderId="6" xfId="20" applyFont="1" applyFill="1" applyBorder="1" applyAlignment="1">
      <alignment horizontal="left" vertical="center"/>
    </xf>
    <xf numFmtId="0" fontId="38" fillId="19" borderId="3" xfId="20" applyFont="1" applyFill="1" applyBorder="1" applyAlignment="1">
      <alignment horizontal="left" vertical="center"/>
    </xf>
    <xf numFmtId="0" fontId="37" fillId="0" borderId="5" xfId="20" applyFont="1" applyBorder="1" applyAlignment="1">
      <alignment horizontal="center" vertical="center"/>
    </xf>
    <xf numFmtId="0" fontId="45" fillId="18" borderId="7" xfId="20" applyFont="1" applyFill="1" applyBorder="1" applyAlignment="1">
      <alignment horizontal="center" vertical="center"/>
    </xf>
    <xf numFmtId="0" fontId="45" fillId="18" borderId="8" xfId="20" applyFont="1" applyFill="1" applyBorder="1" applyAlignment="1">
      <alignment horizontal="center" vertical="center"/>
    </xf>
    <xf numFmtId="0" fontId="45" fillId="18" borderId="9" xfId="20" applyFont="1" applyFill="1" applyBorder="1" applyAlignment="1">
      <alignment horizontal="center" vertical="center"/>
    </xf>
    <xf numFmtId="0" fontId="45" fillId="18" borderId="15" xfId="20" applyFont="1" applyFill="1" applyBorder="1" applyAlignment="1">
      <alignment horizontal="center" vertical="center"/>
    </xf>
    <xf numFmtId="0" fontId="45" fillId="18" borderId="1" xfId="20" applyFont="1" applyFill="1" applyBorder="1" applyAlignment="1">
      <alignment horizontal="center" vertical="center"/>
    </xf>
    <xf numFmtId="0" fontId="45" fillId="18" borderId="4" xfId="20" applyFont="1" applyFill="1" applyBorder="1" applyAlignment="1">
      <alignment horizontal="center" vertical="center"/>
    </xf>
    <xf numFmtId="0" fontId="45" fillId="18" borderId="5" xfId="20" applyFont="1" applyFill="1" applyBorder="1" applyAlignment="1">
      <alignment horizontal="center" vertical="center"/>
    </xf>
    <xf numFmtId="0" fontId="45" fillId="18" borderId="13" xfId="20" applyFont="1" applyFill="1" applyBorder="1" applyAlignment="1">
      <alignment horizontal="center" vertical="center"/>
    </xf>
    <xf numFmtId="0" fontId="45" fillId="18" borderId="14" xfId="20" applyFont="1" applyFill="1" applyBorder="1" applyAlignment="1">
      <alignment horizontal="center" vertical="center"/>
    </xf>
    <xf numFmtId="0" fontId="3" fillId="40" borderId="2" xfId="20" applyFont="1" applyFill="1" applyBorder="1" applyAlignment="1">
      <alignment horizontal="center" vertical="center"/>
    </xf>
    <xf numFmtId="0" fontId="3" fillId="40" borderId="6" xfId="20" applyFont="1" applyFill="1" applyBorder="1" applyAlignment="1">
      <alignment horizontal="center" vertical="center"/>
    </xf>
    <xf numFmtId="0" fontId="3" fillId="40" borderId="3" xfId="20" applyFont="1" applyFill="1" applyBorder="1" applyAlignment="1">
      <alignment horizontal="center" vertical="center"/>
    </xf>
    <xf numFmtId="0" fontId="35" fillId="40" borderId="2" xfId="20" applyFont="1" applyFill="1" applyBorder="1" applyAlignment="1">
      <alignment horizontal="center" vertical="center"/>
    </xf>
    <xf numFmtId="0" fontId="35" fillId="40" borderId="6" xfId="20" applyFont="1" applyFill="1" applyBorder="1" applyAlignment="1">
      <alignment horizontal="center" vertical="center"/>
    </xf>
    <xf numFmtId="0" fontId="35" fillId="40" borderId="3" xfId="20" applyFont="1" applyFill="1" applyBorder="1" applyAlignment="1">
      <alignment horizontal="center" vertical="center"/>
    </xf>
    <xf numFmtId="0" fontId="45" fillId="18" borderId="1" xfId="20" applyFont="1" applyFill="1" applyBorder="1" applyAlignment="1">
      <alignment horizontal="center" vertical="center" wrapText="1"/>
    </xf>
    <xf numFmtId="0" fontId="45" fillId="18" borderId="12" xfId="20" applyFont="1" applyFill="1" applyBorder="1" applyAlignment="1">
      <alignment horizontal="center" vertical="center" wrapText="1"/>
    </xf>
    <xf numFmtId="0" fontId="45" fillId="18" borderId="4" xfId="20" applyFont="1" applyFill="1" applyBorder="1" applyAlignment="1">
      <alignment horizontal="center" vertical="center" wrapText="1"/>
    </xf>
    <xf numFmtId="0" fontId="35" fillId="40" borderId="7" xfId="20" applyFont="1" applyFill="1" applyBorder="1" applyAlignment="1">
      <alignment horizontal="center" vertical="center"/>
    </xf>
    <xf numFmtId="0" fontId="35" fillId="40" borderId="8" xfId="20" applyFont="1" applyFill="1" applyBorder="1" applyAlignment="1">
      <alignment horizontal="center" vertical="center"/>
    </xf>
    <xf numFmtId="0" fontId="35" fillId="40" borderId="9" xfId="20" applyFont="1" applyFill="1" applyBorder="1" applyAlignment="1">
      <alignment horizontal="center" vertical="center"/>
    </xf>
    <xf numFmtId="0" fontId="84" fillId="0" borderId="2" xfId="29" applyBorder="1" applyAlignment="1">
      <alignment horizontal="center"/>
    </xf>
    <xf numFmtId="0" fontId="84" fillId="0" borderId="6" xfId="29" applyBorder="1" applyAlignment="1">
      <alignment horizontal="center"/>
    </xf>
    <xf numFmtId="0" fontId="84" fillId="0" borderId="3" xfId="29" applyBorder="1" applyAlignment="1">
      <alignment horizontal="center"/>
    </xf>
    <xf numFmtId="0" fontId="85" fillId="0" borderId="0" xfId="29" applyFont="1" applyAlignment="1">
      <alignment horizontal="center" vertical="top" wrapText="1"/>
    </xf>
    <xf numFmtId="0" fontId="3" fillId="8" borderId="7" xfId="29" applyFont="1" applyFill="1" applyBorder="1" applyAlignment="1">
      <alignment horizontal="center" vertical="center"/>
    </xf>
    <xf numFmtId="0" fontId="3" fillId="8" borderId="9" xfId="29" applyFont="1" applyFill="1" applyBorder="1" applyAlignment="1">
      <alignment horizontal="center" vertical="center"/>
    </xf>
    <xf numFmtId="0" fontId="3" fillId="8" borderId="15" xfId="29" applyFont="1" applyFill="1" applyBorder="1" applyAlignment="1">
      <alignment horizontal="center" vertical="center"/>
    </xf>
    <xf numFmtId="0" fontId="3" fillId="8" borderId="14" xfId="29" applyFont="1" applyFill="1" applyBorder="1" applyAlignment="1">
      <alignment horizontal="center" vertical="center"/>
    </xf>
    <xf numFmtId="0" fontId="3" fillId="8" borderId="1" xfId="29" applyFont="1" applyFill="1" applyBorder="1" applyAlignment="1">
      <alignment horizontal="center" vertical="center" wrapText="1"/>
    </xf>
    <xf numFmtId="0" fontId="3" fillId="8" borderId="4" xfId="29" applyFont="1" applyFill="1" applyBorder="1" applyAlignment="1">
      <alignment horizontal="center" vertical="center" wrapText="1"/>
    </xf>
    <xf numFmtId="0" fontId="3" fillId="8" borderId="5" xfId="29" applyFont="1" applyFill="1" applyBorder="1" applyAlignment="1">
      <alignment horizontal="center"/>
    </xf>
    <xf numFmtId="0" fontId="88" fillId="0" borderId="0" xfId="29" applyFont="1" applyAlignment="1">
      <alignment horizontal="center" vertical="center" wrapText="1"/>
    </xf>
    <xf numFmtId="0" fontId="88" fillId="0" borderId="13" xfId="29" applyFont="1" applyBorder="1" applyAlignment="1">
      <alignment horizontal="center" vertical="center" wrapText="1"/>
    </xf>
    <xf numFmtId="0" fontId="44" fillId="8" borderId="5" xfId="19" applyFont="1" applyFill="1" applyBorder="1" applyAlignment="1">
      <alignment horizontal="center"/>
    </xf>
    <xf numFmtId="0" fontId="3" fillId="8" borderId="5" xfId="19" applyFont="1" applyFill="1" applyBorder="1" applyAlignment="1">
      <alignment horizontal="center"/>
    </xf>
    <xf numFmtId="0" fontId="3" fillId="8" borderId="1" xfId="19" applyFont="1" applyFill="1" applyBorder="1" applyAlignment="1">
      <alignment horizontal="center" vertical="center" wrapText="1"/>
    </xf>
    <xf numFmtId="0" fontId="3" fillId="8" borderId="4" xfId="19" applyFont="1" applyFill="1" applyBorder="1" applyAlignment="1">
      <alignment horizontal="center" vertical="center" wrapText="1"/>
    </xf>
    <xf numFmtId="0" fontId="35" fillId="7" borderId="57" xfId="19" applyFont="1" applyFill="1" applyBorder="1" applyAlignment="1">
      <alignment horizontal="center"/>
    </xf>
    <xf numFmtId="0" fontId="35" fillId="7" borderId="58" xfId="19" applyFont="1" applyFill="1" applyBorder="1" applyAlignment="1">
      <alignment horizontal="center"/>
    </xf>
    <xf numFmtId="0" fontId="35" fillId="7" borderId="59" xfId="19" applyFont="1" applyFill="1" applyBorder="1" applyAlignment="1">
      <alignment horizontal="center"/>
    </xf>
    <xf numFmtId="0" fontId="17" fillId="0" borderId="0" xfId="19" applyFont="1" applyAlignment="1">
      <alignment horizontal="center" vertical="center"/>
    </xf>
    <xf numFmtId="0" fontId="17" fillId="0" borderId="13" xfId="19" applyFont="1" applyBorder="1" applyAlignment="1">
      <alignment horizontal="center" vertical="center"/>
    </xf>
    <xf numFmtId="0" fontId="43" fillId="14" borderId="7" xfId="19" applyFont="1" applyFill="1" applyBorder="1" applyAlignment="1">
      <alignment horizontal="center" wrapText="1"/>
    </xf>
    <xf numFmtId="0" fontId="43" fillId="14" borderId="15" xfId="19" applyFont="1" applyFill="1" applyBorder="1" applyAlignment="1">
      <alignment horizontal="center" wrapText="1"/>
    </xf>
    <xf numFmtId="0" fontId="46" fillId="0" borderId="0" xfId="19" applyFont="1" applyAlignment="1">
      <alignment horizontal="center" vertical="center"/>
    </xf>
    <xf numFmtId="0" fontId="43" fillId="14" borderId="7" xfId="19" applyFont="1" applyFill="1" applyBorder="1" applyAlignment="1">
      <alignment horizontal="center" vertical="center" wrapText="1"/>
    </xf>
    <xf numFmtId="0" fontId="43" fillId="14" borderId="15" xfId="19" applyFont="1" applyFill="1" applyBorder="1" applyAlignment="1">
      <alignment horizontal="center" vertical="center" wrapText="1"/>
    </xf>
    <xf numFmtId="0" fontId="43" fillId="14" borderId="5" xfId="19" applyFont="1" applyFill="1" applyBorder="1" applyAlignment="1">
      <alignment horizontal="center" vertical="center" wrapText="1"/>
    </xf>
    <xf numFmtId="0" fontId="43" fillId="14" borderId="5" xfId="19" applyFont="1" applyFill="1" applyBorder="1" applyAlignment="1">
      <alignment horizontal="center"/>
    </xf>
    <xf numFmtId="0" fontId="38" fillId="0" borderId="0" xfId="29" applyFont="1" applyAlignment="1">
      <alignment horizontal="left"/>
    </xf>
    <xf numFmtId="0" fontId="45" fillId="15" borderId="7" xfId="29" applyFont="1" applyFill="1" applyBorder="1" applyAlignment="1">
      <alignment horizontal="center"/>
    </xf>
    <xf numFmtId="0" fontId="45" fillId="15" borderId="8" xfId="29" applyFont="1" applyFill="1" applyBorder="1" applyAlignment="1">
      <alignment horizontal="center"/>
    </xf>
    <xf numFmtId="0" fontId="45" fillId="15" borderId="9" xfId="29" applyFont="1" applyFill="1" applyBorder="1" applyAlignment="1">
      <alignment horizontal="center"/>
    </xf>
    <xf numFmtId="0" fontId="17" fillId="0" borderId="0" xfId="29" applyFont="1" applyAlignment="1">
      <alignment horizontal="center" vertical="center"/>
    </xf>
    <xf numFmtId="0" fontId="35" fillId="33" borderId="5" xfId="29" applyFont="1" applyFill="1" applyBorder="1" applyAlignment="1">
      <alignment horizontal="center"/>
    </xf>
    <xf numFmtId="0" fontId="35" fillId="33" borderId="5" xfId="29" applyFont="1" applyFill="1" applyBorder="1" applyAlignment="1">
      <alignment horizontal="center" vertical="center"/>
    </xf>
    <xf numFmtId="0" fontId="35" fillId="33" borderId="1" xfId="29" applyFont="1" applyFill="1" applyBorder="1" applyAlignment="1">
      <alignment horizontal="center" vertical="center" wrapText="1"/>
    </xf>
    <xf numFmtId="0" fontId="35" fillId="33" borderId="4" xfId="29" applyFont="1" applyFill="1" applyBorder="1" applyAlignment="1">
      <alignment horizontal="center" vertical="center" wrapText="1"/>
    </xf>
    <xf numFmtId="0" fontId="35" fillId="8" borderId="1" xfId="29" applyFont="1" applyFill="1" applyBorder="1" applyAlignment="1">
      <alignment horizontal="center" vertical="center" wrapText="1"/>
    </xf>
    <xf numFmtId="0" fontId="35" fillId="8" borderId="4" xfId="29" applyFont="1" applyFill="1" applyBorder="1" applyAlignment="1">
      <alignment horizontal="center" vertical="center" wrapText="1"/>
    </xf>
    <xf numFmtId="0" fontId="35" fillId="8" borderId="5" xfId="29" applyFont="1" applyFill="1" applyBorder="1" applyAlignment="1">
      <alignment horizontal="center" vertical="center"/>
    </xf>
    <xf numFmtId="0" fontId="35" fillId="8" borderId="5" xfId="29" applyFont="1" applyFill="1" applyBorder="1" applyAlignment="1">
      <alignment horizontal="center"/>
    </xf>
    <xf numFmtId="0" fontId="35" fillId="33" borderId="7" xfId="29" applyFont="1" applyFill="1" applyBorder="1" applyAlignment="1">
      <alignment horizontal="center" vertical="center" wrapText="1"/>
    </xf>
    <xf numFmtId="0" fontId="35" fillId="33" borderId="9" xfId="29" applyFont="1" applyFill="1" applyBorder="1" applyAlignment="1">
      <alignment horizontal="center" vertical="center" wrapText="1"/>
    </xf>
    <xf numFmtId="0" fontId="35" fillId="33" borderId="15" xfId="29" applyFont="1" applyFill="1" applyBorder="1" applyAlignment="1">
      <alignment horizontal="center" vertical="center" wrapText="1"/>
    </xf>
    <xf numFmtId="0" fontId="35" fillId="33" borderId="14" xfId="29" applyFont="1" applyFill="1" applyBorder="1" applyAlignment="1">
      <alignment horizontal="center" vertical="center" wrapText="1"/>
    </xf>
    <xf numFmtId="0" fontId="51" fillId="2" borderId="70" xfId="29" applyFont="1" applyFill="1" applyBorder="1" applyAlignment="1">
      <alignment horizontal="left" vertical="center"/>
    </xf>
    <xf numFmtId="0" fontId="51" fillId="2" borderId="71" xfId="29" applyFont="1" applyFill="1" applyBorder="1" applyAlignment="1">
      <alignment horizontal="left" vertical="center"/>
    </xf>
    <xf numFmtId="0" fontId="51" fillId="2" borderId="72" xfId="29" applyFont="1" applyFill="1" applyBorder="1" applyAlignment="1">
      <alignment horizontal="left" vertical="center"/>
    </xf>
    <xf numFmtId="0" fontId="1" fillId="0" borderId="5" xfId="29" applyFont="1" applyBorder="1" applyAlignment="1">
      <alignment horizontal="center" wrapText="1"/>
    </xf>
    <xf numFmtId="2" fontId="84" fillId="2" borderId="5" xfId="29" applyNumberFormat="1" applyFill="1" applyBorder="1"/>
    <xf numFmtId="0" fontId="1" fillId="2" borderId="5" xfId="29" applyFont="1" applyFill="1" applyBorder="1"/>
    <xf numFmtId="0" fontId="46" fillId="0" borderId="0" xfId="29" applyFont="1" applyAlignment="1">
      <alignment horizontal="center" vertical="center"/>
    </xf>
    <xf numFmtId="0" fontId="43" fillId="14" borderId="7" xfId="29" applyFont="1" applyFill="1" applyBorder="1" applyAlignment="1">
      <alignment horizontal="center" vertical="center" wrapText="1"/>
    </xf>
    <xf numFmtId="0" fontId="43" fillId="14" borderId="15" xfId="29" applyFont="1" applyFill="1" applyBorder="1" applyAlignment="1">
      <alignment horizontal="center" vertical="center" wrapText="1"/>
    </xf>
    <xf numFmtId="0" fontId="43" fillId="14" borderId="5" xfId="29" applyFont="1" applyFill="1" applyBorder="1" applyAlignment="1">
      <alignment horizontal="center" vertical="center" wrapText="1"/>
    </xf>
    <xf numFmtId="0" fontId="43" fillId="14" borderId="1" xfId="29" applyFont="1" applyFill="1" applyBorder="1" applyAlignment="1">
      <alignment horizontal="center" vertical="center" wrapText="1"/>
    </xf>
    <xf numFmtId="0" fontId="43" fillId="14" borderId="4" xfId="29" applyFont="1" applyFill="1" applyBorder="1" applyAlignment="1">
      <alignment horizontal="center" vertical="center" wrapText="1"/>
    </xf>
    <xf numFmtId="0" fontId="45" fillId="15" borderId="57" xfId="29" applyFont="1" applyFill="1" applyBorder="1" applyAlignment="1">
      <alignment horizontal="center"/>
    </xf>
    <xf numFmtId="0" fontId="45" fillId="15" borderId="58" xfId="29" applyFont="1" applyFill="1" applyBorder="1" applyAlignment="1">
      <alignment horizontal="center"/>
    </xf>
    <xf numFmtId="0" fontId="45" fillId="15" borderId="59" xfId="29" applyFont="1" applyFill="1" applyBorder="1" applyAlignment="1">
      <alignment horizontal="center"/>
    </xf>
    <xf numFmtId="0" fontId="91" fillId="14" borderId="5" xfId="19" applyFont="1" applyFill="1" applyBorder="1" applyAlignment="1">
      <alignment horizontal="center"/>
    </xf>
    <xf numFmtId="0" fontId="91" fillId="14" borderId="1" xfId="19" applyFont="1" applyFill="1" applyBorder="1" applyAlignment="1">
      <alignment horizontal="center" vertical="center" wrapText="1"/>
    </xf>
    <xf numFmtId="0" fontId="91" fillId="14" borderId="4" xfId="19" applyFont="1" applyFill="1" applyBorder="1" applyAlignment="1">
      <alignment horizontal="center" vertical="center" wrapText="1"/>
    </xf>
    <xf numFmtId="2" fontId="91" fillId="14" borderId="1" xfId="19" applyNumberFormat="1" applyFont="1" applyFill="1" applyBorder="1" applyAlignment="1">
      <alignment horizontal="center" vertical="center" wrapText="1"/>
    </xf>
    <xf numFmtId="2" fontId="91" fillId="14" borderId="4" xfId="19" applyNumberFormat="1" applyFont="1" applyFill="1" applyBorder="1" applyAlignment="1">
      <alignment horizontal="center" vertical="center" wrapText="1"/>
    </xf>
    <xf numFmtId="0" fontId="24" fillId="0" borderId="0" xfId="19" applyFont="1" applyAlignment="1">
      <alignment horizontal="center" vertical="center"/>
    </xf>
    <xf numFmtId="0" fontId="92" fillId="14" borderId="5" xfId="19" applyFont="1" applyFill="1" applyBorder="1" applyAlignment="1">
      <alignment horizontal="center"/>
    </xf>
    <xf numFmtId="0" fontId="92" fillId="14" borderId="2" xfId="19" applyFont="1" applyFill="1" applyBorder="1" applyAlignment="1">
      <alignment horizontal="center"/>
    </xf>
    <xf numFmtId="0" fontId="92" fillId="14" borderId="6" xfId="19" applyFont="1" applyFill="1" applyBorder="1" applyAlignment="1">
      <alignment horizontal="center"/>
    </xf>
    <xf numFmtId="0" fontId="92" fillId="14" borderId="3" xfId="19" applyFont="1" applyFill="1" applyBorder="1" applyAlignment="1">
      <alignment horizontal="center"/>
    </xf>
    <xf numFmtId="0" fontId="35" fillId="15" borderId="57" xfId="29" applyFont="1" applyFill="1" applyBorder="1" applyAlignment="1">
      <alignment horizontal="left"/>
    </xf>
    <xf numFmtId="0" fontId="35" fillId="15" borderId="58" xfId="29" applyFont="1" applyFill="1" applyBorder="1" applyAlignment="1">
      <alignment horizontal="left"/>
    </xf>
    <xf numFmtId="0" fontId="35" fillId="15" borderId="59" xfId="29" applyFont="1" applyFill="1" applyBorder="1" applyAlignment="1">
      <alignment horizontal="left"/>
    </xf>
    <xf numFmtId="0" fontId="35" fillId="15" borderId="57" xfId="29" applyFont="1" applyFill="1" applyBorder="1" applyAlignment="1">
      <alignment horizontal="center"/>
    </xf>
    <xf numFmtId="0" fontId="35" fillId="15" borderId="58" xfId="29" applyFont="1" applyFill="1" applyBorder="1" applyAlignment="1">
      <alignment horizontal="center"/>
    </xf>
    <xf numFmtId="0" fontId="35" fillId="15" borderId="59" xfId="29" applyFont="1" applyFill="1" applyBorder="1" applyAlignment="1">
      <alignment horizontal="center"/>
    </xf>
    <xf numFmtId="0" fontId="38" fillId="0" borderId="30" xfId="19" applyFont="1" applyBorder="1" applyAlignment="1">
      <alignment horizontal="center" vertical="center"/>
    </xf>
    <xf numFmtId="0" fontId="38" fillId="0" borderId="12" xfId="19" applyFont="1" applyBorder="1" applyAlignment="1">
      <alignment horizontal="center" vertical="center"/>
    </xf>
    <xf numFmtId="0" fontId="38" fillId="0" borderId="60" xfId="19" applyFont="1" applyBorder="1" applyAlignment="1">
      <alignment horizontal="center" vertical="center"/>
    </xf>
    <xf numFmtId="0" fontId="3" fillId="15" borderId="5" xfId="12" applyNumberFormat="1" applyFont="1" applyFill="1" applyBorder="1" applyAlignment="1">
      <alignment horizontal="center" vertical="center" wrapText="1"/>
    </xf>
    <xf numFmtId="1" fontId="24" fillId="0" borderId="5" xfId="12" applyNumberFormat="1" applyFont="1" applyFill="1" applyBorder="1" applyAlignment="1">
      <alignment horizontal="center" vertical="center"/>
    </xf>
    <xf numFmtId="0" fontId="24" fillId="0" borderId="5" xfId="12" applyNumberFormat="1" applyFont="1" applyFill="1" applyBorder="1" applyAlignment="1">
      <alignment horizontal="center" vertical="center" wrapText="1"/>
    </xf>
    <xf numFmtId="0" fontId="3" fillId="18" borderId="7" xfId="12" applyNumberFormat="1" applyFont="1" applyFill="1" applyBorder="1" applyAlignment="1">
      <alignment horizontal="center" vertical="center"/>
    </xf>
    <xf numFmtId="0" fontId="3" fillId="18" borderId="8" xfId="12" applyNumberFormat="1" applyFont="1" applyFill="1" applyBorder="1" applyAlignment="1">
      <alignment horizontal="center" vertical="center"/>
    </xf>
    <xf numFmtId="0" fontId="3" fillId="18" borderId="9" xfId="12" applyNumberFormat="1" applyFont="1" applyFill="1" applyBorder="1" applyAlignment="1">
      <alignment horizontal="center" vertical="center"/>
    </xf>
    <xf numFmtId="0" fontId="3" fillId="19" borderId="5" xfId="12" applyNumberFormat="1" applyFont="1" applyFill="1" applyBorder="1" applyAlignment="1">
      <alignment horizontal="center" vertical="center" wrapText="1"/>
    </xf>
    <xf numFmtId="0" fontId="3" fillId="18" borderId="5" xfId="12" applyNumberFormat="1" applyFont="1" applyFill="1" applyBorder="1" applyAlignment="1">
      <alignment horizontal="center" vertical="center" wrapText="1"/>
    </xf>
    <xf numFmtId="0" fontId="3" fillId="18" borderId="15" xfId="12" applyNumberFormat="1" applyFont="1" applyFill="1" applyBorder="1" applyAlignment="1">
      <alignment horizontal="center" vertical="center" wrapText="1"/>
    </xf>
    <xf numFmtId="0" fontId="3" fillId="18" borderId="13" xfId="12" applyNumberFormat="1" applyFont="1" applyFill="1" applyBorder="1" applyAlignment="1">
      <alignment horizontal="center" vertical="center" wrapText="1"/>
    </xf>
    <xf numFmtId="0" fontId="3" fillId="18" borderId="15" xfId="12" applyNumberFormat="1" applyFont="1" applyFill="1" applyBorder="1" applyAlignment="1">
      <alignment horizontal="center" vertical="center"/>
    </xf>
    <xf numFmtId="0" fontId="3" fillId="20" borderId="5" xfId="12" applyNumberFormat="1" applyFont="1" applyFill="1" applyBorder="1" applyAlignment="1">
      <alignment horizontal="center" vertical="center" wrapText="1"/>
    </xf>
    <xf numFmtId="0" fontId="3" fillId="21" borderId="5" xfId="12" applyNumberFormat="1" applyFont="1" applyFill="1" applyBorder="1" applyAlignment="1">
      <alignment horizontal="center" vertical="center" wrapText="1"/>
    </xf>
    <xf numFmtId="0" fontId="3" fillId="22" borderId="2" xfId="12" applyNumberFormat="1" applyFont="1" applyFill="1" applyBorder="1" applyAlignment="1">
      <alignment horizontal="center" vertical="center"/>
    </xf>
    <xf numFmtId="0" fontId="3" fillId="22" borderId="6" xfId="12" applyNumberFormat="1" applyFont="1" applyFill="1" applyBorder="1" applyAlignment="1">
      <alignment horizontal="center" vertical="center"/>
    </xf>
    <xf numFmtId="0" fontId="3" fillId="22" borderId="3" xfId="12" applyNumberFormat="1" applyFont="1" applyFill="1" applyBorder="1" applyAlignment="1">
      <alignment horizontal="center" vertical="center"/>
    </xf>
    <xf numFmtId="0" fontId="3" fillId="15" borderId="2" xfId="12" applyNumberFormat="1" applyFont="1" applyFill="1" applyBorder="1" applyAlignment="1">
      <alignment horizontal="center" vertical="center"/>
    </xf>
    <xf numFmtId="0" fontId="3" fillId="15" borderId="6" xfId="12" applyNumberFormat="1" applyFont="1" applyFill="1" applyBorder="1" applyAlignment="1">
      <alignment horizontal="center" vertical="center"/>
    </xf>
    <xf numFmtId="168" fontId="3" fillId="22" borderId="5" xfId="14" applyNumberFormat="1" applyFont="1" applyFill="1" applyBorder="1" applyAlignment="1">
      <alignment horizontal="center" vertical="center"/>
    </xf>
    <xf numFmtId="0" fontId="3" fillId="26" borderId="5" xfId="14" applyNumberFormat="1" applyFont="1" applyFill="1" applyBorder="1" applyAlignment="1">
      <alignment horizontal="center" vertical="center" wrapText="1"/>
    </xf>
    <xf numFmtId="0" fontId="3" fillId="26" borderId="5" xfId="14" applyNumberFormat="1" applyFont="1" applyFill="1" applyBorder="1" applyAlignment="1">
      <alignment horizontal="center" vertical="center"/>
    </xf>
    <xf numFmtId="0" fontId="3" fillId="0" borderId="41" xfId="14" applyNumberFormat="1" applyFont="1" applyFill="1" applyBorder="1" applyAlignment="1">
      <alignment horizontal="center" vertical="center"/>
    </xf>
    <xf numFmtId="0" fontId="3" fillId="0" borderId="78" xfId="14" applyNumberFormat="1" applyFont="1" applyFill="1" applyBorder="1" applyAlignment="1">
      <alignment horizontal="center" vertical="center"/>
    </xf>
    <xf numFmtId="0" fontId="3" fillId="0" borderId="42" xfId="14" applyNumberFormat="1" applyFont="1" applyFill="1" applyBorder="1" applyAlignment="1">
      <alignment horizontal="center" vertical="center"/>
    </xf>
    <xf numFmtId="0" fontId="3" fillId="0" borderId="12" xfId="14" applyNumberFormat="1" applyFont="1" applyFill="1" applyBorder="1" applyAlignment="1">
      <alignment horizontal="center" vertical="center"/>
    </xf>
    <xf numFmtId="0" fontId="3" fillId="0" borderId="76" xfId="14" applyNumberFormat="1" applyFont="1" applyFill="1" applyBorder="1" applyAlignment="1">
      <alignment horizontal="center" vertical="center" wrapText="1"/>
    </xf>
    <xf numFmtId="0" fontId="3" fillId="0" borderId="10" xfId="14" applyNumberFormat="1" applyFont="1" applyFill="1" applyBorder="1" applyAlignment="1">
      <alignment horizontal="center" vertical="center" wrapText="1"/>
    </xf>
    <xf numFmtId="0" fontId="3" fillId="22" borderId="24" xfId="14" applyNumberFormat="1" applyFont="1" applyFill="1" applyBorder="1" applyAlignment="1">
      <alignment horizontal="center" vertical="center"/>
    </xf>
    <xf numFmtId="0" fontId="3" fillId="22" borderId="25" xfId="14" applyNumberFormat="1" applyFont="1" applyFill="1" applyBorder="1" applyAlignment="1">
      <alignment horizontal="center" vertical="center"/>
    </xf>
    <xf numFmtId="0" fontId="3" fillId="22" borderId="23" xfId="14" applyNumberFormat="1" applyFont="1" applyFill="1" applyBorder="1" applyAlignment="1">
      <alignment horizontal="center" vertical="center"/>
    </xf>
    <xf numFmtId="0" fontId="3" fillId="28" borderId="23" xfId="14" applyNumberFormat="1" applyFont="1" applyFill="1" applyBorder="1" applyAlignment="1">
      <alignment horizontal="center" vertical="center" wrapText="1"/>
    </xf>
    <xf numFmtId="0" fontId="3" fillId="28" borderId="24" xfId="14" applyNumberFormat="1" applyFont="1" applyFill="1" applyBorder="1" applyAlignment="1">
      <alignment horizontal="center" vertical="center" wrapText="1"/>
    </xf>
    <xf numFmtId="0" fontId="3" fillId="28" borderId="77" xfId="14" applyNumberFormat="1" applyFont="1" applyFill="1" applyBorder="1" applyAlignment="1">
      <alignment horizontal="center" vertical="center" wrapText="1"/>
    </xf>
    <xf numFmtId="0" fontId="3" fillId="15" borderId="23" xfId="14" applyNumberFormat="1" applyFont="1" applyFill="1" applyBorder="1" applyAlignment="1">
      <alignment horizontal="center" vertical="center"/>
    </xf>
    <xf numFmtId="0" fontId="3" fillId="15" borderId="24" xfId="14" applyNumberFormat="1" applyFont="1" applyFill="1" applyBorder="1" applyAlignment="1">
      <alignment horizontal="center" vertical="center"/>
    </xf>
    <xf numFmtId="0" fontId="3" fillId="15" borderId="25" xfId="14" applyNumberFormat="1" applyFont="1" applyFill="1" applyBorder="1" applyAlignment="1">
      <alignment horizontal="center" vertical="center"/>
    </xf>
    <xf numFmtId="0" fontId="3" fillId="19" borderId="23" xfId="14" applyNumberFormat="1" applyFont="1" applyFill="1" applyBorder="1" applyAlignment="1">
      <alignment horizontal="center" vertical="center" wrapText="1"/>
    </xf>
    <xf numFmtId="0" fontId="3" fillId="19" borderId="24" xfId="14" applyNumberFormat="1" applyFont="1" applyFill="1" applyBorder="1" applyAlignment="1">
      <alignment horizontal="center" vertical="center" wrapText="1"/>
    </xf>
    <xf numFmtId="0" fontId="3" fillId="19" borderId="25" xfId="14" applyNumberFormat="1" applyFont="1" applyFill="1" applyBorder="1" applyAlignment="1">
      <alignment horizontal="center" vertical="center" wrapText="1"/>
    </xf>
    <xf numFmtId="0" fontId="3" fillId="21" borderId="23" xfId="14" applyNumberFormat="1" applyFont="1" applyFill="1" applyBorder="1" applyAlignment="1">
      <alignment horizontal="center" vertical="center" wrapText="1"/>
    </xf>
    <xf numFmtId="0" fontId="3" fillId="21" borderId="24" xfId="14" applyNumberFormat="1" applyFont="1" applyFill="1" applyBorder="1" applyAlignment="1">
      <alignment horizontal="center" vertical="center" wrapText="1"/>
    </xf>
    <xf numFmtId="0" fontId="3" fillId="21" borderId="25" xfId="14" applyNumberFormat="1" applyFont="1" applyFill="1" applyBorder="1" applyAlignment="1">
      <alignment horizontal="center" vertical="center" wrapText="1"/>
    </xf>
    <xf numFmtId="0" fontId="3" fillId="21" borderId="77" xfId="14" applyNumberFormat="1" applyFont="1" applyFill="1" applyBorder="1" applyAlignment="1">
      <alignment horizontal="center" vertical="center" wrapText="1"/>
    </xf>
    <xf numFmtId="0" fontId="3" fillId="18" borderId="23" xfId="14" applyNumberFormat="1" applyFont="1" applyFill="1" applyBorder="1" applyAlignment="1">
      <alignment horizontal="center" vertical="center" wrapText="1"/>
    </xf>
    <xf numFmtId="0" fontId="3" fillId="18" borderId="24" xfId="14" applyNumberFormat="1" applyFont="1" applyFill="1" applyBorder="1" applyAlignment="1">
      <alignment horizontal="center" vertical="center" wrapText="1"/>
    </xf>
    <xf numFmtId="0" fontId="3" fillId="18" borderId="77" xfId="14" applyNumberFormat="1" applyFont="1" applyFill="1" applyBorder="1" applyAlignment="1">
      <alignment horizontal="center" vertical="center" wrapText="1"/>
    </xf>
    <xf numFmtId="0" fontId="3" fillId="0" borderId="5" xfId="14" applyNumberFormat="1" applyFont="1" applyFill="1" applyBorder="1" applyAlignment="1">
      <alignment horizontal="center" vertical="center" wrapText="1"/>
    </xf>
    <xf numFmtId="0" fontId="3" fillId="0" borderId="11" xfId="14" applyNumberFormat="1" applyFont="1" applyFill="1" applyBorder="1" applyAlignment="1">
      <alignment horizontal="center" vertical="center" wrapText="1"/>
    </xf>
    <xf numFmtId="0" fontId="1" fillId="0" borderId="0" xfId="30" applyAlignment="1" applyProtection="1">
      <alignment wrapText="1"/>
      <protection locked="0"/>
    </xf>
    <xf numFmtId="0" fontId="52" fillId="0" borderId="0" xfId="30" applyFont="1" applyAlignment="1">
      <alignment horizontal="right" vertical="center" wrapText="1"/>
    </xf>
    <xf numFmtId="2" fontId="24" fillId="0" borderId="0" xfId="29" applyNumberFormat="1" applyFont="1" applyAlignment="1">
      <alignment horizontal="center" vertical="center"/>
    </xf>
    <xf numFmtId="1" fontId="90" fillId="41" borderId="98" xfId="29" applyNumberFormat="1" applyFont="1" applyFill="1" applyBorder="1" applyAlignment="1">
      <alignment horizontal="center"/>
    </xf>
    <xf numFmtId="1" fontId="90" fillId="41" borderId="99" xfId="29" applyNumberFormat="1" applyFont="1" applyFill="1" applyBorder="1" applyAlignment="1">
      <alignment horizontal="center"/>
    </xf>
    <xf numFmtId="2" fontId="90" fillId="41" borderId="99" xfId="29" applyNumberFormat="1" applyFont="1" applyFill="1" applyBorder="1" applyAlignment="1">
      <alignment horizontal="center" vertical="center"/>
    </xf>
    <xf numFmtId="2" fontId="90" fillId="41" borderId="102" xfId="29" applyNumberFormat="1" applyFont="1" applyFill="1" applyBorder="1" applyAlignment="1">
      <alignment horizontal="center" vertical="center"/>
    </xf>
    <xf numFmtId="2" fontId="90" fillId="41" borderId="99" xfId="29" applyNumberFormat="1" applyFont="1" applyFill="1" applyBorder="1" applyAlignment="1">
      <alignment horizontal="center"/>
    </xf>
    <xf numFmtId="1" fontId="90" fillId="41" borderId="101" xfId="29" applyNumberFormat="1" applyFont="1" applyFill="1" applyBorder="1" applyAlignment="1">
      <alignment horizontal="center"/>
    </xf>
    <xf numFmtId="1" fontId="90" fillId="41" borderId="102" xfId="29" applyNumberFormat="1" applyFont="1" applyFill="1" applyBorder="1" applyAlignment="1">
      <alignment horizontal="center"/>
    </xf>
    <xf numFmtId="2" fontId="80" fillId="8" borderId="2" xfId="29" applyNumberFormat="1" applyFont="1" applyFill="1" applyBorder="1" applyAlignment="1">
      <alignment horizontal="center" vertical="center"/>
    </xf>
    <xf numFmtId="2" fontId="80" fillId="8" borderId="6" xfId="29" applyNumberFormat="1" applyFont="1" applyFill="1" applyBorder="1" applyAlignment="1">
      <alignment horizontal="center" vertical="center"/>
    </xf>
    <xf numFmtId="2" fontId="80" fillId="8" borderId="3" xfId="29" applyNumberFormat="1" applyFont="1" applyFill="1" applyBorder="1" applyAlignment="1">
      <alignment horizontal="center" vertical="center"/>
    </xf>
    <xf numFmtId="2" fontId="3" fillId="0" borderId="2" xfId="29" applyNumberFormat="1" applyFont="1" applyBorder="1" applyAlignment="1">
      <alignment horizontal="center"/>
    </xf>
    <xf numFmtId="2" fontId="3" fillId="0" borderId="6" xfId="29" applyNumberFormat="1" applyFont="1" applyBorder="1" applyAlignment="1">
      <alignment horizontal="center"/>
    </xf>
    <xf numFmtId="2" fontId="3" fillId="0" borderId="3" xfId="29" applyNumberFormat="1" applyFont="1" applyBorder="1" applyAlignment="1">
      <alignment horizontal="center"/>
    </xf>
    <xf numFmtId="0" fontId="3" fillId="2" borderId="107" xfId="29" applyFont="1" applyFill="1" applyBorder="1" applyAlignment="1">
      <alignment horizontal="right"/>
    </xf>
    <xf numFmtId="0" fontId="3" fillId="2" borderId="108" xfId="29" applyFont="1" applyFill="1" applyBorder="1" applyAlignment="1">
      <alignment horizontal="right"/>
    </xf>
    <xf numFmtId="2" fontId="80" fillId="8" borderId="7" xfId="29" applyNumberFormat="1" applyFont="1" applyFill="1" applyBorder="1" applyAlignment="1">
      <alignment horizontal="center" vertical="center"/>
    </xf>
    <xf numFmtId="2" fontId="80" fillId="8" borderId="8" xfId="29" applyNumberFormat="1" applyFont="1" applyFill="1" applyBorder="1" applyAlignment="1">
      <alignment horizontal="center" vertical="center"/>
    </xf>
    <xf numFmtId="2" fontId="80" fillId="8" borderId="9" xfId="29" applyNumberFormat="1" applyFont="1" applyFill="1" applyBorder="1" applyAlignment="1">
      <alignment horizontal="center" vertical="center"/>
    </xf>
    <xf numFmtId="0" fontId="92" fillId="14" borderId="2" xfId="29" applyFont="1" applyFill="1" applyBorder="1" applyAlignment="1">
      <alignment horizontal="left" vertical="center" wrapText="1"/>
    </xf>
    <xf numFmtId="0" fontId="92" fillId="14" borderId="6" xfId="29" applyFont="1" applyFill="1" applyBorder="1" applyAlignment="1">
      <alignment horizontal="left" vertical="center" wrapText="1"/>
    </xf>
    <xf numFmtId="0" fontId="0" fillId="42" borderId="5" xfId="0" applyFill="1" applyBorder="1" applyAlignment="1">
      <alignment horizontal="center" vertical="center"/>
    </xf>
    <xf numFmtId="0" fontId="0" fillId="4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4" fontId="0" fillId="2" borderId="5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2" fillId="18" borderId="4" xfId="0" applyFont="1" applyFill="1" applyBorder="1" applyAlignment="1">
      <alignment horizontal="center" vertical="center"/>
    </xf>
    <xf numFmtId="0" fontId="102" fillId="18" borderId="5" xfId="0" applyFont="1" applyFill="1" applyBorder="1" applyAlignment="1">
      <alignment horizontal="center" vertical="center" wrapText="1"/>
    </xf>
    <xf numFmtId="0" fontId="102" fillId="18" borderId="5" xfId="0" applyFont="1" applyFill="1" applyBorder="1" applyAlignment="1">
      <alignment horizontal="center" vertical="center"/>
    </xf>
    <xf numFmtId="0" fontId="102" fillId="18" borderId="1" xfId="0" applyFont="1" applyFill="1" applyBorder="1" applyAlignment="1">
      <alignment horizontal="center" vertical="center" wrapText="1"/>
    </xf>
    <xf numFmtId="0" fontId="102" fillId="18" borderId="4" xfId="0" applyFont="1" applyFill="1" applyBorder="1" applyAlignment="1">
      <alignment horizontal="center" vertical="center" wrapText="1"/>
    </xf>
    <xf numFmtId="0" fontId="24" fillId="40" borderId="5" xfId="3" applyFont="1" applyFill="1" applyBorder="1" applyAlignment="1" applyProtection="1">
      <alignment horizontal="center" vertical="center"/>
      <protection locked="0"/>
    </xf>
    <xf numFmtId="0" fontId="24" fillId="40" borderId="2" xfId="3" applyFont="1" applyFill="1" applyBorder="1" applyAlignment="1">
      <alignment horizontal="left" vertical="center" wrapText="1"/>
    </xf>
    <xf numFmtId="0" fontId="24" fillId="40" borderId="6" xfId="3" applyFont="1" applyFill="1" applyBorder="1" applyAlignment="1">
      <alignment horizontal="left" vertical="center" wrapText="1"/>
    </xf>
    <xf numFmtId="0" fontId="24" fillId="40" borderId="3" xfId="3" applyFont="1" applyFill="1" applyBorder="1" applyAlignment="1">
      <alignment horizontal="left" vertical="center" wrapText="1"/>
    </xf>
    <xf numFmtId="0" fontId="0" fillId="42" borderId="2" xfId="0" applyFill="1" applyBorder="1" applyAlignment="1">
      <alignment horizontal="center" vertical="center"/>
    </xf>
    <xf numFmtId="0" fontId="0" fillId="42" borderId="6" xfId="0" applyFill="1" applyBorder="1" applyAlignment="1">
      <alignment horizontal="center" vertical="center"/>
    </xf>
    <xf numFmtId="0" fontId="0" fillId="42" borderId="3" xfId="0" applyFill="1" applyBorder="1" applyAlignment="1">
      <alignment horizontal="center" vertical="center"/>
    </xf>
  </cellXfs>
  <cellStyles count="33">
    <cellStyle name="Bom" xfId="11" builtinId="26"/>
    <cellStyle name="Moeda" xfId="6" builtinId="4"/>
    <cellStyle name="Normal" xfId="0" builtinId="0"/>
    <cellStyle name="Normal 10 2" xfId="3" xr:uid="{76E4EBA0-EB73-4BAB-854F-B79CCA0880F2}"/>
    <cellStyle name="Normal 11" xfId="21" xr:uid="{132822BD-69B1-405D-8739-94A01E0349D1}"/>
    <cellStyle name="Normal 2" xfId="5" xr:uid="{63381B6D-2EE4-4328-B7C3-1163594F81CE}"/>
    <cellStyle name="Normal 2 10" xfId="19" xr:uid="{48E56026-E616-4151-8656-FA6589D74CF2}"/>
    <cellStyle name="Normal 2 2" xfId="9" xr:uid="{9DEA52CD-2BA5-426F-BD45-1E049EA66388}"/>
    <cellStyle name="Normal 2 2 2 2 3 2 2" xfId="20" xr:uid="{7E6EC094-0DFA-42B1-9CFE-8241671DE24D}"/>
    <cellStyle name="Normal 3" xfId="14" xr:uid="{29DF462B-A2CF-4AD2-B852-DA5FB28E0E1A}"/>
    <cellStyle name="Normal 4" xfId="8" xr:uid="{B66FD178-E067-45EB-B7EF-12779927D874}"/>
    <cellStyle name="Normal 4 2" xfId="30" xr:uid="{87E33EF6-5B24-4BA4-BFF0-3BA9C9AD5AD2}"/>
    <cellStyle name="Normal 5" xfId="29" xr:uid="{37B087C7-1128-4F28-B66A-9E888E8060E5}"/>
    <cellStyle name="Normal 79" xfId="12" xr:uid="{5B242C62-C820-4937-99A7-8ABC1BE389D6}"/>
    <cellStyle name="Normal 8" xfId="13" xr:uid="{D65B2FE4-CE2B-446E-96C6-F836D180E70F}"/>
    <cellStyle name="Normal 9 2" xfId="32" xr:uid="{591C2AF1-C727-4BF5-8BEA-F723E4BDA8D1}"/>
    <cellStyle name="Normal_BR356mg-restaura_BR-040-MG-Concessao-Numero N-Dim Pav Novo-01" xfId="4" xr:uid="{156C227B-84D7-4C6F-8ACB-D88839A1D20A}"/>
    <cellStyle name="Porcentagem 2 3" xfId="27" xr:uid="{8EF4DB7D-B367-4118-AF22-BAAD5C4FC6E8}"/>
    <cellStyle name="Porcentagem 2 4" xfId="24" xr:uid="{55E8C520-BC5E-4C9D-A0D1-92A20AAC2A25}"/>
    <cellStyle name="Porcentagem 3" xfId="17" xr:uid="{090878E0-7DD6-43F6-A205-02761C74CCFA}"/>
    <cellStyle name="Porcentagem 3 2" xfId="28" xr:uid="{FB17526A-A4E9-4288-B19D-A6F160E1E415}"/>
    <cellStyle name="Porcentagem 7" xfId="2" xr:uid="{945EF214-9C03-499B-BA5A-7F6D2A2B4663}"/>
    <cellStyle name="Separador de milhares 2 10 2" xfId="16" xr:uid="{306E5BEF-958E-4161-BF8C-3555F0073145}"/>
    <cellStyle name="Separador de milhares 2 2" xfId="18" xr:uid="{E8DFD1A6-4ADA-4F65-8DFD-00094B6D619B}"/>
    <cellStyle name="Separador de milhares_qdades base e sub-base (minuta revisada)" xfId="10" xr:uid="{70DBDCC0-E740-41B1-ADA5-75FF8D590458}"/>
    <cellStyle name="Vírgula" xfId="7" builtinId="3"/>
    <cellStyle name="Vírgula 2" xfId="1" xr:uid="{1C743DBC-4E92-4739-B5AD-429E5BD344A5}"/>
    <cellStyle name="Vírgula 2 5" xfId="25" xr:uid="{47E180E0-A9D4-4C98-9989-498AF4FC2256}"/>
    <cellStyle name="Vírgula 3" xfId="15" xr:uid="{26715095-79FF-48AD-856E-E5E563F57A52}"/>
    <cellStyle name="Vírgula 3 3" xfId="23" xr:uid="{A0A7C55E-A807-4F13-9EFC-528878DC34D6}"/>
    <cellStyle name="Vírgula 4" xfId="31" xr:uid="{5888CC2D-B2E2-40E2-871C-FD1227027974}"/>
    <cellStyle name="Vírgula 4 2" xfId="26" xr:uid="{5A98E033-D6BA-47E9-B4B6-046182F711A2}"/>
    <cellStyle name="Vírgula 7 2" xfId="22" xr:uid="{52F57F3F-D173-4223-A164-42D56E5ED9E5}"/>
  </cellStyles>
  <dxfs count="251">
    <dxf>
      <font>
        <color rgb="FF0070C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70C0"/>
      </font>
    </dxf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FF66"/>
        </patternFill>
      </fill>
    </dxf>
    <dxf>
      <font>
        <b val="0"/>
        <i val="0"/>
        <color rgb="FFFF0000"/>
      </font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79.xml"/><Relationship Id="rId21" Type="http://schemas.openxmlformats.org/officeDocument/2006/relationships/worksheet" Target="worksheets/sheet21.xml"/><Relationship Id="rId63" Type="http://schemas.openxmlformats.org/officeDocument/2006/relationships/externalLink" Target="externalLinks/externalLink25.xml"/><Relationship Id="rId159" Type="http://schemas.openxmlformats.org/officeDocument/2006/relationships/externalLink" Target="externalLinks/externalLink121.xml"/><Relationship Id="rId170" Type="http://schemas.openxmlformats.org/officeDocument/2006/relationships/externalLink" Target="externalLinks/externalLink132.xml"/><Relationship Id="rId226" Type="http://schemas.openxmlformats.org/officeDocument/2006/relationships/externalLink" Target="externalLinks/externalLink188.xml"/><Relationship Id="rId268" Type="http://schemas.openxmlformats.org/officeDocument/2006/relationships/externalLink" Target="externalLinks/externalLink230.xml"/><Relationship Id="rId32" Type="http://schemas.openxmlformats.org/officeDocument/2006/relationships/worksheet" Target="worksheets/sheet32.xml"/><Relationship Id="rId74" Type="http://schemas.openxmlformats.org/officeDocument/2006/relationships/externalLink" Target="externalLinks/externalLink36.xml"/><Relationship Id="rId128" Type="http://schemas.openxmlformats.org/officeDocument/2006/relationships/externalLink" Target="externalLinks/externalLink9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57.xml"/><Relationship Id="rId160" Type="http://schemas.openxmlformats.org/officeDocument/2006/relationships/externalLink" Target="externalLinks/externalLink122.xml"/><Relationship Id="rId181" Type="http://schemas.openxmlformats.org/officeDocument/2006/relationships/externalLink" Target="externalLinks/externalLink143.xml"/><Relationship Id="rId216" Type="http://schemas.openxmlformats.org/officeDocument/2006/relationships/externalLink" Target="externalLinks/externalLink178.xml"/><Relationship Id="rId237" Type="http://schemas.openxmlformats.org/officeDocument/2006/relationships/externalLink" Target="externalLinks/externalLink199.xml"/><Relationship Id="rId258" Type="http://schemas.openxmlformats.org/officeDocument/2006/relationships/externalLink" Target="externalLinks/externalLink220.xml"/><Relationship Id="rId22" Type="http://schemas.openxmlformats.org/officeDocument/2006/relationships/worksheet" Target="worksheets/sheet22.xml"/><Relationship Id="rId43" Type="http://schemas.openxmlformats.org/officeDocument/2006/relationships/externalLink" Target="externalLinks/externalLink5.xml"/><Relationship Id="rId64" Type="http://schemas.openxmlformats.org/officeDocument/2006/relationships/externalLink" Target="externalLinks/externalLink26.xml"/><Relationship Id="rId118" Type="http://schemas.openxmlformats.org/officeDocument/2006/relationships/externalLink" Target="externalLinks/externalLink80.xml"/><Relationship Id="rId139" Type="http://schemas.openxmlformats.org/officeDocument/2006/relationships/externalLink" Target="externalLinks/externalLink101.xml"/><Relationship Id="rId85" Type="http://schemas.openxmlformats.org/officeDocument/2006/relationships/externalLink" Target="externalLinks/externalLink47.xml"/><Relationship Id="rId150" Type="http://schemas.openxmlformats.org/officeDocument/2006/relationships/externalLink" Target="externalLinks/externalLink112.xml"/><Relationship Id="rId171" Type="http://schemas.openxmlformats.org/officeDocument/2006/relationships/externalLink" Target="externalLinks/externalLink133.xml"/><Relationship Id="rId192" Type="http://schemas.openxmlformats.org/officeDocument/2006/relationships/externalLink" Target="externalLinks/externalLink154.xml"/><Relationship Id="rId206" Type="http://schemas.openxmlformats.org/officeDocument/2006/relationships/externalLink" Target="externalLinks/externalLink168.xml"/><Relationship Id="rId227" Type="http://schemas.openxmlformats.org/officeDocument/2006/relationships/externalLink" Target="externalLinks/externalLink189.xml"/><Relationship Id="rId248" Type="http://schemas.openxmlformats.org/officeDocument/2006/relationships/externalLink" Target="externalLinks/externalLink210.xml"/><Relationship Id="rId269" Type="http://schemas.openxmlformats.org/officeDocument/2006/relationships/externalLink" Target="externalLinks/externalLink231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70.xml"/><Relationship Id="rId129" Type="http://schemas.openxmlformats.org/officeDocument/2006/relationships/externalLink" Target="externalLinks/externalLink91.xml"/><Relationship Id="rId54" Type="http://schemas.openxmlformats.org/officeDocument/2006/relationships/externalLink" Target="externalLinks/externalLink16.xml"/><Relationship Id="rId75" Type="http://schemas.openxmlformats.org/officeDocument/2006/relationships/externalLink" Target="externalLinks/externalLink37.xml"/><Relationship Id="rId96" Type="http://schemas.openxmlformats.org/officeDocument/2006/relationships/externalLink" Target="externalLinks/externalLink58.xml"/><Relationship Id="rId140" Type="http://schemas.openxmlformats.org/officeDocument/2006/relationships/externalLink" Target="externalLinks/externalLink102.xml"/><Relationship Id="rId161" Type="http://schemas.openxmlformats.org/officeDocument/2006/relationships/externalLink" Target="externalLinks/externalLink123.xml"/><Relationship Id="rId182" Type="http://schemas.openxmlformats.org/officeDocument/2006/relationships/externalLink" Target="externalLinks/externalLink144.xml"/><Relationship Id="rId217" Type="http://schemas.openxmlformats.org/officeDocument/2006/relationships/externalLink" Target="externalLinks/externalLink179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00.xml"/><Relationship Id="rId259" Type="http://schemas.openxmlformats.org/officeDocument/2006/relationships/externalLink" Target="externalLinks/externalLink221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81.xml"/><Relationship Id="rId270" Type="http://schemas.openxmlformats.org/officeDocument/2006/relationships/externalLink" Target="externalLinks/externalLink232.xml"/><Relationship Id="rId44" Type="http://schemas.openxmlformats.org/officeDocument/2006/relationships/externalLink" Target="externalLinks/externalLink6.xml"/><Relationship Id="rId65" Type="http://schemas.openxmlformats.org/officeDocument/2006/relationships/externalLink" Target="externalLinks/externalLink27.xml"/><Relationship Id="rId86" Type="http://schemas.openxmlformats.org/officeDocument/2006/relationships/externalLink" Target="externalLinks/externalLink48.xml"/><Relationship Id="rId130" Type="http://schemas.openxmlformats.org/officeDocument/2006/relationships/externalLink" Target="externalLinks/externalLink92.xml"/><Relationship Id="rId151" Type="http://schemas.openxmlformats.org/officeDocument/2006/relationships/externalLink" Target="externalLinks/externalLink113.xml"/><Relationship Id="rId172" Type="http://schemas.openxmlformats.org/officeDocument/2006/relationships/externalLink" Target="externalLinks/externalLink134.xml"/><Relationship Id="rId193" Type="http://schemas.openxmlformats.org/officeDocument/2006/relationships/externalLink" Target="externalLinks/externalLink155.xml"/><Relationship Id="rId207" Type="http://schemas.openxmlformats.org/officeDocument/2006/relationships/externalLink" Target="externalLinks/externalLink169.xml"/><Relationship Id="rId228" Type="http://schemas.openxmlformats.org/officeDocument/2006/relationships/externalLink" Target="externalLinks/externalLink190.xml"/><Relationship Id="rId249" Type="http://schemas.openxmlformats.org/officeDocument/2006/relationships/externalLink" Target="externalLinks/externalLink211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71.xml"/><Relationship Id="rId260" Type="http://schemas.openxmlformats.org/officeDocument/2006/relationships/externalLink" Target="externalLinks/externalLink222.xml"/><Relationship Id="rId34" Type="http://schemas.openxmlformats.org/officeDocument/2006/relationships/worksheet" Target="worksheets/sheet34.xml"/><Relationship Id="rId55" Type="http://schemas.openxmlformats.org/officeDocument/2006/relationships/externalLink" Target="externalLinks/externalLink17.xml"/><Relationship Id="rId76" Type="http://schemas.openxmlformats.org/officeDocument/2006/relationships/externalLink" Target="externalLinks/externalLink38.xml"/><Relationship Id="rId97" Type="http://schemas.openxmlformats.org/officeDocument/2006/relationships/externalLink" Target="externalLinks/externalLink59.xml"/><Relationship Id="rId120" Type="http://schemas.openxmlformats.org/officeDocument/2006/relationships/externalLink" Target="externalLinks/externalLink82.xml"/><Relationship Id="rId141" Type="http://schemas.openxmlformats.org/officeDocument/2006/relationships/externalLink" Target="externalLinks/externalLink103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24.xml"/><Relationship Id="rId183" Type="http://schemas.openxmlformats.org/officeDocument/2006/relationships/externalLink" Target="externalLinks/externalLink145.xml"/><Relationship Id="rId218" Type="http://schemas.openxmlformats.org/officeDocument/2006/relationships/externalLink" Target="externalLinks/externalLink180.xml"/><Relationship Id="rId239" Type="http://schemas.openxmlformats.org/officeDocument/2006/relationships/externalLink" Target="externalLinks/externalLink201.xml"/><Relationship Id="rId250" Type="http://schemas.openxmlformats.org/officeDocument/2006/relationships/externalLink" Target="externalLinks/externalLink212.xml"/><Relationship Id="rId271" Type="http://schemas.openxmlformats.org/officeDocument/2006/relationships/externalLink" Target="externalLinks/externalLink233.xml"/><Relationship Id="rId24" Type="http://schemas.openxmlformats.org/officeDocument/2006/relationships/worksheet" Target="worksheets/sheet24.xml"/><Relationship Id="rId45" Type="http://schemas.openxmlformats.org/officeDocument/2006/relationships/externalLink" Target="externalLinks/externalLink7.xml"/><Relationship Id="rId66" Type="http://schemas.openxmlformats.org/officeDocument/2006/relationships/externalLink" Target="externalLinks/externalLink28.xml"/><Relationship Id="rId87" Type="http://schemas.openxmlformats.org/officeDocument/2006/relationships/externalLink" Target="externalLinks/externalLink49.xml"/><Relationship Id="rId110" Type="http://schemas.openxmlformats.org/officeDocument/2006/relationships/externalLink" Target="externalLinks/externalLink72.xml"/><Relationship Id="rId131" Type="http://schemas.openxmlformats.org/officeDocument/2006/relationships/externalLink" Target="externalLinks/externalLink93.xml"/><Relationship Id="rId152" Type="http://schemas.openxmlformats.org/officeDocument/2006/relationships/externalLink" Target="externalLinks/externalLink114.xml"/><Relationship Id="rId173" Type="http://schemas.openxmlformats.org/officeDocument/2006/relationships/externalLink" Target="externalLinks/externalLink135.xml"/><Relationship Id="rId194" Type="http://schemas.openxmlformats.org/officeDocument/2006/relationships/externalLink" Target="externalLinks/externalLink156.xml"/><Relationship Id="rId208" Type="http://schemas.openxmlformats.org/officeDocument/2006/relationships/externalLink" Target="externalLinks/externalLink170.xml"/><Relationship Id="rId229" Type="http://schemas.openxmlformats.org/officeDocument/2006/relationships/externalLink" Target="externalLinks/externalLink191.xml"/><Relationship Id="rId240" Type="http://schemas.openxmlformats.org/officeDocument/2006/relationships/externalLink" Target="externalLinks/externalLink202.xml"/><Relationship Id="rId261" Type="http://schemas.openxmlformats.org/officeDocument/2006/relationships/externalLink" Target="externalLinks/externalLink223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18.xml"/><Relationship Id="rId77" Type="http://schemas.openxmlformats.org/officeDocument/2006/relationships/externalLink" Target="externalLinks/externalLink39.xml"/><Relationship Id="rId100" Type="http://schemas.openxmlformats.org/officeDocument/2006/relationships/externalLink" Target="externalLinks/externalLink62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60.xml"/><Relationship Id="rId121" Type="http://schemas.openxmlformats.org/officeDocument/2006/relationships/externalLink" Target="externalLinks/externalLink83.xml"/><Relationship Id="rId142" Type="http://schemas.openxmlformats.org/officeDocument/2006/relationships/externalLink" Target="externalLinks/externalLink104.xml"/><Relationship Id="rId163" Type="http://schemas.openxmlformats.org/officeDocument/2006/relationships/externalLink" Target="externalLinks/externalLink125.xml"/><Relationship Id="rId184" Type="http://schemas.openxmlformats.org/officeDocument/2006/relationships/externalLink" Target="externalLinks/externalLink146.xml"/><Relationship Id="rId219" Type="http://schemas.openxmlformats.org/officeDocument/2006/relationships/externalLink" Target="externalLinks/externalLink181.xml"/><Relationship Id="rId230" Type="http://schemas.openxmlformats.org/officeDocument/2006/relationships/externalLink" Target="externalLinks/externalLink192.xml"/><Relationship Id="rId251" Type="http://schemas.openxmlformats.org/officeDocument/2006/relationships/externalLink" Target="externalLinks/externalLink21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8.xml"/><Relationship Id="rId67" Type="http://schemas.openxmlformats.org/officeDocument/2006/relationships/externalLink" Target="externalLinks/externalLink29.xml"/><Relationship Id="rId272" Type="http://schemas.openxmlformats.org/officeDocument/2006/relationships/theme" Target="theme/theme1.xml"/><Relationship Id="rId88" Type="http://schemas.openxmlformats.org/officeDocument/2006/relationships/externalLink" Target="externalLinks/externalLink50.xml"/><Relationship Id="rId111" Type="http://schemas.openxmlformats.org/officeDocument/2006/relationships/externalLink" Target="externalLinks/externalLink73.xml"/><Relationship Id="rId132" Type="http://schemas.openxmlformats.org/officeDocument/2006/relationships/externalLink" Target="externalLinks/externalLink94.xml"/><Relationship Id="rId153" Type="http://schemas.openxmlformats.org/officeDocument/2006/relationships/externalLink" Target="externalLinks/externalLink115.xml"/><Relationship Id="rId174" Type="http://schemas.openxmlformats.org/officeDocument/2006/relationships/externalLink" Target="externalLinks/externalLink136.xml"/><Relationship Id="rId195" Type="http://schemas.openxmlformats.org/officeDocument/2006/relationships/externalLink" Target="externalLinks/externalLink157.xml"/><Relationship Id="rId209" Type="http://schemas.openxmlformats.org/officeDocument/2006/relationships/externalLink" Target="externalLinks/externalLink171.xml"/><Relationship Id="rId220" Type="http://schemas.openxmlformats.org/officeDocument/2006/relationships/externalLink" Target="externalLinks/externalLink182.xml"/><Relationship Id="rId241" Type="http://schemas.openxmlformats.org/officeDocument/2006/relationships/externalLink" Target="externalLinks/externalLink20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externalLink" Target="externalLinks/externalLink19.xml"/><Relationship Id="rId262" Type="http://schemas.openxmlformats.org/officeDocument/2006/relationships/externalLink" Target="externalLinks/externalLink224.xml"/><Relationship Id="rId78" Type="http://schemas.openxmlformats.org/officeDocument/2006/relationships/externalLink" Target="externalLinks/externalLink40.xml"/><Relationship Id="rId99" Type="http://schemas.openxmlformats.org/officeDocument/2006/relationships/externalLink" Target="externalLinks/externalLink61.xml"/><Relationship Id="rId101" Type="http://schemas.openxmlformats.org/officeDocument/2006/relationships/externalLink" Target="externalLinks/externalLink63.xml"/><Relationship Id="rId122" Type="http://schemas.openxmlformats.org/officeDocument/2006/relationships/externalLink" Target="externalLinks/externalLink84.xml"/><Relationship Id="rId143" Type="http://schemas.openxmlformats.org/officeDocument/2006/relationships/externalLink" Target="externalLinks/externalLink105.xml"/><Relationship Id="rId164" Type="http://schemas.openxmlformats.org/officeDocument/2006/relationships/externalLink" Target="externalLinks/externalLink126.xml"/><Relationship Id="rId185" Type="http://schemas.openxmlformats.org/officeDocument/2006/relationships/externalLink" Target="externalLinks/externalLink147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72.xml"/><Relationship Id="rId26" Type="http://schemas.openxmlformats.org/officeDocument/2006/relationships/worksheet" Target="worksheets/sheet26.xml"/><Relationship Id="rId231" Type="http://schemas.openxmlformats.org/officeDocument/2006/relationships/externalLink" Target="externalLinks/externalLink193.xml"/><Relationship Id="rId252" Type="http://schemas.openxmlformats.org/officeDocument/2006/relationships/externalLink" Target="externalLinks/externalLink214.xml"/><Relationship Id="rId273" Type="http://schemas.openxmlformats.org/officeDocument/2006/relationships/styles" Target="styles.xml"/><Relationship Id="rId47" Type="http://schemas.openxmlformats.org/officeDocument/2006/relationships/externalLink" Target="externalLinks/externalLink9.xml"/><Relationship Id="rId68" Type="http://schemas.openxmlformats.org/officeDocument/2006/relationships/externalLink" Target="externalLinks/externalLink30.xml"/><Relationship Id="rId89" Type="http://schemas.openxmlformats.org/officeDocument/2006/relationships/externalLink" Target="externalLinks/externalLink51.xml"/><Relationship Id="rId112" Type="http://schemas.openxmlformats.org/officeDocument/2006/relationships/externalLink" Target="externalLinks/externalLink74.xml"/><Relationship Id="rId133" Type="http://schemas.openxmlformats.org/officeDocument/2006/relationships/externalLink" Target="externalLinks/externalLink95.xml"/><Relationship Id="rId154" Type="http://schemas.openxmlformats.org/officeDocument/2006/relationships/externalLink" Target="externalLinks/externalLink116.xml"/><Relationship Id="rId175" Type="http://schemas.openxmlformats.org/officeDocument/2006/relationships/externalLink" Target="externalLinks/externalLink137.xml"/><Relationship Id="rId196" Type="http://schemas.openxmlformats.org/officeDocument/2006/relationships/externalLink" Target="externalLinks/externalLink158.xml"/><Relationship Id="rId200" Type="http://schemas.openxmlformats.org/officeDocument/2006/relationships/externalLink" Target="externalLinks/externalLink162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83.xml"/><Relationship Id="rId242" Type="http://schemas.openxmlformats.org/officeDocument/2006/relationships/externalLink" Target="externalLinks/externalLink204.xml"/><Relationship Id="rId263" Type="http://schemas.openxmlformats.org/officeDocument/2006/relationships/externalLink" Target="externalLinks/externalLink225.xml"/><Relationship Id="rId37" Type="http://schemas.openxmlformats.org/officeDocument/2006/relationships/worksheet" Target="worksheets/sheet37.xml"/><Relationship Id="rId58" Type="http://schemas.openxmlformats.org/officeDocument/2006/relationships/externalLink" Target="externalLinks/externalLink20.xml"/><Relationship Id="rId79" Type="http://schemas.openxmlformats.org/officeDocument/2006/relationships/externalLink" Target="externalLinks/externalLink41.xml"/><Relationship Id="rId102" Type="http://schemas.openxmlformats.org/officeDocument/2006/relationships/externalLink" Target="externalLinks/externalLink64.xml"/><Relationship Id="rId123" Type="http://schemas.openxmlformats.org/officeDocument/2006/relationships/externalLink" Target="externalLinks/externalLink85.xml"/><Relationship Id="rId144" Type="http://schemas.openxmlformats.org/officeDocument/2006/relationships/externalLink" Target="externalLinks/externalLink106.xml"/><Relationship Id="rId90" Type="http://schemas.openxmlformats.org/officeDocument/2006/relationships/externalLink" Target="externalLinks/externalLink52.xml"/><Relationship Id="rId165" Type="http://schemas.openxmlformats.org/officeDocument/2006/relationships/externalLink" Target="externalLinks/externalLink127.xml"/><Relationship Id="rId186" Type="http://schemas.openxmlformats.org/officeDocument/2006/relationships/externalLink" Target="externalLinks/externalLink148.xml"/><Relationship Id="rId211" Type="http://schemas.openxmlformats.org/officeDocument/2006/relationships/externalLink" Target="externalLinks/externalLink173.xml"/><Relationship Id="rId232" Type="http://schemas.openxmlformats.org/officeDocument/2006/relationships/externalLink" Target="externalLinks/externalLink194.xml"/><Relationship Id="rId253" Type="http://schemas.openxmlformats.org/officeDocument/2006/relationships/externalLink" Target="externalLinks/externalLink215.xml"/><Relationship Id="rId274" Type="http://schemas.openxmlformats.org/officeDocument/2006/relationships/sharedStrings" Target="sharedStrings.xml"/><Relationship Id="rId27" Type="http://schemas.openxmlformats.org/officeDocument/2006/relationships/worksheet" Target="worksheets/sheet27.xml"/><Relationship Id="rId48" Type="http://schemas.openxmlformats.org/officeDocument/2006/relationships/externalLink" Target="externalLinks/externalLink10.xml"/><Relationship Id="rId69" Type="http://schemas.openxmlformats.org/officeDocument/2006/relationships/externalLink" Target="externalLinks/externalLink31.xml"/><Relationship Id="rId113" Type="http://schemas.openxmlformats.org/officeDocument/2006/relationships/externalLink" Target="externalLinks/externalLink75.xml"/><Relationship Id="rId134" Type="http://schemas.openxmlformats.org/officeDocument/2006/relationships/externalLink" Target="externalLinks/externalLink96.xml"/><Relationship Id="rId80" Type="http://schemas.openxmlformats.org/officeDocument/2006/relationships/externalLink" Target="externalLinks/externalLink42.xml"/><Relationship Id="rId155" Type="http://schemas.openxmlformats.org/officeDocument/2006/relationships/externalLink" Target="externalLinks/externalLink117.xml"/><Relationship Id="rId176" Type="http://schemas.openxmlformats.org/officeDocument/2006/relationships/externalLink" Target="externalLinks/externalLink138.xml"/><Relationship Id="rId197" Type="http://schemas.openxmlformats.org/officeDocument/2006/relationships/externalLink" Target="externalLinks/externalLink159.xml"/><Relationship Id="rId201" Type="http://schemas.openxmlformats.org/officeDocument/2006/relationships/externalLink" Target="externalLinks/externalLink163.xml"/><Relationship Id="rId222" Type="http://schemas.openxmlformats.org/officeDocument/2006/relationships/externalLink" Target="externalLinks/externalLink184.xml"/><Relationship Id="rId243" Type="http://schemas.openxmlformats.org/officeDocument/2006/relationships/externalLink" Target="externalLinks/externalLink205.xml"/><Relationship Id="rId264" Type="http://schemas.openxmlformats.org/officeDocument/2006/relationships/externalLink" Target="externalLinks/externalLink226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externalLink" Target="externalLinks/externalLink21.xml"/><Relationship Id="rId103" Type="http://schemas.openxmlformats.org/officeDocument/2006/relationships/externalLink" Target="externalLinks/externalLink65.xml"/><Relationship Id="rId124" Type="http://schemas.openxmlformats.org/officeDocument/2006/relationships/externalLink" Target="externalLinks/externalLink86.xml"/><Relationship Id="rId70" Type="http://schemas.openxmlformats.org/officeDocument/2006/relationships/externalLink" Target="externalLinks/externalLink32.xml"/><Relationship Id="rId91" Type="http://schemas.openxmlformats.org/officeDocument/2006/relationships/externalLink" Target="externalLinks/externalLink53.xml"/><Relationship Id="rId145" Type="http://schemas.openxmlformats.org/officeDocument/2006/relationships/externalLink" Target="externalLinks/externalLink107.xml"/><Relationship Id="rId166" Type="http://schemas.openxmlformats.org/officeDocument/2006/relationships/externalLink" Target="externalLinks/externalLink128.xml"/><Relationship Id="rId187" Type="http://schemas.openxmlformats.org/officeDocument/2006/relationships/externalLink" Target="externalLinks/externalLink149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74.xml"/><Relationship Id="rId233" Type="http://schemas.openxmlformats.org/officeDocument/2006/relationships/externalLink" Target="externalLinks/externalLink195.xml"/><Relationship Id="rId254" Type="http://schemas.openxmlformats.org/officeDocument/2006/relationships/externalLink" Target="externalLinks/externalLink216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1.xml"/><Relationship Id="rId114" Type="http://schemas.openxmlformats.org/officeDocument/2006/relationships/externalLink" Target="externalLinks/externalLink76.xml"/><Relationship Id="rId275" Type="http://schemas.openxmlformats.org/officeDocument/2006/relationships/sheetMetadata" Target="metadata.xml"/><Relationship Id="rId60" Type="http://schemas.openxmlformats.org/officeDocument/2006/relationships/externalLink" Target="externalLinks/externalLink22.xml"/><Relationship Id="rId81" Type="http://schemas.openxmlformats.org/officeDocument/2006/relationships/externalLink" Target="externalLinks/externalLink43.xml"/><Relationship Id="rId135" Type="http://schemas.openxmlformats.org/officeDocument/2006/relationships/externalLink" Target="externalLinks/externalLink97.xml"/><Relationship Id="rId156" Type="http://schemas.openxmlformats.org/officeDocument/2006/relationships/externalLink" Target="externalLinks/externalLink118.xml"/><Relationship Id="rId177" Type="http://schemas.openxmlformats.org/officeDocument/2006/relationships/externalLink" Target="externalLinks/externalLink139.xml"/><Relationship Id="rId198" Type="http://schemas.openxmlformats.org/officeDocument/2006/relationships/externalLink" Target="externalLinks/externalLink160.xml"/><Relationship Id="rId202" Type="http://schemas.openxmlformats.org/officeDocument/2006/relationships/externalLink" Target="externalLinks/externalLink164.xml"/><Relationship Id="rId223" Type="http://schemas.openxmlformats.org/officeDocument/2006/relationships/externalLink" Target="externalLinks/externalLink185.xml"/><Relationship Id="rId244" Type="http://schemas.openxmlformats.org/officeDocument/2006/relationships/externalLink" Target="externalLinks/externalLink206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.xml"/><Relationship Id="rId265" Type="http://schemas.openxmlformats.org/officeDocument/2006/relationships/externalLink" Target="externalLinks/externalLink227.xml"/><Relationship Id="rId50" Type="http://schemas.openxmlformats.org/officeDocument/2006/relationships/externalLink" Target="externalLinks/externalLink12.xml"/><Relationship Id="rId104" Type="http://schemas.openxmlformats.org/officeDocument/2006/relationships/externalLink" Target="externalLinks/externalLink66.xml"/><Relationship Id="rId125" Type="http://schemas.openxmlformats.org/officeDocument/2006/relationships/externalLink" Target="externalLinks/externalLink87.xml"/><Relationship Id="rId146" Type="http://schemas.openxmlformats.org/officeDocument/2006/relationships/externalLink" Target="externalLinks/externalLink108.xml"/><Relationship Id="rId167" Type="http://schemas.openxmlformats.org/officeDocument/2006/relationships/externalLink" Target="externalLinks/externalLink129.xml"/><Relationship Id="rId188" Type="http://schemas.openxmlformats.org/officeDocument/2006/relationships/externalLink" Target="externalLinks/externalLink150.xml"/><Relationship Id="rId71" Type="http://schemas.openxmlformats.org/officeDocument/2006/relationships/externalLink" Target="externalLinks/externalLink33.xml"/><Relationship Id="rId92" Type="http://schemas.openxmlformats.org/officeDocument/2006/relationships/externalLink" Target="externalLinks/externalLink54.xml"/><Relationship Id="rId213" Type="http://schemas.openxmlformats.org/officeDocument/2006/relationships/externalLink" Target="externalLinks/externalLink175.xml"/><Relationship Id="rId234" Type="http://schemas.openxmlformats.org/officeDocument/2006/relationships/externalLink" Target="externalLinks/externalLink19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externalLink" Target="externalLinks/externalLink217.xml"/><Relationship Id="rId276" Type="http://schemas.openxmlformats.org/officeDocument/2006/relationships/calcChain" Target="calcChain.xml"/><Relationship Id="rId40" Type="http://schemas.openxmlformats.org/officeDocument/2006/relationships/externalLink" Target="externalLinks/externalLink2.xml"/><Relationship Id="rId115" Type="http://schemas.openxmlformats.org/officeDocument/2006/relationships/externalLink" Target="externalLinks/externalLink77.xml"/><Relationship Id="rId136" Type="http://schemas.openxmlformats.org/officeDocument/2006/relationships/externalLink" Target="externalLinks/externalLink98.xml"/><Relationship Id="rId157" Type="http://schemas.openxmlformats.org/officeDocument/2006/relationships/externalLink" Target="externalLinks/externalLink119.xml"/><Relationship Id="rId178" Type="http://schemas.openxmlformats.org/officeDocument/2006/relationships/externalLink" Target="externalLinks/externalLink140.xml"/><Relationship Id="rId61" Type="http://schemas.openxmlformats.org/officeDocument/2006/relationships/externalLink" Target="externalLinks/externalLink23.xml"/><Relationship Id="rId82" Type="http://schemas.openxmlformats.org/officeDocument/2006/relationships/externalLink" Target="externalLinks/externalLink44.xml"/><Relationship Id="rId199" Type="http://schemas.openxmlformats.org/officeDocument/2006/relationships/externalLink" Target="externalLinks/externalLink161.xml"/><Relationship Id="rId203" Type="http://schemas.openxmlformats.org/officeDocument/2006/relationships/externalLink" Target="externalLinks/externalLink165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186.xml"/><Relationship Id="rId245" Type="http://schemas.openxmlformats.org/officeDocument/2006/relationships/externalLink" Target="externalLinks/externalLink207.xml"/><Relationship Id="rId266" Type="http://schemas.openxmlformats.org/officeDocument/2006/relationships/externalLink" Target="externalLinks/externalLink228.xml"/><Relationship Id="rId30" Type="http://schemas.openxmlformats.org/officeDocument/2006/relationships/worksheet" Target="worksheets/sheet30.xml"/><Relationship Id="rId105" Type="http://schemas.openxmlformats.org/officeDocument/2006/relationships/externalLink" Target="externalLinks/externalLink67.xml"/><Relationship Id="rId126" Type="http://schemas.openxmlformats.org/officeDocument/2006/relationships/externalLink" Target="externalLinks/externalLink88.xml"/><Relationship Id="rId147" Type="http://schemas.openxmlformats.org/officeDocument/2006/relationships/externalLink" Target="externalLinks/externalLink109.xml"/><Relationship Id="rId168" Type="http://schemas.openxmlformats.org/officeDocument/2006/relationships/externalLink" Target="externalLinks/externalLink130.xml"/><Relationship Id="rId51" Type="http://schemas.openxmlformats.org/officeDocument/2006/relationships/externalLink" Target="externalLinks/externalLink13.xml"/><Relationship Id="rId72" Type="http://schemas.openxmlformats.org/officeDocument/2006/relationships/externalLink" Target="externalLinks/externalLink34.xml"/><Relationship Id="rId93" Type="http://schemas.openxmlformats.org/officeDocument/2006/relationships/externalLink" Target="externalLinks/externalLink55.xml"/><Relationship Id="rId189" Type="http://schemas.openxmlformats.org/officeDocument/2006/relationships/externalLink" Target="externalLinks/externalLink151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76.xml"/><Relationship Id="rId235" Type="http://schemas.openxmlformats.org/officeDocument/2006/relationships/externalLink" Target="externalLinks/externalLink197.xml"/><Relationship Id="rId256" Type="http://schemas.openxmlformats.org/officeDocument/2006/relationships/externalLink" Target="externalLinks/externalLink218.xml"/><Relationship Id="rId116" Type="http://schemas.openxmlformats.org/officeDocument/2006/relationships/externalLink" Target="externalLinks/externalLink78.xml"/><Relationship Id="rId137" Type="http://schemas.openxmlformats.org/officeDocument/2006/relationships/externalLink" Target="externalLinks/externalLink99.xml"/><Relationship Id="rId158" Type="http://schemas.openxmlformats.org/officeDocument/2006/relationships/externalLink" Target="externalLinks/externalLink120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62" Type="http://schemas.openxmlformats.org/officeDocument/2006/relationships/externalLink" Target="externalLinks/externalLink24.xml"/><Relationship Id="rId83" Type="http://schemas.openxmlformats.org/officeDocument/2006/relationships/externalLink" Target="externalLinks/externalLink45.xml"/><Relationship Id="rId179" Type="http://schemas.openxmlformats.org/officeDocument/2006/relationships/externalLink" Target="externalLinks/externalLink141.xml"/><Relationship Id="rId190" Type="http://schemas.openxmlformats.org/officeDocument/2006/relationships/externalLink" Target="externalLinks/externalLink152.xml"/><Relationship Id="rId204" Type="http://schemas.openxmlformats.org/officeDocument/2006/relationships/externalLink" Target="externalLinks/externalLink166.xml"/><Relationship Id="rId225" Type="http://schemas.openxmlformats.org/officeDocument/2006/relationships/externalLink" Target="externalLinks/externalLink187.xml"/><Relationship Id="rId246" Type="http://schemas.openxmlformats.org/officeDocument/2006/relationships/externalLink" Target="externalLinks/externalLink208.xml"/><Relationship Id="rId267" Type="http://schemas.openxmlformats.org/officeDocument/2006/relationships/externalLink" Target="externalLinks/externalLink229.xml"/><Relationship Id="rId106" Type="http://schemas.openxmlformats.org/officeDocument/2006/relationships/externalLink" Target="externalLinks/externalLink68.xml"/><Relationship Id="rId127" Type="http://schemas.openxmlformats.org/officeDocument/2006/relationships/externalLink" Target="externalLinks/externalLink8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14.xml"/><Relationship Id="rId73" Type="http://schemas.openxmlformats.org/officeDocument/2006/relationships/externalLink" Target="externalLinks/externalLink35.xml"/><Relationship Id="rId94" Type="http://schemas.openxmlformats.org/officeDocument/2006/relationships/externalLink" Target="externalLinks/externalLink56.xml"/><Relationship Id="rId148" Type="http://schemas.openxmlformats.org/officeDocument/2006/relationships/externalLink" Target="externalLinks/externalLink110.xml"/><Relationship Id="rId169" Type="http://schemas.openxmlformats.org/officeDocument/2006/relationships/externalLink" Target="externalLinks/externalLink131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42.xml"/><Relationship Id="rId215" Type="http://schemas.openxmlformats.org/officeDocument/2006/relationships/externalLink" Target="externalLinks/externalLink177.xml"/><Relationship Id="rId236" Type="http://schemas.openxmlformats.org/officeDocument/2006/relationships/externalLink" Target="externalLinks/externalLink198.xml"/><Relationship Id="rId257" Type="http://schemas.openxmlformats.org/officeDocument/2006/relationships/externalLink" Target="externalLinks/externalLink219.xml"/><Relationship Id="rId42" Type="http://schemas.openxmlformats.org/officeDocument/2006/relationships/externalLink" Target="externalLinks/externalLink4.xml"/><Relationship Id="rId84" Type="http://schemas.openxmlformats.org/officeDocument/2006/relationships/externalLink" Target="externalLinks/externalLink46.xml"/><Relationship Id="rId138" Type="http://schemas.openxmlformats.org/officeDocument/2006/relationships/externalLink" Target="externalLinks/externalLink100.xml"/><Relationship Id="rId191" Type="http://schemas.openxmlformats.org/officeDocument/2006/relationships/externalLink" Target="externalLinks/externalLink153.xml"/><Relationship Id="rId205" Type="http://schemas.openxmlformats.org/officeDocument/2006/relationships/externalLink" Target="externalLinks/externalLink167.xml"/><Relationship Id="rId247" Type="http://schemas.openxmlformats.org/officeDocument/2006/relationships/externalLink" Target="externalLinks/externalLink209.xml"/><Relationship Id="rId107" Type="http://schemas.openxmlformats.org/officeDocument/2006/relationships/externalLink" Target="externalLinks/externalLink69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15.xml"/><Relationship Id="rId149" Type="http://schemas.openxmlformats.org/officeDocument/2006/relationships/externalLink" Target="externalLinks/externalLink11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977413196015864E-2"/>
          <c:y val="3.7808638529639484E-2"/>
          <c:w val="0.77403299408985904"/>
          <c:h val="0.84706873538184702"/>
        </c:manualLayout>
      </c:layout>
      <c:lineChart>
        <c:grouping val="standard"/>
        <c:varyColors val="0"/>
        <c:ser>
          <c:idx val="0"/>
          <c:order val="0"/>
          <c:tx>
            <c:v>GRANULOMETRIA</c:v>
          </c:tx>
          <c:spPr>
            <a:ln w="19050" cap="rnd">
              <a:solidFill>
                <a:schemeClr val="accent3">
                  <a:lumMod val="50000"/>
                </a:schemeClr>
              </a:solidFill>
              <a:prstDash val="lgDashDot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'MIX BRASIL-FORT-KAPIVARI'!$D$7:$D$14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9.6406999999999989</c:v>
                </c:pt>
                <c:pt idx="4">
                  <c:v>28.941733333333332</c:v>
                </c:pt>
                <c:pt idx="5">
                  <c:v>44.675166666666669</c:v>
                </c:pt>
                <c:pt idx="6">
                  <c:v>82.249350000000007</c:v>
                </c:pt>
                <c:pt idx="7">
                  <c:v>90.720533333333321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D-4170-87B7-ACF64B0D0E9C}"/>
            </c:ext>
          </c:extLst>
        </c:ser>
        <c:ser>
          <c:idx val="2"/>
          <c:order val="1"/>
          <c:tx>
            <c:v>ZONA OTIMA </c:v>
          </c:tx>
          <c:spPr>
            <a:ln w="19050" cap="rnd">
              <a:solidFill>
                <a:schemeClr val="accent1">
                  <a:lumMod val="7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[231]ZONAS!$G$3:$G$10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20</c:v>
                </c:pt>
                <c:pt idx="4">
                  <c:v>30</c:v>
                </c:pt>
                <c:pt idx="5">
                  <c:v>55</c:v>
                </c:pt>
                <c:pt idx="6">
                  <c:v>85</c:v>
                </c:pt>
                <c:pt idx="7">
                  <c:v>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0D-4170-87B7-ACF64B0D0E9C}"/>
            </c:ext>
          </c:extLst>
        </c:ser>
        <c:ser>
          <c:idx val="7"/>
          <c:order val="2"/>
          <c:tx>
            <c:v>ZONA OTIMA</c:v>
          </c:tx>
          <c:spPr>
            <a:ln w="19050" cap="rnd">
              <a:solidFill>
                <a:schemeClr val="accent1">
                  <a:lumMod val="7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[231]ZONAS!$F$3:$F$10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20</c:v>
                </c:pt>
                <c:pt idx="5">
                  <c:v>35</c:v>
                </c:pt>
                <c:pt idx="6">
                  <c:v>65</c:v>
                </c:pt>
                <c:pt idx="7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0D-4170-87B7-ACF64B0D0E9C}"/>
            </c:ext>
          </c:extLst>
        </c:ser>
        <c:ser>
          <c:idx val="5"/>
          <c:order val="3"/>
          <c:tx>
            <c:v>ZONA UTILIZAVEL</c:v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[231]ZONAS!$E$3:$E$10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15</c:v>
                </c:pt>
                <c:pt idx="6">
                  <c:v>50</c:v>
                </c:pt>
                <c:pt idx="7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0D-4170-87B7-ACF64B0D0E9C}"/>
            </c:ext>
          </c:extLst>
        </c:ser>
        <c:ser>
          <c:idx val="6"/>
          <c:order val="4"/>
          <c:tx>
            <c:v>ZONA UTILIZAVEL</c:v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[231]ZONAS!$H$3:$H$10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25</c:v>
                </c:pt>
                <c:pt idx="4">
                  <c:v>50</c:v>
                </c:pt>
                <c:pt idx="5">
                  <c:v>70</c:v>
                </c:pt>
                <c:pt idx="6">
                  <c:v>95</c:v>
                </c:pt>
                <c:pt idx="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0D-4170-87B7-ACF64B0D0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061120"/>
        <c:axId val="418065472"/>
      </c:lineChart>
      <c:catAx>
        <c:axId val="418061120"/>
        <c:scaling>
          <c:orientation val="maxMin"/>
        </c:scaling>
        <c:delete val="0"/>
        <c:axPos val="t"/>
        <c:majorGridlines>
          <c:spPr>
            <a:ln w="9525" cap="flat" cmpd="sng" algn="ctr">
              <a:noFill/>
              <a:round/>
            </a:ln>
            <a:effectLst>
              <a:softEdge rad="0"/>
            </a:effectLst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solidFill>
                      <a:sysClr val="windowText" lastClr="000000"/>
                    </a:solidFill>
                    <a:effectLst/>
                  </a:rPr>
                  <a:t>Abertura da malha</a:t>
                </a:r>
                <a:endParaRPr lang="pt-BR" sz="1100">
                  <a:solidFill>
                    <a:sysClr val="windowText" lastClr="000000"/>
                  </a:solidFill>
                  <a:effectLst/>
                </a:endParaRPr>
              </a:p>
            </c:rich>
          </c:tx>
          <c:layout>
            <c:manualLayout>
              <c:xMode val="edge"/>
              <c:yMode val="edge"/>
              <c:x val="0.58071175880579651"/>
              <c:y val="0.9332728015922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18065472"/>
        <c:crosses val="autoZero"/>
        <c:auto val="1"/>
        <c:lblAlgn val="ctr"/>
        <c:lblOffset val="100"/>
        <c:noMultiLvlLbl val="1"/>
      </c:catAx>
      <c:valAx>
        <c:axId val="418065472"/>
        <c:scaling>
          <c:orientation val="maxMin"/>
          <c:max val="1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>
                    <a:solidFill>
                      <a:sysClr val="windowText" lastClr="000000"/>
                    </a:solidFill>
                  </a:rPr>
                  <a:t>% RETIDO</a:t>
                </a:r>
                <a:r>
                  <a:rPr lang="pt-BR" sz="1100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pt-BR" sz="1100">
                    <a:solidFill>
                      <a:sysClr val="windowText" lastClr="000000"/>
                    </a:solidFill>
                  </a:rPr>
                  <a:t>ACUMULADO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1806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53618191244612945"/>
          <c:y val="0.54507358084197266"/>
          <c:w val="0.27451767603123683"/>
          <c:h val="0.296835850663785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50"/>
      </a:solidFill>
      <a:round/>
    </a:ln>
    <a:effectLst>
      <a:softEdge rad="673100"/>
    </a:effectLst>
  </c:spPr>
  <c:txPr>
    <a:bodyPr anchor="b" anchorCtr="1"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97" footer="0.31496062000000097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emf"/><Relationship Id="rId7" Type="http://schemas.microsoft.com/office/2017/06/relationships/model3d" Target="../media/model3d1.glb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emf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9.png"/><Relationship Id="rId1" Type="http://schemas.openxmlformats.org/officeDocument/2006/relationships/hyperlink" Target="#GER!A1"/><Relationship Id="rId4" Type="http://schemas.openxmlformats.org/officeDocument/2006/relationships/image" Target="../media/image10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9.png"/><Relationship Id="rId1" Type="http://schemas.openxmlformats.org/officeDocument/2006/relationships/hyperlink" Target="#GER!A1"/><Relationship Id="rId4" Type="http://schemas.openxmlformats.org/officeDocument/2006/relationships/image" Target="../media/image10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jpe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jpeg"/><Relationship Id="rId1" Type="http://schemas.openxmlformats.org/officeDocument/2006/relationships/image" Target="../media/image14.jpe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jpeg"/><Relationship Id="rId9" Type="http://schemas.openxmlformats.org/officeDocument/2006/relationships/image" Target="../media/image2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70291</xdr:colOff>
      <xdr:row>39</xdr:row>
      <xdr:rowOff>64941</xdr:rowOff>
    </xdr:from>
    <xdr:to>
      <xdr:col>73</xdr:col>
      <xdr:colOff>126320</xdr:colOff>
      <xdr:row>44</xdr:row>
      <xdr:rowOff>18336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99F6F2C3-774A-45C3-9AE5-75495F5D652F}"/>
            </a:ext>
          </a:extLst>
        </xdr:cNvPr>
        <xdr:cNvSpPr>
          <a:spLocks noChangeArrowheads="1"/>
        </xdr:cNvSpPr>
      </xdr:nvSpPr>
      <xdr:spPr bwMode="auto">
        <a:xfrm>
          <a:off x="17139091" y="7332516"/>
          <a:ext cx="56029" cy="915420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212911</xdr:colOff>
      <xdr:row>20</xdr:row>
      <xdr:rowOff>50936</xdr:rowOff>
    </xdr:from>
    <xdr:to>
      <xdr:col>20</xdr:col>
      <xdr:colOff>54429</xdr:colOff>
      <xdr:row>44</xdr:row>
      <xdr:rowOff>23131</xdr:rowOff>
    </xdr:to>
    <xdr:sp macro="" textlink="">
      <xdr:nvSpPr>
        <xdr:cNvPr id="3" name="Retângulo 1">
          <a:extLst>
            <a:ext uri="{FF2B5EF4-FFF2-40B4-BE49-F238E27FC236}">
              <a16:creationId xmlns:a16="http://schemas.microsoft.com/office/drawing/2014/main" id="{DB3FA7BE-C512-40D2-8E23-49A06B367714}"/>
            </a:ext>
          </a:extLst>
        </xdr:cNvPr>
        <xdr:cNvSpPr>
          <a:spLocks noChangeArrowheads="1"/>
        </xdr:cNvSpPr>
      </xdr:nvSpPr>
      <xdr:spPr bwMode="auto">
        <a:xfrm>
          <a:off x="4937311" y="3879986"/>
          <a:ext cx="70118" cy="4372745"/>
        </a:xfrm>
        <a:prstGeom prst="rect">
          <a:avLst/>
        </a:prstGeom>
        <a:solidFill>
          <a:srgbClr val="1F497D"/>
        </a:solidFill>
        <a:ln w="12700" algn="ctr">
          <a:solidFill>
            <a:srgbClr val="1F497D"/>
          </a:solidFill>
          <a:round/>
          <a:headEnd/>
          <a:tailEnd/>
        </a:ln>
      </xdr:spPr>
    </xdr:sp>
    <xdr:clientData/>
  </xdr:twoCellAnchor>
  <xdr:twoCellAnchor>
    <xdr:from>
      <xdr:col>132</xdr:col>
      <xdr:colOff>38100</xdr:colOff>
      <xdr:row>105</xdr:row>
      <xdr:rowOff>0</xdr:rowOff>
    </xdr:from>
    <xdr:to>
      <xdr:col>134</xdr:col>
      <xdr:colOff>9525</xdr:colOff>
      <xdr:row>105</xdr:row>
      <xdr:rowOff>0</xdr:rowOff>
    </xdr:to>
    <xdr:sp macro="" textlink="">
      <xdr:nvSpPr>
        <xdr:cNvPr id="4" name="Rectangle 45" descr="Grade aberta">
          <a:extLst>
            <a:ext uri="{FF2B5EF4-FFF2-40B4-BE49-F238E27FC236}">
              <a16:creationId xmlns:a16="http://schemas.microsoft.com/office/drawing/2014/main" id="{E1C92210-D5F8-4811-BA2E-920A5A438894}"/>
            </a:ext>
          </a:extLst>
        </xdr:cNvPr>
        <xdr:cNvSpPr>
          <a:spLocks noChangeArrowheads="1"/>
        </xdr:cNvSpPr>
      </xdr:nvSpPr>
      <xdr:spPr bwMode="auto">
        <a:xfrm>
          <a:off x="30594300" y="18097500"/>
          <a:ext cx="295275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131</xdr:col>
      <xdr:colOff>104775</xdr:colOff>
      <xdr:row>105</xdr:row>
      <xdr:rowOff>0</xdr:rowOff>
    </xdr:from>
    <xdr:to>
      <xdr:col>133</xdr:col>
      <xdr:colOff>0</xdr:colOff>
      <xdr:row>105</xdr:row>
      <xdr:rowOff>0</xdr:rowOff>
    </xdr:to>
    <xdr:sp macro="" textlink="">
      <xdr:nvSpPr>
        <xdr:cNvPr id="5" name="Rectangle 45" descr="Grade aberta">
          <a:extLst>
            <a:ext uri="{FF2B5EF4-FFF2-40B4-BE49-F238E27FC236}">
              <a16:creationId xmlns:a16="http://schemas.microsoft.com/office/drawing/2014/main" id="{F0E84335-346C-4DC1-989A-16BB8F8D880F}"/>
            </a:ext>
          </a:extLst>
        </xdr:cNvPr>
        <xdr:cNvSpPr>
          <a:spLocks noChangeArrowheads="1"/>
        </xdr:cNvSpPr>
      </xdr:nvSpPr>
      <xdr:spPr bwMode="auto">
        <a:xfrm>
          <a:off x="30432375" y="18097500"/>
          <a:ext cx="352425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131</xdr:col>
      <xdr:colOff>0</xdr:colOff>
      <xdr:row>105</xdr:row>
      <xdr:rowOff>0</xdr:rowOff>
    </xdr:from>
    <xdr:to>
      <xdr:col>132</xdr:col>
      <xdr:colOff>238125</xdr:colOff>
      <xdr:row>105</xdr:row>
      <xdr:rowOff>0</xdr:rowOff>
    </xdr:to>
    <xdr:sp macro="" textlink="">
      <xdr:nvSpPr>
        <xdr:cNvPr id="6" name="Rectangle 45" descr="Grade aberta">
          <a:extLst>
            <a:ext uri="{FF2B5EF4-FFF2-40B4-BE49-F238E27FC236}">
              <a16:creationId xmlns:a16="http://schemas.microsoft.com/office/drawing/2014/main" id="{A0B9D91C-19E4-4196-9E85-56CABFF1CA0E}"/>
            </a:ext>
          </a:extLst>
        </xdr:cNvPr>
        <xdr:cNvSpPr>
          <a:spLocks noChangeArrowheads="1"/>
        </xdr:cNvSpPr>
      </xdr:nvSpPr>
      <xdr:spPr bwMode="auto">
        <a:xfrm>
          <a:off x="30327600" y="18097500"/>
          <a:ext cx="457200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101</xdr:col>
      <xdr:colOff>207818</xdr:colOff>
      <xdr:row>47</xdr:row>
      <xdr:rowOff>12987</xdr:rowOff>
    </xdr:from>
    <xdr:to>
      <xdr:col>115</xdr:col>
      <xdr:colOff>186170</xdr:colOff>
      <xdr:row>47</xdr:row>
      <xdr:rowOff>17319</xdr:rowOff>
    </xdr:to>
    <xdr:sp macro="" textlink="">
      <xdr:nvSpPr>
        <xdr:cNvPr id="7" name="Line 53">
          <a:extLst>
            <a:ext uri="{FF2B5EF4-FFF2-40B4-BE49-F238E27FC236}">
              <a16:creationId xmlns:a16="http://schemas.microsoft.com/office/drawing/2014/main" id="{7BA0211E-8946-492F-A016-E8004A7F1D45}"/>
            </a:ext>
          </a:extLst>
        </xdr:cNvPr>
        <xdr:cNvSpPr>
          <a:spLocks noChangeShapeType="1"/>
        </xdr:cNvSpPr>
      </xdr:nvSpPr>
      <xdr:spPr bwMode="auto">
        <a:xfrm flipV="1">
          <a:off x="23677418" y="8928387"/>
          <a:ext cx="3178752" cy="4332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94182</xdr:colOff>
      <xdr:row>16</xdr:row>
      <xdr:rowOff>83125</xdr:rowOff>
    </xdr:from>
    <xdr:to>
      <xdr:col>22</xdr:col>
      <xdr:colOff>44825</xdr:colOff>
      <xdr:row>24</xdr:row>
      <xdr:rowOff>103909</xdr:rowOff>
    </xdr:to>
    <xdr:sp macro="" textlink="">
      <xdr:nvSpPr>
        <xdr:cNvPr id="8" name="Rectangle 45" descr="Grade aberta">
          <a:extLst>
            <a:ext uri="{FF2B5EF4-FFF2-40B4-BE49-F238E27FC236}">
              <a16:creationId xmlns:a16="http://schemas.microsoft.com/office/drawing/2014/main" id="{2BD6BAEB-0AA8-49F9-AC5D-BC4AB03085E2}"/>
            </a:ext>
          </a:extLst>
        </xdr:cNvPr>
        <xdr:cNvSpPr>
          <a:spLocks noChangeArrowheads="1"/>
        </xdr:cNvSpPr>
      </xdr:nvSpPr>
      <xdr:spPr bwMode="auto">
        <a:xfrm>
          <a:off x="4818582" y="3188275"/>
          <a:ext cx="636443" cy="1468584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69272</xdr:colOff>
      <xdr:row>47</xdr:row>
      <xdr:rowOff>17320</xdr:rowOff>
    </xdr:from>
    <xdr:to>
      <xdr:col>29</xdr:col>
      <xdr:colOff>122464</xdr:colOff>
      <xdr:row>47</xdr:row>
      <xdr:rowOff>27214</xdr:rowOff>
    </xdr:to>
    <xdr:sp macro="" textlink="">
      <xdr:nvSpPr>
        <xdr:cNvPr id="9" name="Line 53">
          <a:extLst>
            <a:ext uri="{FF2B5EF4-FFF2-40B4-BE49-F238E27FC236}">
              <a16:creationId xmlns:a16="http://schemas.microsoft.com/office/drawing/2014/main" id="{09FEBEDF-9C1B-4796-9A83-9B3C1D4B7B57}"/>
            </a:ext>
          </a:extLst>
        </xdr:cNvPr>
        <xdr:cNvSpPr>
          <a:spLocks noChangeShapeType="1"/>
        </xdr:cNvSpPr>
      </xdr:nvSpPr>
      <xdr:spPr bwMode="auto">
        <a:xfrm flipH="1" flipV="1">
          <a:off x="5708072" y="8932720"/>
          <a:ext cx="1424792" cy="9894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122</xdr:col>
      <xdr:colOff>112566</xdr:colOff>
      <xdr:row>93</xdr:row>
      <xdr:rowOff>106690</xdr:rowOff>
    </xdr:from>
    <xdr:to>
      <xdr:col>125</xdr:col>
      <xdr:colOff>129885</xdr:colOff>
      <xdr:row>101</xdr:row>
      <xdr:rowOff>93085</xdr:rowOff>
    </xdr:to>
    <xdr:sp macro="" textlink="">
      <xdr:nvSpPr>
        <xdr:cNvPr id="10" name="Oval 54">
          <a:extLst>
            <a:ext uri="{FF2B5EF4-FFF2-40B4-BE49-F238E27FC236}">
              <a16:creationId xmlns:a16="http://schemas.microsoft.com/office/drawing/2014/main" id="{981D5EBE-99A1-4B1C-8D33-257D27FC1FFA}"/>
            </a:ext>
          </a:extLst>
        </xdr:cNvPr>
        <xdr:cNvSpPr>
          <a:spLocks noChangeArrowheads="1"/>
        </xdr:cNvSpPr>
      </xdr:nvSpPr>
      <xdr:spPr bwMode="auto">
        <a:xfrm>
          <a:off x="28382766" y="16337290"/>
          <a:ext cx="703119" cy="1177020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100851</xdr:colOff>
      <xdr:row>16</xdr:row>
      <xdr:rowOff>67234</xdr:rowOff>
    </xdr:from>
    <xdr:to>
      <xdr:col>39</xdr:col>
      <xdr:colOff>69271</xdr:colOff>
      <xdr:row>24</xdr:row>
      <xdr:rowOff>103908</xdr:rowOff>
    </xdr:to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73456813-C71F-45B5-8FE1-8E517971D6EF}"/>
            </a:ext>
          </a:extLst>
        </xdr:cNvPr>
        <xdr:cNvSpPr txBox="1"/>
      </xdr:nvSpPr>
      <xdr:spPr>
        <a:xfrm>
          <a:off x="5511051" y="3172384"/>
          <a:ext cx="3854620" cy="148447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PEDREIRA RIO VERDE FORTALEZA</a:t>
          </a:r>
        </a:p>
        <a:p>
          <a:r>
            <a:rPr lang="pt-BR" sz="1600" b="1"/>
            <a:t>MATERIAL: </a:t>
          </a:r>
          <a:r>
            <a:rPr lang="pt-BR" sz="1600" b="0"/>
            <a:t>AGREGADOS  </a:t>
          </a:r>
          <a:r>
            <a:rPr lang="pt-BR" sz="1600" b="1"/>
            <a:t>         </a:t>
          </a:r>
        </a:p>
        <a:p>
          <a:r>
            <a:rPr lang="pt-BR" sz="1600" b="1"/>
            <a:t>COORDENADAS: X=</a:t>
          </a:r>
          <a:r>
            <a:rPr lang="pt-B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8.023.179  Y= 531.453 </a:t>
          </a:r>
          <a:r>
            <a:rPr lang="pt-BR" sz="1600" b="1"/>
            <a:t>MUNICÍPIO: </a:t>
          </a:r>
          <a:r>
            <a:rPr lang="pt-BR" sz="1600" b="0"/>
            <a:t>RIO VERDE</a:t>
          </a:r>
        </a:p>
        <a:p>
          <a:r>
            <a:rPr lang="pt-BR" sz="1600" b="1"/>
            <a:t>DT: </a:t>
          </a:r>
          <a:r>
            <a:rPr lang="pt-BR" sz="1600" b="0"/>
            <a:t>28,60 km (EST. 00) </a:t>
          </a:r>
        </a:p>
      </xdr:txBody>
    </xdr:sp>
    <xdr:clientData/>
  </xdr:twoCellAnchor>
  <xdr:twoCellAnchor>
    <xdr:from>
      <xdr:col>19</xdr:col>
      <xdr:colOff>211892</xdr:colOff>
      <xdr:row>44</xdr:row>
      <xdr:rowOff>126319</xdr:rowOff>
    </xdr:from>
    <xdr:to>
      <xdr:col>20</xdr:col>
      <xdr:colOff>51954</xdr:colOff>
      <xdr:row>84</xdr:row>
      <xdr:rowOff>51954</xdr:rowOff>
    </xdr:to>
    <xdr:sp macro="" textlink="">
      <xdr:nvSpPr>
        <xdr:cNvPr id="12" name="Retângulo 1">
          <a:extLst>
            <a:ext uri="{FF2B5EF4-FFF2-40B4-BE49-F238E27FC236}">
              <a16:creationId xmlns:a16="http://schemas.microsoft.com/office/drawing/2014/main" id="{45666DAA-8067-46E8-9369-F4969CCA2882}"/>
            </a:ext>
          </a:extLst>
        </xdr:cNvPr>
        <xdr:cNvSpPr>
          <a:spLocks noChangeArrowheads="1"/>
        </xdr:cNvSpPr>
      </xdr:nvSpPr>
      <xdr:spPr bwMode="auto">
        <a:xfrm>
          <a:off x="4936292" y="8355919"/>
          <a:ext cx="68662" cy="6602660"/>
        </a:xfrm>
        <a:prstGeom prst="rect">
          <a:avLst/>
        </a:prstGeom>
        <a:solidFill>
          <a:srgbClr val="1F497D"/>
        </a:solidFill>
        <a:ln w="12700" algn="ctr">
          <a:solidFill>
            <a:srgbClr val="1F497D"/>
          </a:solidFill>
          <a:round/>
          <a:headEnd/>
          <a:tailEnd/>
        </a:ln>
      </xdr:spPr>
    </xdr:sp>
    <xdr:clientData/>
  </xdr:twoCellAnchor>
  <xdr:twoCellAnchor>
    <xdr:from>
      <xdr:col>25</xdr:col>
      <xdr:colOff>67081</xdr:colOff>
      <xdr:row>82</xdr:row>
      <xdr:rowOff>50781</xdr:rowOff>
    </xdr:from>
    <xdr:to>
      <xdr:col>42</xdr:col>
      <xdr:colOff>142875</xdr:colOff>
      <xdr:row>92</xdr:row>
      <xdr:rowOff>38965</xdr:rowOff>
    </xdr:to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C6BD20DF-8F7C-43B3-83CC-B763CFA17D30}"/>
            </a:ext>
          </a:extLst>
        </xdr:cNvPr>
        <xdr:cNvSpPr txBox="1"/>
      </xdr:nvSpPr>
      <xdr:spPr>
        <a:xfrm>
          <a:off x="6163081" y="14671656"/>
          <a:ext cx="3961994" cy="141693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DISBRAL</a:t>
          </a:r>
        </a:p>
        <a:p>
          <a:r>
            <a:rPr lang="pt-BR" sz="1600" b="1"/>
            <a:t>MATERIAL: </a:t>
          </a:r>
          <a:r>
            <a:rPr lang="pt-BR" sz="1600" b="0"/>
            <a:t>BETUMINOSO </a:t>
          </a:r>
          <a:r>
            <a:rPr lang="pt-BR" sz="1600" b="1"/>
            <a:t>  </a:t>
          </a:r>
          <a:r>
            <a:rPr lang="pt-BR" sz="1600" b="0"/>
            <a:t>(</a:t>
          </a:r>
          <a:r>
            <a:rPr lang="pt-BR" sz="1600" b="0" baseline="0"/>
            <a:t>EAI)</a:t>
          </a:r>
          <a:r>
            <a:rPr lang="pt-BR" sz="1600" b="0"/>
            <a:t>       </a:t>
          </a:r>
        </a:p>
        <a:p>
          <a:r>
            <a:rPr lang="pt-BR" sz="1600" b="1"/>
            <a:t>COORDENADAS: X=</a:t>
          </a:r>
          <a:r>
            <a:rPr lang="pt-BR" sz="1600" b="0"/>
            <a:t>8.141.211  Y= 691.196 </a:t>
          </a:r>
          <a:r>
            <a:rPr lang="pt-BR" sz="1600" b="1"/>
            <a:t>MUNICÍPIO: </a:t>
          </a:r>
          <a:r>
            <a:rPr lang="pt-BR" sz="1600" b="0"/>
            <a:t>APARECIDA DE GOIÂNIA</a:t>
          </a:r>
        </a:p>
        <a:p>
          <a:r>
            <a:rPr lang="pt-BR" sz="1600" b="1"/>
            <a:t>DT: </a:t>
          </a:r>
          <a:r>
            <a:rPr lang="pt-BR" sz="1600" b="0"/>
            <a:t>243 km (EST. 00) </a:t>
          </a:r>
        </a:p>
      </xdr:txBody>
    </xdr:sp>
    <xdr:clientData/>
  </xdr:twoCellAnchor>
  <xdr:twoCellAnchor>
    <xdr:from>
      <xdr:col>20</xdr:col>
      <xdr:colOff>103243</xdr:colOff>
      <xdr:row>78</xdr:row>
      <xdr:rowOff>102864</xdr:rowOff>
    </xdr:from>
    <xdr:to>
      <xdr:col>26</xdr:col>
      <xdr:colOff>85316</xdr:colOff>
      <xdr:row>78</xdr:row>
      <xdr:rowOff>110148</xdr:rowOff>
    </xdr:to>
    <xdr:sp macro="" textlink="">
      <xdr:nvSpPr>
        <xdr:cNvPr id="14" name="Line 53">
          <a:extLst>
            <a:ext uri="{FF2B5EF4-FFF2-40B4-BE49-F238E27FC236}">
              <a16:creationId xmlns:a16="http://schemas.microsoft.com/office/drawing/2014/main" id="{F3725573-EECB-438B-8C4E-D115982E87D0}"/>
            </a:ext>
          </a:extLst>
        </xdr:cNvPr>
        <xdr:cNvSpPr>
          <a:spLocks noChangeShapeType="1"/>
        </xdr:cNvSpPr>
      </xdr:nvSpPr>
      <xdr:spPr bwMode="auto">
        <a:xfrm flipH="1" flipV="1">
          <a:off x="5056243" y="14152239"/>
          <a:ext cx="1353673" cy="7284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17518</xdr:colOff>
      <xdr:row>33</xdr:row>
      <xdr:rowOff>27964</xdr:rowOff>
    </xdr:from>
    <xdr:to>
      <xdr:col>25</xdr:col>
      <xdr:colOff>224728</xdr:colOff>
      <xdr:row>33</xdr:row>
      <xdr:rowOff>35248</xdr:rowOff>
    </xdr:to>
    <xdr:sp macro="" textlink="">
      <xdr:nvSpPr>
        <xdr:cNvPr id="15" name="Line 53">
          <a:extLst>
            <a:ext uri="{FF2B5EF4-FFF2-40B4-BE49-F238E27FC236}">
              <a16:creationId xmlns:a16="http://schemas.microsoft.com/office/drawing/2014/main" id="{5A6B5461-6ADA-43F4-A85A-A9F463007865}"/>
            </a:ext>
          </a:extLst>
        </xdr:cNvPr>
        <xdr:cNvSpPr>
          <a:spLocks noChangeShapeType="1"/>
        </xdr:cNvSpPr>
      </xdr:nvSpPr>
      <xdr:spPr bwMode="auto">
        <a:xfrm flipH="1" flipV="1">
          <a:off x="4970518" y="6209689"/>
          <a:ext cx="1350210" cy="7284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20</xdr:col>
      <xdr:colOff>37850</xdr:colOff>
      <xdr:row>82</xdr:row>
      <xdr:rowOff>88506</xdr:rowOff>
    </xdr:from>
    <xdr:to>
      <xdr:col>25</xdr:col>
      <xdr:colOff>25676</xdr:colOff>
      <xdr:row>92</xdr:row>
      <xdr:rowOff>21955</xdr:rowOff>
    </xdr:to>
    <xdr:pic>
      <xdr:nvPicPr>
        <xdr:cNvPr id="16" name="Picture 48">
          <a:extLst>
            <a:ext uri="{FF2B5EF4-FFF2-40B4-BE49-F238E27FC236}">
              <a16:creationId xmlns:a16="http://schemas.microsoft.com/office/drawing/2014/main" id="{B625DA78-FB7D-447D-B240-3128E985B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20000"/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0850" y="14709381"/>
          <a:ext cx="1130826" cy="1362199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77</xdr:col>
      <xdr:colOff>166633</xdr:colOff>
      <xdr:row>45</xdr:row>
      <xdr:rowOff>22373</xdr:rowOff>
    </xdr:from>
    <xdr:to>
      <xdr:col>77</xdr:col>
      <xdr:colOff>222662</xdr:colOff>
      <xdr:row>47</xdr:row>
      <xdr:rowOff>339453</xdr:rowOff>
    </xdr:to>
    <xdr:sp macro="" textlink="">
      <xdr:nvSpPr>
        <xdr:cNvPr id="17" name="Retângulo 16">
          <a:extLst>
            <a:ext uri="{FF2B5EF4-FFF2-40B4-BE49-F238E27FC236}">
              <a16:creationId xmlns:a16="http://schemas.microsoft.com/office/drawing/2014/main" id="{D6427CC3-9B16-4BBD-845F-A608769656A3}"/>
            </a:ext>
          </a:extLst>
        </xdr:cNvPr>
        <xdr:cNvSpPr>
          <a:spLocks noChangeArrowheads="1"/>
        </xdr:cNvSpPr>
      </xdr:nvSpPr>
      <xdr:spPr bwMode="auto">
        <a:xfrm>
          <a:off x="18149833" y="8385323"/>
          <a:ext cx="56029" cy="869530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80</xdr:col>
      <xdr:colOff>22437</xdr:colOff>
      <xdr:row>47</xdr:row>
      <xdr:rowOff>341064</xdr:rowOff>
    </xdr:from>
    <xdr:to>
      <xdr:col>97</xdr:col>
      <xdr:colOff>4453</xdr:colOff>
      <xdr:row>50</xdr:row>
      <xdr:rowOff>62778</xdr:rowOff>
    </xdr:to>
    <xdr:sp macro="" textlink="">
      <xdr:nvSpPr>
        <xdr:cNvPr id="18" name="CaixaDeTexto 17">
          <a:extLst>
            <a:ext uri="{FF2B5EF4-FFF2-40B4-BE49-F238E27FC236}">
              <a16:creationId xmlns:a16="http://schemas.microsoft.com/office/drawing/2014/main" id="{A4E4F689-9209-4E6B-9971-D835B6927F9D}"/>
            </a:ext>
          </a:extLst>
        </xdr:cNvPr>
        <xdr:cNvSpPr txBox="1"/>
      </xdr:nvSpPr>
      <xdr:spPr>
        <a:xfrm>
          <a:off x="18691437" y="9256464"/>
          <a:ext cx="3868216" cy="874239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CANTEIRO DE OBRAS</a:t>
          </a:r>
        </a:p>
        <a:p>
          <a:r>
            <a:rPr lang="pt-BR" sz="1600" b="1"/>
            <a:t>COORDENADAS: X=</a:t>
          </a:r>
          <a:r>
            <a:rPr lang="pt-BR" sz="1600" b="0"/>
            <a:t>8.038.277  Y= 504.716                 </a:t>
          </a:r>
          <a:r>
            <a:rPr lang="pt-BR" sz="1600" b="1"/>
            <a:t>DT: </a:t>
          </a:r>
          <a:r>
            <a:rPr lang="pt-BR" sz="1600" b="0"/>
            <a:t>0,04 km (EST. 187) </a:t>
          </a:r>
        </a:p>
      </xdr:txBody>
    </xdr:sp>
    <xdr:clientData/>
  </xdr:twoCellAnchor>
  <xdr:twoCellAnchor>
    <xdr:from>
      <xdr:col>74</xdr:col>
      <xdr:colOff>60104</xdr:colOff>
      <xdr:row>47</xdr:row>
      <xdr:rowOff>53019</xdr:rowOff>
    </xdr:from>
    <xdr:to>
      <xdr:col>77</xdr:col>
      <xdr:colOff>177189</xdr:colOff>
      <xdr:row>47</xdr:row>
      <xdr:rowOff>53019</xdr:rowOff>
    </xdr:to>
    <xdr:sp macro="" textlink="">
      <xdr:nvSpPr>
        <xdr:cNvPr id="19" name="Line 53">
          <a:extLst>
            <a:ext uri="{FF2B5EF4-FFF2-40B4-BE49-F238E27FC236}">
              <a16:creationId xmlns:a16="http://schemas.microsoft.com/office/drawing/2014/main" id="{CE71572B-C1C8-432D-AD0F-0BC9AD928F77}"/>
            </a:ext>
          </a:extLst>
        </xdr:cNvPr>
        <xdr:cNvSpPr>
          <a:spLocks noChangeShapeType="1"/>
        </xdr:cNvSpPr>
      </xdr:nvSpPr>
      <xdr:spPr bwMode="auto">
        <a:xfrm>
          <a:off x="17357504" y="8968419"/>
          <a:ext cx="802885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173048</xdr:colOff>
      <xdr:row>34</xdr:row>
      <xdr:rowOff>134278</xdr:rowOff>
    </xdr:from>
    <xdr:to>
      <xdr:col>71</xdr:col>
      <xdr:colOff>103909</xdr:colOff>
      <xdr:row>40</xdr:row>
      <xdr:rowOff>119062</xdr:rowOff>
    </xdr:to>
    <xdr:sp macro="" textlink="">
      <xdr:nvSpPr>
        <xdr:cNvPr id="20" name="CaixaDeTexto 19">
          <a:extLst>
            <a:ext uri="{FF2B5EF4-FFF2-40B4-BE49-F238E27FC236}">
              <a16:creationId xmlns:a16="http://schemas.microsoft.com/office/drawing/2014/main" id="{DC260A35-C436-4EE0-A15C-DEDCEEF8778F}"/>
            </a:ext>
          </a:extLst>
        </xdr:cNvPr>
        <xdr:cNvSpPr txBox="1"/>
      </xdr:nvSpPr>
      <xdr:spPr>
        <a:xfrm>
          <a:off x="12898448" y="6496978"/>
          <a:ext cx="3817061" cy="107063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CAIXA DE EMPRESTIMO 01</a:t>
          </a:r>
        </a:p>
        <a:p>
          <a:r>
            <a:rPr lang="pt-BR" sz="1600" b="1"/>
            <a:t>MATERIAL: </a:t>
          </a:r>
          <a:r>
            <a:rPr lang="pt-BR" sz="1600" b="0"/>
            <a:t>SOLO</a:t>
          </a:r>
        </a:p>
        <a:p>
          <a:r>
            <a:rPr lang="pt-BR" sz="1600" b="1"/>
            <a:t>COORDENADAS: X=</a:t>
          </a:r>
          <a:r>
            <a:rPr lang="pt-BR" sz="1600" b="0"/>
            <a:t>8. 037.089 Y= 502.021 </a:t>
          </a:r>
          <a:r>
            <a:rPr lang="pt-BR" sz="1600" b="1"/>
            <a:t>DT: </a:t>
          </a:r>
          <a:r>
            <a:rPr lang="pt-BR" sz="1600" b="0"/>
            <a:t>5,00 km (EST. 172) </a:t>
          </a:r>
        </a:p>
      </xdr:txBody>
    </xdr:sp>
    <xdr:clientData/>
  </xdr:twoCellAnchor>
  <xdr:twoCellAnchor>
    <xdr:from>
      <xdr:col>71</xdr:col>
      <xdr:colOff>138816</xdr:colOff>
      <xdr:row>34</xdr:row>
      <xdr:rowOff>121226</xdr:rowOff>
    </xdr:from>
    <xdr:to>
      <xdr:col>75</xdr:col>
      <xdr:colOff>17319</xdr:colOff>
      <xdr:row>39</xdr:row>
      <xdr:rowOff>58138</xdr:rowOff>
    </xdr:to>
    <xdr:grpSp>
      <xdr:nvGrpSpPr>
        <xdr:cNvPr id="21" name="Agrupar 20">
          <a:extLst>
            <a:ext uri="{FF2B5EF4-FFF2-40B4-BE49-F238E27FC236}">
              <a16:creationId xmlns:a16="http://schemas.microsoft.com/office/drawing/2014/main" id="{C98B433B-6BBB-494D-81A6-43281CD5038C}"/>
            </a:ext>
          </a:extLst>
        </xdr:cNvPr>
        <xdr:cNvGrpSpPr/>
      </xdr:nvGrpSpPr>
      <xdr:grpSpPr>
        <a:xfrm>
          <a:off x="17426691" y="6788726"/>
          <a:ext cx="831003" cy="889412"/>
          <a:chOff x="12811649" y="9197227"/>
          <a:chExt cx="568176" cy="738388"/>
        </a:xfrm>
      </xdr:grpSpPr>
      <xdr:sp macro="" textlink="">
        <xdr:nvSpPr>
          <xdr:cNvPr id="22" name="Triângulo isósceles 21">
            <a:extLst>
              <a:ext uri="{FF2B5EF4-FFF2-40B4-BE49-F238E27FC236}">
                <a16:creationId xmlns:a16="http://schemas.microsoft.com/office/drawing/2014/main" id="{268FBBD0-7017-4E9F-A5E8-437FAC2AB12C}"/>
              </a:ext>
            </a:extLst>
          </xdr:cNvPr>
          <xdr:cNvSpPr/>
        </xdr:nvSpPr>
        <xdr:spPr>
          <a:xfrm rot="10800000">
            <a:off x="12816328" y="9197227"/>
            <a:ext cx="563497" cy="738388"/>
          </a:xfrm>
          <a:prstGeom prst="triangle">
            <a:avLst/>
          </a:pr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3" name="Text Box 67">
            <a:extLst>
              <a:ext uri="{FF2B5EF4-FFF2-40B4-BE49-F238E27FC236}">
                <a16:creationId xmlns:a16="http://schemas.microsoft.com/office/drawing/2014/main" id="{47298569-EA4D-4DC8-841D-5F31F43123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11649" y="9241650"/>
            <a:ext cx="561773" cy="408215"/>
          </a:xfrm>
          <a:prstGeom prst="rect">
            <a:avLst/>
          </a:prstGeom>
          <a:noFill/>
          <a:ln w="9525" algn="ctr">
            <a:solidFill>
              <a:schemeClr val="bg1"/>
            </a:solidFill>
            <a:miter lim="800000"/>
            <a:headEnd/>
            <a:tailEnd/>
          </a:ln>
          <a:effectLst/>
        </xdr:spPr>
        <xdr:txBody>
          <a:bodyPr vertOverflow="clip" wrap="square" lIns="36576" tIns="32004" rIns="36576" bIns="0" anchor="t" upright="1"/>
          <a:lstStyle/>
          <a:p>
            <a:pPr algn="ctr" rtl="1">
              <a:defRPr sz="1000"/>
            </a:pPr>
            <a:r>
              <a:rPr lang="pt-BR" sz="16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CX-01</a:t>
            </a:r>
            <a:endParaRPr lang="pt-BR" sz="2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73</xdr:col>
      <xdr:colOff>170259</xdr:colOff>
      <xdr:row>42</xdr:row>
      <xdr:rowOff>58511</xdr:rowOff>
    </xdr:from>
    <xdr:to>
      <xdr:col>78</xdr:col>
      <xdr:colOff>69272</xdr:colOff>
      <xdr:row>42</xdr:row>
      <xdr:rowOff>58511</xdr:rowOff>
    </xdr:to>
    <xdr:sp macro="" textlink="">
      <xdr:nvSpPr>
        <xdr:cNvPr id="24" name="Line 53">
          <a:extLst>
            <a:ext uri="{FF2B5EF4-FFF2-40B4-BE49-F238E27FC236}">
              <a16:creationId xmlns:a16="http://schemas.microsoft.com/office/drawing/2014/main" id="{496CC26B-E2B5-42E1-AFA8-81B215ACA5C5}"/>
            </a:ext>
          </a:extLst>
        </xdr:cNvPr>
        <xdr:cNvSpPr>
          <a:spLocks noChangeShapeType="1"/>
        </xdr:cNvSpPr>
      </xdr:nvSpPr>
      <xdr:spPr bwMode="auto">
        <a:xfrm flipH="1">
          <a:off x="17239059" y="7897586"/>
          <a:ext cx="1042013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126735</xdr:colOff>
      <xdr:row>47</xdr:row>
      <xdr:rowOff>343511</xdr:rowOff>
    </xdr:from>
    <xdr:to>
      <xdr:col>79</xdr:col>
      <xdr:colOff>79167</xdr:colOff>
      <xdr:row>50</xdr:row>
      <xdr:rowOff>51213</xdr:rowOff>
    </xdr:to>
    <xdr:sp macro="" textlink="">
      <xdr:nvSpPr>
        <xdr:cNvPr id="25" name="Text Box 67">
          <a:extLst>
            <a:ext uri="{FF2B5EF4-FFF2-40B4-BE49-F238E27FC236}">
              <a16:creationId xmlns:a16="http://schemas.microsoft.com/office/drawing/2014/main" id="{DEFF7CE8-C2D3-44B2-9196-B5E9BCBD82E0}"/>
            </a:ext>
          </a:extLst>
        </xdr:cNvPr>
        <xdr:cNvSpPr txBox="1">
          <a:spLocks noChangeArrowheads="1"/>
        </xdr:cNvSpPr>
      </xdr:nvSpPr>
      <xdr:spPr bwMode="auto">
        <a:xfrm>
          <a:off x="17881335" y="9258911"/>
          <a:ext cx="638232" cy="86022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CO</a:t>
          </a:r>
        </a:p>
      </xdr:txBody>
    </xdr:sp>
    <xdr:clientData/>
  </xdr:twoCellAnchor>
  <xdr:twoCellAnchor>
    <xdr:from>
      <xdr:col>20</xdr:col>
      <xdr:colOff>26290</xdr:colOff>
      <xdr:row>93</xdr:row>
      <xdr:rowOff>127466</xdr:rowOff>
    </xdr:from>
    <xdr:to>
      <xdr:col>22</xdr:col>
      <xdr:colOff>190869</xdr:colOff>
      <xdr:row>100</xdr:row>
      <xdr:rowOff>64634</xdr:rowOff>
    </xdr:to>
    <xdr:sp macro="" textlink="">
      <xdr:nvSpPr>
        <xdr:cNvPr id="26" name="Text Box 67">
          <a:extLst>
            <a:ext uri="{FF2B5EF4-FFF2-40B4-BE49-F238E27FC236}">
              <a16:creationId xmlns:a16="http://schemas.microsoft.com/office/drawing/2014/main" id="{AB7A0E92-7133-4C32-A59A-F5E40500260B}"/>
            </a:ext>
          </a:extLst>
        </xdr:cNvPr>
        <xdr:cNvSpPr txBox="1">
          <a:spLocks noChangeArrowheads="1"/>
        </xdr:cNvSpPr>
      </xdr:nvSpPr>
      <xdr:spPr bwMode="auto">
        <a:xfrm>
          <a:off x="4979290" y="16358066"/>
          <a:ext cx="621779" cy="93729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CO</a:t>
          </a:r>
        </a:p>
      </xdr:txBody>
    </xdr:sp>
    <xdr:clientData/>
  </xdr:twoCellAnchor>
  <xdr:twoCellAnchor>
    <xdr:from>
      <xdr:col>70</xdr:col>
      <xdr:colOff>133187</xdr:colOff>
      <xdr:row>93</xdr:row>
      <xdr:rowOff>135083</xdr:rowOff>
    </xdr:from>
    <xdr:to>
      <xdr:col>74</xdr:col>
      <xdr:colOff>43295</xdr:colOff>
      <xdr:row>101</xdr:row>
      <xdr:rowOff>30308</xdr:rowOff>
    </xdr:to>
    <xdr:grpSp>
      <xdr:nvGrpSpPr>
        <xdr:cNvPr id="27" name="Agrupar 26">
          <a:extLst>
            <a:ext uri="{FF2B5EF4-FFF2-40B4-BE49-F238E27FC236}">
              <a16:creationId xmlns:a16="http://schemas.microsoft.com/office/drawing/2014/main" id="{FFAD6817-BCB6-4568-A00B-18FA23A56126}"/>
            </a:ext>
          </a:extLst>
        </xdr:cNvPr>
        <xdr:cNvGrpSpPr/>
      </xdr:nvGrpSpPr>
      <xdr:grpSpPr>
        <a:xfrm>
          <a:off x="17182937" y="16756208"/>
          <a:ext cx="862608" cy="1085850"/>
          <a:chOff x="12811649" y="9197227"/>
          <a:chExt cx="568176" cy="738388"/>
        </a:xfrm>
      </xdr:grpSpPr>
      <xdr:sp macro="" textlink="">
        <xdr:nvSpPr>
          <xdr:cNvPr id="28" name="Triângulo isósceles 27">
            <a:extLst>
              <a:ext uri="{FF2B5EF4-FFF2-40B4-BE49-F238E27FC236}">
                <a16:creationId xmlns:a16="http://schemas.microsoft.com/office/drawing/2014/main" id="{D9819296-B5A0-471D-801A-F9EC27223D6E}"/>
              </a:ext>
            </a:extLst>
          </xdr:cNvPr>
          <xdr:cNvSpPr/>
        </xdr:nvSpPr>
        <xdr:spPr>
          <a:xfrm rot="10800000">
            <a:off x="12816328" y="9197227"/>
            <a:ext cx="563497" cy="738388"/>
          </a:xfrm>
          <a:prstGeom prst="triangle">
            <a:avLst/>
          </a:pr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9" name="Text Box 67">
            <a:extLst>
              <a:ext uri="{FF2B5EF4-FFF2-40B4-BE49-F238E27FC236}">
                <a16:creationId xmlns:a16="http://schemas.microsoft.com/office/drawing/2014/main" id="{519958E4-13C9-4751-84E1-AFD0545C8F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11649" y="9241650"/>
            <a:ext cx="561773" cy="408215"/>
          </a:xfrm>
          <a:prstGeom prst="rect">
            <a:avLst/>
          </a:prstGeom>
          <a:noFill/>
          <a:ln w="9525" algn="ctr">
            <a:solidFill>
              <a:schemeClr val="bg1"/>
            </a:solidFill>
            <a:miter lim="800000"/>
            <a:headEnd/>
            <a:tailEnd/>
          </a:ln>
          <a:effectLst/>
        </xdr:spPr>
        <xdr:txBody>
          <a:bodyPr vertOverflow="clip" wrap="square" lIns="36576" tIns="32004" rIns="36576" bIns="0" anchor="t" upright="1"/>
          <a:lstStyle/>
          <a:p>
            <a:pPr algn="ctr" rtl="1">
              <a:defRPr sz="1000"/>
            </a:pPr>
            <a:r>
              <a:rPr lang="pt-BR" sz="2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CX</a:t>
            </a:r>
            <a:endParaRPr lang="pt-BR" sz="2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85</xdr:col>
      <xdr:colOff>200256</xdr:colOff>
      <xdr:row>93</xdr:row>
      <xdr:rowOff>78795</xdr:rowOff>
    </xdr:from>
    <xdr:to>
      <xdr:col>88</xdr:col>
      <xdr:colOff>150899</xdr:colOff>
      <xdr:row>101</xdr:row>
      <xdr:rowOff>71437</xdr:rowOff>
    </xdr:to>
    <xdr:sp macro="" textlink="">
      <xdr:nvSpPr>
        <xdr:cNvPr id="30" name="Rectangle 45" descr="Grade aberta">
          <a:extLst>
            <a:ext uri="{FF2B5EF4-FFF2-40B4-BE49-F238E27FC236}">
              <a16:creationId xmlns:a16="http://schemas.microsoft.com/office/drawing/2014/main" id="{7190556C-459C-44D2-8781-EE6173B85D39}"/>
            </a:ext>
          </a:extLst>
        </xdr:cNvPr>
        <xdr:cNvSpPr>
          <a:spLocks noChangeArrowheads="1"/>
        </xdr:cNvSpPr>
      </xdr:nvSpPr>
      <xdr:spPr bwMode="auto">
        <a:xfrm>
          <a:off x="20012256" y="16309395"/>
          <a:ext cx="636443" cy="1183267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97</xdr:col>
      <xdr:colOff>224268</xdr:colOff>
      <xdr:row>93</xdr:row>
      <xdr:rowOff>125557</xdr:rowOff>
    </xdr:from>
    <xdr:to>
      <xdr:col>101</xdr:col>
      <xdr:colOff>179677</xdr:colOff>
      <xdr:row>101</xdr:row>
      <xdr:rowOff>88755</xdr:rowOff>
    </xdr:to>
    <xdr:pic>
      <xdr:nvPicPr>
        <xdr:cNvPr id="31" name="Picture 48">
          <a:extLst>
            <a:ext uri="{FF2B5EF4-FFF2-40B4-BE49-F238E27FC236}">
              <a16:creationId xmlns:a16="http://schemas.microsoft.com/office/drawing/2014/main" id="{9AB0C912-EC34-4929-93DF-C88A2FE67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20000"/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79468" y="16356157"/>
          <a:ext cx="869809" cy="1153823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112</xdr:col>
      <xdr:colOff>48490</xdr:colOff>
      <xdr:row>28</xdr:row>
      <xdr:rowOff>131369</xdr:rowOff>
    </xdr:from>
    <xdr:to>
      <xdr:col>115</xdr:col>
      <xdr:colOff>65809</xdr:colOff>
      <xdr:row>35</xdr:row>
      <xdr:rowOff>83127</xdr:rowOff>
    </xdr:to>
    <xdr:sp macro="" textlink="">
      <xdr:nvSpPr>
        <xdr:cNvPr id="32" name="Oval 54">
          <a:extLst>
            <a:ext uri="{FF2B5EF4-FFF2-40B4-BE49-F238E27FC236}">
              <a16:creationId xmlns:a16="http://schemas.microsoft.com/office/drawing/2014/main" id="{A5A053FE-6218-4933-8CE9-E32FDA0FFFE0}"/>
            </a:ext>
          </a:extLst>
        </xdr:cNvPr>
        <xdr:cNvSpPr>
          <a:spLocks noChangeArrowheads="1"/>
        </xdr:cNvSpPr>
      </xdr:nvSpPr>
      <xdr:spPr bwMode="auto">
        <a:xfrm>
          <a:off x="26032690" y="5408219"/>
          <a:ext cx="703119" cy="1218583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113</xdr:col>
      <xdr:colOff>197806</xdr:colOff>
      <xdr:row>35</xdr:row>
      <xdr:rowOff>69273</xdr:rowOff>
    </xdr:from>
    <xdr:to>
      <xdr:col>114</xdr:col>
      <xdr:colOff>51953</xdr:colOff>
      <xdr:row>44</xdr:row>
      <xdr:rowOff>6943</xdr:rowOff>
    </xdr:to>
    <xdr:sp macro="" textlink="">
      <xdr:nvSpPr>
        <xdr:cNvPr id="33" name="Retângulo 32">
          <a:extLst>
            <a:ext uri="{FF2B5EF4-FFF2-40B4-BE49-F238E27FC236}">
              <a16:creationId xmlns:a16="http://schemas.microsoft.com/office/drawing/2014/main" id="{9D602046-DD1B-4601-B1F0-F25108FC52D1}"/>
            </a:ext>
          </a:extLst>
        </xdr:cNvPr>
        <xdr:cNvSpPr>
          <a:spLocks noChangeArrowheads="1"/>
        </xdr:cNvSpPr>
      </xdr:nvSpPr>
      <xdr:spPr bwMode="auto">
        <a:xfrm>
          <a:off x="26410606" y="6612948"/>
          <a:ext cx="82747" cy="1623595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115</xdr:col>
      <xdr:colOff>166660</xdr:colOff>
      <xdr:row>27</xdr:row>
      <xdr:rowOff>98408</xdr:rowOff>
    </xdr:from>
    <xdr:to>
      <xdr:col>132</xdr:col>
      <xdr:colOff>166687</xdr:colOff>
      <xdr:row>38</xdr:row>
      <xdr:rowOff>103910</xdr:rowOff>
    </xdr:to>
    <xdr:sp macro="" textlink="">
      <xdr:nvSpPr>
        <xdr:cNvPr id="34" name="CaixaDeTexto 33">
          <a:extLst>
            <a:ext uri="{FF2B5EF4-FFF2-40B4-BE49-F238E27FC236}">
              <a16:creationId xmlns:a16="http://schemas.microsoft.com/office/drawing/2014/main" id="{EF508B0B-72E2-42DE-B5BC-14201C10207A}"/>
            </a:ext>
          </a:extLst>
        </xdr:cNvPr>
        <xdr:cNvSpPr txBox="1"/>
      </xdr:nvSpPr>
      <xdr:spPr>
        <a:xfrm>
          <a:off x="26836660" y="5194283"/>
          <a:ext cx="3886227" cy="1996227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AREAL - BRASIL AREIA</a:t>
          </a:r>
        </a:p>
        <a:p>
          <a:r>
            <a:rPr lang="pt-BR" sz="1600" b="1"/>
            <a:t>MATERIAL: </a:t>
          </a:r>
          <a:r>
            <a:rPr lang="pt-BR" sz="1600" b="0"/>
            <a:t>AREIA</a:t>
          </a:r>
          <a:r>
            <a:rPr lang="pt-BR" sz="1600" b="1"/>
            <a:t>         </a:t>
          </a:r>
        </a:p>
        <a:p>
          <a:r>
            <a:rPr lang="pt-BR" sz="1600" b="1"/>
            <a:t>COORDENADAS: X=</a:t>
          </a:r>
          <a:r>
            <a:rPr lang="pt-B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8.038.693  Y= 491.331 </a:t>
          </a:r>
          <a:r>
            <a:rPr lang="pt-BR" sz="1600" b="1"/>
            <a:t>MUNICÍPIO: </a:t>
          </a:r>
          <a:r>
            <a:rPr lang="pt-BR" sz="1600" b="0"/>
            <a:t>RIO VERDE</a:t>
          </a:r>
        </a:p>
        <a:p>
          <a:r>
            <a:rPr lang="pt-BR" sz="1600" b="1"/>
            <a:t>DT: </a:t>
          </a:r>
          <a:r>
            <a:rPr lang="pt-BR" sz="1600" b="0"/>
            <a:t>21,00 km (EST. 304)                                           </a:t>
          </a:r>
          <a:r>
            <a:rPr lang="pt-BR" sz="1600" b="1"/>
            <a:t>PROPRIETÁRIO: </a:t>
          </a:r>
          <a:r>
            <a:rPr lang="pt-BR" sz="1600" b="0"/>
            <a:t>VINICIUS                </a:t>
          </a:r>
        </a:p>
        <a:p>
          <a:r>
            <a:rPr lang="pt-BR" sz="1600" b="1"/>
            <a:t>TEL.:(</a:t>
          </a:r>
          <a:r>
            <a:rPr lang="pt-BR" sz="1600" b="0"/>
            <a:t>64) 9931-0480</a:t>
          </a:r>
        </a:p>
      </xdr:txBody>
    </xdr:sp>
    <xdr:clientData/>
  </xdr:twoCellAnchor>
  <xdr:twoCellAnchor>
    <xdr:from>
      <xdr:col>114</xdr:col>
      <xdr:colOff>169916</xdr:colOff>
      <xdr:row>41</xdr:row>
      <xdr:rowOff>163045</xdr:rowOff>
    </xdr:from>
    <xdr:to>
      <xdr:col>118</xdr:col>
      <xdr:colOff>138546</xdr:colOff>
      <xdr:row>41</xdr:row>
      <xdr:rowOff>163045</xdr:rowOff>
    </xdr:to>
    <xdr:sp macro="" textlink="">
      <xdr:nvSpPr>
        <xdr:cNvPr id="35" name="Line 53">
          <a:extLst>
            <a:ext uri="{FF2B5EF4-FFF2-40B4-BE49-F238E27FC236}">
              <a16:creationId xmlns:a16="http://schemas.microsoft.com/office/drawing/2014/main" id="{4FB5929B-B9AB-405F-92CF-BBAECFCE4FBE}"/>
            </a:ext>
          </a:extLst>
        </xdr:cNvPr>
        <xdr:cNvSpPr>
          <a:spLocks noChangeShapeType="1"/>
        </xdr:cNvSpPr>
      </xdr:nvSpPr>
      <xdr:spPr bwMode="auto">
        <a:xfrm flipH="1" flipV="1">
          <a:off x="26611316" y="7821145"/>
          <a:ext cx="883030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 editAs="oneCell">
    <xdr:from>
      <xdr:col>15</xdr:col>
      <xdr:colOff>84427</xdr:colOff>
      <xdr:row>89</xdr:row>
      <xdr:rowOff>119062</xdr:rowOff>
    </xdr:from>
    <xdr:to>
      <xdr:col>20</xdr:col>
      <xdr:colOff>32472</xdr:colOff>
      <xdr:row>92</xdr:row>
      <xdr:rowOff>148363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75F933CA-87F1-4B7F-940F-29302F21C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4427" y="15740062"/>
          <a:ext cx="1091045" cy="457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103910</xdr:colOff>
      <xdr:row>32</xdr:row>
      <xdr:rowOff>86590</xdr:rowOff>
    </xdr:from>
    <xdr:to>
      <xdr:col>26</xdr:col>
      <xdr:colOff>140023</xdr:colOff>
      <xdr:row>36</xdr:row>
      <xdr:rowOff>69273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D10F2D0C-A9C8-4F4C-A996-20E232EE8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5510" y="6087340"/>
          <a:ext cx="1179113" cy="706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58339</xdr:colOff>
      <xdr:row>56</xdr:row>
      <xdr:rowOff>27214</xdr:rowOff>
    </xdr:from>
    <xdr:to>
      <xdr:col>26</xdr:col>
      <xdr:colOff>54428</xdr:colOff>
      <xdr:row>56</xdr:row>
      <xdr:rowOff>31424</xdr:rowOff>
    </xdr:to>
    <xdr:sp macro="" textlink="">
      <xdr:nvSpPr>
        <xdr:cNvPr id="38" name="Line 53">
          <a:extLst>
            <a:ext uri="{FF2B5EF4-FFF2-40B4-BE49-F238E27FC236}">
              <a16:creationId xmlns:a16="http://schemas.microsoft.com/office/drawing/2014/main" id="{9FC67EED-F169-47B6-A215-04F2AC742532}"/>
            </a:ext>
          </a:extLst>
        </xdr:cNvPr>
        <xdr:cNvSpPr>
          <a:spLocks noChangeShapeType="1"/>
        </xdr:cNvSpPr>
      </xdr:nvSpPr>
      <xdr:spPr bwMode="auto">
        <a:xfrm flipH="1">
          <a:off x="5011339" y="10876189"/>
          <a:ext cx="1367689" cy="421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8906</xdr:colOff>
      <xdr:row>56</xdr:row>
      <xdr:rowOff>27213</xdr:rowOff>
    </xdr:from>
    <xdr:to>
      <xdr:col>25</xdr:col>
      <xdr:colOff>188272</xdr:colOff>
      <xdr:row>59</xdr:row>
      <xdr:rowOff>56513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E886B18A-DF9D-4D65-8A16-676070AFB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0506" y="10876188"/>
          <a:ext cx="1093766" cy="45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54429</xdr:colOff>
      <xdr:row>51</xdr:row>
      <xdr:rowOff>54429</xdr:rowOff>
    </xdr:from>
    <xdr:to>
      <xdr:col>29</xdr:col>
      <xdr:colOff>217716</xdr:colOff>
      <xdr:row>59</xdr:row>
      <xdr:rowOff>1</xdr:rowOff>
    </xdr:to>
    <xdr:pic>
      <xdr:nvPicPr>
        <xdr:cNvPr id="40" name="Gráfico 39" descr="Silo">
          <a:extLst>
            <a:ext uri="{FF2B5EF4-FFF2-40B4-BE49-F238E27FC236}">
              <a16:creationId xmlns:a16="http://schemas.microsoft.com/office/drawing/2014/main" id="{8200EA51-E41E-40EB-893D-DCAAD1B6A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150429" y="10227129"/>
          <a:ext cx="1077687" cy="1050472"/>
        </a:xfrm>
        <a:prstGeom prst="rect">
          <a:avLst/>
        </a:prstGeom>
      </xdr:spPr>
    </xdr:pic>
    <xdr:clientData/>
  </xdr:twoCellAnchor>
  <xdr:twoCellAnchor>
    <xdr:from>
      <xdr:col>29</xdr:col>
      <xdr:colOff>171856</xdr:colOff>
      <xdr:row>48</xdr:row>
      <xdr:rowOff>465798</xdr:rowOff>
    </xdr:from>
    <xdr:to>
      <xdr:col>47</xdr:col>
      <xdr:colOff>16328</xdr:colOff>
      <xdr:row>59</xdr:row>
      <xdr:rowOff>4946</xdr:rowOff>
    </xdr:to>
    <xdr:sp macro="" textlink="">
      <xdr:nvSpPr>
        <xdr:cNvPr id="41" name="CaixaDeTexto 40">
          <a:extLst>
            <a:ext uri="{FF2B5EF4-FFF2-40B4-BE49-F238E27FC236}">
              <a16:creationId xmlns:a16="http://schemas.microsoft.com/office/drawing/2014/main" id="{B4ECF49E-BCAC-4FD9-A964-433B15009CDB}"/>
            </a:ext>
          </a:extLst>
        </xdr:cNvPr>
        <xdr:cNvSpPr txBox="1"/>
      </xdr:nvSpPr>
      <xdr:spPr>
        <a:xfrm>
          <a:off x="7182256" y="9838398"/>
          <a:ext cx="3959272" cy="1444148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INTERCEMENTE CEZARINA</a:t>
          </a:r>
        </a:p>
        <a:p>
          <a:r>
            <a:rPr lang="pt-BR" sz="1600" b="1"/>
            <a:t>MATERIAL: </a:t>
          </a:r>
          <a:r>
            <a:rPr lang="pt-BR" sz="1600" b="0"/>
            <a:t>CIMENTO       </a:t>
          </a:r>
        </a:p>
        <a:p>
          <a:r>
            <a:rPr lang="pt-BR" sz="1600" b="1"/>
            <a:t>COORDENADAS: X=</a:t>
          </a:r>
          <a:r>
            <a:rPr lang="pt-BR" sz="1600" b="0"/>
            <a:t>8.119.069  Y= 630.152 </a:t>
          </a:r>
          <a:r>
            <a:rPr lang="pt-BR" sz="1600" b="1"/>
            <a:t>MUNICÍPIO: </a:t>
          </a:r>
          <a:r>
            <a:rPr lang="pt-BR" sz="1600" b="0"/>
            <a:t>CEZARINA</a:t>
          </a:r>
        </a:p>
        <a:p>
          <a:r>
            <a:rPr lang="pt-BR" sz="1600" b="1"/>
            <a:t>DT: </a:t>
          </a:r>
          <a:r>
            <a:rPr lang="pt-BR" sz="1600" b="0"/>
            <a:t>164 km (EST. 00) </a:t>
          </a:r>
        </a:p>
      </xdr:txBody>
    </xdr:sp>
    <xdr:clientData/>
  </xdr:twoCellAnchor>
  <xdr:twoCellAnchor editAs="oneCell">
    <xdr:from>
      <xdr:col>20</xdr:col>
      <xdr:colOff>229341</xdr:colOff>
      <xdr:row>78</xdr:row>
      <xdr:rowOff>114980</xdr:rowOff>
    </xdr:from>
    <xdr:to>
      <xdr:col>25</xdr:col>
      <xdr:colOff>177386</xdr:colOff>
      <xdr:row>82</xdr:row>
      <xdr:rowOff>1405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7A171AD3-D773-40D1-8E99-6E15950DA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2341" y="14164355"/>
          <a:ext cx="1091045" cy="45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103910</xdr:colOff>
      <xdr:row>67</xdr:row>
      <xdr:rowOff>123392</xdr:rowOff>
    </xdr:from>
    <xdr:to>
      <xdr:col>20</xdr:col>
      <xdr:colOff>40822</xdr:colOff>
      <xdr:row>67</xdr:row>
      <xdr:rowOff>125865</xdr:rowOff>
    </xdr:to>
    <xdr:sp macro="" textlink="">
      <xdr:nvSpPr>
        <xdr:cNvPr id="43" name="Line 53">
          <a:extLst>
            <a:ext uri="{FF2B5EF4-FFF2-40B4-BE49-F238E27FC236}">
              <a16:creationId xmlns:a16="http://schemas.microsoft.com/office/drawing/2014/main" id="{D83E5E9B-96D1-478E-B11D-8505C73E59D6}"/>
            </a:ext>
          </a:extLst>
        </xdr:cNvPr>
        <xdr:cNvSpPr>
          <a:spLocks noChangeShapeType="1"/>
        </xdr:cNvSpPr>
      </xdr:nvSpPr>
      <xdr:spPr bwMode="auto">
        <a:xfrm>
          <a:off x="3685310" y="12601142"/>
          <a:ext cx="1308512" cy="2473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126495</xdr:colOff>
      <xdr:row>68</xdr:row>
      <xdr:rowOff>217</xdr:rowOff>
    </xdr:from>
    <xdr:to>
      <xdr:col>18</xdr:col>
      <xdr:colOff>37274</xdr:colOff>
      <xdr:row>80</xdr:row>
      <xdr:rowOff>54922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44" name="Modelo 3D 43" descr="Complexo de Fábrica">
              <a:extLst>
                <a:ext uri="{FF2B5EF4-FFF2-40B4-BE49-F238E27FC236}">
                  <a16:creationId xmlns:a16="http://schemas.microsoft.com/office/drawing/2014/main" id="{4AF156D0-CCA1-414D-86DE-0CF33C8476B1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7">
                <am3d:spPr>
                  <a:xfrm>
                    <a:off x="0" y="0"/>
                    <a:ext cx="2425379" cy="1769205"/>
                  </a:xfrm>
                  <a:prstGeom prst="rect">
                    <a:avLst/>
                  </a:prstGeom>
                </am3d:spPr>
                <am3d:camera>
                  <am3d:pos x="0" y="0" z="63442997"/>
                  <am3d:up dx="0" dy="36000000" dz="0"/>
                  <am3d:lookAt x="0" y="0" z="0"/>
                  <am3d:perspective fov="2700000"/>
                </am3d:camera>
                <am3d:trans>
                  <am3d:meterPerModelUnit n="53397" d="1000000"/>
                  <am3d:preTrans dx="0" dy="-10139772" dz="-1914"/>
                  <am3d:scale>
                    <am3d:sx n="1000000" d="1000000"/>
                    <am3d:sy n="1000000" d="1000000"/>
                    <am3d:sz n="1000000" d="1000000"/>
                  </am3d:scale>
                  <am3d:rot ax="624971" ay="1115334" az="201222"/>
                  <am3d:postTrans dx="0" dy="0" dz="0"/>
                </am3d:trans>
                <am3d:raster rName="Office3DRenderer" rVer="16.0.8326">
                  <am3d:blip r:embed="rId8"/>
                </am3d:raster>
                <am3d:objViewport viewportSz="2950097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44" name="Modelo 3D 43" descr="Complexo de Fábrica">
              <a:extLst>
                <a:ext uri="{FF2B5EF4-FFF2-40B4-BE49-F238E27FC236}">
                  <a16:creationId xmlns:a16="http://schemas.microsoft.com/office/drawing/2014/main" id="{4AF156D0-CCA1-414D-86DE-0CF33C8476B1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174370" y="13001842"/>
              <a:ext cx="2530154" cy="176920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38507</xdr:colOff>
      <xdr:row>76</xdr:row>
      <xdr:rowOff>101127</xdr:rowOff>
    </xdr:from>
    <xdr:to>
      <xdr:col>19</xdr:col>
      <xdr:colOff>163285</xdr:colOff>
      <xdr:row>86</xdr:row>
      <xdr:rowOff>13607</xdr:rowOff>
    </xdr:to>
    <xdr:sp macro="" textlink="">
      <xdr:nvSpPr>
        <xdr:cNvPr id="45" name="CaixaDeTexto 44">
          <a:extLst>
            <a:ext uri="{FF2B5EF4-FFF2-40B4-BE49-F238E27FC236}">
              <a16:creationId xmlns:a16="http://schemas.microsoft.com/office/drawing/2014/main" id="{B79B80CB-38AD-45D8-8624-B449D5D72506}"/>
            </a:ext>
          </a:extLst>
        </xdr:cNvPr>
        <xdr:cNvSpPr txBox="1"/>
      </xdr:nvSpPr>
      <xdr:spPr>
        <a:xfrm>
          <a:off x="648107" y="13864752"/>
          <a:ext cx="4239578" cy="1341230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ARCELORMITTAL</a:t>
          </a:r>
        </a:p>
        <a:p>
          <a:r>
            <a:rPr lang="pt-BR" sz="1600" b="1"/>
            <a:t>MATERIAL: </a:t>
          </a:r>
          <a:r>
            <a:rPr lang="pt-BR" sz="1600" b="0"/>
            <a:t>AÇO      </a:t>
          </a:r>
        </a:p>
        <a:p>
          <a:r>
            <a:rPr lang="pt-BR" sz="1600" b="1"/>
            <a:t>COORDENADAS: X=</a:t>
          </a:r>
          <a:r>
            <a:rPr lang="pt-BR" sz="1600" b="0"/>
            <a:t>8.153.452  Y= 678.721 </a:t>
          </a:r>
          <a:r>
            <a:rPr lang="pt-BR" sz="1600" b="1"/>
            <a:t>MUNICÍPIO: </a:t>
          </a:r>
          <a:r>
            <a:rPr lang="pt-BR" sz="1600" b="0"/>
            <a:t>GOIÂNIA</a:t>
          </a:r>
        </a:p>
        <a:p>
          <a:r>
            <a:rPr lang="pt-BR" sz="1600" b="1"/>
            <a:t>DT: </a:t>
          </a:r>
          <a:r>
            <a:rPr lang="pt-BR" sz="1600" b="0"/>
            <a:t>227 km (EST. 00) </a:t>
          </a:r>
        </a:p>
      </xdr:txBody>
    </xdr:sp>
    <xdr:clientData/>
  </xdr:twoCellAnchor>
  <xdr:twoCellAnchor>
    <xdr:from>
      <xdr:col>34</xdr:col>
      <xdr:colOff>130748</xdr:colOff>
      <xdr:row>92</xdr:row>
      <xdr:rowOff>76882</xdr:rowOff>
    </xdr:from>
    <xdr:to>
      <xdr:col>42</xdr:col>
      <xdr:colOff>32065</xdr:colOff>
      <xdr:row>100</xdr:row>
      <xdr:rowOff>135266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46" name="Modelo 3D 45" descr="Complexo de Fábrica">
              <a:extLst>
                <a:ext uri="{FF2B5EF4-FFF2-40B4-BE49-F238E27FC236}">
                  <a16:creationId xmlns:a16="http://schemas.microsoft.com/office/drawing/2014/main" id="{033A1364-B247-4A34-8A99-8B32A7C0D433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7">
                <am3d:spPr>
                  <a:xfrm>
                    <a:off x="0" y="0"/>
                    <a:ext cx="1730117" cy="1239484"/>
                  </a:xfrm>
                  <a:prstGeom prst="rect">
                    <a:avLst/>
                  </a:prstGeom>
                </am3d:spPr>
                <am3d:camera>
                  <am3d:pos x="0" y="0" z="63442997"/>
                  <am3d:up dx="0" dy="36000000" dz="0"/>
                  <am3d:lookAt x="0" y="0" z="0"/>
                  <am3d:perspective fov="2700000"/>
                </am3d:camera>
                <am3d:trans>
                  <am3d:meterPerModelUnit n="53397" d="1000000"/>
                  <am3d:preTrans dx="0" dy="-10139772" dz="-1914"/>
                  <am3d:scale>
                    <am3d:sx n="1000000" d="1000000"/>
                    <am3d:sy n="1000000" d="1000000"/>
                    <am3d:sz n="1000000" d="1000000"/>
                  </am3d:scale>
                  <am3d:rot ax="340930" ay="-596948" az="-59089"/>
                  <am3d:postTrans dx="0" dy="0" dz="0"/>
                </am3d:trans>
                <am3d:raster rName="Office3DRenderer" rVer="16.0.8326">
                  <am3d:blip r:embed="rId9"/>
                </am3d:raster>
                <am3d:objViewport viewportSz="217361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46" name="Modelo 3D 45" descr="Complexo de Fábrica">
              <a:extLst>
                <a:ext uri="{FF2B5EF4-FFF2-40B4-BE49-F238E27FC236}">
                  <a16:creationId xmlns:a16="http://schemas.microsoft.com/office/drawing/2014/main" id="{033A1364-B247-4A34-8A99-8B32A7C0D433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8607998" y="16507507"/>
              <a:ext cx="1806317" cy="1249009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53</xdr:col>
      <xdr:colOff>171945</xdr:colOff>
      <xdr:row>93</xdr:row>
      <xdr:rowOff>166997</xdr:rowOff>
    </xdr:from>
    <xdr:to>
      <xdr:col>58</xdr:col>
      <xdr:colOff>110096</xdr:colOff>
      <xdr:row>101</xdr:row>
      <xdr:rowOff>8660</xdr:rowOff>
    </xdr:to>
    <xdr:pic>
      <xdr:nvPicPr>
        <xdr:cNvPr id="47" name="Gráfico 46" descr="Silo">
          <a:extLst>
            <a:ext uri="{FF2B5EF4-FFF2-40B4-BE49-F238E27FC236}">
              <a16:creationId xmlns:a16="http://schemas.microsoft.com/office/drawing/2014/main" id="{6E7076A6-B6FC-491F-9A4A-7235CC450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668745" y="16397597"/>
          <a:ext cx="1081151" cy="1032288"/>
        </a:xfrm>
        <a:prstGeom prst="rect">
          <a:avLst/>
        </a:prstGeom>
      </xdr:spPr>
    </xdr:pic>
    <xdr:clientData/>
  </xdr:twoCellAnchor>
  <xdr:twoCellAnchor>
    <xdr:from>
      <xdr:col>15</xdr:col>
      <xdr:colOff>147179</xdr:colOff>
      <xdr:row>38</xdr:row>
      <xdr:rowOff>30983</xdr:rowOff>
    </xdr:from>
    <xdr:to>
      <xdr:col>22</xdr:col>
      <xdr:colOff>15271</xdr:colOff>
      <xdr:row>47</xdr:row>
      <xdr:rowOff>442615</xdr:rowOff>
    </xdr:to>
    <xdr:sp macro="" textlink="">
      <xdr:nvSpPr>
        <xdr:cNvPr id="48" name="Forma Livre: Forma 47">
          <a:extLst>
            <a:ext uri="{FF2B5EF4-FFF2-40B4-BE49-F238E27FC236}">
              <a16:creationId xmlns:a16="http://schemas.microsoft.com/office/drawing/2014/main" id="{757526FC-40D8-4557-A6B2-885FFE69B111}"/>
            </a:ext>
          </a:extLst>
        </xdr:cNvPr>
        <xdr:cNvSpPr/>
      </xdr:nvSpPr>
      <xdr:spPr>
        <a:xfrm rot="5111932">
          <a:off x="3571109" y="7503653"/>
          <a:ext cx="2240432" cy="1468292"/>
        </a:xfrm>
        <a:custGeom>
          <a:avLst/>
          <a:gdLst>
            <a:gd name="connsiteX0" fmla="*/ 1541444 w 1680025"/>
            <a:gd name="connsiteY0" fmla="*/ 744682 h 1426728"/>
            <a:gd name="connsiteX1" fmla="*/ 1541444 w 1680025"/>
            <a:gd name="connsiteY1" fmla="*/ 744682 h 1426728"/>
            <a:gd name="connsiteX2" fmla="*/ 1472171 w 1680025"/>
            <a:gd name="connsiteY2" fmla="*/ 588819 h 1426728"/>
            <a:gd name="connsiteX3" fmla="*/ 1437535 w 1680025"/>
            <a:gd name="connsiteY3" fmla="*/ 519546 h 1426728"/>
            <a:gd name="connsiteX4" fmla="*/ 1420216 w 1680025"/>
            <a:gd name="connsiteY4" fmla="*/ 432955 h 1426728"/>
            <a:gd name="connsiteX5" fmla="*/ 1316307 w 1680025"/>
            <a:gd name="connsiteY5" fmla="*/ 311728 h 1426728"/>
            <a:gd name="connsiteX6" fmla="*/ 1264353 w 1680025"/>
            <a:gd name="connsiteY6" fmla="*/ 277091 h 1426728"/>
            <a:gd name="connsiteX7" fmla="*/ 1108489 w 1680025"/>
            <a:gd name="connsiteY7" fmla="*/ 225137 h 1426728"/>
            <a:gd name="connsiteX8" fmla="*/ 1056535 w 1680025"/>
            <a:gd name="connsiteY8" fmla="*/ 190500 h 1426728"/>
            <a:gd name="connsiteX9" fmla="*/ 1004580 w 1680025"/>
            <a:gd name="connsiteY9" fmla="*/ 173182 h 1426728"/>
            <a:gd name="connsiteX10" fmla="*/ 935307 w 1680025"/>
            <a:gd name="connsiteY10" fmla="*/ 103910 h 1426728"/>
            <a:gd name="connsiteX11" fmla="*/ 866035 w 1680025"/>
            <a:gd name="connsiteY11" fmla="*/ 51955 h 1426728"/>
            <a:gd name="connsiteX12" fmla="*/ 831398 w 1680025"/>
            <a:gd name="connsiteY12" fmla="*/ 17319 h 1426728"/>
            <a:gd name="connsiteX13" fmla="*/ 779444 w 1680025"/>
            <a:gd name="connsiteY13" fmla="*/ 0 h 1426728"/>
            <a:gd name="connsiteX14" fmla="*/ 658216 w 1680025"/>
            <a:gd name="connsiteY14" fmla="*/ 34637 h 1426728"/>
            <a:gd name="connsiteX15" fmla="*/ 433080 w 1680025"/>
            <a:gd name="connsiteY15" fmla="*/ 86591 h 1426728"/>
            <a:gd name="connsiteX16" fmla="*/ 433080 w 1680025"/>
            <a:gd name="connsiteY16" fmla="*/ 242455 h 1426728"/>
            <a:gd name="connsiteX17" fmla="*/ 329171 w 1680025"/>
            <a:gd name="connsiteY17" fmla="*/ 294410 h 1426728"/>
            <a:gd name="connsiteX18" fmla="*/ 242580 w 1680025"/>
            <a:gd name="connsiteY18" fmla="*/ 346364 h 1426728"/>
            <a:gd name="connsiteX19" fmla="*/ 190626 w 1680025"/>
            <a:gd name="connsiteY19" fmla="*/ 432955 h 1426728"/>
            <a:gd name="connsiteX20" fmla="*/ 155989 w 1680025"/>
            <a:gd name="connsiteY20" fmla="*/ 554182 h 1426728"/>
            <a:gd name="connsiteX21" fmla="*/ 104035 w 1680025"/>
            <a:gd name="connsiteY21" fmla="*/ 571500 h 1426728"/>
            <a:gd name="connsiteX22" fmla="*/ 17444 w 1680025"/>
            <a:gd name="connsiteY22" fmla="*/ 606137 h 1426728"/>
            <a:gd name="connsiteX23" fmla="*/ 126 w 1680025"/>
            <a:gd name="connsiteY23" fmla="*/ 692728 h 1426728"/>
            <a:gd name="connsiteX24" fmla="*/ 34762 w 1680025"/>
            <a:gd name="connsiteY24" fmla="*/ 935182 h 1426728"/>
            <a:gd name="connsiteX25" fmla="*/ 190626 w 1680025"/>
            <a:gd name="connsiteY25" fmla="*/ 1073728 h 1426728"/>
            <a:gd name="connsiteX26" fmla="*/ 277216 w 1680025"/>
            <a:gd name="connsiteY26" fmla="*/ 1091046 h 1426728"/>
            <a:gd name="connsiteX27" fmla="*/ 346489 w 1680025"/>
            <a:gd name="connsiteY27" fmla="*/ 1108364 h 1426728"/>
            <a:gd name="connsiteX28" fmla="*/ 381126 w 1680025"/>
            <a:gd name="connsiteY28" fmla="*/ 1281546 h 1426728"/>
            <a:gd name="connsiteX29" fmla="*/ 433080 w 1680025"/>
            <a:gd name="connsiteY29" fmla="*/ 1316182 h 1426728"/>
            <a:gd name="connsiteX30" fmla="*/ 623580 w 1680025"/>
            <a:gd name="connsiteY30" fmla="*/ 1333500 h 1426728"/>
            <a:gd name="connsiteX31" fmla="*/ 675535 w 1680025"/>
            <a:gd name="connsiteY31" fmla="*/ 1350819 h 1426728"/>
            <a:gd name="connsiteX32" fmla="*/ 762126 w 1680025"/>
            <a:gd name="connsiteY32" fmla="*/ 1385455 h 1426728"/>
            <a:gd name="connsiteX33" fmla="*/ 866035 w 1680025"/>
            <a:gd name="connsiteY33" fmla="*/ 1402773 h 1426728"/>
            <a:gd name="connsiteX34" fmla="*/ 1576080 w 1680025"/>
            <a:gd name="connsiteY34" fmla="*/ 1281546 h 1426728"/>
            <a:gd name="connsiteX35" fmla="*/ 1610716 w 1680025"/>
            <a:gd name="connsiteY35" fmla="*/ 1177637 h 1426728"/>
            <a:gd name="connsiteX36" fmla="*/ 1662671 w 1680025"/>
            <a:gd name="connsiteY36" fmla="*/ 1073728 h 1426728"/>
            <a:gd name="connsiteX37" fmla="*/ 1662671 w 1680025"/>
            <a:gd name="connsiteY37" fmla="*/ 848591 h 1426728"/>
            <a:gd name="connsiteX38" fmla="*/ 1610716 w 1680025"/>
            <a:gd name="connsiteY38" fmla="*/ 813955 h 1426728"/>
            <a:gd name="connsiteX39" fmla="*/ 1576080 w 1680025"/>
            <a:gd name="connsiteY39" fmla="*/ 762000 h 1426728"/>
            <a:gd name="connsiteX40" fmla="*/ 1541444 w 1680025"/>
            <a:gd name="connsiteY40" fmla="*/ 744682 h 14267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1680025" h="1426728">
              <a:moveTo>
                <a:pt x="1541444" y="744682"/>
              </a:moveTo>
              <a:lnTo>
                <a:pt x="1541444" y="744682"/>
              </a:lnTo>
              <a:cubicBezTo>
                <a:pt x="1518353" y="692728"/>
                <a:pt x="1495996" y="640441"/>
                <a:pt x="1472171" y="588819"/>
              </a:cubicBezTo>
              <a:cubicBezTo>
                <a:pt x="1461352" y="565379"/>
                <a:pt x="1445699" y="544038"/>
                <a:pt x="1437535" y="519546"/>
              </a:cubicBezTo>
              <a:cubicBezTo>
                <a:pt x="1428227" y="491621"/>
                <a:pt x="1430551" y="460516"/>
                <a:pt x="1420216" y="432955"/>
              </a:cubicBezTo>
              <a:cubicBezTo>
                <a:pt x="1405701" y="394248"/>
                <a:pt x="1340311" y="332303"/>
                <a:pt x="1316307" y="311728"/>
              </a:cubicBezTo>
              <a:cubicBezTo>
                <a:pt x="1300504" y="298183"/>
                <a:pt x="1283566" y="285096"/>
                <a:pt x="1264353" y="277091"/>
              </a:cubicBezTo>
              <a:cubicBezTo>
                <a:pt x="1213801" y="256028"/>
                <a:pt x="1108489" y="225137"/>
                <a:pt x="1108489" y="225137"/>
              </a:cubicBezTo>
              <a:cubicBezTo>
                <a:pt x="1091171" y="213591"/>
                <a:pt x="1075151" y="199808"/>
                <a:pt x="1056535" y="190500"/>
              </a:cubicBezTo>
              <a:cubicBezTo>
                <a:pt x="1040207" y="182336"/>
                <a:pt x="1019435" y="183792"/>
                <a:pt x="1004580" y="173182"/>
              </a:cubicBezTo>
              <a:cubicBezTo>
                <a:pt x="978007" y="154202"/>
                <a:pt x="959883" y="125414"/>
                <a:pt x="935307" y="103910"/>
              </a:cubicBezTo>
              <a:cubicBezTo>
                <a:pt x="913585" y="84903"/>
                <a:pt x="888209" y="70433"/>
                <a:pt x="866035" y="51955"/>
              </a:cubicBezTo>
              <a:cubicBezTo>
                <a:pt x="853492" y="41502"/>
                <a:pt x="845399" y="25720"/>
                <a:pt x="831398" y="17319"/>
              </a:cubicBezTo>
              <a:cubicBezTo>
                <a:pt x="815745" y="7927"/>
                <a:pt x="796762" y="5773"/>
                <a:pt x="779444" y="0"/>
              </a:cubicBezTo>
              <a:cubicBezTo>
                <a:pt x="739035" y="11546"/>
                <a:pt x="699426" y="26395"/>
                <a:pt x="658216" y="34637"/>
              </a:cubicBezTo>
              <a:cubicBezTo>
                <a:pt x="425298" y="81221"/>
                <a:pt x="605316" y="17698"/>
                <a:pt x="433080" y="86591"/>
              </a:cubicBezTo>
              <a:cubicBezTo>
                <a:pt x="444204" y="131086"/>
                <a:pt x="471555" y="198483"/>
                <a:pt x="433080" y="242455"/>
              </a:cubicBezTo>
              <a:cubicBezTo>
                <a:pt x="407580" y="271598"/>
                <a:pt x="363167" y="275867"/>
                <a:pt x="329171" y="294410"/>
              </a:cubicBezTo>
              <a:cubicBezTo>
                <a:pt x="299621" y="310528"/>
                <a:pt x="271444" y="329046"/>
                <a:pt x="242580" y="346364"/>
              </a:cubicBezTo>
              <a:cubicBezTo>
                <a:pt x="225262" y="375228"/>
                <a:pt x="204297" y="402196"/>
                <a:pt x="190626" y="432955"/>
              </a:cubicBezTo>
              <a:cubicBezTo>
                <a:pt x="190268" y="433761"/>
                <a:pt x="164430" y="545741"/>
                <a:pt x="155989" y="554182"/>
              </a:cubicBezTo>
              <a:cubicBezTo>
                <a:pt x="143081" y="567090"/>
                <a:pt x="121127" y="565090"/>
                <a:pt x="104035" y="571500"/>
              </a:cubicBezTo>
              <a:cubicBezTo>
                <a:pt x="74927" y="582416"/>
                <a:pt x="46308" y="594591"/>
                <a:pt x="17444" y="606137"/>
              </a:cubicBezTo>
              <a:cubicBezTo>
                <a:pt x="11671" y="635001"/>
                <a:pt x="-1421" y="663333"/>
                <a:pt x="126" y="692728"/>
              </a:cubicBezTo>
              <a:cubicBezTo>
                <a:pt x="4417" y="774254"/>
                <a:pt x="4442" y="859383"/>
                <a:pt x="34762" y="935182"/>
              </a:cubicBezTo>
              <a:cubicBezTo>
                <a:pt x="39705" y="947540"/>
                <a:pt x="146222" y="1057076"/>
                <a:pt x="190626" y="1073728"/>
              </a:cubicBezTo>
              <a:cubicBezTo>
                <a:pt x="218187" y="1084063"/>
                <a:pt x="248482" y="1084661"/>
                <a:pt x="277216" y="1091046"/>
              </a:cubicBezTo>
              <a:cubicBezTo>
                <a:pt x="300451" y="1096209"/>
                <a:pt x="323398" y="1102591"/>
                <a:pt x="346489" y="1108364"/>
              </a:cubicBezTo>
              <a:cubicBezTo>
                <a:pt x="358035" y="1166091"/>
                <a:pt x="358483" y="1227204"/>
                <a:pt x="381126" y="1281546"/>
              </a:cubicBezTo>
              <a:cubicBezTo>
                <a:pt x="389131" y="1300759"/>
                <a:pt x="412728" y="1311821"/>
                <a:pt x="433080" y="1316182"/>
              </a:cubicBezTo>
              <a:cubicBezTo>
                <a:pt x="495427" y="1329542"/>
                <a:pt x="560080" y="1327727"/>
                <a:pt x="623580" y="1333500"/>
              </a:cubicBezTo>
              <a:cubicBezTo>
                <a:pt x="640898" y="1339273"/>
                <a:pt x="658442" y="1344409"/>
                <a:pt x="675535" y="1350819"/>
              </a:cubicBezTo>
              <a:cubicBezTo>
                <a:pt x="704643" y="1361734"/>
                <a:pt x="732134" y="1377276"/>
                <a:pt x="762126" y="1385455"/>
              </a:cubicBezTo>
              <a:cubicBezTo>
                <a:pt x="796003" y="1394694"/>
                <a:pt x="831399" y="1397000"/>
                <a:pt x="866035" y="1402773"/>
              </a:cubicBezTo>
              <a:cubicBezTo>
                <a:pt x="953861" y="1393765"/>
                <a:pt x="1471848" y="1516070"/>
                <a:pt x="1576080" y="1281546"/>
              </a:cubicBezTo>
              <a:cubicBezTo>
                <a:pt x="1590908" y="1248183"/>
                <a:pt x="1596674" y="1211338"/>
                <a:pt x="1610716" y="1177637"/>
              </a:cubicBezTo>
              <a:cubicBezTo>
                <a:pt x="1625610" y="1141891"/>
                <a:pt x="1645353" y="1108364"/>
                <a:pt x="1662671" y="1073728"/>
              </a:cubicBezTo>
              <a:cubicBezTo>
                <a:pt x="1669702" y="1017481"/>
                <a:pt x="1697932" y="910297"/>
                <a:pt x="1662671" y="848591"/>
              </a:cubicBezTo>
              <a:cubicBezTo>
                <a:pt x="1652344" y="830519"/>
                <a:pt x="1628034" y="825500"/>
                <a:pt x="1610716" y="813955"/>
              </a:cubicBezTo>
              <a:cubicBezTo>
                <a:pt x="1599171" y="796637"/>
                <a:pt x="1592333" y="775002"/>
                <a:pt x="1576080" y="762000"/>
              </a:cubicBezTo>
              <a:cubicBezTo>
                <a:pt x="1561825" y="750596"/>
                <a:pt x="1547217" y="747568"/>
                <a:pt x="1541444" y="744682"/>
              </a:cubicBezTo>
              <a:close/>
            </a:path>
          </a:pathLst>
        </a:custGeom>
        <a:solidFill>
          <a:schemeClr val="accent4"/>
        </a:solidFill>
        <a:ln>
          <a:solidFill>
            <a:schemeClr val="accent4"/>
          </a:solidFill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21</xdr:col>
      <xdr:colOff>105639</xdr:colOff>
      <xdr:row>65</xdr:row>
      <xdr:rowOff>117081</xdr:rowOff>
    </xdr:from>
    <xdr:to>
      <xdr:col>24</xdr:col>
      <xdr:colOff>122958</xdr:colOff>
      <xdr:row>74</xdr:row>
      <xdr:rowOff>116464</xdr:rowOff>
    </xdr:to>
    <xdr:sp macro="" textlink="">
      <xdr:nvSpPr>
        <xdr:cNvPr id="49" name="Oval 54">
          <a:extLst>
            <a:ext uri="{FF2B5EF4-FFF2-40B4-BE49-F238E27FC236}">
              <a16:creationId xmlns:a16="http://schemas.microsoft.com/office/drawing/2014/main" id="{E3B76E30-F7C2-43F7-9B5F-ED9D200E65EC}"/>
            </a:ext>
          </a:extLst>
        </xdr:cNvPr>
        <xdr:cNvSpPr>
          <a:spLocks noChangeArrowheads="1"/>
        </xdr:cNvSpPr>
      </xdr:nvSpPr>
      <xdr:spPr bwMode="auto">
        <a:xfrm>
          <a:off x="5287239" y="12309081"/>
          <a:ext cx="703119" cy="1285258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25</xdr:col>
      <xdr:colOff>95249</xdr:colOff>
      <xdr:row>68</xdr:row>
      <xdr:rowOff>17089</xdr:rowOff>
    </xdr:from>
    <xdr:ext cx="2428875" cy="1094146"/>
    <xdr:sp macro="" textlink="">
      <xdr:nvSpPr>
        <xdr:cNvPr id="50" name="CaixaDeTexto 49">
          <a:extLst>
            <a:ext uri="{FF2B5EF4-FFF2-40B4-BE49-F238E27FC236}">
              <a16:creationId xmlns:a16="http://schemas.microsoft.com/office/drawing/2014/main" id="{28CDCEAD-0E95-43DF-9E17-5EDE2227BE78}"/>
            </a:ext>
          </a:extLst>
        </xdr:cNvPr>
        <xdr:cNvSpPr txBox="1"/>
      </xdr:nvSpPr>
      <xdr:spPr>
        <a:xfrm rot="10800000" flipV="1">
          <a:off x="6191249" y="12637714"/>
          <a:ext cx="2428875" cy="1094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600" b="1"/>
            <a:t>AREAL KAPIVARI MATERIAL : AREIA MUNICÍPIO : INDIARA   DT: 127,50 KM</a:t>
          </a:r>
        </a:p>
      </xdr:txBody>
    </xdr:sp>
    <xdr:clientData/>
  </xdr:oneCellAnchor>
  <xdr:twoCellAnchor>
    <xdr:from>
      <xdr:col>15</xdr:col>
      <xdr:colOff>217341</xdr:colOff>
      <xdr:row>17</xdr:row>
      <xdr:rowOff>68590</xdr:rowOff>
    </xdr:from>
    <xdr:to>
      <xdr:col>18</xdr:col>
      <xdr:colOff>234660</xdr:colOff>
      <xdr:row>23</xdr:row>
      <xdr:rowOff>102610</xdr:rowOff>
    </xdr:to>
    <xdr:sp macro="" textlink="">
      <xdr:nvSpPr>
        <xdr:cNvPr id="51" name="Oval 54">
          <a:extLst>
            <a:ext uri="{FF2B5EF4-FFF2-40B4-BE49-F238E27FC236}">
              <a16:creationId xmlns:a16="http://schemas.microsoft.com/office/drawing/2014/main" id="{A12487A5-31D3-4D58-869E-17B3F8B63644}"/>
            </a:ext>
          </a:extLst>
        </xdr:cNvPr>
        <xdr:cNvSpPr>
          <a:spLocks noChangeArrowheads="1"/>
        </xdr:cNvSpPr>
      </xdr:nvSpPr>
      <xdr:spPr bwMode="auto">
        <a:xfrm>
          <a:off x="4027341" y="3354715"/>
          <a:ext cx="693594" cy="1119870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435873</xdr:colOff>
      <xdr:row>44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AA29609-FAFE-4B78-A34C-DEFA148471A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32385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44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1E58808-5350-4419-87A2-4C69CACED0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32385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90</xdr:row>
      <xdr:rowOff>63448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CDD40EE4-A447-4CC5-BB8E-C5CB5EE8D18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132269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90</xdr:row>
      <xdr:rowOff>65850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69A1A18F-3A6E-4F09-8AC4-0A5CB8CB86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132294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141</xdr:row>
      <xdr:rowOff>63448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29CA637F-4F29-499C-B1B2-A73AE468BE0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240092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141</xdr:row>
      <xdr:rowOff>65850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B2B63DB5-7812-48A4-BBAD-69F98611CD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24011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192</xdr:row>
      <xdr:rowOff>63448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8BD51417-9801-4321-8CD8-5094BF72E71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347915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192</xdr:row>
      <xdr:rowOff>65850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E6576E4-E361-4A2A-9197-AC35E94C36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347940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243</xdr:row>
      <xdr:rowOff>63448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A53F6D9E-C4EA-49A5-AE7C-9E20ABC8DF1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455738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243</xdr:row>
      <xdr:rowOff>65850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75894DC-00B5-475C-A0C3-A9A685F0CA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455763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294</xdr:row>
      <xdr:rowOff>63448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9BFE5C1D-2193-4E82-A535-19474BCAA3A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563561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294</xdr:row>
      <xdr:rowOff>65850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290DCEBB-E8AF-4670-8CEA-4EF350AE5D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563586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435873</xdr:colOff>
      <xdr:row>345</xdr:row>
      <xdr:rowOff>63448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A365674-35FA-469F-A332-96C31E59863E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6348" y="67138498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23</xdr:col>
      <xdr:colOff>366044</xdr:colOff>
      <xdr:row>345</xdr:row>
      <xdr:rowOff>65850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30154F6-9282-4377-9413-A6652B56E3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024519" y="671409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435873</xdr:colOff>
      <xdr:row>39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1180C100-5D83-4162-A402-8AA563839F5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21812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39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3EA4C212-2845-4094-A2EB-A15B0622F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21812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86</xdr:row>
      <xdr:rowOff>63448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3608FB9-9881-4B04-A703-7F4D5B27D33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122649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86</xdr:row>
      <xdr:rowOff>65850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D25A892-D5AB-4D9F-A6A8-E405808FC1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122673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137</xdr:row>
      <xdr:rowOff>63448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1C94EFF-E725-4DD1-BC2D-35223C5A702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230472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137</xdr:row>
      <xdr:rowOff>65850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94963860-59B6-4029-924E-B89F777F72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23049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188</xdr:row>
      <xdr:rowOff>63448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46E2C21-2FEA-4814-AA69-FC93DD4C899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338295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188</xdr:row>
      <xdr:rowOff>65850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12C357F-A475-4BB9-8E1C-B25B3C69A0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338319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239</xdr:row>
      <xdr:rowOff>63448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40432CE-536D-47D5-9AA6-3B15CFBC253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446118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239</xdr:row>
      <xdr:rowOff>65850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86DE35C-155F-4E7D-B12A-C7BD64A2B9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446142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290</xdr:row>
      <xdr:rowOff>63448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C13BECD1-2A4D-474F-B372-8B4A6C10B5E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553941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290</xdr:row>
      <xdr:rowOff>65850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529E45E-9890-4FBD-8399-4C3149B989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553965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341</xdr:row>
      <xdr:rowOff>63448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DD5B228-C0EE-48CB-A40C-A9352CF0C01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661764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341</xdr:row>
      <xdr:rowOff>65850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6D2EC54-1611-49EC-8EF4-35A90B7227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661788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579119</xdr:colOff>
      <xdr:row>1</xdr:row>
      <xdr:rowOff>95251</xdr:rowOff>
    </xdr:from>
    <xdr:to>
      <xdr:col>13</xdr:col>
      <xdr:colOff>22859</xdr:colOff>
      <xdr:row>13</xdr:row>
      <xdr:rowOff>209551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99E8165-7D0B-402B-8DCD-DB887341D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270511</xdr:colOff>
      <xdr:row>17</xdr:row>
      <xdr:rowOff>41909</xdr:rowOff>
    </xdr:from>
    <xdr:to>
      <xdr:col>31</xdr:col>
      <xdr:colOff>574439</xdr:colOff>
      <xdr:row>91</xdr:row>
      <xdr:rowOff>16802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4B812B4-7842-4B30-92BF-04B295649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58536" y="3048000"/>
          <a:ext cx="3428128" cy="8970302"/>
        </a:xfrm>
        <a:prstGeom prst="rect">
          <a:avLst/>
        </a:prstGeom>
      </xdr:spPr>
    </xdr:pic>
    <xdr:clientData/>
  </xdr:twoCellAnchor>
  <xdr:twoCellAnchor editAs="oneCell">
    <xdr:from>
      <xdr:col>33</xdr:col>
      <xdr:colOff>285750</xdr:colOff>
      <xdr:row>17</xdr:row>
      <xdr:rowOff>74296</xdr:rowOff>
    </xdr:from>
    <xdr:to>
      <xdr:col>37</xdr:col>
      <xdr:colOff>541027</xdr:colOff>
      <xdr:row>64</xdr:row>
      <xdr:rowOff>177164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B41D6BD-CB96-449B-AEC4-E0AFA02FE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60075" y="3048000"/>
          <a:ext cx="3379477" cy="39871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2</xdr:row>
      <xdr:rowOff>85725</xdr:rowOff>
    </xdr:from>
    <xdr:to>
      <xdr:col>0</xdr:col>
      <xdr:colOff>825500</xdr:colOff>
      <xdr:row>2</xdr:row>
      <xdr:rowOff>692150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F6D408-329D-4C19-BA66-926081B7CF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000125"/>
          <a:ext cx="609600" cy="6096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219075</xdr:colOff>
      <xdr:row>11</xdr:row>
      <xdr:rowOff>171450</xdr:rowOff>
    </xdr:from>
    <xdr:to>
      <xdr:col>0</xdr:col>
      <xdr:colOff>825500</xdr:colOff>
      <xdr:row>11</xdr:row>
      <xdr:rowOff>619125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472BDE5-F063-4263-AB00-6DFBDB881B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8286750"/>
          <a:ext cx="609600" cy="4445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219075</xdr:colOff>
      <xdr:row>12</xdr:row>
      <xdr:rowOff>171450</xdr:rowOff>
    </xdr:from>
    <xdr:to>
      <xdr:col>0</xdr:col>
      <xdr:colOff>825500</xdr:colOff>
      <xdr:row>12</xdr:row>
      <xdr:rowOff>619125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3FF6629-798A-49FF-BF36-515D8D18F8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9086850"/>
          <a:ext cx="609600" cy="444500"/>
        </a:xfrm>
        <a:prstGeom prst="rect">
          <a:avLst/>
        </a:prstGeom>
      </xdr:spPr>
    </xdr:pic>
    <xdr:clientData fLocksWithSheet="0"/>
  </xdr:twoCellAnchor>
  <xdr:twoCellAnchor>
    <xdr:from>
      <xdr:col>0</xdr:col>
      <xdr:colOff>215900</xdr:colOff>
      <xdr:row>10</xdr:row>
      <xdr:rowOff>165100</xdr:rowOff>
    </xdr:from>
    <xdr:to>
      <xdr:col>0</xdr:col>
      <xdr:colOff>825500</xdr:colOff>
      <xdr:row>10</xdr:row>
      <xdr:rowOff>609600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95045C6-B9F8-4DA2-A72A-88D45ABEA5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" y="7480300"/>
          <a:ext cx="609600" cy="4445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190501</xdr:colOff>
      <xdr:row>3</xdr:row>
      <xdr:rowOff>47626</xdr:rowOff>
    </xdr:from>
    <xdr:to>
      <xdr:col>0</xdr:col>
      <xdr:colOff>950595</xdr:colOff>
      <xdr:row>3</xdr:row>
      <xdr:rowOff>768350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19F051E2-C4B0-4891-86E1-7AF812467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501" y="1762126"/>
          <a:ext cx="760094" cy="7238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104776</xdr:rowOff>
    </xdr:from>
    <xdr:to>
      <xdr:col>0</xdr:col>
      <xdr:colOff>1149350</xdr:colOff>
      <xdr:row>4</xdr:row>
      <xdr:rowOff>703280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BA86D0FB-1D0D-49C8-87C0-70D8BEACD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619376"/>
          <a:ext cx="1152525" cy="5985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47625</xdr:rowOff>
    </xdr:from>
    <xdr:to>
      <xdr:col>0</xdr:col>
      <xdr:colOff>1143000</xdr:colOff>
      <xdr:row>5</xdr:row>
      <xdr:rowOff>713921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55F3B29E-12BB-4F1B-BC12-6ABC0FCBA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3362325"/>
          <a:ext cx="1143000" cy="6694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104776</xdr:rowOff>
    </xdr:from>
    <xdr:to>
      <xdr:col>0</xdr:col>
      <xdr:colOff>1134016</xdr:colOff>
      <xdr:row>8</xdr:row>
      <xdr:rowOff>615951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A5F04865-0D16-46A3-A0E3-B6417C477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5819776"/>
          <a:ext cx="1130841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342901</xdr:colOff>
      <xdr:row>7</xdr:row>
      <xdr:rowOff>76200</xdr:rowOff>
    </xdr:from>
    <xdr:to>
      <xdr:col>0</xdr:col>
      <xdr:colOff>762001</xdr:colOff>
      <xdr:row>7</xdr:row>
      <xdr:rowOff>769144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F7724E59-AB7E-4B8C-AFF9-A04E1B5F2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42901" y="4991100"/>
          <a:ext cx="419100" cy="689769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6</xdr:row>
      <xdr:rowOff>64783</xdr:rowOff>
    </xdr:from>
    <xdr:to>
      <xdr:col>0</xdr:col>
      <xdr:colOff>990600</xdr:colOff>
      <xdr:row>6</xdr:row>
      <xdr:rowOff>774222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D7DE3BB-CCD7-4C64-A655-5FCFB0AA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1950" y="4179583"/>
          <a:ext cx="628650" cy="71261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9</xdr:row>
      <xdr:rowOff>19050</xdr:rowOff>
    </xdr:from>
    <xdr:to>
      <xdr:col>0</xdr:col>
      <xdr:colOff>798730</xdr:colOff>
      <xdr:row>9</xdr:row>
      <xdr:rowOff>787400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43A7B90F-FB31-441E-B0FF-DAA4CA124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10800000">
          <a:off x="238126" y="6534150"/>
          <a:ext cx="560604" cy="7715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24</xdr:row>
      <xdr:rowOff>0</xdr:rowOff>
    </xdr:from>
    <xdr:to>
      <xdr:col>0</xdr:col>
      <xdr:colOff>800100</xdr:colOff>
      <xdr:row>24</xdr:row>
      <xdr:rowOff>466090</xdr:rowOff>
    </xdr:to>
    <xdr:pic>
      <xdr:nvPicPr>
        <xdr:cNvPr id="13" name="Imagem 14">
          <a:extLst>
            <a:ext uri="{FF2B5EF4-FFF2-40B4-BE49-F238E27FC236}">
              <a16:creationId xmlns:a16="http://schemas.microsoft.com/office/drawing/2014/main" id="{E70B9D17-D54A-4752-8D7B-FB91F1A6C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543050"/>
          <a:ext cx="76200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24</xdr:row>
      <xdr:rowOff>30480</xdr:rowOff>
    </xdr:from>
    <xdr:to>
      <xdr:col>0</xdr:col>
      <xdr:colOff>800100</xdr:colOff>
      <xdr:row>24</xdr:row>
      <xdr:rowOff>488315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EE2FBBCC-6A06-4123-AB2C-0BA07E553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056130"/>
          <a:ext cx="762000" cy="4610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parecida\PM_APA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gd\mgd\Paulo\Trabalho\Bid\Informa&#231;&#245;es%20Gerais\Or&#231;amento%20e%20Anexos%20Pendendetes\Paulo\Trabalho\Bid\Editais\Edital%20de%20Obras\Trabalho\Bid\Planilhas\HDM%20-%20VDM\VDM%20-%20Projetos%20Contratad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Meus%20documentos\Obras%20da%20Construtora%20Visor\Or&#231;amentos\Ds32\Meus%20documentos\Outros\Meus%20documentos%20Visor\Prefeituras\Pref%20Mun%20Campo%20Belo\Museu%20Campo%20Belo\Planilha%20Museu%20Revis&#227;o%20Mai-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WINDOWS.000\TEMP\Pato%20PRRTN%20-%20BR476.xls?D4AF2EC6" TargetMode="External"/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correncia\LICITA&#199;&#195;O\DNIT\BR-101%20-%20SC%20EDITAL%200003-02\LOTE%2028%20apresenta&#231;&#227;o\cd\Lote%2028%20SC\gelson\XLS\CUSTOS\DNER398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CB\Projetos\ANALISES%20E%20RELATORIOS\ANO%202014\RESUMO\uninovaca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LICITA&#199;&#195;O\DNIT\BR-101%20-%20SC%20EDITAL%200003-02\LOTE%2028%20apresenta&#231;&#227;o\cd\Lote%2028%20SC\gelson\XLS\CUSTOS\DNER398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0798\TECNICO\TEACOMP\LOTE06\P09\P10\RELAT6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8%20-%20BR-365%20(160,2%20ao%20277,9)-LOTE%202\Projeto%20Final%20(20-07-09)_SINAL.%20e%20MB\Projeto%20CREMA%20BR-365%20(160,2%20ao%20277,9)%2025.05.09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EGESA\Br-482mg\Volume2\CANAA.XLS?A19F7B15" TargetMode="External"/><Relationship Id="rId1" Type="http://schemas.openxmlformats.org/officeDocument/2006/relationships/externalLinkPath" Target="file:///\\A19F7B15\CANA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EGESA\Br-482mg\Volume2\CANA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FV-DNER.XLS?84F8A9B6" TargetMode="External"/><Relationship Id="rId1" Type="http://schemas.openxmlformats.org/officeDocument/2006/relationships/externalLinkPath" Target="file:///\\84F8A9B6\FV-DNER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0798\TECNICO\TEACOMP\LOTE06\P09\P10\RELAT610.XLS?ED71592A" TargetMode="External"/><Relationship Id="rId1" Type="http://schemas.openxmlformats.org/officeDocument/2006/relationships/externalLinkPath" Target="file:///\\ED71592A\RELAT61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FV-DNE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ATO\PATO%20NOVO%20-%202017\Comparativo%20Areia%20Brit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%20UP%20GERAL%20LEO%20ALVIM/Arquivos%20de%20Leonardo/TESCON/1200157%202008%20JATAI%20%20BR%20364/MEDI&#199;&#213;ES%20DNIT%20157/PATO%20-%20BR%20-%20425%20aditiv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4\TO\Arquivos%20recebidos%20Victor%2009_11_09\BR153lote1\QUANTITATIVOS%20SH%20BR153_TO%20LOTE%2001%20OK.xlsm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NIT%202018\SICRO\MUDAN&#199;A%20FIT%20-%20DESONERADO%20II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zequias.deoliveira/Downloads/UTMConversion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WINDOWS\TEMP\WINDOWS\TEMP\WINDOWS\TEMP\Calc.Medi&#231;&#227;o%20BR-010%20PD-15-01011-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413_20_PFE%20SERRA%20VERDE\413_20%20PROJ\0_Banco%20de%20Dados\00-Padr&#245;es_Serra%20Verde\2_Padr&#245;es%20A4-A3\MI-P-000-EL-RT-7001I-R00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Meus%20Documentos\FV-DNE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NIT\Medi&#231;&#227;o%20Delta\INVEN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Megesa60%20com%20memoria%20da%20pont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AcFisico\Documents%20and%20Settings\usuario\Meus%20documentos\SE&#199;&#195;O_TECNICA\MEDI&#199;&#213;ES_REALIZADAS\60&#170;_MED\Megesa60&#17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Meus%20Documentos\Planaltina\Boletim%20de%20Medi&#231;&#227;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MA%20ENGENHARIA%20MA\Desktop\TCM%20Engenharia%20e%20Empreendimentos\BR-459%20Obra%20260\Medi&#231;&#245;es%20DNIT\Medi&#231;&#227;o%2015.2004%20-%20Fevereiro2004\TCM\BR-459%20Obra%20260\Medi&#231;&#245;es%20TCM\Medi&#231;&#227;o%2009.2003%20-%20Agosto2003\MEDI&#199;&#195;O%2008.xls?3F7D1741" TargetMode="External"/><Relationship Id="rId1" Type="http://schemas.openxmlformats.org/officeDocument/2006/relationships/externalLinkPath" Target="file:///\\3F7D1741\MEDI&#199;&#195;O%20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NER\Aguas%20lindas\Dados%20Gerais\FV-DNE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Meus%20Documentos\FV-DNER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FV-DNE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Meus%20Do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V-DNE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Transporte\BR-265\Edi&#231;&#227;o%20Final\3-PROJETO%20DE%20TERRAPLENAGEM\FV-DNER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0798\TECNICO\TEACOMP\LOTE06\P09\P10\RELAT61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NER\Aguas%20lindas\Dados%20Gerais\FV-DNE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798\TECNICO\TEACOMP\LOTE06\P09\P10\RELAT61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0798\TECNICO\TEACOMP\LOTE06\P09\P10\RELAT6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0798\TECNICO\TEACOMP\LOTE06\P09\P10\RELAT61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0798\TE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iapo_server\c\0798\TECNICO\TEACOMP\LOTE06\P09\P10\RELAT6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0798\TECNICO\TEACOMP\LOTE06\P09\P10\RELAT61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798\TECNICO\TEACOMP\LOTE06\P09\P10\RELAT61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798\TECNICO\TEACOMP\LOTE06\P09\P10\RELAT61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obra%20202%20(br-265)\medi&#231;&#227;o\acumulad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PATO%202009%20MODIFICADO\RESID&#202;NCIA%20VALENDO%20EM%2012-02-09\obra%20202%20(br-265)\medi&#231;&#227;o\acumulado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Rog&#233;rio\Toronto\Licita&#231;&#245;es\Calha%20do%20Madeira\Interior\Compos.Sistema%20Vi&#225;rio\PavimManaus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Interior\Compos.Sistema%20Vi&#225;rio\PavimManaus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Projetos%20em%20andamento\Concess&#245;es\Rodoanel%202009\Dados\IRI\XLT\BaCkup%20PC\Modelos\QI%20Laser\XLT\Modelo%20ARTESP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Users\Cristiano%20Bredow\AppData\Local\Microsoft\Windows\Temporary%20Internet%20Files\Content.Outlook\OJTTNIYW\Monteadriano%20Conrado\180-09%20Edital%20541-09%20Lote%2007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Administrador\Meus%20documentos\Br-476%20-%20Tunas\MEDI&#199;&#213;ES\Planilha%20-%20Matriz\Documents%20and%20Settings\idineu\Configura&#231;&#245;es%20locais\Temporary%20Internet%20Files\OLKE5\WINDOWS.000\TEMP\Pato%20PRRTN%20-%20BR476.xls?D555EC65" TargetMode="External"/><Relationship Id="rId1" Type="http://schemas.openxmlformats.org/officeDocument/2006/relationships/externalLinkPath" Target="file:///\\D555EC65\Pato%20PRRTN%20-%20BR47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Meus%20Documentos\Macros\Cabral\macroGT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ROLE\CONTROLE2\Se&#231;&#227;o%20T&#233;cnica\DIVERS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Aparecida%20de%20Goi&#226;nia\Sedu-6600\Boletim%20de%20Medi&#231;&#227;o%20-%20Banc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CNICO\TEACOMP\LOTE06\P09\P10\RELAT61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TO%20BR%20158%2012_05_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04584E\TRANSPORTES%20E%20LIMPEZA%20DE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DER-SP\PLANILHA%20OFICIA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E.0303-ProjetosDesenvolvimento\0151-GOINFRA-PE25.2023-Catal&#227;o\07%20-%20Desenhos%20e%20Memoriais\04%20-%20Projeto%20de%20Drenagem\04.%20GO-320%20-%20Entr.BR-153%20-%20Goiatuba\02-V1\VOL.%20INTERSE&#199;&#195;O%20-%201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EGESA\Br-482mg\Volume1\CANAA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A%20CORRENTE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dados\PLANILHA\drgoor02_and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DNER\CONTRATO\PD029-96\BD029PAV\NO~CAMPO\TB-MB029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arjorie.viegas\Meus%20documentos\Pre&#231;os\Convers&#227;o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231;amentos\BR-354\Lote%2003%2063540%200262%20BR-354%20complemento\2009-10%20-%20Sicro%20Mar&#231;o%202009%20BDI%2027,84%25\04%2005%2013%2019%2020%20-%20Planilha%20Mar&#231;o%2009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ejamento%20do%20Lote%20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essoais\Orcamento\OR960887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r&#231;amentos\Orc%20381\Orc%20Trevo%20Takono\OR960887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Meus%20documentos\01%20-%20Pasta%20Uberl&#226;ndia\06%20-%20Integral%20Engenharia%20-%20Lote%203\03%20-%20Medi&#231;&#245;es%20Integral%20Engenharia\08&#170;%20Medi&#231;&#227;o%20Integral%20Engenharia%20Novembr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P%20Pavilion\Configura&#231;&#245;es%20locais\Temporary%20Internet%20Files\Content.Outlook\U6XTBBIJ\12%20-%20CUSTOS%20%20DEZ_2008.xls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&#250;rio\C\Geotec\Projetos\Contecnica\Anel%20Vi&#225;rio\Atualiza&#231;&#227;o\Composi&#231;&#227;o%20custo\Instala&#231;&#227;o%20e%20manuten&#231;&#227;o%20de%20canteiro%20e%20mobiliza&#231;&#227;o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EGESA\Br-482mg\Volume1\CANA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tguerra\Local%20Settings\Temporary%20Internet%20Files\Content.Outlook\IP9APU49\estudo%20de%20demanda_RB.xlsx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96\EXCEL\PATOs\BR153_99.XLS?541E531A" TargetMode="External"/><Relationship Id="rId1" Type="http://schemas.openxmlformats.org/officeDocument/2006/relationships/externalLinkPath" Target="file:///\\541E531A\BR153_99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96\EXCEL\PATOs\BR153_99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2\Elias\BR%20354\Planejamento\LOTE%2002\PO%20BR-354%20Arcos%20Lote%20II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eduardoiunes\Documents\Planejamento\Rodoviaria\O:\Documents\Planejamento\Planejamentos%25202014\217.01\MC-E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1040\Engenharia\DER-SP\DER_SP%20%20Dados%20de%20campo%20LVC%20e%20QI\lvc\LVC\Arquivos%20xls\LVC215O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_Empres%201%20Astc%20(rev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%20_%20Emp.%201%20Ast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Conserva%20BR-262%20-%20Anel%20Rodovi&#225;rio\Medi&#231;&#245;es\MEDI&#199;&#213;ES%20VISOR\13&#170;%20Med.%20Prov.%20Nov.08%20-%20T&#201;O-DNIT-VALEND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bras2008/Conc_2008/Dnit/Unit/Ja%20apresentado/109_08_12/Proposta/FV-DNER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7%20-%20BR-262%20(437,0%20a%20573,0)\PROJETO%20FINAL%20(22-07-09)SINAL%20e%20MB\Projeto%20FINAL\Projeto%20CREMA%20BR-262%20%20(437,6%20a%20573,0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Documents%20and%20Settings\jose.s.pinto\Desktop\DOCUMENTOS%20DA%20UL%2006-03\DIVERSOS\PATOS%20DIVERSOS-EMERGENCIAS\PATO%20%20BR-356%20(Ref.%20Mar.%202008)%20(20-06-2008)%20(1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Documents%20and%20Settings\jose.s.pinto\Desktop\DOCUMENTOS%20DA%20UL%2006-03\DIVERSOS\PATOS%20DIVERSOS-EMERGE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4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-9-6\Excel\PATOs\BR153_98.XLS?ABAFA961" TargetMode="External"/><Relationship Id="rId1" Type="http://schemas.openxmlformats.org/officeDocument/2006/relationships/externalLinkPath" Target="file:///\\ABAFA961\BR153_98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ba%20-%20arquivos\Patos%20-%20Ribeira\Planilha%20em%20Croqui%20Pedreira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-9-6\Excel\PATOs\BR153_98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esar.ferri\Desktop\PATO\PATO%20BR-476%20E%20BR-153%20Final%20V.1%20-%20alterado%20Elcio%2025.02.2016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urukawa\Infovias%202001\Ra\USU\RAS\VSI\TVA-98\cota&#231;&#227;o\Pre&#231;o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gostinho\Desktop\05%20-%20OBRA%20166.01%20DUPLICA&#199;&#195;O_2&#170;%20FASE\03Terraplenagem\Minha%20PL.-Dist.%20Materiais%20Rev.0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%20S%20T/EDITAIS%20EM%20ABERTO/DNIT%202010-386%20-%20Crema%202&#170;%20Etapa%20BR-364%20RO/Projetos/Projeto%20e%20Or&#231;amento/CD%20-%2001/04%20-%20Resumo,%20Planilha%20e%20Cronogramas/Planilha%20Or&#231;ament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s\0338%20-%20Renovias%20-%20Monitoramento\Engenharia\0224\Engenharia\Levantamentos%20Finais\Pro-08\Pro-08_SP348NORTEFAIXA345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TELECOM%20-%202002\I%20N%20T%20E%20L%20I%20G\5.%20RENOVA&#199;&#195;O%20DE%20CONTRATO\BDI-FLUXO\BDI%20-%20Fluxo%20REV%201%20(12meses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Or&#231;amentos\Orc%20381\Orc%20Trevo%20Takono\OR960887.XLS" TargetMode="External"/></Relationships>
</file>

<file path=xl/externalLinks/_rels/externalLink158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TEC004\Configura&#231;&#245;es%20locais\Temporary%20Internet%20Files\Content.Outlook\U20O7Y1U\DNIT\PATOS%202013\PATO%20BR-163%20(Contorno%20Oeste%20de%20Cascavel%20-%20Vicente%20)\PATO%20BR-163%20-%20CONTORNO%20OESTE%20DE%20CASCAVEL%20V2.xls?4C539943" TargetMode="External"/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Ricardo\Meus%20documentos\Manaus\BR%20319%202005\Planilha%20Br%20319%202005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CB\Aragua&#237;na\PLANEJAMENTO%202015\REPLAN%20DERTINS\Empresas\CCB\Custos\PLANEJAMENTOS\2015\N&#227;o%20Aprovadas\Composi&#231;&#245;es%20Adutora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LARANJEIRAS.xls" TargetMode="External"/></Relationships>
</file>

<file path=xl/externalLinks/_rels/externalLink16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NIT\MA\10%20PONTOS%20CRITICOS%20BR-010-MA%20ENVIADA%20A%20LUCIO%20EM%2002-08-11\RODOVIAS%20FEDERAIS%20SRMA\PATOS\BR-010\Emergencias%2015%20UNIT%202006\BR%20226.MA%20Lote%202\Ob158\Pato\WINDOWS\TEMP\WINDOWS\Desktop\Obras%20diversas\Leopoldina\Or&#231;amentos\Orc?B785BB3B" TargetMode="External"/><Relationship Id="rId1" Type="http://schemas.openxmlformats.org/officeDocument/2006/relationships/externalLinkPath" Target="file:///\\B785BB3B\Orc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85BB3B\Orc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mptnet\operacional\009-09%20PVA%20-%20DNIT\03%20Presta&#231;&#227;o%20de%20Servi&#231;os\03.05%20Arquivos%20CD%20Cliente\009-09%20PVA%20-%20697%20R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v.Gera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ZONA%20SUL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Meus%20documentos\BR-222%20Sobral\Altera&#231;&#227;o%20de%20projeto\6&#170;Alt.Projeto%20jan01-corre&#231;&#227;o%20I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loma\c\Meus%20Documentos\FV-DNER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linda\Planilha-cronograma-Fabrica%20Nova.xls" TargetMode="External"/></Relationships>
</file>

<file path=xl/externalLinks/_rels/externalLink17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100.131.182\Servidor\Projetos%20em%20andamento\DNIT%20Construtoras\DNIT%20PIR-IV%20Corredor%202007\SP%20-%208a%20UNIT\PIR%20IV%20BR-116\PASSO%20FUNDO%20COMPOSI&#199;&#213;ES\Documents%20and%20Settings\Pedro\Meus%20documentos\CPU%20Extra%20em%20excel%20de%20Br116.xls?A2AA3437" TargetMode="External"/><Relationship Id="rId1" Type="http://schemas.openxmlformats.org/officeDocument/2006/relationships/externalLinkPath" Target="file:///\\A2AA3437\CPU%20Extra%20em%20excel%20de%20Br116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03-PROJETOS\MCMV%20PARAISO%20DOS%20IPES%20-%20400%20LOTES%20-%20RODES%20ENGENHARIA\1-OR&#199;AMENTOS\PLANILHA%20OR&#199;AMENTARIA%20MCMV%20PARAISO%20_%20RODES%20ENG..xlsx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Pessoais\Orcamento\OR960887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3_Garimpinho\001_Planejamento_Garimpinho\Planejmento_2013_Insumos.xlsx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WINDOWS\Temporary%20Internet%20Files\Content.IE5\O1QRGHI7\Planiha%20Santa%20Luzia%20-%20atualizada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TCM%20Engenharia%20e%20Empreendimentos\BR-459%20Obra%20260\Medi&#231;&#245;es%20DNIT\Medi&#231;&#227;o%2015.2004%20-%20Fevereiro2004\TC" TargetMode="External"/></Relationships>
</file>

<file path=xl/externalLinks/_rels/externalLink18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Gustavo%20Deschamps\AppData\Local\Microsoft\Windows\Temporary%20Internet%20Files\Content.Outlook\E5LZ585M\Obras\Conserva&#231;&#227;o\Mafrense%20_%2012\EVTE%20MAFRENSE%2012%20-%20ABR%202011\UT%2012-08%20BR-158%20EVTE2%20.xlsx%20-canteiro%20e%20mobiliza&#231;&#227;o.xlsx?D9BA021B" TargetMode="External"/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PLANEJAMENTO\PL%202004\Amap&#225;\BR-156-AP%20SUL\PL%20BR-156%20AP%20SUL%20atual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c_03\ceng01\Meus%20documentos\EGESA\Br-482mg\Volume1\CANAA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EGESA\Br-482mg\Volume2\CANAA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renato\loctec\licita&#231;&#245;es\dermu\edital%2000204\proposta\lote%2009def\env03pre%2009\or&#231;am%200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EGESA\Br-482mg\Volume2\CANAA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icardo%20Mesquita\180105\Meus%20documentos\BR%20242\Vicente\GAUTAMA%20MENSAL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renato\loctec\licita&#231;&#245;es\dermu\edital%2000204\proposta\lote%2009def\env03pre%2009\or&#231;am%2009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1%20_Modelos%20e%20Documentos\Planilha%20para%20calculo%20de%20Reajustamento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TELLAR%20ENGENHARIA\6%20-%20XANXER&#202;%20DNIT\09%20-%20PRODU&#199;&#195;O\03%20-%20JULHO%2008\PRODU&#199;&#195;O%20JUNHO.xlsx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TO%20-%20BR%20-%20425%20aditivo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BRA%20139%20ORLANDO\ACOMPANH%20PRODU&#199;&#195;O%20DI&#193;RIA%20m&#234;s%20agosto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MA%20ENGENHARIA%20MA\Desktop\Meus%20documentos\Arquivos%20BR-459%20TCM%20EDEMILSON\Projeto%20Executivo%20BR-459%20COPAVEL\04-03-2004\Meus%20documentos\EGESA\Br-482mg\Volume2\CANAA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usuario\Desktop\OBRA%20139\PINT.%20LIGA&#199;&#195;O%20PARA%20DRENOS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.1%20-%20Pavimentacao%202005%20ORCELINO%20UNIP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tos\10023%20GO-320\Volume%201%20-%20Relat&#243;rio%20de%20Projeto%20e%20Documentos\Projeto%20de%20Pavimenta&#231;&#227;o%20(IS-211)\LOTE%20&#218;NICO%20-%20Quadro%20Demonstrativos%20de%20Pavimenta&#231;&#227;o%20ORCELINO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FV-DNER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PATO\PATOs%20TOLEDO%20BR-163-272-467-469\ARQUIVOS%20R96\EXCEL\PATOs\BR153_99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0798\TECNICO\TEACOMP\LOTE06\P09\P10\RELAT610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R_MS\projetopir060lote2\OR&#199;AMENTO_jan08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/EGS/PLANEJAMENTO/Meus%20documentos/FABRICA%20NOVA/PLAN.%20REVIS&#195;O%20I%20-%20JULHO%2003/REVIS&#195;O%20I%20PLANEJAMENTO%20FABRICA%20NOVA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Guia%20Lopes%20BR267/OR&#199;AMENTO%20E%20CRONOGRAMA%20GLL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Resumo_Cronograma_Maracaju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%20arlos%20%20Machado\My%20Documents\Disco%201\BR-262-MS(3)\Anexos%20PGQ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arolina/AppData/Local/Microsoft/Windows/Temporary%20Internet%20Files/Content.Outlook/H57RTGSA/Proposta%20oficial/Proposta_295-12-23(briga).xlsm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Documents%20and%20Settings\gas\Configura&#231;&#245;es%20locais\Temporary%20Internet%20Files\Content.Outlook\NY2PGIY1\Documents%20and%20Settings\emsa\Meus%20documentos\Medicao-Obra717\EMSA-5&#170;MEDI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R-364%20MT_2_Executivo_Definitivo_10_07_2002/Vol04_Or&#231;amento/Lote_08/Documents%20and%20Settings/bruno/Meus%20documentos/Servi&#231;os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lidia.martins\Meus%20documentos\L&#205;DIA%20COMPACTO\Meus%20Documentos%20Lidia\ALTERA&#199;&#213;ES%20DE%20PROJETO\Altera&#231;&#227;o%20Projeto%20CCL\CCL%202&#170;REVIS&#195;O\OR960887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/OR_GEPOR/1%20-%20Dup/GO210%20ENTR%20GO178%20RIO%20VERDE/R02%20REMANESCENTE%20JAN-26/Volume%202/3%20-%20PAVIMENTA&#199;&#195;O/MF%20E%20FAIXA%20(1).xlsx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/OR_GEPOR/1%20-%20Dup/GO210%20ENTR%20GO178%20RIO%20VERDE/R02%20REMANESCENTE%20JAN-26/Volume%202/4%20-%20DRENAGEM/PL%20RIO%20VERDE%20OAC-14_16%20NS%20Bueiros%20Tubulares%20R01.xlsx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Projetos\Araguatins\300%20-%20Arq%20Atuais\320%20-%20V3%20-%20Execu&#231;&#227;o\330.070%20-%20Drenagem\DN%20-%20Prg%20Bueiro%20Tubular%20FLAVIA_(MUDAR%20CARIMBO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DR84PCRF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17"/>
      <sheetName val="Plan18"/>
      <sheetName val="Plan19"/>
      <sheetName val="Plan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  <sheetName val="comp1"/>
      <sheetName val="Pontes"/>
      <sheetName val="PONTES LICITADAS"/>
      <sheetName val="COMPOS1"/>
      <sheetName val="PROJETO"/>
      <sheetName val="P A T O 99 B"/>
      <sheetName val="Q-01"/>
      <sheetName val="DER janeiro98"/>
      <sheetName val="052 01 Levantamento Genérico"/>
      <sheetName val="quadro de qtde DRENAGEM URBANA"/>
      <sheetName val="QuQuant"/>
      <sheetName val="RESUMO_AUT1"/>
      <sheetName val="Paulo de Carvalho"/>
      <sheetName val="Teor"/>
      <sheetName val="Equipamentos"/>
      <sheetName val="PRO-08"/>
      <sheetName val="2 - ORÇAMEMTO RPFO"/>
      <sheetName val="39 -quadro qtde DRENAGEM URBANA"/>
      <sheetName val="001 -RPFO SUPRIMR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ulo de Carvalho"/>
      <sheetName val="Paulo Pereira"/>
      <sheetName val="Dados de Tráfego e Acidentes"/>
      <sheetName val="Resumo Final"/>
      <sheetName val="DR 03-04"/>
      <sheetName val="Sintese"/>
      <sheetName val="Daniel"/>
      <sheetName val="Critério VDM"/>
      <sheetName val="quadro de qtde DRENAGEM URBANA"/>
      <sheetName val="comp1"/>
      <sheetName val="COMPOS1"/>
      <sheetName val="PRO-08"/>
      <sheetName val="QuQuant"/>
      <sheetName val="Calendári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A"/>
      <sheetName val="Pontes"/>
      <sheetName val="P A T O 99 B"/>
      <sheetName val="Consultoria"/>
      <sheetName val="PONTES LICITADAS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ágina 16"/>
      <sheetName val="SID_NI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dad"/>
      <sheetName val="PONTES LICITADAS"/>
      <sheetName val="Pontes"/>
      <sheetName val="PRO-08"/>
      <sheetName val="P A T O 99 B"/>
      <sheetName val="comp1"/>
      <sheetName val="Página 16"/>
      <sheetName val="Fresagem de Pista Ago-98"/>
      <sheetName val="SID_NI_5"/>
      <sheetName val="quadro de qtde DRENAGEM URBANA"/>
      <sheetName val="PLMUSE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MUSEU Rev Jul-00"/>
      <sheetName val="BDI"/>
      <sheetName val="PLMUSEU Rev Mai-00 (Med)"/>
      <sheetName val="QUANTMU"/>
      <sheetName val="PLMUSEU"/>
      <sheetName val="Cálculo"/>
      <sheetName val="PLMUSEU (3)"/>
      <sheetName val="Planilha Apresent"/>
      <sheetName val="PLMUSEU_Rev_Jul-00"/>
      <sheetName val="PLMUSEU_Rev_Mai-00_(Med)"/>
      <sheetName val="PLMUSEU_(3)"/>
      <sheetName val="Planilha_Apresent"/>
      <sheetName val="quadro de qtde DRENAGEM URBANA"/>
      <sheetName val="Pontes"/>
      <sheetName val="COMPOS1"/>
      <sheetName val="QuQuant"/>
      <sheetName val="DADOS"/>
      <sheetName val="2.2.5.CBUQ"/>
      <sheetName val="2.2.5.PMQ"/>
      <sheetName val="aux"/>
      <sheetName val="P A T O 99 B"/>
      <sheetName val="comp1"/>
      <sheetName val="SERVIÇOS"/>
      <sheetName val="MB"/>
      <sheetName val="COMPAC ATERRO 95 PROCTOR 251 GO"/>
      <sheetName val="Indices"/>
      <sheetName val="Teor"/>
      <sheetName val="Equipamentos"/>
      <sheetName val="PLANILHA"/>
      <sheetName val="PROJETO"/>
      <sheetName val="CROQUIS DE DIST."/>
      <sheetName val="Consultoria"/>
      <sheetName val="PONTES LICITADAS"/>
      <sheetName val="PRO-08"/>
      <sheetName val="LT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ONTES LICITADAS"/>
      <sheetName val="quadro de qtde DRENAGEM URBANA"/>
      <sheetName val="Pontes"/>
      <sheetName val="CROQUIS DE DIST."/>
      <sheetName val="COMPOS1"/>
      <sheetName val="PATO"/>
      <sheetName val="TLCB5"/>
      <sheetName val="TLMR"/>
      <sheetName val="MB"/>
      <sheetName val="Mão de Obra"/>
      <sheetName val="CROQUIS"/>
      <sheetName val="Quadro Geral"/>
      <sheetName val="Feriados"/>
      <sheetName val="PLMUSEU"/>
      <sheetName val="COMPMOTSER"/>
      <sheetName val="MAT PLACA"/>
      <sheetName val="Teor"/>
      <sheetName val="QuQuant"/>
      <sheetName val="Equipamentos"/>
      <sheetName val="Fresagem de Pista Ago-98"/>
      <sheetName val="RESUMO_AUT1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DER janeiro9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PONTES LICITADAS"/>
      <sheetName val="Pontes"/>
      <sheetName val="Fresagem de Pista Ago-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 A T O"/>
      <sheetName val="1ExecuçServiços"/>
      <sheetName val="052 01 Levantamento Genérico"/>
      <sheetName val="quadro de qtde DRENAGEM URBANA"/>
      <sheetName val="Mat. Bet."/>
      <sheetName val="Serviços"/>
      <sheetName val="Serv. Adm."/>
      <sheetName val="COMPOS1"/>
      <sheetName val="QuQuant"/>
      <sheetName val="SID_NI_5"/>
      <sheetName val="Convert Lat, Long to UTM"/>
      <sheetName val="PROJETO"/>
      <sheetName val="PLMUSEU"/>
      <sheetName val="RESUMO_AUT1"/>
      <sheetName val="comp1"/>
      <sheetName val="A"/>
      <sheetName val="DER janeiro9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Equipamentos"/>
      <sheetName val="QuQuant"/>
      <sheetName val="comp1"/>
      <sheetName val="Convert Lat, Long to UTM"/>
      <sheetName val="Fresagem de Pista Ago-98"/>
      <sheetName val="DER janeiro98"/>
      <sheetName val="8ª MP_BR-459"/>
      <sheetName val="PONTES LICITADAS"/>
      <sheetName val="DADOS"/>
      <sheetName val="COMPOS1"/>
      <sheetName val="Paulo de Carvalho"/>
      <sheetName val="8ª MP_BR_459"/>
      <sheetName val="052 01 Levantamento Genéric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aux"/>
      <sheetName val="SID_NI_5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Página 16"/>
      <sheetName val="00. BR-470 - LOTE 03"/>
      <sheetName val="Planta Retigráfica L3"/>
      <sheetName val="SEG. 01"/>
      <sheetName val="SEG. 02"/>
      <sheetName val="Cronograma"/>
      <sheetName val="Custo_da_Imprimação"/>
      <sheetName val="Custo_da_Pintura_de_Ligação"/>
      <sheetName val="DADOS"/>
      <sheetName val="Teor"/>
      <sheetName val="Equipamentos"/>
      <sheetName val="quadro de qtde DRENAGEM URBANA"/>
      <sheetName val="Convert Lat, Long to UTM"/>
      <sheetName val="A"/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SERVIÇOS"/>
      <sheetName val="EAIGESEN"/>
      <sheetName val="CROQUIS DE DIST."/>
      <sheetName val="PLMUSEU"/>
      <sheetName val="Resumo Financeiro"/>
      <sheetName val="Consultoria"/>
      <sheetName val="Feriados"/>
      <sheetName val="Paulo de Carvalho"/>
      <sheetName val="aux"/>
      <sheetName val="SID_NI_5"/>
      <sheetName val="COMPMOTSER"/>
      <sheetName val="MAT PLACA"/>
      <sheetName val="TLCB5"/>
      <sheetName val="TL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quadro de qtde DRENAGEM URBANA"/>
      <sheetName val="Resumo Financeiro"/>
      <sheetName val="Teor"/>
      <sheetName val="Equipamentos"/>
      <sheetName val="aux"/>
      <sheetName val="PROJETO"/>
      <sheetName val="QuQuant"/>
      <sheetName val="Pontes"/>
      <sheetName val="SERVIÇOS"/>
      <sheetName val="MB"/>
      <sheetName val="Calendário"/>
      <sheetName val="PRO-08"/>
      <sheetName val="P A T O 99 B"/>
      <sheetName val="Fresagem de Pista Ago-98"/>
      <sheetName val="RESUMO_AUT1"/>
      <sheetName val="CROQUIS DE DIST."/>
      <sheetName val="LTQ"/>
      <sheetName val="COMPOS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MUSEU"/>
      <sheetName val="Feriados"/>
      <sheetName val="Paulo de Carvalho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PONTES LICITADAS"/>
      <sheetName val="RESUMO_AUT1"/>
      <sheetName val="Resumo Financeiro"/>
      <sheetName val="Feriados"/>
      <sheetName val="PROJETO"/>
      <sheetName val="COMPOS1"/>
      <sheetName val="Pontes"/>
      <sheetName val="COMPMOTSER"/>
      <sheetName val="MAT PLACA"/>
      <sheetName val="TLCB5"/>
      <sheetName val="TLMR"/>
      <sheetName val="DADOS"/>
      <sheetName val="P A T O 99 B"/>
      <sheetName val="Convert Lat, Long to UTM"/>
      <sheetName val="PRO-08"/>
      <sheetName val="Fresagem de Pista Ago-98"/>
      <sheetName val="LTQ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aulo de Carvalho"/>
      <sheetName val="QuQuant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de qtde DRENAGEM URBANA"/>
      <sheetName val="PRO_08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JETO"/>
      <sheetName val="QuQuant"/>
      <sheetName val="Mat. Bet."/>
      <sheetName val="Serviços"/>
      <sheetName val="Serv. Adm.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SID_NI_5"/>
      <sheetName val="Página 16"/>
      <sheetName val="COMPOS1"/>
      <sheetName val="Convert Lat, Long to UTM"/>
      <sheetName val="PRO-0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Teor"/>
      <sheetName val="Equipamentos"/>
      <sheetName val="QuQuant"/>
      <sheetName val="PRO-08"/>
      <sheetName val="PRO_08"/>
      <sheetName val="RESUMO_AUT1"/>
      <sheetName val="PROJETO"/>
      <sheetName val="8ª MP_BR_459"/>
      <sheetName val="COMPOS1"/>
      <sheetName val="DAD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Resumo Financeiro"/>
      <sheetName val="Consultoria"/>
      <sheetName val="SERVIÇOS"/>
      <sheetName val="MB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  <sheetName val="9ª JUN 07 REAJUSTADA Rev0"/>
      <sheetName val="PRO-08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ROJETO"/>
      <sheetName val="Teor"/>
      <sheetName val="Equipamentos"/>
      <sheetName val="P A T O 99 B"/>
      <sheetName val="DER janeiro98"/>
      <sheetName val="SID_NI_5"/>
      <sheetName val="PLMUSEU"/>
      <sheetName val="estgg"/>
      <sheetName val="RESUMO_AUT1"/>
      <sheetName val="DADOS"/>
      <sheetName val="CROQUIS DE DIST."/>
      <sheetName val="Resumo Financeiro"/>
      <sheetName val="COMPMOTSER"/>
      <sheetName val="MAT PLACA"/>
      <sheetName val="TLCB5"/>
      <sheetName val="TLMR"/>
      <sheetName val="COMPOS1"/>
      <sheetName val="Consultoria"/>
      <sheetName val="PATO"/>
      <sheetName val="MB"/>
      <sheetName val="CROQUIS"/>
      <sheetName val="QuQuant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_08"/>
      <sheetName val="PRO-08"/>
      <sheetName val="QuQuant"/>
      <sheetName val="PROJETO"/>
      <sheetName val="RESUMO_AUT1"/>
      <sheetName val="P A T O 99 B"/>
      <sheetName val="A"/>
      <sheetName val="Paulo de Carvalho"/>
      <sheetName val="Fresagem de Pista Ago-98"/>
      <sheetName val="COMPOS1"/>
      <sheetName val="Mat. Bet."/>
      <sheetName val="Serviços"/>
      <sheetName val="Serv. Adm."/>
      <sheetName val="SID_NI_5"/>
      <sheetName val="DER janeiro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>
        <row r="7">
          <cell r="B7">
            <v>37501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Q-01"/>
      <sheetName val="PRO_08"/>
      <sheetName val="Plan1"/>
      <sheetName val="COMPOS1"/>
      <sheetName val="PROJETO"/>
      <sheetName val="Pontes"/>
      <sheetName val="P A T O 99 B"/>
      <sheetName val="aux"/>
      <sheetName val="PLMUSEU"/>
      <sheetName val="rev int TP"/>
      <sheetName val="PRO-08"/>
      <sheetName val="comp1"/>
      <sheetName val="Convert Lat, Long to UTM"/>
      <sheetName val="QuQuant"/>
      <sheetName val="DADOS"/>
      <sheetName val="Teor"/>
      <sheetName val="Equipament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A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QuQuant"/>
      <sheetName val="PROJETO"/>
      <sheetName val="Feriados"/>
      <sheetName val="PLMUSEU"/>
      <sheetName val="P A T O 99 B"/>
      <sheetName val="Página 16"/>
      <sheetName val="Calendário"/>
      <sheetName val="PRO-08"/>
      <sheetName val="Pontes"/>
      <sheetName val="Teor"/>
      <sheetName val="Equipamentos"/>
      <sheetName val="PRO_08"/>
      <sheetName val="COMPOS1"/>
      <sheetName val="Resumo Financeiro"/>
      <sheetName val="CROQUIS DE DIST."/>
      <sheetName val="DER janeiro98"/>
      <sheetName val="aux"/>
    </sheetNames>
    <sheetDataSet>
      <sheetData sheetId="0">
        <row r="9">
          <cell r="A9" t="str">
            <v>01.000.00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052 01 Levantamento Genérico"/>
      <sheetName val="P A T O 99 B"/>
      <sheetName val="DADOS"/>
      <sheetName val="Calendário"/>
      <sheetName val="PRO_08"/>
      <sheetName val="Plan1"/>
      <sheetName val="Pontes"/>
      <sheetName val="Resumo Financeiro"/>
      <sheetName val="PRO-08"/>
      <sheetName val="CROQUIS DE DIST."/>
      <sheetName val="RESUMO_AUT1"/>
      <sheetName val="Fresagem de Pista Ago-98"/>
      <sheetName val="SID_NI_5"/>
      <sheetName val="A"/>
      <sheetName val="Feriad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p a t o 99 b"/>
      <sheetName val="Página 16"/>
      <sheetName val="Proposta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NV 2008 - V1"/>
      <sheetName val="1.6"/>
      <sheetName val="Planilha1"/>
      <sheetName val="Produto 09"/>
      <sheetName val="Produto 10"/>
      <sheetName val="Produto 01"/>
      <sheetName val="Prod. 03A CREMA-CIB"/>
      <sheetName val="aux"/>
      <sheetName val="6-Recursos"/>
      <sheetName val="3-Recursos"/>
      <sheetName val="2-Resumo Ct"/>
      <sheetName val="cadastro"/>
      <sheetName val="3- Recursos"/>
      <sheetName val="Produto Novo - I"/>
      <sheetName val="Contrato Inicial"/>
      <sheetName val="indices caracterizadores"/>
      <sheetName val="precorc.xls"/>
      <sheetName val="Lista Suspensa"/>
      <sheetName val="horário"/>
      <sheetName val="Vínculo"/>
      <sheetName val="BRASIL"/>
      <sheetName val="calendário"/>
      <sheetName val="Percentual"/>
      <sheetName val="projeto"/>
      <sheetName val="procedimentos"/>
      <sheetName val="quantidades"/>
      <sheetName val="RESUMO"/>
      <sheetName val="compos1"/>
      <sheetName val="NF 131"/>
      <sheetName val="Auxiliares"/>
      <sheetName val="PRINCIPARIS"/>
      <sheetName val="materiais civil"/>
      <sheetName val="mão de obra civil"/>
      <sheetName val="CPU's"/>
      <sheetName val="COMPOSIÇÕES - matriz"/>
      <sheetName val="estgg"/>
      <sheetName val="Códigos"/>
      <sheetName val="rev int TP ímpar"/>
      <sheetName val="rev int TP par"/>
      <sheetName val="rev int pav 21_"/>
      <sheetName val="rev int pav 22_"/>
      <sheetName val="rev int pav 23_"/>
      <sheetName val="rev int TP"/>
      <sheetName val="Resumo-SIS"/>
      <sheetName val="2.6-Diárias"/>
      <sheetName val="Equi-SIS"/>
      <sheetName val="Subcontratados_Formal"/>
      <sheetName val="Plan 2.7"/>
      <sheetName val="fresagem de pista ago-98"/>
      <sheetName val="VISTEM"/>
      <sheetName val="1.2.1"/>
      <sheetName val="SCO 07.2019"/>
      <sheetName val="resumo_aut1"/>
      <sheetName val="Vínculos (Não Mexer)"/>
      <sheetName val="Quadro Geral"/>
      <sheetName val="2.2.5.CBUQ"/>
      <sheetName val="2.2.5.PMQ"/>
      <sheetName val="comp1"/>
      <sheetName val="DADOS"/>
      <sheetName val="Q-01"/>
      <sheetName val="Pontes"/>
      <sheetName val="PRO-08"/>
      <sheetName val="Convert Lat, Long to UTM"/>
      <sheetName val="Paulo de Carvalh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ano ataque"/>
      <sheetName val="R07"/>
      <sheetName val="Mão_de_Obra1"/>
      <sheetName val="Mapa_de_Localização_do_trecho1"/>
      <sheetName val="PLANILHA_RESUMO_DO_PATO1"/>
      <sheetName val="QUESTÕES_AMBIENTAIS1"/>
      <sheetName val="Produto_091"/>
      <sheetName val="Produto_101"/>
      <sheetName val="Produto_011"/>
      <sheetName val="Prod__03A_CREMA-CIB1"/>
      <sheetName val="PNV_2008_-_V11"/>
      <sheetName val="Produto_Novo_-_I1"/>
      <sheetName val="Contrato_Inicial1"/>
      <sheetName val="1_61"/>
      <sheetName val="p_a_t_o_99_b1"/>
      <sheetName val="Página_161"/>
      <sheetName val="indices_caracterizadores1"/>
      <sheetName val="NF_1311"/>
      <sheetName val="Plan_2_71"/>
      <sheetName val="fresagem_de_pista_ago-981"/>
      <sheetName val="Mão_de_Obra"/>
      <sheetName val="Mapa_de_Localização_do_trecho"/>
      <sheetName val="PLANILHA_RESUMO_DO_PATO"/>
      <sheetName val="QUESTÕES_AMBIENTAIS"/>
      <sheetName val="Produto_09"/>
      <sheetName val="Produto_10"/>
      <sheetName val="Produto_01"/>
      <sheetName val="Prod__03A_CREMA-CIB"/>
      <sheetName val="PNV_2008_-_V1"/>
      <sheetName val="Produto_Novo_-_I"/>
      <sheetName val="Contrato_Inicial"/>
      <sheetName val="1_6"/>
      <sheetName val="p_a_t_o_99_b"/>
      <sheetName val="Página_16"/>
      <sheetName val="indices_caracterizadores"/>
      <sheetName val="NF_131"/>
      <sheetName val="Plan_2_7"/>
      <sheetName val="fresagem_de_pista_ago-98"/>
      <sheetName val="Mão_de_Obra3"/>
      <sheetName val="Mapa_de_Localização_do_trecho3"/>
      <sheetName val="PLANILHA_RESUMO_DO_PATO3"/>
      <sheetName val="QUESTÕES_AMBIENTAIS3"/>
      <sheetName val="Produto_093"/>
      <sheetName val="Produto_103"/>
      <sheetName val="Produto_013"/>
      <sheetName val="Prod__03A_CREMA-CIB3"/>
      <sheetName val="PNV_2008_-_V13"/>
      <sheetName val="Produto_Novo_-_I3"/>
      <sheetName val="Contrato_Inicial3"/>
      <sheetName val="1_63"/>
      <sheetName val="p_a_t_o_99_b3"/>
      <sheetName val="Página_163"/>
      <sheetName val="indices_caracterizadores3"/>
      <sheetName val="NF_1313"/>
      <sheetName val="Plan_2_73"/>
      <sheetName val="fresagem_de_pista_ago-983"/>
      <sheetName val="Mão_de_Obra2"/>
      <sheetName val="Mapa_de_Localização_do_trecho2"/>
      <sheetName val="PLANILHA_RESUMO_DO_PATO2"/>
      <sheetName val="QUESTÕES_AMBIENTAIS2"/>
      <sheetName val="Produto_092"/>
      <sheetName val="Produto_102"/>
      <sheetName val="Produto_012"/>
      <sheetName val="Prod__03A_CREMA-CIB2"/>
      <sheetName val="PNV_2008_-_V12"/>
      <sheetName val="Produto_Novo_-_I2"/>
      <sheetName val="Contrato_Inicial2"/>
      <sheetName val="1_62"/>
      <sheetName val="p_a_t_o_99_b2"/>
      <sheetName val="Página_162"/>
      <sheetName val="indices_caracterizadores2"/>
      <sheetName val="NF_1312"/>
      <sheetName val="Plan_2_72"/>
      <sheetName val="fresagem_de_pista_ago-982"/>
      <sheetName val="Mão_de_Obra4"/>
      <sheetName val="Mapa_de_Localização_do_trecho4"/>
      <sheetName val="PLANILHA_RESUMO_DO_PATO4"/>
      <sheetName val="QUESTÕES_AMBIENTAIS4"/>
      <sheetName val="Produto_094"/>
      <sheetName val="Produto_104"/>
      <sheetName val="Produto_014"/>
      <sheetName val="Prod__03A_CREMA-CIB4"/>
      <sheetName val="PNV_2008_-_V14"/>
      <sheetName val="Produto_Novo_-_I4"/>
      <sheetName val="Contrato_Inicial4"/>
      <sheetName val="1_64"/>
      <sheetName val="p_a_t_o_99_b4"/>
      <sheetName val="Página_164"/>
      <sheetName val="indices_caracterizadores4"/>
      <sheetName val="NF_1314"/>
      <sheetName val="Plan_2_74"/>
      <sheetName val="fresagem_de_pista_ago-984"/>
      <sheetName val="p_a_t_o_99_b5"/>
      <sheetName val="Página_165"/>
      <sheetName val="1_65"/>
      <sheetName val="Mão_de_Obra5"/>
      <sheetName val="Mapa_de_Localização_do_trecho5"/>
      <sheetName val="PLANILHA_RESUMO_DO_PATO5"/>
      <sheetName val="QUESTÕES_AMBIENTAIS5"/>
      <sheetName val="Produto_095"/>
      <sheetName val="Produto_105"/>
      <sheetName val="Produto_015"/>
      <sheetName val="Prod__03A_CREMA-CIB5"/>
      <sheetName val="indices_caracterizadores5"/>
      <sheetName val="NF_1315"/>
      <sheetName val="Consultoria"/>
      <sheetName val="LTQ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>
        <row r="3">
          <cell r="B3">
            <v>0</v>
          </cell>
        </row>
      </sheetData>
      <sheetData sheetId="104"/>
      <sheetData sheetId="105">
        <row r="3">
          <cell r="B3">
            <v>85.3199462890625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3">
          <cell r="B3">
            <v>0</v>
          </cell>
        </row>
      </sheetData>
      <sheetData sheetId="122"/>
      <sheetData sheetId="123">
        <row r="3">
          <cell r="B3">
            <v>85.3199462890625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3">
          <cell r="B3">
            <v>0</v>
          </cell>
        </row>
      </sheetData>
      <sheetData sheetId="140"/>
      <sheetData sheetId="141">
        <row r="3">
          <cell r="B3">
            <v>85.3199462890625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3">
          <cell r="B3">
            <v>0</v>
          </cell>
        </row>
      </sheetData>
      <sheetData sheetId="158"/>
      <sheetData sheetId="159">
        <row r="3">
          <cell r="B3">
            <v>85.3199462890625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3">
          <cell r="B3">
            <v>0</v>
          </cell>
        </row>
      </sheetData>
      <sheetData sheetId="176"/>
      <sheetData sheetId="177">
        <row r="3">
          <cell r="B3">
            <v>85.3199462890625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3">
          <cell r="B3">
            <v>0</v>
          </cell>
        </row>
      </sheetData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p a t o 99 b"/>
      <sheetName val="DADOS"/>
      <sheetName val="INVENTÁRIO262"/>
      <sheetName val="SERVIÇOS"/>
      <sheetName val="61M-CBMI"/>
      <sheetName val="Reaproveitamento_de_formas"/>
      <sheetName val="PCOMP-06-11-2006"/>
      <sheetName val="A"/>
      <sheetName val="Produto 09"/>
      <sheetName val="Produto 10"/>
      <sheetName val="Produto 01"/>
      <sheetName val="Prod. 03A CREMA-CIB"/>
      <sheetName val="1.6"/>
      <sheetName val="MB"/>
      <sheetName val="Orçam. AET"/>
      <sheetName val="Tab. Consultoria-Set-12"/>
      <sheetName val="Calendário"/>
      <sheetName val="Lista Suspensa"/>
      <sheetName val="Orçamento Total"/>
      <sheetName val="Percentual"/>
      <sheetName val="inventário"/>
      <sheetName val="elétrica"/>
      <sheetName val="IDENTIFICAÇÃO"/>
      <sheetName val="Insumos"/>
      <sheetName val="resumo_aut1"/>
      <sheetName val="QUADRO COMPARATIVO"/>
      <sheetName val="Cadastro Medição"/>
      <sheetName val="Geral"/>
      <sheetName val="8ª mp_br_459"/>
      <sheetName val="projeto"/>
      <sheetName val="Planilha"/>
      <sheetName val="Modelo"/>
      <sheetName val="compos1"/>
      <sheetName val="tab. consultoria jan-11"/>
      <sheetName val="P reaj x P atual"/>
      <sheetName val="Produção"/>
      <sheetName val="Suprimentos - Equipamentos"/>
      <sheetName val="      "/>
      <sheetName val="       "/>
      <sheetName val="        "/>
      <sheetName val="                "/>
      <sheetName val="QSMSC"/>
      <sheetName val="Engenharia"/>
      <sheetName val="Planejamento"/>
      <sheetName val="Administração Financeira"/>
      <sheetName val=" "/>
      <sheetName val="  "/>
      <sheetName val="    "/>
      <sheetName val="Eletromecânica"/>
      <sheetName val="SCO 07.2019"/>
      <sheetName val="PPV revisão_13.02.08"/>
      <sheetName val="Carc. Projeto"/>
      <sheetName val="comp1"/>
      <sheetName val="P A T O"/>
      <sheetName val="Quadro Geral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rev int TP"/>
      <sheetName val="Rev int TP ímpar"/>
      <sheetName val="CP1ens1"/>
      <sheetName val="PATO"/>
      <sheetName val="TLCB5"/>
      <sheetName val="TLMR"/>
      <sheetName val="Mão de Obra"/>
      <sheetName val="CROQUI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_08"/>
      <sheetName val="Plan1"/>
      <sheetName val="Convert Lat, Long to UTM"/>
      <sheetName val="PRO-08"/>
      <sheetName val="Página 16"/>
      <sheetName val="Teor"/>
      <sheetName val="Equipamentos"/>
      <sheetName val="PLMUSEU"/>
      <sheetName val="Feriados"/>
      <sheetName val="39568 - Tapa Buraco DF"/>
      <sheetName val="DER janeiro98"/>
      <sheetName val="DIF FAT FEV 01"/>
    </sheetNames>
    <sheetDataSet>
      <sheetData sheetId="0"/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Pontes"/>
      <sheetName val="8ª MP_BR-459"/>
      <sheetName val="P A T O"/>
      <sheetName val="PROJETO"/>
      <sheetName val="RESUMO_AUT1"/>
      <sheetName val="COMPOS1"/>
      <sheetName val="QuQuant"/>
      <sheetName val="rev int TP"/>
      <sheetName val="SERVIÇOS"/>
      <sheetName val="MB"/>
      <sheetName val="P A T O 99 B"/>
      <sheetName val="A"/>
      <sheetName val="CP1ens1"/>
      <sheetName val="2.2.5.CBUQ"/>
      <sheetName val="2.2.5.PMQ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RO-08"/>
      <sheetName val="Q-01"/>
      <sheetName val="Teor"/>
      <sheetName val="Equipamentos"/>
      <sheetName val="PRO_08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ATO"/>
      <sheetName val="TLCB5"/>
      <sheetName val="TLMR"/>
      <sheetName val="Mão de Obra"/>
      <sheetName val="CROQUIS"/>
      <sheetName val="Quadro Geral"/>
      <sheetName val="Plan1"/>
    </sheetNames>
    <sheetDataSet>
      <sheetData sheetId="0"/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Pontes"/>
      <sheetName val="PROJETO"/>
      <sheetName val="8ª MP_BR-459"/>
      <sheetName val="RESUMO_AUT1"/>
      <sheetName val="COMPOS1"/>
      <sheetName val="Calendário"/>
      <sheetName val="COMPMOTSER"/>
      <sheetName val="MAT PLACA"/>
      <sheetName val="TLCB5"/>
      <sheetName val="TLMR"/>
      <sheetName val="P A T O 99 B"/>
      <sheetName val="aux"/>
      <sheetName val="A"/>
      <sheetName val="Quadro Geral"/>
      <sheetName val="DER janeiro98"/>
      <sheetName val="Teor"/>
      <sheetName val="Equipamentos"/>
      <sheetName val="QuQuant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Consultoria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Pontes"/>
      <sheetName val="Consultoria"/>
      <sheetName val="CROQUIS DE DIST."/>
      <sheetName val="Mat. Bet."/>
      <sheetName val="Serv. Adm."/>
      <sheetName val="P A T O 99 B"/>
      <sheetName val="Calendário"/>
      <sheetName val="Rev int TP ímpar"/>
      <sheetName val="aux"/>
      <sheetName val="P A T O"/>
      <sheetName val="A"/>
      <sheetName val="PRO-08"/>
      <sheetName val="PRO_08"/>
      <sheetName val="Plan1"/>
      <sheetName val="2.2.5.CBUQ"/>
      <sheetName val="2.2.5.PMQ"/>
      <sheetName val="SID_NI_5"/>
      <sheetName val="Convert Lat, Long to UTM"/>
      <sheetName val="61M-CBMI"/>
      <sheetName val="Feriados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EAIGESEN"/>
      <sheetName val="P reaj x P atual"/>
      <sheetName val="TPU-MARÇO_2002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Instalação e manutenção de cant"/>
      <sheetName val="BANCO"/>
      <sheetName val="Conversão"/>
      <sheetName val="C_U"/>
      <sheetName val="Orçamentária"/>
      <sheetName val="CUSTO EQUIP"/>
      <sheetName val="Comp P Unit "/>
      <sheetName val="CUSTO MATERIAL"/>
      <sheetName val="CALCULOS AUXILIARES"/>
      <sheetName val="Croqui"/>
      <sheetName val="C MÃO OBRA"/>
      <sheetName val="PROD_PRIM_"/>
      <sheetName val="IDENTIFICAÇÃO"/>
      <sheetName val="PROD.PRIM."/>
      <sheetName val="P A T O  D"/>
      <sheetName val="Original"/>
      <sheetName val="Dados da Obra"/>
      <sheetName val="BD_Equipamentos"/>
      <sheetName val="BD_Tabela de Salários"/>
      <sheetName val="Quadro Geral"/>
      <sheetName val="P A T O 98 D"/>
      <sheetName val="CUSTO INDIRET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PN (Fx 3)"/>
      <sheetName val="P A T O  B"/>
      <sheetName val="MB"/>
      <sheetName val="REPOSITÓRIOS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Lote02 Complemento"/>
      <sheetName val="OAE"/>
      <sheetName val="Capa Memória de Calc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 (2)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ROJETO"/>
      <sheetName val="QuQuant"/>
      <sheetName val="RESUMO_AUT1"/>
      <sheetName val="Fresagem de Pista Ago-98"/>
      <sheetName val="PATO"/>
      <sheetName val="TLCB5"/>
      <sheetName val="TLMR"/>
      <sheetName val="MB"/>
      <sheetName val="Mão de Obra"/>
      <sheetName val="CROQUIS"/>
      <sheetName val="SID_NI_5"/>
      <sheetName val="8ª MP_BR_459"/>
      <sheetName val="COMPOS1"/>
      <sheetName val="DADOS"/>
      <sheetName val="P A T O 99 B"/>
      <sheetName val="Insumos"/>
      <sheetName val="Rev int TP ímpar"/>
      <sheetName val="8ª MP_BR-459"/>
      <sheetName val="aux"/>
      <sheetName val="Pontes"/>
      <sheetName val="Q-01"/>
      <sheetName val="Quadro Geral"/>
      <sheetName val="PRO_08"/>
      <sheetName val="Plan1"/>
      <sheetName val="Paulo de Carvalho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47">
          <cell r="E47" t="str">
            <v>ANEXO I - Levantamento Visual Contínuo (LVC)</v>
          </cell>
        </row>
      </sheetData>
      <sheetData sheetId="31" refreshError="1"/>
      <sheetData sheetId="32">
        <row r="47">
          <cell r="E47" t="str">
            <v>ANEXO II - Avaliação Objetiva de Superfície (IGG)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OMPOS1"/>
      <sheetName val="PROJETO"/>
      <sheetName val="RESUMO_AUT1"/>
      <sheetName val="Convert Lat, Long to UTM"/>
      <sheetName val="CP1ens1"/>
      <sheetName val="Paulo de Carvalho"/>
      <sheetName val="Teor"/>
      <sheetName val="Equipamentos"/>
      <sheetName val="P A T O 99 B"/>
      <sheetName val="Calendário"/>
      <sheetName val="PATO"/>
      <sheetName val="TLCB5"/>
      <sheetName val="TLMR"/>
      <sheetName val="MB"/>
      <sheetName val="Mão de Obra"/>
      <sheetName val="CROQUIS"/>
      <sheetName val="Feriados"/>
      <sheetName val="Insumo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RO-08"/>
      <sheetName val="Q-01"/>
      <sheetName val="PLMUSEU"/>
      <sheetName val="Página 16"/>
      <sheetName val="Quadro 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DG"/>
      <sheetName val="Resumo Vertical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PLMUSEU"/>
      <sheetName val="QuQuant"/>
      <sheetName val="Paulo de Carvalho"/>
      <sheetName val=""/>
      <sheetName val="B M Pl04"/>
      <sheetName val="Listas"/>
      <sheetName val="Modelo"/>
      <sheetName val="DREN. MEM. CAL. 2"/>
      <sheetName val="PL16_2003"/>
      <sheetName val="Anual"/>
      <sheetName val="Mão de Obra"/>
      <sheetName val="RESUMO_AUT1"/>
      <sheetName val="Página 16"/>
      <sheetName val="A"/>
      <sheetName val="PRO-08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sumos"/>
      <sheetName val="Feriados"/>
      <sheetName val="1ExecuçServiços"/>
      <sheetName val="2.2.5.CBUQ"/>
      <sheetName val="2.2.5.PMQ"/>
      <sheetName val="8ª MP_BR-459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Medição"/>
      <sheetName val="61M-CBMI"/>
      <sheetName val="rev int TP ímpar"/>
      <sheetName val="rev int TP par"/>
      <sheetName val="rev int pav 21_"/>
      <sheetName val="rev int pav 22_"/>
      <sheetName val="rev int pav 23_"/>
      <sheetName val="aux"/>
      <sheetName val="Quadro Geral"/>
      <sheetName val="TLCB5"/>
      <sheetName val="TLMR"/>
      <sheetName val="MB"/>
      <sheetName val="CROQUIS"/>
    </sheetNames>
    <definedNames>
      <definedName name="_xlbgnm.QQ2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ANAA"/>
      <sheetName val="PRO-08"/>
      <sheetName val="PROJETO"/>
      <sheetName val="COMPOS1"/>
      <sheetName val="RESUMO_AUT1"/>
      <sheetName val="Resumo Financeiro"/>
      <sheetName val="aux"/>
      <sheetName val="P A T O 99 B"/>
      <sheetName val="Pontes"/>
      <sheetName val="PATO"/>
      <sheetName val="TLCB5"/>
      <sheetName val="TLMR"/>
      <sheetName val="MB"/>
      <sheetName val="Mão de Obra"/>
      <sheetName val="CROQUIS"/>
      <sheetName val="DER janeiro98"/>
      <sheetName val="EAIGESEN"/>
      <sheetName val="Insumos"/>
      <sheetName val="Quadro Geral"/>
      <sheetName val="PRO_08"/>
      <sheetName val="Plan1"/>
      <sheetName val="2.2.5.CBUQ"/>
      <sheetName val="2.2.5.PMQ"/>
      <sheetName val="LTQ"/>
      <sheetName val="BANCO"/>
      <sheetName val="Mediçã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Pontes"/>
      <sheetName val="PROJETO"/>
      <sheetName val="CROQUIS DE DIST."/>
      <sheetName val="RESUMO_AUT1"/>
      <sheetName val="Rev int TP ímpar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A"/>
      <sheetName val="PLANILHA CONTRATUAL"/>
      <sheetName val="EAIGESEN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"/>
      <sheetName val="Q-01"/>
      <sheetName val="Quadro Geral"/>
      <sheetName val="DIF FAT FEV 01"/>
      <sheetName val="Página 16"/>
      <sheetName val="PRO_08"/>
      <sheetName val="Plan1"/>
      <sheetName val="Origina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PRO-08"/>
      <sheetName val="BAN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8ª MP_BR_459"/>
      <sheetName val="Fresagem de Pista Ago-98"/>
      <sheetName val="RESUMO_AUT1"/>
      <sheetName val="PRO-08"/>
      <sheetName val="Insumos"/>
      <sheetName val="Página 16"/>
      <sheetName val="Consultoria"/>
      <sheetName val="DER janeiro98"/>
      <sheetName val="aux"/>
      <sheetName val="rev int TP ímpar"/>
      <sheetName val="rev int TP par"/>
      <sheetName val="rev int pav 21_"/>
      <sheetName val="rev int pav 22_"/>
      <sheetName val="rev int pav 23_"/>
      <sheetName val="PLANILHA CONTRATUAL"/>
      <sheetName val="QuQuant"/>
      <sheetName val="PONTES LICITADAS"/>
      <sheetName val="8ª MP_BR-459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 A T O 99 B"/>
      <sheetName val="Teor"/>
      <sheetName val="Geral"/>
      <sheetName val="Calendário"/>
      <sheetName val="Origina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Serviços"/>
      <sheetName val="Especif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Equipamentos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AUXILIAR"/>
      <sheetName val="TB"/>
      <sheetName val="TB _BG_"/>
      <sheetName val="RemProf"/>
      <sheetName val="AVANÇO FÍSICO"/>
      <sheetName val="LISTAS (2)"/>
      <sheetName val="MATERIAIS (2)"/>
      <sheetName val="Medição"/>
      <sheetName val="SID_NI_5"/>
      <sheetName val="BANCO"/>
      <sheetName val="Q-01"/>
      <sheetName val="CROQUIS DE DIST."/>
      <sheetName val="INVENT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Orçamentária"/>
      <sheetName val="PROD_PRIM_"/>
      <sheetName val="IDENTIFICAÇÃO"/>
      <sheetName val="AUXILIARES"/>
      <sheetName val="TRANSPORTE"/>
      <sheetName val="Mobiliz."/>
      <sheetName val="Unit MB"/>
      <sheetName val="REAT. APILOADO"/>
      <sheetName val="SOLO MELHORADO"/>
      <sheetName val="OP079907"/>
      <sheetName val="TPU-MARÇO_2002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Convert Lat, Long to UTM"/>
      <sheetName val="CS#"/>
      <sheetName val="MEDIÇÃO RESUMO"/>
      <sheetName val="Resumo Financeiro"/>
      <sheetName val="VISTEM"/>
      <sheetName val="450"/>
      <sheetName val="CRONFISFIN_"/>
      <sheetName val="P A T O  D"/>
      <sheetName val="PN (Fx 3)"/>
      <sheetName val="BD Equip."/>
      <sheetName val="lista_comp"/>
      <sheetName val="FLUXO - EXECUÇÃO PRÓPRIA"/>
      <sheetName val="CUSTO INDIRETO"/>
      <sheetName val="Carimbo de Nota"/>
      <sheetName val="CG"/>
      <sheetName val="F. MEDIÇAO"/>
      <sheetName val="Insumos - Materiais"/>
      <sheetName val="RMLE157"/>
      <sheetName val="TCB5"/>
      <sheetName val="PQ"/>
      <sheetName val="Compactação  botafora"/>
      <sheetName val="Índices de Reajustamento"/>
      <sheetName val="alphaville"/>
      <sheetName val="Mão de Obra"/>
      <sheetName val="MAT-BET"/>
      <sheetName val="Instalação"/>
      <sheetName val="ADM"/>
      <sheetName val="SINALIZ"/>
      <sheetName val="B - Captação_Elevação 1a Etapa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RESUMO"/>
      <sheetName val="PROJETO"/>
      <sheetName val="Convert Lat, Long to UTM"/>
      <sheetName val="61M-CBMI"/>
      <sheetName val="PRO_08"/>
      <sheetName val="Feriados"/>
      <sheetName val="P A T O 99 B"/>
      <sheetName val="A"/>
      <sheetName val="rev int TP"/>
      <sheetName val="rev int TP ímpar"/>
      <sheetName val="rev int TP par"/>
      <sheetName val="rev int pav 21_"/>
      <sheetName val="rev int pav 22_"/>
      <sheetName val="rev int pav 23_"/>
      <sheetName val="COMPOS1"/>
      <sheetName val="SID_NI_5"/>
      <sheetName val="QuQuant"/>
      <sheetName val="2.2.5.CBUQ"/>
      <sheetName val="2.2.5.PMQ"/>
      <sheetName val="8ª MP_BR-459"/>
      <sheetName val="LTQ"/>
      <sheetName val="P A T O"/>
      <sheetName val="PLANILHA DE QUANT. E CUSTOS A"/>
      <sheetName val="Teor"/>
      <sheetName val="DADOS"/>
      <sheetName val="Quadro 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RESUMO_AUT1"/>
      <sheetName val="Teor"/>
      <sheetName val="Equipamentos"/>
      <sheetName val="Medição"/>
      <sheetName val="PRO-08"/>
      <sheetName val="Insumos"/>
      <sheetName val="COMPOS1"/>
      <sheetName val="P A T O 99 B"/>
      <sheetName val="aux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v int TP"/>
      <sheetName val="QuQuant"/>
      <sheetName val="Paulo de Carvalho"/>
      <sheetName val="Quadro Geral"/>
      <sheetName val="INVENTÁRIO"/>
      <sheetName val="PLANILHA DE QUANT. E CUSTOS A"/>
      <sheetName val="PATO"/>
      <sheetName val="TLCB5"/>
      <sheetName val="TLMR"/>
      <sheetName val="MB"/>
      <sheetName val="Mão de Obra"/>
      <sheetName val="CROQUIS"/>
      <sheetName val="Página 16"/>
      <sheetName val="61M-CBMI"/>
      <sheetName val="8ª MP_BR-45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  <sheetName val="RESUMO_AUT1"/>
      <sheetName val="PROJETO"/>
      <sheetName val="Resumo Financeiro"/>
      <sheetName val="Medição"/>
      <sheetName val="PRO-08"/>
      <sheetName val="EAIGESEN"/>
      <sheetName val="COMPOS1"/>
      <sheetName val="QuQuant"/>
      <sheetName val="rev int TP"/>
      <sheetName val="Feriad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8ª MP_BR_459"/>
      <sheetName val="PLMUSEU"/>
      <sheetName val="P A T O"/>
      <sheetName val="P A T O 99 B"/>
      <sheetName val="61M-CBMI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VENTÁRIO"/>
      <sheetName val="Página 16"/>
      <sheetName val="PLANILHA DE QUANT. E CUSTOS A"/>
    </sheetNames>
    <definedNames>
      <definedName name="_A14" refersTo="#REF!"/>
      <definedName name="AA" refersTo="#REF!"/>
      <definedName name="aaa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" refersTo="#REF!"/>
      <definedName name="qqe" refersTo="#REF!"/>
      <definedName name="RESUMO1" refersTo="#REF!"/>
      <definedName name="vv"/>
      <definedName name="WEWRWRE" refersTo="#REF!"/>
      <definedName name="XXXX"/>
      <definedName name="XXXXXXXX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V-B Supervisão Lote 5"/>
      <sheetName val="ANEXO IV-B Supervisão Lote 4"/>
      <sheetName val="ANEXO IV-A -Supervisão Lote 3"/>
      <sheetName val="Consultoria"/>
      <sheetName val="RESUMO_AUT1"/>
      <sheetName val="BANCO"/>
      <sheetName val="PRO_08"/>
      <sheetName val="Plan1"/>
      <sheetName val="PLANILHA CONTRATUAL"/>
      <sheetName val="P A T O 99 B"/>
      <sheetName val="COMPOS1"/>
      <sheetName val="Calend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estgg"/>
      <sheetName val="QuQuant"/>
      <sheetName val="PROJETO"/>
      <sheetName val="8ª MP_BR-459"/>
      <sheetName val="TPU-MARÇO_2002"/>
      <sheetName val="DER janeiro98"/>
      <sheetName val="Medição"/>
      <sheetName val="P reaj x P atual"/>
      <sheetName val="61M-CBMI"/>
      <sheetName val="SERVIÇ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ID_NI_5"/>
      <sheetName val="RESUMO_AUT1"/>
      <sheetName val="PRO_08"/>
      <sheetName val="BANCO"/>
      <sheetName val="Q-01"/>
      <sheetName val="rev int TP ímpar"/>
      <sheetName val="rev int TP par"/>
      <sheetName val="rev int pav 21_"/>
      <sheetName val="rev int pav 22_"/>
      <sheetName val="rev int pav 23_"/>
      <sheetName val="P A T O 99 B"/>
      <sheetName val="CROQUIS DE DIST."/>
      <sheetName val="DADOS"/>
      <sheetName val="QuQuant"/>
      <sheetName val="COMPOS1"/>
      <sheetName val="estgg"/>
      <sheetName val="Calendário"/>
      <sheetName val="P reaj x P atual"/>
      <sheetName val="A"/>
      <sheetName val="Medição"/>
      <sheetName val="TPU-MARÇO_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</sheet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PATO - BR - 425 aditivo"/>
      <sheetName val="QuQuant"/>
      <sheetName val="Dados"/>
      <sheetName val="Plan1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PLMUSEU"/>
      <sheetName val="Paulo de Carvalho"/>
      <sheetName val="RESUMO_AUT1"/>
      <sheetName val="PRO-08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nvert Lat, Long to UTM"/>
      <sheetName val="CP1ens1"/>
      <sheetName val="#REF"/>
      <sheetName val="8ª MP_BR_459"/>
      <sheetName val="P A T O 99 B"/>
      <sheetName val="TLCB5"/>
      <sheetName val="TLMR"/>
      <sheetName val="MB"/>
      <sheetName val="Mão de Obra"/>
      <sheetName val="CROQUIS"/>
      <sheetName val="MEDIÇÃO RESUMO"/>
      <sheetName val="Feriados"/>
      <sheetName val="INVENTÁRIO"/>
      <sheetName val="61M-CBMI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MLE157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erísticas"/>
      <sheetName val="Unifilar"/>
      <sheetName val="Quant.2"/>
      <sheetName val="Resumo"/>
      <sheetName val="Plan2"/>
      <sheetName val="Aux.1"/>
      <sheetName val="SH"/>
      <sheetName val="Plan1"/>
      <sheetName val="CBUQ (cont.)"/>
      <sheetName val="CBUQ"/>
      <sheetName val="Fresagem"/>
      <sheetName val="Lama Asfaltica"/>
      <sheetName val="MICRO"/>
      <sheetName val="NF"/>
      <sheetName val="Reestabilização da base"/>
      <sheetName val="TSD"/>
      <sheetName val="TSS"/>
      <sheetName val="Remendos"/>
      <sheetName val="Reconstrução"/>
      <sheetName val="Reperfilagem"/>
      <sheetName val="Quant"/>
      <sheetName val="Linear"/>
      <sheetName val="Aux.2"/>
      <sheetName val="MED.01"/>
      <sheetName val="COMPOS1"/>
      <sheetName val="QuQuant"/>
      <sheetName val="P A T O 99 B"/>
      <sheetName val="PLMUSEU"/>
      <sheetName val="SID_NI_5"/>
      <sheetName val="RESUMO_AUT1"/>
      <sheetName val="Página 16"/>
      <sheetName val="PRO_08"/>
      <sheetName val="Original"/>
      <sheetName val="Quadro Geral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A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61M-CBMI"/>
      <sheetName val="INSUMOS"/>
      <sheetName val="1ExecuçServiços"/>
      <sheetName val="PLANILHA DE QUANT. E CUSTOS A"/>
      <sheetName val="MEDIÇÃO RESUM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 "/>
      <sheetName val=" BDI Desonerado"/>
      <sheetName val="CRONOGRAMA "/>
      <sheetName val="Q.Quant."/>
      <sheetName val="Pato "/>
      <sheetName val="FIT "/>
      <sheetName val="MIST.BET.CBUQ I"/>
      <sheetName val="RR 1 C - AQUIS. E TRANSP. "/>
      <sheetName val="CROQUIS DE DIST."/>
      <sheetName val="T.CARROC.4 T"/>
      <sheetName val="T.GUINDAUTO 45 (2)"/>
      <sheetName val="T.REMENDO"/>
      <sheetName val="T.Tanque"/>
      <sheetName val="T.BASC. 10m³"/>
      <sheetName val="T.BASC. 6m³"/>
      <sheetName val="Adm - Resumo"/>
      <sheetName val="Adm Fixa Princ"/>
      <sheetName val="Adm Vinculada Princ"/>
      <sheetName val="Adm Manutenção"/>
      <sheetName val="LAY-OUT"/>
      <sheetName val="INST.CANTEIRO"/>
      <sheetName val="MOBILIZAÇÃO"/>
      <sheetName val="MUDANÇA FIT - DESONERADO II"/>
      <sheetName val="P A T O 99 B"/>
      <sheetName val="Paulo de Carvalho"/>
      <sheetName val="RESUMO_AUT1"/>
      <sheetName val="Página 16"/>
      <sheetName val="Q-01"/>
      <sheetName val="Geral"/>
      <sheetName val="P A T O"/>
      <sheetName val="estgg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Resumo Financeiro"/>
      <sheetName val="aux"/>
      <sheetName val="QuQuant"/>
      <sheetName val="PROJETO"/>
      <sheetName val="rev int TP"/>
      <sheetName val="DER janeiro98"/>
      <sheetName val="Medição"/>
      <sheetName val="C_U"/>
      <sheetName val="INSUMOS"/>
      <sheetName val="INVENTÁRIO"/>
      <sheetName val="TPU-MARÇO_2002"/>
      <sheetName val="Instalação e manutenção de cant"/>
      <sheetName val="SERVIÇOS"/>
      <sheetName val="MEDIÇÃO RESUMO"/>
    </sheetNames>
    <definedNames>
      <definedName name="_tt1" refersTo="#REF!" sheetId="8"/>
      <definedName name="AAAAAAAAA" refersTo="#REF!" sheetId="8"/>
      <definedName name="abc" refersTo="#REF!" sheetId="8"/>
      <definedName name="AFDD" refersTo="#REF!" sheetId="8"/>
      <definedName name="AVC" refersTo="#REF!" sheetId="8"/>
      <definedName name="CCCCCCCCCCC" refersTo="#REF!" sheetId="8"/>
      <definedName name="CELSO" refersTo="#REF!" sheetId="8"/>
      <definedName name="daV" refersTo="#REF!" sheetId="8"/>
      <definedName name="daVIDSON" refersTo="#REF!" sheetId="8"/>
      <definedName name="DIGITAL" refersTo="#REF!" sheetId="8"/>
      <definedName name="llllllll" refersTo="#REF!" sheetId="8"/>
      <definedName name="MERDA" refersTo="#REF!" sheetId="8"/>
      <definedName name="PassaExtenso" refersTo="#REF!"/>
      <definedName name="qq" refersTo="#REF!" sheetId="8"/>
      <definedName name="rD" refersTo="#REF!" sheetId="8"/>
      <definedName name="tt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7">
          <cell r="J17">
            <v>3443.26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Página 16"/>
      <sheetName val="P A T O 99 B"/>
      <sheetName val="PLMUSEU"/>
      <sheetName val="RESUMO_AUT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COMPOS1"/>
      <sheetName val="DER janeiro98"/>
      <sheetName val="Rev int TP ímpar"/>
      <sheetName val="8ª MP_BR_459"/>
      <sheetName val="rev int TP"/>
      <sheetName val="PROJETO"/>
      <sheetName val="A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QuQuant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TPU-MARÇO_2002"/>
      <sheetName val="BANCO"/>
      <sheetName val="C_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Main Page"/>
      <sheetName val="Datums"/>
      <sheetName val="Convert Lat, Long to UTM"/>
      <sheetName val="Convert UTM to Lat, Long"/>
      <sheetName val="Convert MGR to LatLong"/>
      <sheetName val="Batch Convert UTM to Lat-Long"/>
      <sheetName val="Batch Convert Lat Long To UTM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6378137</v>
          </cell>
        </row>
        <row r="9">
          <cell r="C9">
            <v>0.99960000000000004</v>
          </cell>
        </row>
        <row r="11">
          <cell r="C11">
            <v>6.7394967565870025E-3</v>
          </cell>
        </row>
        <row r="17">
          <cell r="C17">
            <v>6367449.1458008448</v>
          </cell>
        </row>
        <row r="18">
          <cell r="C18">
            <v>16038.429553159074</v>
          </cell>
        </row>
        <row r="19">
          <cell r="C19">
            <v>16.832613334334404</v>
          </cell>
        </row>
        <row r="20">
          <cell r="C20">
            <v>2.1984404273757349E-2</v>
          </cell>
        </row>
        <row r="21">
          <cell r="C21">
            <v>3.1270521795044842E-4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99 B"/>
      <sheetName val="Página 16"/>
      <sheetName val="61M-CBMI"/>
      <sheetName val="RESUMO_AUT1"/>
      <sheetName val="Quadro Geral"/>
      <sheetName val="PROJETO"/>
      <sheetName val="8ª MP_BR_459"/>
      <sheetName val="aux"/>
      <sheetName val="PRO_08"/>
      <sheetName val="Feriados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Consultoria"/>
      <sheetName val="COMPOS1"/>
      <sheetName val="Calendário"/>
      <sheetName val="Geral"/>
      <sheetName val="P A T O 98 D"/>
      <sheetName val="P A T O  D"/>
      <sheetName val="Original"/>
      <sheetName val="BD_Equipamentos"/>
      <sheetName val="BD_Tabela de Salários"/>
      <sheetName val="QuQuant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Calc"/>
      <sheetName val="Composições"/>
      <sheetName val="Serviços"/>
      <sheetName val="P A T O 99 B"/>
      <sheetName val="Medição"/>
      <sheetName val="61M-CBMI"/>
      <sheetName val="P A T O"/>
      <sheetName val="PLANILHA DE QUANT. E CUSTOS A"/>
      <sheetName val="PROJETO"/>
      <sheetName val="Feriados"/>
      <sheetName val="PRO-08"/>
      <sheetName val="Insumos"/>
      <sheetName val="Consultoria"/>
      <sheetName val="OP079907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RESUMO_AUT1"/>
      <sheetName val="CROQUIS DE DIST."/>
      <sheetName val="DADOS"/>
      <sheetName val="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Teor"/>
      <sheetName val="LVC215O1_1_"/>
      <sheetName val="P A T O 98 D"/>
      <sheetName val="CUSTO INDIRETO"/>
      <sheetName val="BD_Equipamentos"/>
      <sheetName val="BD_Tabela de Salários"/>
      <sheetName val="QuQuant"/>
      <sheetName val="CS#"/>
      <sheetName val="Conversão"/>
      <sheetName val="Geral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FIDENS-R$mil"/>
      <sheetName val="Quadro de qntd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LISTAS"/>
      <sheetName val="Auxiliares"/>
      <sheetName val="PRINCIPARIS"/>
      <sheetName val="materiais civil"/>
      <sheetName val="mão de obra civil"/>
      <sheetName val="B M Pl04"/>
      <sheetName val="Especif"/>
      <sheetName val="dez00"/>
      <sheetName val="COMPOS1"/>
      <sheetName val="Equipamentos"/>
      <sheetName val="Produção x Medição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  <sheetName val="DADOS_NAO_IMPRIMIR"/>
      <sheetName val="MB VIAB."/>
      <sheetName val="FLUXO - EXECUÇÃO PRÓPRIA"/>
      <sheetName val="P A T O 99 B"/>
      <sheetName val="61M-CBMI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-08"/>
      <sheetName val="EAIGESEN"/>
      <sheetName val="CUSTO ZONA SU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OP079907"/>
      <sheetName val="Fresagem de Pista Ago-98"/>
      <sheetName val="PATO"/>
      <sheetName val="TLCB5"/>
      <sheetName val="TLMR"/>
      <sheetName val="MB"/>
      <sheetName val="Mão de Obra"/>
      <sheetName val="CROQUIS"/>
      <sheetName val="Rev int TP ímpar"/>
      <sheetName val="PLANILHA DE QUANT. E CUSTOS A"/>
      <sheetName val="Cronog Físico Finaceiro "/>
      <sheetName val="LVC215O1_1_"/>
      <sheetName val="CUSTO INDIRETO"/>
      <sheetName val="PROD.PRIM."/>
      <sheetName val="Orçamentária"/>
      <sheetName val="P A T O 98 D"/>
      <sheetName val="Quadro Geral"/>
      <sheetName val="Pontes"/>
      <sheetName val="Consultoria"/>
      <sheetName val="CROQUIS DE DIST."/>
      <sheetName val="Mat. Bet."/>
      <sheetName val="Serv. Adm."/>
      <sheetName val="Convert Lat, Long to UTM"/>
      <sheetName val="PRO_08"/>
      <sheetName val="Feriados"/>
      <sheetName val="A"/>
      <sheetName val="P reaj x P atual"/>
      <sheetName val="TPU-MARÇO_2002"/>
      <sheetName val="Quantidades e Preços - Lote 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talação e manutenção de cant"/>
      <sheetName val="BANCO"/>
      <sheetName val="Conversão"/>
      <sheetName val="C_U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D_PRIM_"/>
      <sheetName val="IDENTIFICAÇÃO"/>
      <sheetName val="P A T O  D"/>
      <sheetName val="Original"/>
      <sheetName val="Dados da Obra"/>
      <sheetName val="BD_Equipamentos"/>
      <sheetName val="BD_Tabela de Salários"/>
      <sheetName val="P A T 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PN (Fx 3)"/>
      <sheetName val="P A T O  B"/>
      <sheetName val="REPOSITÓRIOS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Cover"/>
      <sheetName val="RESUME"/>
      <sheetName val="LC-001"/>
      <sheetName val="1-MCC-SCREENING SYSTEM 1"/>
      <sheetName val="2-MCC-SCREENING SYSTEM 2"/>
      <sheetName val="3-MCC-SCREENING SYSTEM 3"/>
      <sheetName val="4-MCC-SCREENING SYSTEM 4"/>
      <sheetName val="DC-003-WATER CATCHMENT"/>
      <sheetName val="DC-003-ADM"/>
      <sheetName val="LC-002"/>
      <sheetName val="DC-001"/>
      <sheetName val="5-MCC-LEACHING CIRCUIT"/>
      <sheetName val="8-MCC-UTILITIES"/>
      <sheetName val="DC-002"/>
      <sheetName val="6-MCC-PRECIPITATION CIRCUIT"/>
      <sheetName val="7-MCC-NACL_SODAASH_FLOCCULANT"/>
      <sheetName val="0-MCC-ESSENTIAL LOADS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  <row r="18">
          <cell r="A18" t="str">
            <v>LRS</v>
          </cell>
        </row>
        <row r="19">
          <cell r="A19" t="str">
            <v>SS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Preços"/>
      <sheetName val="Desp. Apoio"/>
      <sheetName val="Cálculo"/>
      <sheetName val="Quadro + Gráfico"/>
      <sheetName val="memória de calculo_liquida"/>
      <sheetName val="Carimbo de Nota"/>
      <sheetName val="Proposta"/>
      <sheetName val="COMPOS1"/>
      <sheetName val="Fresagem de Pista Ago-98"/>
      <sheetName val="CRON.NOVO.ARIPUANA"/>
      <sheetName val="Viga_Benkellman"/>
      <sheetName val="Conc 20"/>
      <sheetName val="P3"/>
      <sheetName val="PLANILHA ATUALIZADA"/>
      <sheetName val="Auxiliar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RELAT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Planilha orçamentária da PMJ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RED.-EXP."/>
      <sheetName val="BOCAIS"/>
      <sheetName val="LEQ"/>
      <sheetName val="Planejamento Detalh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Obras"/>
      <sheetName val="Sheet56"/>
      <sheetName val="Pontes"/>
      <sheetName val="Teor"/>
      <sheetName val="Equipamentos"/>
      <sheetName val="Calendário"/>
      <sheetName val="P A T O 99 B"/>
      <sheetName val="PLANILHA CONTRATUAL"/>
      <sheetName val="Consultori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Paulo de Carvalho"/>
      <sheetName val="PLMUSEU"/>
      <sheetName val="61M-CBMI"/>
      <sheetName val="DESMATAMENTO"/>
      <sheetName val="Cronog Físico Finaceiro "/>
      <sheetName val="PLANILHA DE QUANT. E CUSTOS A"/>
      <sheetName val="LVC215O1_1_"/>
      <sheetName val="Conversão"/>
      <sheetName val="PROD_PRIM_"/>
      <sheetName val="IDENTIFICAÇÃO"/>
      <sheetName val="PROD.PRIM."/>
      <sheetName val="CUSTO INDIRETO"/>
      <sheetName val="Carta"/>
      <sheetName val="Vínculos (Não Mexer)"/>
      <sheetName val="Macro1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PRO-08"/>
      <sheetName val="PRO_08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P A T O 99 B"/>
      <sheetName val="BANCO"/>
      <sheetName val="Medição"/>
      <sheetName val="INVENTÁRIO"/>
      <sheetName val="Q-01"/>
      <sheetName val="rev int TP ímpar"/>
      <sheetName val="rev int TP par"/>
      <sheetName val="rev int pav 21_"/>
      <sheetName val="rev int pav 22_"/>
      <sheetName val="rev int pav 23_"/>
      <sheetName val="COMPOS1"/>
      <sheetName val="61M-CBMI"/>
      <sheetName val="Convert Lat, Long to UTM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ágina 16"/>
      <sheetName val="CP1ens1"/>
      <sheetName val="TPU-MARÇO_2002"/>
      <sheetName val="CRONFISFIN_"/>
      <sheetName val="Carimbo de Nota"/>
      <sheetName val="Dados da Obra"/>
      <sheetName val="DESMAT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PRO_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COMPOS1"/>
      <sheetName val="Resumo Financeiro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RESUMO_AUT1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  <sheetName val="Planilha orçamentária da PMJ"/>
      <sheetName val="Calendário"/>
      <sheetName val="P A T O 99 B"/>
      <sheetName val="PROJETO"/>
      <sheetName val="Consultoria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v int TP"/>
      <sheetName val="MARSHAL"/>
      <sheetName val="QuQuant"/>
      <sheetName val="Teor"/>
      <sheetName val="Equipamentos"/>
      <sheetName val="DER janeiro98"/>
      <sheetName val="Página 16"/>
      <sheetName val="EAIGESEN"/>
      <sheetName val="estgg"/>
      <sheetName val="#REF"/>
      <sheetName val="Capa Caract_ Seg_"/>
      <sheetName val="DESMATAMENTO"/>
      <sheetName val="INVENTÁRIO"/>
      <sheetName val="Cronog Físico Finaceiro "/>
      <sheetName val="PROD.PRIM."/>
      <sheetName val="Quantidades e Preços - Lote 01"/>
      <sheetName val="61M-CBMI"/>
      <sheetName val="Dados da Obra"/>
      <sheetName val="CS#"/>
      <sheetName val="Serviços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acro1"/>
      <sheetName val="Composiçõ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DADOS"/>
      <sheetName val="Calendário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PROJETO"/>
      <sheetName val="QuQuant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MPOS1"/>
      <sheetName val="Medição"/>
      <sheetName val="Resumo Financeiro"/>
      <sheetName val="A"/>
      <sheetName val="RESUMO_AUT1"/>
      <sheetName val="P A T O 98 D"/>
      <sheetName val="CRONFISFIN_"/>
      <sheetName val="P A T O 99 B"/>
      <sheetName val="Instalação e manutenção de cant"/>
      <sheetName val="P reaj x P atual"/>
      <sheetName val="INSUMOS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Convert Lat, Long to UTM"/>
      <sheetName val="Dados da Obra"/>
      <sheetName val="resumo transpor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PRO_08"/>
      <sheetName val="PROJETO"/>
      <sheetName val="Preços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Viaduto S. Pompeu"/>
      <sheetName val="CPV"/>
      <sheetName val="Planejado"/>
      <sheetName val="PATO"/>
      <sheetName val="TLCB5"/>
      <sheetName val="TLMR"/>
      <sheetName val="MB"/>
      <sheetName val="Mão de Obra"/>
      <sheetName val="CROQUIS"/>
      <sheetName val="DADOS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TPU-MARÇO_2002"/>
      <sheetName val="OP079907"/>
      <sheetName val="Quadro Geral"/>
      <sheetName val="QuQuant"/>
      <sheetName val="CROQUIS DE DIST."/>
      <sheetName val="VISTEM"/>
      <sheetName val="Mat."/>
      <sheetName val="M.O."/>
      <sheetName val="Teor"/>
      <sheetName val="Resumo Financeiro"/>
      <sheetName val="DG"/>
      <sheetName val="Medição (2"/>
      <sheetName val="Medição Completa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  <sheetName val="BANCO"/>
      <sheetName val="RESUMO_AUT1"/>
      <sheetName val="aux"/>
      <sheetName val="Insumos"/>
      <sheetName val="P A T O 99 B"/>
      <sheetName val="P A T O 98 D"/>
      <sheetName val="MEDIÇÃO RESUMO"/>
      <sheetName val="C_U"/>
      <sheetName val="Instalação e manutenção de cant"/>
      <sheetName val="Conversão"/>
      <sheetName val="Quantidades e Preços - Lote 01"/>
      <sheetName val="rev int TP ímpar"/>
      <sheetName val="rev int TP par"/>
      <sheetName val="rev int pav 21_"/>
      <sheetName val="rev int pav 22_"/>
      <sheetName val="rev int pav 23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Fisico"/>
      <sheetName val="Preço Unit."/>
      <sheetName val="Orçamento"/>
      <sheetName val="Transp.Carroc. 4 ton."/>
      <sheetName val="Transp.Basc. 5m³ "/>
      <sheetName val="Transp.Basc. 4m³"/>
      <sheetName val="Transp.MBF"/>
      <sheetName val="Preço Unit. (2)"/>
      <sheetName val="Plan1"/>
      <sheetName val="Plan2 (4)"/>
      <sheetName val="Q-01"/>
      <sheetName val="CRONOGRAMA"/>
      <sheetName val="Plan2 (3)"/>
      <sheetName val="FL02"/>
      <sheetName val="FL01"/>
      <sheetName val="FL01 (2)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TO"/>
      <sheetName val="TLCB5"/>
      <sheetName val="TLMR"/>
      <sheetName val="MB"/>
      <sheetName val="Mão de Obra"/>
      <sheetName val="CROQUIS"/>
      <sheetName val="Original"/>
      <sheetName val="COMPOS1"/>
      <sheetName val="PROJETO"/>
      <sheetName val="P reaj x P atua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uQuant"/>
      <sheetName val="P A T O"/>
      <sheetName val="estgg"/>
      <sheetName val="CROQUIS DE DIST."/>
      <sheetName val="Fresagem de Pista Ago-98"/>
      <sheetName val="VISTEM"/>
      <sheetName val="BANCO"/>
      <sheetName val="PRO_08"/>
      <sheetName val="Feriados"/>
      <sheetName val="CUSTO EQUIP"/>
      <sheetName val="Comp P Unit "/>
      <sheetName val="CUSTO MATERIAL"/>
      <sheetName val="CALCULOS AUXILIARES"/>
      <sheetName val="Croqui"/>
      <sheetName val="C MÃO OBRA"/>
      <sheetName val="RESUMO_AUT1"/>
      <sheetName val="61M-CBMI"/>
      <sheetName val="Página 16"/>
      <sheetName val="8ª MP_BR_459"/>
      <sheetName val="Orçamentária"/>
      <sheetName val="Medição (2"/>
      <sheetName val="Medição Completa"/>
      <sheetName val="Conversão"/>
      <sheetName val="Consultoria"/>
      <sheetName val="P A T O  D"/>
      <sheetName val="P A T O 98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5.CBUQ"/>
      <sheetName val="5.2.9.RemMatBetum"/>
      <sheetName val="5.3.0.EscavavSoloSemEsgot."/>
      <sheetName val="5.3.1.Escoram"/>
      <sheetName val="5.3.1.Andaimes"/>
      <sheetName val="5.3.3.Concreto15"/>
      <sheetName val="5.3.3.Concreto18"/>
      <sheetName val="5.3.3.ConcretoProjet"/>
      <sheetName val="5.5.5.Aço"/>
      <sheetName val="5.3.3.Forma"/>
      <sheetName val="5.3.9.AcabPedreiro"/>
      <sheetName val="5.3.9.JateamAreia"/>
      <sheetName val="5.3.9.Apicoamento"/>
      <sheetName val="5.3.9.CorteEstConcreto"/>
      <sheetName val="5.3.9.DemEstrConcret"/>
      <sheetName val="7.2.9.Aquis.Mat.Bet. 59ªMP-REV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Geral"/>
      <sheetName val="Original"/>
      <sheetName val="PROJETO"/>
      <sheetName val="QuQuant"/>
      <sheetName val="COMPOS1"/>
      <sheetName val="8ª MP_BR_459"/>
      <sheetName val="8ª MP_BR-459"/>
      <sheetName val="Fresagem de Pista Ago-98"/>
      <sheetName val="Convert Lat, Long to UTM"/>
      <sheetName val="Teor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PRO-08"/>
      <sheetName val="1ExecuçServiços"/>
      <sheetName val="61M-CBMI"/>
      <sheetName val="Medição"/>
      <sheetName val="RESUMO_AUT1"/>
      <sheetName val="Página 16"/>
      <sheetName val="Feriados"/>
      <sheetName val="PROD_PRIM_"/>
      <sheetName val="IDENTIFICAÇÃO"/>
      <sheetName val="450"/>
      <sheetName val="Compactação  botafora"/>
      <sheetName val="PROD.PRIM."/>
      <sheetName val="P A T O  D"/>
      <sheetName val="P A T O 98 D"/>
      <sheetName val="Orçamentária"/>
      <sheetName val="BD_Equipamentos"/>
      <sheetName val="BD_Tabela de Salários"/>
      <sheetName val="Medição (2"/>
      <sheetName val="Medição Completa"/>
    </sheetNames>
    <sheetDataSet>
      <sheetData sheetId="0"/>
      <sheetData sheetId="1"/>
      <sheetData sheetId="2"/>
      <sheetData sheetId="3"/>
      <sheetData sheetId="4"/>
      <sheetData sheetId="5">
        <row r="48">
          <cell r="L48">
            <v>47101.5</v>
          </cell>
        </row>
      </sheetData>
      <sheetData sheetId="6">
        <row r="30">
          <cell r="J30">
            <v>86.04498000000001</v>
          </cell>
        </row>
        <row r="39">
          <cell r="O39">
            <v>2458.4279999999999</v>
          </cell>
        </row>
      </sheetData>
      <sheetData sheetId="7">
        <row r="43">
          <cell r="J43">
            <v>225.33681599999997</v>
          </cell>
        </row>
      </sheetData>
      <sheetData sheetId="8">
        <row r="49">
          <cell r="L49">
            <v>408.01151999999996</v>
          </cell>
        </row>
      </sheetData>
      <sheetData sheetId="9">
        <row r="49">
          <cell r="I49">
            <v>1.245527184</v>
          </cell>
        </row>
      </sheetData>
      <sheetData sheetId="10">
        <row r="48">
          <cell r="L48">
            <v>1751.3760000000002</v>
          </cell>
        </row>
      </sheetData>
      <sheetData sheetId="11">
        <row r="117">
          <cell r="I117">
            <v>3300.0500000000006</v>
          </cell>
        </row>
      </sheetData>
      <sheetData sheetId="12">
        <row r="55">
          <cell r="I55">
            <v>846.4</v>
          </cell>
        </row>
      </sheetData>
      <sheetData sheetId="13">
        <row r="52">
          <cell r="I52">
            <v>4</v>
          </cell>
        </row>
      </sheetData>
      <sheetData sheetId="14">
        <row r="56">
          <cell r="K56">
            <v>26663.5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Planilha PI+R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9.RemMatBetum"/>
      <sheetName val="5.3.0.EscavavSoloSemEsgot."/>
      <sheetName val="5.3.1.Escoram"/>
      <sheetName val="5.3.1.Andaimes"/>
      <sheetName val="5.3.9.JateamAreia"/>
      <sheetName val="5.3.9.Apicoamento"/>
      <sheetName val="5.3.9.CorteEstConcreto"/>
      <sheetName val="5.3.9.DemEstrConcret"/>
      <sheetName val="7.2.9.Aquis.Mat.Bet. 59ªMP-REV"/>
      <sheetName val="2.2.2.SUB_BASE_SEG"/>
      <sheetName val="2.2.0.Regularizacao"/>
      <sheetName val="2.2.2.BASESEG30%AREIA"/>
      <sheetName val="A"/>
      <sheetName val="DER janeiro98"/>
      <sheetName val="P A T O 99 B"/>
      <sheetName val="Geral"/>
      <sheetName val="PROJETO"/>
      <sheetName val="COMPOS1"/>
      <sheetName val="QuQuant"/>
      <sheetName val="Convert Lat, Long to UTM"/>
      <sheetName val="Teor"/>
      <sheetName val="Equipamentos"/>
      <sheetName val="Resumo Financeiro"/>
      <sheetName val="PRO-08"/>
      <sheetName val="RESUMO_AUT1"/>
      <sheetName val="Original"/>
      <sheetName val="Medição"/>
      <sheetName val="Insumos"/>
      <sheetName val="Quantidades e Preços - Lote 01"/>
      <sheetName val="orçamento_global"/>
      <sheetName val="450"/>
      <sheetName val="Dados da Obra"/>
      <sheetName val="BD_Equipamentos"/>
      <sheetName val="BD_Tabela de Salários"/>
      <sheetName val="LVC215O1_1_"/>
      <sheetName val="PROD_PRIM_"/>
      <sheetName val="IDENTIFICAÇÃO"/>
      <sheetName val="CUSTO INDIRETO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J30">
            <v>199.13264000000001</v>
          </cell>
        </row>
      </sheetData>
      <sheetData sheetId="8" refreshError="1">
        <row r="43">
          <cell r="J43">
            <v>265.19196000000005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Códigos"/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RESUMO "/>
      <sheetName val="MOBIL-CANT-MANUNT-DESM"/>
      <sheetName val="PQP(1)"/>
      <sheetName val="PQP (2)"/>
      <sheetName val="PQP (3)"/>
      <sheetName val="PQP (4)"/>
      <sheetName val="PQP (5)"/>
      <sheetName val="06-220-TRANS CV3"/>
      <sheetName val="PQP (7)"/>
      <sheetName val="PQP (8)"/>
      <sheetName val="PQP (9)"/>
      <sheetName val="10-260-SILO MIN"/>
      <sheetName val="PQP (11)"/>
      <sheetName val="12-330-MOA BASE"/>
      <sheetName val="PQP (13)"/>
      <sheetName val="PQP (14)"/>
      <sheetName val="PQP (15)"/>
      <sheetName val="PQP (16)"/>
      <sheetName val="PQP (17)"/>
      <sheetName val="PQP (18)"/>
      <sheetName val="PQP (19)"/>
      <sheetName val="PQP (20)"/>
      <sheetName val="PQP (21)"/>
      <sheetName val="PQP (22)"/>
      <sheetName val="PQP (23)"/>
      <sheetName val="PQP (24)"/>
      <sheetName val="PQP (25)"/>
      <sheetName val="PQP (26)"/>
      <sheetName val="PQP (27)"/>
      <sheetName val="PQP (28)"/>
      <sheetName val="PQP (29)"/>
      <sheetName val="PQP (30)"/>
      <sheetName val="PQP (31)"/>
      <sheetName val="PQP (32)"/>
      <sheetName val="PQP (33)"/>
      <sheetName val="PQP (34)"/>
      <sheetName val="PQP (35)"/>
      <sheetName val="PQP (36)"/>
      <sheetName val="39-612-SUB PLA"/>
      <sheetName val="40-613-SUBS LIX"/>
      <sheetName val="PQP (41)"/>
      <sheetName val="PQP (42)"/>
      <sheetName val="43-614-SUBS REJ"/>
      <sheetName val="44-614-SUBS  BOM"/>
      <sheetName val="45-614-SUBS CAP"/>
      <sheetName val="PQP (46)"/>
      <sheetName val="PQP (47)"/>
      <sheetName val="PQP (48)"/>
      <sheetName val="PQP (49)"/>
      <sheetName val="PQP (50)"/>
      <sheetName val="PQP (51)"/>
      <sheetName val="R$ Unit Produção (2)"/>
      <sheetName val="CRON. FISICO"/>
      <sheetName val="C.F.F "/>
      <sheetName val="Preço Unitário-MO"/>
      <sheetName val="Preço Unit. veículos e equip."/>
      <sheetName val="BDI"/>
      <sheetName val="Adm local"/>
      <sheetName val="Mobilização-desmobiliz"/>
      <sheetName val="Canteiro"/>
      <sheetName val="Manutenção do canteiro"/>
      <sheetName val="Encargos "/>
      <sheetName val="EPI's"/>
      <sheetName val="Desp Indir MO"/>
      <sheetName val="R$ Unit Serviço"/>
      <sheetName val="R$ Unit Produção"/>
      <sheetName val="histograma MO"/>
      <sheetName val="histograma Equipam"/>
      <sheetName val="Plan1"/>
      <sheetName val="Boletim de Medição"/>
      <sheetName val="B_M_Pl04"/>
      <sheetName val="B_M_Pl03"/>
      <sheetName val="B_M_Pl02"/>
      <sheetName val="B_M_Pl01"/>
      <sheetName val="S__L__V_04"/>
      <sheetName val="S__L__V_03"/>
      <sheetName val="S__L__V_02"/>
      <sheetName val="S_L_V_01-2"/>
      <sheetName val="Paviment_pl03-2"/>
      <sheetName val="Carta_à_C__E__F_"/>
      <sheetName val="Boletim_de_Medição"/>
      <sheetName val="Boletim de Medição.xls"/>
    </sheetNames>
    <sheetDataSet>
      <sheetData sheetId="0" refreshError="1">
        <row r="5">
          <cell r="B5" t="str">
            <v>50-01-01</v>
          </cell>
        </row>
        <row r="6">
          <cell r="B6">
            <v>98</v>
          </cell>
        </row>
        <row r="7">
          <cell r="B7">
            <v>97</v>
          </cell>
        </row>
        <row r="8">
          <cell r="B8">
            <v>96</v>
          </cell>
          <cell r="D8">
            <v>1</v>
          </cell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1</v>
          </cell>
          <cell r="O8" t="str">
            <v>BANCO</v>
          </cell>
          <cell r="P8">
            <v>0</v>
          </cell>
          <cell r="S8">
            <v>4</v>
          </cell>
        </row>
        <row r="9">
          <cell r="B9">
            <v>95</v>
          </cell>
          <cell r="D9" t="str">
            <v/>
          </cell>
          <cell r="E9" t="str">
            <v/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  <cell r="P9">
            <v>0</v>
          </cell>
          <cell r="S9" t="str">
            <v/>
          </cell>
        </row>
        <row r="10">
          <cell r="B10">
            <v>94</v>
          </cell>
          <cell r="D10" t="str">
            <v/>
          </cell>
          <cell r="E10" t="str">
            <v/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  <cell r="P10">
            <v>0</v>
          </cell>
          <cell r="S10" t="str">
            <v/>
          </cell>
        </row>
        <row r="11">
          <cell r="B11">
            <v>93</v>
          </cell>
          <cell r="D11" t="str">
            <v/>
          </cell>
          <cell r="E11" t="str">
            <v/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  <cell r="P11">
            <v>0</v>
          </cell>
          <cell r="S11" t="str">
            <v/>
          </cell>
        </row>
        <row r="12">
          <cell r="B12">
            <v>92</v>
          </cell>
          <cell r="D12" t="str">
            <v/>
          </cell>
          <cell r="E12" t="str">
            <v/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  <cell r="P12">
            <v>0</v>
          </cell>
          <cell r="S12" t="str">
            <v/>
          </cell>
        </row>
        <row r="13">
          <cell r="B13" t="str">
            <v>CÓDIGO</v>
          </cell>
          <cell r="D13" t="str">
            <v/>
          </cell>
          <cell r="E13" t="str">
            <v/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  <cell r="P13">
            <v>0</v>
          </cell>
          <cell r="S13" t="str">
            <v/>
          </cell>
        </row>
        <row r="14">
          <cell r="B14">
            <v>90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  <cell r="P14" t="str">
            <v/>
          </cell>
          <cell r="S14" t="str">
            <v/>
          </cell>
        </row>
        <row r="15">
          <cell r="B15">
            <v>89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S15" t="str">
            <v/>
          </cell>
        </row>
        <row r="16">
          <cell r="B16">
            <v>88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  <cell r="P16" t="str">
            <v/>
          </cell>
          <cell r="S16" t="str">
            <v/>
          </cell>
        </row>
        <row r="17">
          <cell r="B17">
            <v>89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  <cell r="P17" t="str">
            <v/>
          </cell>
          <cell r="S17" t="str">
            <v/>
          </cell>
        </row>
        <row r="18">
          <cell r="B18">
            <v>88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  <cell r="P18" t="str">
            <v/>
          </cell>
          <cell r="S18" t="str">
            <v/>
          </cell>
        </row>
        <row r="19">
          <cell r="B19">
            <v>1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S19" t="str">
            <v/>
          </cell>
        </row>
        <row r="20">
          <cell r="B20">
            <v>1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S20" t="str">
            <v/>
          </cell>
        </row>
        <row r="21">
          <cell r="B21">
            <v>2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S21" t="str">
            <v/>
          </cell>
        </row>
        <row r="22">
          <cell r="B22">
            <v>2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S22" t="str">
            <v/>
          </cell>
        </row>
        <row r="23">
          <cell r="B23">
            <v>98</v>
          </cell>
          <cell r="D23" t="str">
            <v/>
          </cell>
          <cell r="E23" t="str">
            <v/>
          </cell>
          <cell r="F23" t="str">
            <v>02-01-02</v>
          </cell>
          <cell r="G23">
            <v>2</v>
          </cell>
          <cell r="H23" t="str">
            <v/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S23" t="str">
            <v/>
          </cell>
        </row>
        <row r="24">
          <cell r="B24">
            <v>97</v>
          </cell>
          <cell r="D24" t="str">
            <v/>
          </cell>
          <cell r="E24" t="str">
            <v/>
          </cell>
          <cell r="F24" t="str">
            <v>02-01-02</v>
          </cell>
          <cell r="G24" t="str">
            <v>MAIO/2002</v>
          </cell>
          <cell r="H24" t="str">
            <v/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S24" t="str">
            <v/>
          </cell>
        </row>
        <row r="25">
          <cell r="B25">
            <v>96</v>
          </cell>
          <cell r="D25" t="str">
            <v/>
          </cell>
          <cell r="E25" t="str">
            <v/>
          </cell>
          <cell r="F25" t="str">
            <v>02-01-02</v>
          </cell>
          <cell r="G25" t="str">
            <v>01 A 31/05/2002</v>
          </cell>
          <cell r="H25" t="str">
            <v/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  <cell r="P25" t="str">
            <v/>
          </cell>
          <cell r="S25" t="str">
            <v/>
          </cell>
        </row>
        <row r="26">
          <cell r="B26">
            <v>95</v>
          </cell>
          <cell r="D26" t="str">
            <v/>
          </cell>
          <cell r="E26" t="str">
            <v/>
          </cell>
          <cell r="F26" t="str">
            <v>02-01-02</v>
          </cell>
          <cell r="G26">
            <v>37412</v>
          </cell>
          <cell r="H26" t="str">
            <v/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S26" t="str">
            <v/>
          </cell>
        </row>
        <row r="27">
          <cell r="B27">
            <v>94</v>
          </cell>
          <cell r="D27" t="str">
            <v/>
          </cell>
          <cell r="E27" t="str">
            <v/>
          </cell>
          <cell r="F27" t="str">
            <v>02-01-02</v>
          </cell>
          <cell r="G27">
            <v>166.93799999999999</v>
          </cell>
          <cell r="H27" t="str">
            <v/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S27" t="str">
            <v/>
          </cell>
        </row>
        <row r="28">
          <cell r="B28">
            <v>3</v>
          </cell>
          <cell r="D28" t="str">
            <v/>
          </cell>
          <cell r="E28" t="str">
            <v/>
          </cell>
          <cell r="F28" t="str">
            <v>02-01-02</v>
          </cell>
          <cell r="G28">
            <v>170.988</v>
          </cell>
          <cell r="H28" t="str">
            <v/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S28" t="str">
            <v/>
          </cell>
        </row>
        <row r="29">
          <cell r="B29">
            <v>3</v>
          </cell>
          <cell r="D29" t="str">
            <v/>
          </cell>
          <cell r="E29" t="str">
            <v/>
          </cell>
          <cell r="F29" t="str">
            <v>02-01-02</v>
          </cell>
          <cell r="G29">
            <v>162.203</v>
          </cell>
          <cell r="H29" t="str">
            <v/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S29" t="str">
            <v/>
          </cell>
        </row>
        <row r="30">
          <cell r="B30">
            <v>4</v>
          </cell>
          <cell r="D30" t="str">
            <v/>
          </cell>
          <cell r="E30" t="str">
            <v/>
          </cell>
          <cell r="F30" t="str">
            <v>02-01-02</v>
          </cell>
          <cell r="G30">
            <v>0</v>
          </cell>
          <cell r="H30" t="str">
            <v/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S30" t="str">
            <v/>
          </cell>
        </row>
        <row r="31">
          <cell r="B31">
            <v>4</v>
          </cell>
          <cell r="D31" t="str">
            <v/>
          </cell>
          <cell r="E31" t="str">
            <v/>
          </cell>
          <cell r="F31" t="str">
            <v>02-01-02</v>
          </cell>
          <cell r="G31">
            <v>0</v>
          </cell>
          <cell r="H31" t="str">
            <v/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S31" t="str">
            <v/>
          </cell>
        </row>
        <row r="32">
          <cell r="B32">
            <v>5</v>
          </cell>
          <cell r="D32" t="str">
            <v/>
          </cell>
          <cell r="E32" t="str">
            <v/>
          </cell>
          <cell r="F32" t="str">
            <v/>
          </cell>
          <cell r="G32" t="str">
            <v>(TODOS)</v>
          </cell>
          <cell r="H32" t="str">
            <v/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S32" t="str">
            <v/>
          </cell>
        </row>
        <row r="33">
          <cell r="B33" t="str">
            <v/>
          </cell>
          <cell r="D33" t="str">
            <v/>
          </cell>
          <cell r="E33" t="str">
            <v/>
          </cell>
          <cell r="F33">
            <v>1</v>
          </cell>
          <cell r="G33" t="str">
            <v>BANCO</v>
          </cell>
          <cell r="H33" t="str">
            <v/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S33" t="str">
            <v/>
          </cell>
        </row>
        <row r="34"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>(TODAS)</v>
          </cell>
          <cell r="H34" t="str">
            <v/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S34" t="str">
            <v/>
          </cell>
        </row>
        <row r="35">
          <cell r="B35" t="str">
            <v/>
          </cell>
          <cell r="D35" t="str">
            <v/>
          </cell>
          <cell r="E35" t="str">
            <v/>
          </cell>
          <cell r="F35">
            <v>2</v>
          </cell>
          <cell r="G35" t="str">
            <v>PAVIMENTAÇÃO URBANA</v>
          </cell>
          <cell r="H35" t="str">
            <v/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S35" t="str">
            <v/>
          </cell>
        </row>
        <row r="36">
          <cell r="B36" t="str">
            <v/>
          </cell>
          <cell r="D36" t="str">
            <v/>
          </cell>
          <cell r="E36" t="str">
            <v/>
          </cell>
          <cell r="F36" t="str">
            <v>-</v>
          </cell>
          <cell r="G36" t="str">
            <v>PLANALTINA, GO</v>
          </cell>
          <cell r="H36" t="str">
            <v/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S36" t="str">
            <v/>
          </cell>
        </row>
        <row r="37">
          <cell r="B37" t="str">
            <v/>
          </cell>
          <cell r="D37" t="str">
            <v/>
          </cell>
          <cell r="E37" t="str">
            <v/>
          </cell>
          <cell r="F37">
            <v>2</v>
          </cell>
          <cell r="G37" t="str">
            <v>SEPLAN-2000</v>
          </cell>
          <cell r="H37" t="str">
            <v/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S37" t="str">
            <v/>
          </cell>
        </row>
        <row r="38">
          <cell r="B38" t="str">
            <v/>
          </cell>
          <cell r="D38" t="str">
            <v/>
          </cell>
          <cell r="E38" t="str">
            <v/>
          </cell>
          <cell r="F38" t="str">
            <v>-</v>
          </cell>
          <cell r="G38" t="str">
            <v>Ademir Menezes</v>
          </cell>
          <cell r="H38" t="str">
            <v/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S38" t="str">
            <v/>
          </cell>
        </row>
        <row r="39">
          <cell r="D39" t="str">
            <v/>
          </cell>
          <cell r="E39" t="str">
            <v/>
          </cell>
          <cell r="F39" t="str">
            <v>PREFEITURA</v>
          </cell>
          <cell r="G39" t="str">
            <v>17-B</v>
          </cell>
          <cell r="H39" t="str">
            <v>17-A</v>
          </cell>
          <cell r="I39" t="str">
            <v>10/07/08 A 13/09/08</v>
          </cell>
          <cell r="J39" t="str">
            <v>JUL a SET/08</v>
          </cell>
          <cell r="K39" t="str">
            <v/>
          </cell>
          <cell r="L39" t="str">
            <v/>
          </cell>
          <cell r="M39" t="str">
            <v/>
          </cell>
          <cell r="S39" t="str">
            <v/>
          </cell>
        </row>
        <row r="40">
          <cell r="D40" t="str">
            <v/>
          </cell>
          <cell r="E40" t="str">
            <v/>
          </cell>
          <cell r="F40" t="str">
            <v>BANCO</v>
          </cell>
          <cell r="G40">
            <v>2</v>
          </cell>
          <cell r="H40">
            <v>1</v>
          </cell>
          <cell r="I40" t="str">
            <v>10/07/08 A 13/09/08</v>
          </cell>
          <cell r="J40" t="str">
            <v>JUL a SET/08</v>
          </cell>
          <cell r="K40" t="str">
            <v/>
          </cell>
          <cell r="L40" t="str">
            <v/>
          </cell>
          <cell r="M40" t="str">
            <v/>
          </cell>
          <cell r="S40" t="str">
            <v/>
          </cell>
        </row>
        <row r="41">
          <cell r="D41" t="str">
            <v/>
          </cell>
          <cell r="E41" t="str">
            <v/>
          </cell>
          <cell r="F41" t="str">
            <v>PREFEITURA</v>
          </cell>
          <cell r="G41" t="str">
            <v>17-C</v>
          </cell>
          <cell r="H41" t="str">
            <v>17-B</v>
          </cell>
          <cell r="I41" t="str">
            <v>10/07/08 A 13/09/08</v>
          </cell>
          <cell r="J41" t="str">
            <v>JUL a SET/08</v>
          </cell>
          <cell r="K41" t="str">
            <v/>
          </cell>
          <cell r="L41" t="str">
            <v/>
          </cell>
          <cell r="M41" t="str">
            <v/>
          </cell>
          <cell r="S41" t="str">
            <v/>
          </cell>
        </row>
      </sheetData>
      <sheetData sheetId="1" refreshError="1">
        <row r="5">
          <cell r="B5" t="str">
            <v>APLICAR PERCEN-</v>
          </cell>
          <cell r="M5">
            <v>3</v>
          </cell>
          <cell r="O5" t="str">
            <v>BANCO E SANEAGO</v>
          </cell>
        </row>
        <row r="6">
          <cell r="M6">
            <v>4</v>
          </cell>
          <cell r="O6" t="str">
            <v>BANCO E PREFEITURA</v>
          </cell>
        </row>
        <row r="7">
          <cell r="M7" t="str">
            <v/>
          </cell>
          <cell r="O7" t="str">
            <v>SANEAGO E PREFEITURA</v>
          </cell>
        </row>
        <row r="8"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6</v>
          </cell>
          <cell r="O8" t="str">
            <v>BANCO</v>
          </cell>
        </row>
        <row r="9">
          <cell r="E9" t="str">
            <v/>
          </cell>
          <cell r="F9" t="str">
            <v>BANCO</v>
          </cell>
          <cell r="G9" t="str">
            <v>Pl.Tr. 975-Min.Cid./07</v>
          </cell>
          <cell r="H9">
            <v>0</v>
          </cell>
          <cell r="I9" t="str">
            <v>Planej._Pl.Tr. 975-Min.Cid./07</v>
          </cell>
          <cell r="J9" t="str">
            <v>MAR/08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</row>
        <row r="10">
          <cell r="E10" t="str">
            <v/>
          </cell>
          <cell r="F10" t="str">
            <v>BANCO</v>
          </cell>
          <cell r="G10" t="str">
            <v>Pl.Tr. 1.778,8-Min.Cid./07</v>
          </cell>
          <cell r="H10">
            <v>0</v>
          </cell>
          <cell r="I10" t="str">
            <v>Planej._Pl.Tr. 1.778,8-Min.Cid./07</v>
          </cell>
          <cell r="J10" t="str">
            <v>MAR/08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</row>
        <row r="11">
          <cell r="E11" t="str">
            <v/>
          </cell>
          <cell r="F11" t="str">
            <v>BANCO</v>
          </cell>
          <cell r="G11" t="str">
            <v>Pl.Tr.Div._Min.Cid./07_Div._Lago</v>
          </cell>
          <cell r="H11">
            <v>0</v>
          </cell>
          <cell r="I11" t="str">
            <v xml:space="preserve"> Planej._Pl.Tr.Div._Min.Cid./07_Div._Lago</v>
          </cell>
          <cell r="J11" t="str">
            <v>MAR/08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</row>
        <row r="12">
          <cell r="E12" t="str">
            <v/>
          </cell>
          <cell r="F12" t="str">
            <v>BANCO</v>
          </cell>
          <cell r="G12" t="str">
            <v xml:space="preserve"> Pl.Tr. 987,5-Min.Cid./07 </v>
          </cell>
          <cell r="H12">
            <v>0</v>
          </cell>
          <cell r="I12" t="str">
            <v xml:space="preserve"> Planej._Pl.Tr. 987,5-Min.Cid./07 </v>
          </cell>
          <cell r="J12" t="str">
            <v>MAR/08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</row>
        <row r="13">
          <cell r="E13" t="str">
            <v/>
          </cell>
          <cell r="F13" t="str">
            <v>BANCO</v>
          </cell>
          <cell r="G13" t="str">
            <v xml:space="preserve"> Pl.Tr. 146,25(4)-Min.Tur./07 </v>
          </cell>
          <cell r="H13">
            <v>0</v>
          </cell>
          <cell r="I13" t="str">
            <v xml:space="preserve"> Planej._Pl.Tr. 146,25(4)-Min.Tur./07 </v>
          </cell>
          <cell r="J13" t="str">
            <v>MAR/08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</row>
        <row r="14">
          <cell r="E14" t="str">
            <v/>
          </cell>
          <cell r="F14" t="str">
            <v>BANCO</v>
          </cell>
          <cell r="G14" t="str">
            <v>Pl.Tr.Div._Min.Cid./06_Div.</v>
          </cell>
          <cell r="H14">
            <v>0</v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</row>
        <row r="15">
          <cell r="E15" t="str">
            <v/>
          </cell>
          <cell r="F15" t="str">
            <v>BANCO</v>
          </cell>
          <cell r="G15" t="str">
            <v>Pl.Tr.146,25(3)-Min.Cid./06</v>
          </cell>
          <cell r="H15">
            <v>0</v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</row>
        <row r="16">
          <cell r="E16" t="str">
            <v/>
          </cell>
          <cell r="F16" t="str">
            <v>BANCO</v>
          </cell>
          <cell r="G16" t="str">
            <v>Pl.Tr.292,5-Min.Cid./06</v>
          </cell>
          <cell r="H16">
            <v>0</v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</row>
        <row r="17">
          <cell r="E17" t="str">
            <v/>
          </cell>
          <cell r="F17" t="str">
            <v>BANCO</v>
          </cell>
          <cell r="G17" t="str">
            <v>Pl.Tr.146,25(3)-Min.Cid./06</v>
          </cell>
          <cell r="H17">
            <v>0</v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</row>
        <row r="18">
          <cell r="E18" t="str">
            <v/>
          </cell>
          <cell r="F18" t="str">
            <v>BANCO</v>
          </cell>
          <cell r="G18" t="str">
            <v>Pl.Tr.292,5-Min.Cid./06</v>
          </cell>
          <cell r="H18">
            <v>0</v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</row>
        <row r="19">
          <cell r="E19" t="str">
            <v/>
          </cell>
          <cell r="F19" t="str">
            <v>BANCO</v>
          </cell>
          <cell r="G19">
            <v>1</v>
          </cell>
          <cell r="H19">
            <v>0</v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</row>
        <row r="20">
          <cell r="E20" t="str">
            <v/>
          </cell>
          <cell r="F20" t="str">
            <v>PREFEITURA</v>
          </cell>
          <cell r="G20" t="str">
            <v>15-A</v>
          </cell>
          <cell r="H20">
            <v>14</v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</row>
        <row r="21">
          <cell r="E21" t="str">
            <v/>
          </cell>
          <cell r="F21" t="str">
            <v>BANCO</v>
          </cell>
          <cell r="G21">
            <v>1</v>
          </cell>
          <cell r="H21">
            <v>0</v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</row>
        <row r="22">
          <cell r="E22" t="str">
            <v/>
          </cell>
          <cell r="F22" t="str">
            <v>PREFEITURA</v>
          </cell>
          <cell r="G22" t="str">
            <v>15-B</v>
          </cell>
          <cell r="H22" t="str">
            <v>15-A</v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E23" t="str">
            <v/>
          </cell>
          <cell r="F23" t="str">
            <v>02-01-02</v>
          </cell>
          <cell r="G23">
            <v>2</v>
          </cell>
          <cell r="H23">
            <v>0</v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</row>
        <row r="24">
          <cell r="E24" t="str">
            <v/>
          </cell>
          <cell r="F24" t="str">
            <v>02-01-02</v>
          </cell>
          <cell r="G24" t="str">
            <v>MAIO/2002</v>
          </cell>
          <cell r="H24">
            <v>0</v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</row>
        <row r="25">
          <cell r="E25" t="str">
            <v/>
          </cell>
          <cell r="F25" t="str">
            <v>02-01-02</v>
          </cell>
          <cell r="G25" t="str">
            <v>01 A 31/05/2002</v>
          </cell>
          <cell r="H25">
            <v>0</v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</row>
        <row r="26">
          <cell r="E26" t="str">
            <v/>
          </cell>
          <cell r="F26" t="str">
            <v>02-01-02</v>
          </cell>
          <cell r="G26">
            <v>37412</v>
          </cell>
          <cell r="H26">
            <v>0</v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</row>
        <row r="27">
          <cell r="E27" t="str">
            <v/>
          </cell>
          <cell r="F27" t="str">
            <v>02-01-02</v>
          </cell>
          <cell r="G27">
            <v>166.93799999999999</v>
          </cell>
          <cell r="H27">
            <v>0</v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</row>
        <row r="28">
          <cell r="E28" t="str">
            <v/>
          </cell>
          <cell r="F28" t="str">
            <v>02-01-02</v>
          </cell>
          <cell r="G28">
            <v>170.988</v>
          </cell>
          <cell r="H28">
            <v>0</v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</row>
        <row r="29">
          <cell r="E29" t="str">
            <v/>
          </cell>
          <cell r="F29" t="str">
            <v>02-01-02</v>
          </cell>
          <cell r="G29">
            <v>162.203</v>
          </cell>
          <cell r="H29" t="str">
            <v>15-B</v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</row>
        <row r="30">
          <cell r="E30" t="str">
            <v/>
          </cell>
          <cell r="F30" t="str">
            <v>02-01-02</v>
          </cell>
          <cell r="G30">
            <v>0</v>
          </cell>
          <cell r="H30">
            <v>0</v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</row>
        <row r="31">
          <cell r="E31" t="str">
            <v/>
          </cell>
          <cell r="F31" t="str">
            <v>02-01-02</v>
          </cell>
          <cell r="G31">
            <v>0</v>
          </cell>
          <cell r="H31" t="str">
            <v>16-A</v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</row>
        <row r="32">
          <cell r="E32" t="str">
            <v/>
          </cell>
          <cell r="F32" t="str">
            <v/>
          </cell>
          <cell r="G32" t="str">
            <v>(TODOS)</v>
          </cell>
          <cell r="H32">
            <v>0</v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</row>
        <row r="33">
          <cell r="E33" t="str">
            <v/>
          </cell>
          <cell r="F33">
            <v>1</v>
          </cell>
          <cell r="G33" t="str">
            <v>BANCO</v>
          </cell>
          <cell r="H33" t="str">
            <v>16-B</v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</row>
        <row r="34">
          <cell r="E34" t="str">
            <v/>
          </cell>
          <cell r="F34" t="str">
            <v/>
          </cell>
          <cell r="G34" t="str">
            <v>(TODAS)</v>
          </cell>
          <cell r="H34">
            <v>0</v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</row>
        <row r="35">
          <cell r="E35" t="str">
            <v/>
          </cell>
          <cell r="F35">
            <v>2</v>
          </cell>
          <cell r="G35" t="str">
            <v>PAVIMENTAÇÃO URBANA</v>
          </cell>
          <cell r="H35" t="str">
            <v>16-C</v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</row>
        <row r="36">
          <cell r="E36" t="str">
            <v/>
          </cell>
          <cell r="F36" t="str">
            <v>-</v>
          </cell>
          <cell r="G36" t="str">
            <v>PLANALTINA, GO</v>
          </cell>
          <cell r="H36">
            <v>1</v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</row>
        <row r="37">
          <cell r="E37" t="str">
            <v/>
          </cell>
          <cell r="F37">
            <v>2</v>
          </cell>
          <cell r="G37" t="str">
            <v>SEPLAN-2000</v>
          </cell>
          <cell r="H37" t="str">
            <v>16-D</v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</row>
        <row r="38">
          <cell r="E38" t="str">
            <v/>
          </cell>
          <cell r="F38" t="str">
            <v>-</v>
          </cell>
          <cell r="G38" t="str">
            <v>Ademir Menezes</v>
          </cell>
          <cell r="H38">
            <v>1</v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</row>
      </sheetData>
      <sheetData sheetId="2" refreshError="1">
        <row r="5">
          <cell r="B5" t="str">
            <v>50-01-01</v>
          </cell>
          <cell r="R5">
            <v>3</v>
          </cell>
          <cell r="S5">
            <v>28070963.179999996</v>
          </cell>
          <cell r="T5" t="str">
            <v>PAVIMENTAÇÃO E GALERIAS DE ÁGUAS PLUVIAIS</v>
          </cell>
          <cell r="U5">
            <v>3</v>
          </cell>
          <cell r="V5" t="str">
            <v>000/2005</v>
          </cell>
          <cell r="X5" t="str">
            <v>S. RECANTO DAS MINAS GERAIS</v>
          </cell>
        </row>
        <row r="6">
          <cell r="V6" t="str">
            <v/>
          </cell>
          <cell r="X6" t="str">
            <v>S. RECANTO DAS MINAS GERAIS</v>
          </cell>
        </row>
        <row r="7">
          <cell r="V7" t="str">
            <v/>
          </cell>
          <cell r="X7" t="str">
            <v>S. RECANTO DAS MINAS GERAIS</v>
          </cell>
        </row>
        <row r="8">
          <cell r="S8">
            <v>4</v>
          </cell>
          <cell r="V8" t="str">
            <v/>
          </cell>
          <cell r="X8" t="str">
            <v>S. RECANTO DAS MINAS GERAIS</v>
          </cell>
        </row>
        <row r="9">
          <cell r="S9" t="str">
            <v/>
          </cell>
          <cell r="V9" t="str">
            <v/>
          </cell>
          <cell r="X9" t="str">
            <v>S. RECANTO DAS MINAS GERAIS</v>
          </cell>
        </row>
        <row r="10">
          <cell r="S10" t="str">
            <v/>
          </cell>
          <cell r="V10" t="str">
            <v/>
          </cell>
          <cell r="X10" t="str">
            <v>S. RECANTO DAS MINAS GERAIS</v>
          </cell>
        </row>
        <row r="11">
          <cell r="S11" t="str">
            <v/>
          </cell>
          <cell r="V11" t="str">
            <v/>
          </cell>
          <cell r="X11" t="str">
            <v>S. RECANTO DAS MINAS GERAIS</v>
          </cell>
        </row>
        <row r="12">
          <cell r="S12" t="str">
            <v/>
          </cell>
          <cell r="V12" t="str">
            <v/>
          </cell>
          <cell r="X12" t="str">
            <v>S. RECANTO DAS MINAS GERAIS</v>
          </cell>
        </row>
        <row r="13">
          <cell r="S13" t="str">
            <v/>
          </cell>
          <cell r="V13" t="str">
            <v/>
          </cell>
          <cell r="X13" t="str">
            <v>S. RECANTO DAS MINAS GERAIS</v>
          </cell>
        </row>
        <row r="14">
          <cell r="S14" t="str">
            <v/>
          </cell>
          <cell r="V14" t="str">
            <v/>
          </cell>
          <cell r="X14" t="str">
            <v>S. RECANTO DAS MINAS GERAIS</v>
          </cell>
        </row>
        <row r="15">
          <cell r="S15" t="str">
            <v/>
          </cell>
          <cell r="V15" t="str">
            <v/>
          </cell>
          <cell r="X15" t="str">
            <v>S. RECANTO DAS MINAS GERAIS</v>
          </cell>
        </row>
        <row r="16">
          <cell r="S16" t="str">
            <v/>
          </cell>
          <cell r="V16" t="str">
            <v/>
          </cell>
          <cell r="X16" t="str">
            <v>S. RECANTO DAS MINAS GERAIS</v>
          </cell>
        </row>
        <row r="17">
          <cell r="S17" t="str">
            <v/>
          </cell>
          <cell r="V17" t="str">
            <v/>
          </cell>
          <cell r="X17" t="str">
            <v>S. RECANTO DAS MINAS GERAIS</v>
          </cell>
        </row>
        <row r="18">
          <cell r="S18" t="str">
            <v/>
          </cell>
          <cell r="V18" t="str">
            <v/>
          </cell>
          <cell r="X18" t="str">
            <v>S. RECANTO DAS MINAS GERAIS</v>
          </cell>
        </row>
        <row r="19">
          <cell r="S19" t="str">
            <v/>
          </cell>
          <cell r="V19" t="str">
            <v/>
          </cell>
          <cell r="X19" t="str">
            <v>S. RECANTO DAS MINAS GERAIS</v>
          </cell>
        </row>
        <row r="20">
          <cell r="S20" t="str">
            <v/>
          </cell>
          <cell r="V20" t="str">
            <v/>
          </cell>
        </row>
        <row r="21">
          <cell r="S21" t="str">
            <v/>
          </cell>
          <cell r="V21" t="str">
            <v/>
          </cell>
        </row>
        <row r="22">
          <cell r="S22" t="str">
            <v/>
          </cell>
          <cell r="V22" t="str">
            <v/>
          </cell>
        </row>
        <row r="23">
          <cell r="S23" t="str">
            <v/>
          </cell>
          <cell r="V23" t="str">
            <v/>
          </cell>
        </row>
        <row r="24">
          <cell r="S24" t="str">
            <v/>
          </cell>
          <cell r="V24" t="str">
            <v/>
          </cell>
        </row>
        <row r="25">
          <cell r="S25" t="str">
            <v/>
          </cell>
          <cell r="V25" t="str">
            <v/>
          </cell>
        </row>
        <row r="26">
          <cell r="S26" t="str">
            <v/>
          </cell>
          <cell r="V26" t="str">
            <v/>
          </cell>
        </row>
        <row r="27">
          <cell r="S27" t="str">
            <v/>
          </cell>
          <cell r="V27" t="str">
            <v/>
          </cell>
        </row>
        <row r="28">
          <cell r="S28" t="str">
            <v/>
          </cell>
          <cell r="V28" t="str">
            <v/>
          </cell>
        </row>
        <row r="29">
          <cell r="S29" t="str">
            <v/>
          </cell>
          <cell r="V29" t="str">
            <v/>
          </cell>
        </row>
        <row r="30">
          <cell r="S30" t="str">
            <v/>
          </cell>
          <cell r="V30" t="str">
            <v/>
          </cell>
        </row>
        <row r="31">
          <cell r="S31" t="str">
            <v/>
          </cell>
          <cell r="V31" t="str">
            <v/>
          </cell>
        </row>
        <row r="32">
          <cell r="S32" t="str">
            <v/>
          </cell>
          <cell r="V32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B5">
            <v>0</v>
          </cell>
        </row>
      </sheetData>
      <sheetData sheetId="16">
        <row r="5">
          <cell r="B5" t="str">
            <v>APLICAR PERCEN-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onsultoria"/>
      <sheetName val="Códigos"/>
      <sheetName val="eq"/>
      <sheetName val="mo"/>
      <sheetName val="Desmat 0,15"/>
      <sheetName val="DMT modelo"/>
      <sheetName val="PSCEGERAL"/>
      <sheetName val="Ofício"/>
      <sheetName val="reaj"/>
      <sheetName val="alphaville"/>
      <sheetName val="qorcamentodnerL1"/>
      <sheetName val="Teor"/>
      <sheetName val="Equipamentos"/>
      <sheetName val="Vínculo"/>
      <sheetName val="Custo MB - (1)"/>
      <sheetName val="BRASIL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  <sheetName val="F. MEDIÇAO"/>
      <sheetName val="LIMP.DESOB.BUE E ESCAVAÇ."/>
      <sheetName val="Tapa Buraco"/>
      <sheetName val="Transportes"/>
      <sheetName val="dolar"/>
      <sheetName val="BR 376 Km 181,85"/>
      <sheetName val="resumo"/>
      <sheetName val="A"/>
      <sheetName val="ENGENHARIA"/>
      <sheetName val="Planilha de Quantitativo em Bra"/>
      <sheetName val="padrão"/>
      <sheetName val="saloper"/>
      <sheetName val="RELATORIO MENSAL ACOMP SERV CON"/>
      <sheetName val="reação"/>
      <sheetName val="DADOS"/>
      <sheetName val="LANÇAMENTO"/>
      <sheetName val="Feriados"/>
      <sheetName val="Materiais"/>
      <sheetName val="Mão de obra"/>
      <sheetName val="Quadro6_Composição"/>
      <sheetName val="capa resumo"/>
      <sheetName val="capa documentação"/>
      <sheetName val="capa anexo i"/>
      <sheetName val="capa anexo ii"/>
      <sheetName val="capa anexo iii"/>
      <sheetName val="capa anexo iv"/>
      <sheetName val="CRONFISFIN_"/>
      <sheetName val="DER janeiro98"/>
      <sheetName val="Taludes"/>
      <sheetName val="Trecho"/>
      <sheetName val="transporte dupl pr151"/>
      <sheetName val="aux"/>
      <sheetName val="P A T O 99 B"/>
      <sheetName val="CS#"/>
      <sheetName val="COMPOS1"/>
      <sheetName val="8ª MP_BR_459"/>
      <sheetName val="AUXILIARES"/>
      <sheetName val="TRANSPORTE"/>
      <sheetName val="Mobiliz."/>
      <sheetName val="Unit MB"/>
      <sheetName val="REAT. APILOADO"/>
      <sheetName val="SOLO MELHORADO"/>
      <sheetName val="Original"/>
      <sheetName val="PRO_08"/>
      <sheetName val="Capa Mapa"/>
      <sheetName val="Capa Premissas"/>
      <sheetName val="Capa Caract. Seg."/>
      <sheetName val="Capa Memória de Calc"/>
      <sheetName val="Capa Apres"/>
      <sheetName val="Geral"/>
      <sheetName val="Medição"/>
      <sheetName val="BANC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Instalação e manutenção de cant"/>
      <sheetName val="FLUXO - EXECUÇÃO PRÓPRIA"/>
      <sheetName val="INSUMOS"/>
      <sheetName val="Cronog Físico Finaceiro "/>
      <sheetName val="Capa Caract_ Seg_"/>
      <sheetName val="MEDIÇÃO RESUMO"/>
      <sheetName val="Carimbo de Nota"/>
      <sheetName val="PN (Fx 3)"/>
      <sheetName val="61M-CBMI"/>
      <sheetName val="Indiretas"/>
      <sheetName val="C_U"/>
      <sheetName val="CROQUI "/>
      <sheetName val="PREVENTIVA"/>
      <sheetName val="CONSERVA ROTINEIRA"/>
      <sheetName val="CUSTO INDIRETO"/>
      <sheetName val="MB VIAB."/>
      <sheetName val="EAIGESEN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  <sheetName val="Feriados"/>
      <sheetName val="aux"/>
      <sheetName val="Teor"/>
      <sheetName val="PROJETO"/>
      <sheetName val="61M-CBMI"/>
      <sheetName val="RESUMO_AUT1"/>
      <sheetName val="Resumo Financeiro"/>
      <sheetName val="PRO-08"/>
      <sheetName val="AUXILIARES"/>
      <sheetName val="Serviços"/>
      <sheetName val="Mobiliz."/>
      <sheetName val="Unit MB"/>
      <sheetName val="REAT. APILOADO"/>
      <sheetName val="SOLO MELHORADO"/>
      <sheetName val="Geral"/>
      <sheetName val="Q-01"/>
      <sheetName val="QuQuant"/>
      <sheetName val="P A T O 99 B"/>
      <sheetName val="BANCO"/>
      <sheetName val="A"/>
      <sheetName val="P A T O  D"/>
      <sheetName val="Equipamentos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FISFIN_"/>
      <sheetName val="C_U"/>
      <sheetName val="FLUXO - EXECUÇÃO PRÓPRI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Feriados"/>
      <sheetName val="PLANILHA DE QUANT. E CUSTOS A"/>
      <sheetName val="PROJETO"/>
      <sheetName val="RESUMO_AUT1"/>
      <sheetName val="VISTEM"/>
      <sheetName val="QuQuant"/>
      <sheetName val="rev int TP"/>
      <sheetName val="PRO_08"/>
      <sheetName val="PRO-08"/>
      <sheetName val="P A T O 99 B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OS1"/>
      <sheetName val="Teor"/>
      <sheetName val="BANCO"/>
      <sheetName val="CUSTO EQUIP"/>
      <sheetName val="Comp P Unit "/>
      <sheetName val="CUSTO MATERIAL"/>
      <sheetName val="CALCULOS AUXILIARES"/>
      <sheetName val="Croqui"/>
      <sheetName val="C MÃO OBRA"/>
      <sheetName val="61M-CBMI"/>
      <sheetName val="Medição"/>
      <sheetName val="GEMIN"/>
      <sheetName val="Consultoria"/>
      <sheetName val="P A T O  D"/>
      <sheetName val="Índices de Reajustamento"/>
      <sheetName val="P A T O"/>
      <sheetName val="CROQUIS DE DIST."/>
      <sheetName val="Capa Resumo"/>
      <sheetName val="Capa Anexo II"/>
      <sheetName val="Capa Anexo III"/>
      <sheetName val="CRONFISFIN_"/>
      <sheetName val="Equipam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Conversão"/>
      <sheetName val="Fresagem de Pista Ago-98"/>
      <sheetName val="Consultoria"/>
      <sheetName val="PRO_08"/>
      <sheetName val="PRO-08"/>
      <sheetName val="Teor"/>
      <sheetName val="2.2.5.CBUQ"/>
      <sheetName val="2.2.5.PMQ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Medição"/>
      <sheetName val="EAIGESEN"/>
      <sheetName val="P A T O 98 D"/>
      <sheetName val="CUSTO LARANJEIRAS"/>
      <sheetName val="BD_Equipamentos"/>
      <sheetName val="BD_Tabela de Salários"/>
      <sheetName val="Plan 2.7"/>
      <sheetName val="P A T O 99 B"/>
      <sheetName val="P A T O  D"/>
      <sheetName val="Índices de Reajus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61M-CBMI"/>
      <sheetName val="Orçamentária"/>
      <sheetName val="Teor"/>
      <sheetName val="Equipamentos"/>
      <sheetName val="Consultoria"/>
      <sheetName val="PRO-08"/>
      <sheetName val="Quadro Geral"/>
      <sheetName val="8ª MP_BR_459"/>
      <sheetName val="PLANILHA DE QUANT. E CUSTOS A"/>
      <sheetName val="COMPOS1"/>
      <sheetName val="Original"/>
      <sheetName val="Medição"/>
      <sheetName val="BANCO"/>
      <sheetName val="Premissas"/>
      <sheetName val="CUSTO INDIRETO"/>
      <sheetName val="lista_comp"/>
      <sheetName val="P A T O 98 D"/>
      <sheetName val="CUSTO LARANJEIRAS"/>
      <sheetName val="Convert Lat, Long to UTM"/>
      <sheetName val="P A T O"/>
      <sheetName val="BD_Equipamentos"/>
      <sheetName val="BD_Tabela de Salários"/>
      <sheetName val="Plan 2.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PROD.PRIM."/>
      <sheetName val="Resumo Financeiro"/>
      <sheetName val="COMPOS1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PRO-08"/>
      <sheetName val="PRO_08"/>
      <sheetName val="PLANILHA DE QUANT. E CUSTOS A"/>
      <sheetName val="P A T O"/>
      <sheetName val="61M-CBMI"/>
      <sheetName val="Original"/>
      <sheetName val="Geral"/>
      <sheetName val="BANCO"/>
      <sheetName val="EAIGESEN"/>
      <sheetName val="Cronog Físico Finaceiro "/>
      <sheetName val="CUSTO ZONA SUL"/>
      <sheetName val="LVC215O1_1_"/>
      <sheetName val="lista_comp"/>
      <sheetName val="Teor"/>
      <sheetName val="Equipamentos"/>
      <sheetName val="P A T O 98 D"/>
      <sheetName val="CUSTO INDIRETO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Quant"/>
      <sheetName val="COMPOS1"/>
      <sheetName val="8ª MP_BR_459"/>
      <sheetName val="TPU-MARÇO_2002"/>
      <sheetName val="SERVIÇOS"/>
      <sheetName val="RESUMO_AUT1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-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VENTÁRIO"/>
      <sheetName val="P A T O 99 B"/>
      <sheetName val="Teor"/>
      <sheetName val="CUSTO EQUIP"/>
      <sheetName val="Comp P Unit "/>
      <sheetName val="CUSTO MATERIAL"/>
      <sheetName val="CALCULOS AUXILIARES"/>
      <sheetName val="Croqui"/>
      <sheetName val="C MÃO OBRA"/>
      <sheetName val="CROQUIS DE DIST."/>
      <sheetName val="DESMATAMENTO"/>
      <sheetName val="61M-CBMI"/>
      <sheetName val="Alteração"/>
      <sheetName val="Cronog Físico Finaceiro "/>
      <sheetName val="CUSTO ZONA SUL"/>
      <sheetName val="Medição (2"/>
      <sheetName val="Medição Completa"/>
      <sheetName val="450"/>
      <sheetName val="Compactação  botafora"/>
      <sheetName val="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PROJETO"/>
      <sheetName val="AUT_ORIGINAL"/>
      <sheetName val="Teor"/>
      <sheetName val="lista_comp"/>
      <sheetName val="Serviços"/>
      <sheetName val="Página 16"/>
      <sheetName val="QuQuant"/>
      <sheetName val="Planilha Original"/>
      <sheetName val="8ª MP_BR_459"/>
      <sheetName val="P reaj x P atual"/>
      <sheetName val="TPU-MARÇO_2002"/>
      <sheetName val="Quantidades e Preços - Lote 01"/>
      <sheetName val="PRO-08"/>
      <sheetName val="CROQUIS DE DIST."/>
      <sheetName val="COMPOS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Original"/>
      <sheetName val="resumo transporte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Mat"/>
      <sheetName val="Carimbo de Nota"/>
      <sheetName val="61M-CBMI"/>
      <sheetName val="PRO_08"/>
      <sheetName val="Compactação  botafora"/>
      <sheetName val="orçamento_global"/>
      <sheetName val="DESMATAMENTO"/>
      <sheetName val="450"/>
      <sheetName val="Alteraçã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Quadro de qntd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  <sheetName val="Quadro Geral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  <sheetName val="P reaj x P atual"/>
      <sheetName val="PRO-08"/>
      <sheetName val="Fresagem de Pista Ago-98"/>
      <sheetName val="2.2.5.CBUQ"/>
      <sheetName val="2.2.5.PMQ"/>
      <sheetName val="Plan1"/>
      <sheetName val="Consultoria"/>
      <sheetName val="TPU-MARÇO_2002"/>
      <sheetName val="PLANILHA DE QUANT. E CUSTOS A"/>
      <sheetName val="Original"/>
      <sheetName val="rev int TP ímpar"/>
      <sheetName val="rev int TP par"/>
      <sheetName val="rev int pav 21_"/>
      <sheetName val="rev int pav 22_"/>
      <sheetName val="rev int pav 23_"/>
      <sheetName val="Convert Lat, Long to UTM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450"/>
      <sheetName val="PN (Fx 3)"/>
      <sheetName val="Carimbo de Nota"/>
      <sheetName val="orçamento_global"/>
      <sheetName val="61M-CBMI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QuQuant"/>
      <sheetName val="61M-CBMI"/>
      <sheetName val="PRO-08"/>
      <sheetName val="Convert Lat, Long to UTM"/>
      <sheetName val="COMPOS1"/>
      <sheetName val="Quadro Geral"/>
      <sheetName val="P A T O"/>
      <sheetName val="#REF"/>
      <sheetName val="Plan1"/>
      <sheetName val="TPU-MARÇO_2002"/>
      <sheetName val="P reaj x P atual"/>
      <sheetName val="PLANILHA DE QUANT. E CUSTOS A"/>
      <sheetName val="Geral"/>
      <sheetName val="P A T O 99 B"/>
      <sheetName val="rev int TP"/>
      <sheetName val="Teor"/>
      <sheetName val="Equipamentos"/>
      <sheetName val="CRONFISFIN_"/>
      <sheetName val="PQ"/>
      <sheetName val="Capa Resumo"/>
      <sheetName val="Capa Anexo II"/>
      <sheetName val="Capa Anexo III"/>
      <sheetName val="450"/>
      <sheetName val="PN (Fx 3)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CS#"/>
      <sheetName val="MEDIÇÃO RESUMO"/>
      <sheetName val="Medição"/>
      <sheetName val="Plan1"/>
      <sheetName val="Teor"/>
      <sheetName val="Equipamentos"/>
      <sheetName val="P A T O"/>
      <sheetName val="8ª MP_BR-459"/>
      <sheetName val="Acum A"/>
      <sheetName val="MED"/>
      <sheetName val="RESUMO"/>
      <sheetName val="#REF"/>
      <sheetName val="P reaj x P atual"/>
      <sheetName val="COMPOS1"/>
      <sheetName val="QuQuant"/>
      <sheetName val="61M-CBMI"/>
      <sheetName val="INVENTÁRIO"/>
      <sheetName val="P A T O 99 B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 Financeiro"/>
      <sheetName val="CRONFISFIN_"/>
      <sheetName val="Dados"/>
      <sheetName val="PQ"/>
      <sheetName val="PRO_08"/>
      <sheetName val="orçamento_global"/>
      <sheetName val="FLUXO - EXECUÇÃO PRÓPRIA"/>
      <sheetName val="PN (Fx 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Consultoria"/>
      <sheetName val="61M-CBMI"/>
      <sheetName val="CS#"/>
      <sheetName val="INSUMOS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RESUMO_AUT1"/>
      <sheetName val="VISTEM"/>
      <sheetName val="8ª MP_BR-459"/>
      <sheetName val="B M Pl04"/>
      <sheetName val="Listas"/>
      <sheetName val="Acum A"/>
      <sheetName val="MED"/>
      <sheetName val="QuQuant"/>
      <sheetName val="COMPOS1"/>
      <sheetName val="INVENTÁRIO"/>
      <sheetName val="Teor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 99 B"/>
      <sheetName val="ORÇAMENTO"/>
      <sheetName val="Dados"/>
      <sheetName val="CRONFISFIN_"/>
      <sheetName val="PQ"/>
      <sheetName val="Q-01"/>
      <sheetName val="PN (Fx 3)"/>
      <sheetName val="FLUXO - EXECUÇÃO PRÓPRIA"/>
      <sheetName val="PRO-08"/>
      <sheetName val="PLANILHA ATUALIZADA"/>
      <sheetName val="Quadro Geral"/>
      <sheetName val="PRO_08"/>
      <sheetName val="Capa Caract_ Seg_"/>
      <sheetName val="Serviços"/>
      <sheetName val="Especif"/>
      <sheetName val="Vínculo (2)"/>
      <sheetName val="TransComerc_Basc10m³"/>
      <sheetName val="TapaBuraco"/>
      <sheetName val="RESUMO DE MEDIÇÃO"/>
      <sheetName val="Plan1"/>
      <sheetName val="C"/>
      <sheetName val="FV-DNER"/>
      <sheetName val="orçamento_global"/>
      <sheetName val="DG"/>
      <sheetName val="RESUMO TOTAL LOTE"/>
      <sheetName val="BR 146"/>
      <sheetName val="8ª MP_BR_459"/>
      <sheetName val="RBE ACT mi"/>
      <sheetName val="Plan 2.7"/>
      <sheetName val="CUSTO ZONA SUL"/>
      <sheetName val="LISTA_MATERIAIS"/>
      <sheetName val="MATERIAIS"/>
      <sheetName val="RESUMO BACIAS_IMPRESSÃO"/>
      <sheetName val="K"/>
      <sheetName val="Vínculo"/>
      <sheetName val="FIDENS-R$mil"/>
      <sheetName val="points"/>
      <sheetName val="Mat"/>
      <sheetName val="PLANILHA CONTRATUAL"/>
      <sheetName val="Equipamentos"/>
      <sheetName val="Motores"/>
      <sheetName val="P A T O 98 D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INVENTÁRIO "/>
      <sheetName val="450"/>
      <sheetName val="estg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sultoria"/>
      <sheetName val="PROJETO"/>
      <sheetName val="61M-CBMI"/>
      <sheetName val="Medição"/>
      <sheetName val="Instalação e manutenção de cant"/>
      <sheetName val="BANCO"/>
      <sheetName val="2.2.5.CBUQ"/>
      <sheetName val="2.2.5.PMQ"/>
      <sheetName val="Fresagem de Pista Ago-98"/>
      <sheetName val="Instalação"/>
      <sheetName val="AUXILIARES"/>
      <sheetName val="ADM"/>
      <sheetName val="Serviços"/>
      <sheetName val="SINALIZ"/>
      <sheetName val="B M Pl04"/>
      <sheetName val="Listas"/>
      <sheetName val="COMPOS1"/>
      <sheetName val="CS#"/>
      <sheetName val="PLANILHA DE QUANT. E CUSTOS A"/>
      <sheetName val="EAIGESEN"/>
      <sheetName val="PRO_08"/>
      <sheetName val="P A T O 98 D"/>
      <sheetName val="Orçamento"/>
      <sheetName val="P A T O 99 B"/>
      <sheetName val="Dados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N (Fx 3)"/>
      <sheetName val="FLUXO - EXECUÇÃO PRÓPRIA"/>
      <sheetName val="Equipamentos"/>
      <sheetName val="CRONFISFIN_"/>
      <sheetName val="PQ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Consultoria"/>
      <sheetName val="COMPOS1"/>
      <sheetName val="QuQuant"/>
      <sheetName val="Conversão"/>
      <sheetName val="Medição"/>
      <sheetName val="C_U"/>
      <sheetName val="BANCO"/>
      <sheetName val="Fresagem de Pista Ago-98"/>
      <sheetName val="PRO_08"/>
      <sheetName val="Teor"/>
      <sheetName val="Equipamentos"/>
      <sheetName val="Quadro Geral"/>
      <sheetName val="Instalação"/>
      <sheetName val="AUXILIARES"/>
      <sheetName val="ADM"/>
      <sheetName val="Serviços"/>
      <sheetName val="SINALIZ"/>
      <sheetName val="CS#"/>
      <sheetName val="CROQUIS DE DIST."/>
      <sheetName val="61M-CBMI"/>
      <sheetName val="TPU-MARÇO_2002"/>
      <sheetName val="PLANILHA DE QUANT. E CUSTOS A"/>
      <sheetName val="EAIGESEN"/>
      <sheetName val="PRO-08"/>
      <sheetName val="CONS_CORR"/>
      <sheetName val="ORÇAMENTO"/>
      <sheetName val="P A T O 98 D"/>
      <sheetName val="2.2.5.CBUQ"/>
      <sheetName val="2.2.5.PMQ"/>
      <sheetName val="FLUXO - EXECUÇÃO PRÓPRIA"/>
      <sheetName val="P A T O 99 B"/>
      <sheetName val="Dad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COMPOS1"/>
      <sheetName val="PROJETO"/>
      <sheetName val="Orçamentária"/>
      <sheetName val="Conversão"/>
      <sheetName val="BANC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-08"/>
      <sheetName val="Resumo Financeiro"/>
      <sheetName val="Serviços"/>
      <sheetName val="MB VIAB."/>
      <sheetName val="Quadro Geral"/>
      <sheetName val="61M-CBMI"/>
      <sheetName val="Fresagem de Pista Ago-98"/>
      <sheetName val="TPU-MARÇO_2002"/>
      <sheetName val="P reaj x P atual"/>
      <sheetName val="INVENTÁRIO"/>
      <sheetName val="estgg"/>
      <sheetName val="P A T O 98 D"/>
      <sheetName val="CONS_CORR"/>
      <sheetName val="ORÇAMENTO"/>
      <sheetName val="FLUXO - EXECUÇÃO PRÓPRIA"/>
      <sheetName val="Equipamen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te"/>
      <sheetName val="COMPOS1"/>
      <sheetName val="QuQuant"/>
      <sheetName val="CROQUIS DE DIST."/>
      <sheetName val="PROD.PRIM."/>
      <sheetName val="Orçamentária"/>
      <sheetName val="BANCO"/>
      <sheetName val="P A T O  D"/>
      <sheetName val="Acum A"/>
      <sheetName val="MED"/>
      <sheetName val="RESUMO"/>
      <sheetName val="PRO-08"/>
      <sheetName val="Página 16"/>
      <sheetName val="AUXILIARES"/>
      <sheetName val="TRANSPORTE"/>
      <sheetName val="Serviços"/>
      <sheetName val="Mobiliz."/>
      <sheetName val="Unit MB"/>
      <sheetName val="REAT. APILOADO"/>
      <sheetName val="SOLO MELHORADO"/>
      <sheetName val="PROJETO"/>
      <sheetName val="P A T O"/>
      <sheetName val="MB VIAB."/>
      <sheetName val="Convert Lat, Long to UTM"/>
      <sheetName val="Conversão"/>
      <sheetName val="P reaj x P atual"/>
      <sheetName val="INVENTÁRIO"/>
      <sheetName val="PRO_08"/>
      <sheetName val="Plan1"/>
      <sheetName val="Medição (2"/>
      <sheetName val="Medição Completa"/>
      <sheetName val="QUADRO COMPARATIVO"/>
      <sheetName val="Equipamentos"/>
      <sheetName val="Índices de Reajustamento"/>
      <sheetName val="Plan 2.7"/>
      <sheetName val="P A T O 98 D"/>
      <sheetName val="CONS_COR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COMPOS1"/>
      <sheetName val="QuQuant"/>
      <sheetName val="Fresagem de Pista Ago-98"/>
      <sheetName val="PROD_PRIM_"/>
      <sheetName val="IDENTIFICAÇÃO"/>
      <sheetName val="PROD.PRIM."/>
      <sheetName val="CUSTO EQUIP"/>
      <sheetName val="Comp P Unit "/>
      <sheetName val="CUSTO MATERIAL"/>
      <sheetName val="CALCULOS AUXILIARES"/>
      <sheetName val="Croqui"/>
      <sheetName val="C MÃO OBRA"/>
      <sheetName val="P A T O  D"/>
      <sheetName val="Original"/>
      <sheetName val="B M Pl04"/>
      <sheetName val="Listas"/>
      <sheetName val="PRO_08"/>
      <sheetName val="Plan1"/>
      <sheetName val="PRO-08"/>
      <sheetName val="8ª MP_BR-459"/>
      <sheetName val="P A T O"/>
      <sheetName val="Conversão"/>
      <sheetName val="Equipamentos"/>
      <sheetName val="Orçamentária"/>
      <sheetName val="Q-01"/>
      <sheetName val="Medição (2"/>
      <sheetName val="Medição Completa"/>
      <sheetName val="QUADRO COMPARATIVO"/>
      <sheetName val="Plan 2.7"/>
      <sheetName val="CUSTO LARANJEIRAS"/>
      <sheetName val="Índices de Reajustamen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CROQUIS DE DIST."/>
      <sheetName val="COMPOS1"/>
      <sheetName val="Convert Lat, Long to UTM"/>
      <sheetName val="Dados da Obra"/>
      <sheetName val="PROD_PRIM_"/>
      <sheetName val="IDENTIFICAÇÃO"/>
      <sheetName val="P A T O  D"/>
      <sheetName val="Geral"/>
      <sheetName val="Instalação"/>
      <sheetName val="AUXILIARES"/>
      <sheetName val="ADM"/>
      <sheetName val="Serviços"/>
      <sheetName val="SINALIZ"/>
      <sheetName val="Q-01"/>
      <sheetName val="PRO-08"/>
      <sheetName val="PROJETO"/>
      <sheetName val="MARSHAL"/>
      <sheetName val="8ª MP_BR-459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rmle157"/>
      <sheetName val="Vínculo (2)"/>
      <sheetName val="Transportes -IN37"/>
      <sheetName val="Pontes"/>
      <sheetName val="Página 15"/>
      <sheetName val="EAP"/>
      <sheetName val="LISTA-MO"/>
      <sheetName val="RP-1 SB (3)"/>
      <sheetName val="Boletim de Medição"/>
      <sheetName val="EXEMPLO"/>
      <sheetName val="Genéricos"/>
      <sheetName val="TPU_MARÇO_2002"/>
      <sheetName val="OAC_NPAV"/>
      <sheetName val="Original"/>
      <sheetName val="Pág_x0001_na 3"/>
      <sheetName val="Pág_x0001_na 7"/>
      <sheetName val="Equiv. de areia"/>
      <sheetName val="Orçamentária"/>
      <sheetName val="PROD.PRIM."/>
      <sheetName val="CS#"/>
      <sheetName val="TPU-MARÇO_2002"/>
      <sheetName val="EAIGESEN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actação  botafora"/>
      <sheetName val="QuQuant"/>
      <sheetName val="P A T O"/>
      <sheetName val="Índices de Reajustamento"/>
      <sheetName val="CUSTO LARANJEIRAS"/>
      <sheetName val="Medição (2"/>
      <sheetName val="Medição Completa"/>
      <sheetName val="Plan 2.7"/>
      <sheetName val="QUADRO COMPARATIVO"/>
      <sheetName val="curvas_tratamento"/>
      <sheetName val="Defensas_necessidades"/>
      <sheetName val="sin_vertical_necessidades"/>
      <sheetName val="tachas_necessidades"/>
      <sheetName val="Dreal b1"/>
      <sheetName val="Anual"/>
      <sheetName val="dados"/>
      <sheetName val="cadastro"/>
      <sheetName val="memo-quant"/>
      <sheetName val="materiais betuminosos"/>
      <sheetName val="veiculos"/>
      <sheetName val="equipamentos"/>
      <sheetName val=" decofin - 1367"/>
      <sheetName val="450"/>
      <sheetName val="custo zona sul"/>
      <sheetName val="recuperação da pista"/>
      <sheetName val="feriados"/>
      <sheetName val="VIS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Fresagem de Pista Ago-98"/>
      <sheetName val="CROQUIS DE DIST."/>
      <sheetName val="Teor"/>
      <sheetName val="Equipamentos"/>
      <sheetName val="Quantidades e Preços - Lote 01"/>
      <sheetName val="Dados da Obra"/>
      <sheetName val="Original"/>
      <sheetName val="BD_Equipamentos"/>
      <sheetName val="BD_Tabela de Salários"/>
      <sheetName val="P A T O 99 B"/>
      <sheetName val="Quadro Geral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-08"/>
      <sheetName val="PROJETO"/>
      <sheetName val="Medição"/>
      <sheetName val="MARSHAL"/>
      <sheetName val="PROD.PRIM."/>
      <sheetName val="PROD_PRIM_"/>
      <sheetName val="IDENTIFICAÇÃO"/>
      <sheetName val="CS#"/>
      <sheetName val="61M-CBMI"/>
      <sheetName val="TPU-MARÇO_2002"/>
      <sheetName val="P reaj x P atual"/>
      <sheetName val="GEMIN"/>
      <sheetName val="450"/>
      <sheetName val="8ª MP_BR-459"/>
      <sheetName val="RMLE157"/>
      <sheetName val="Compactação  botafora"/>
      <sheetName val="QuQuant"/>
      <sheetName val="Índices de Reajustamento"/>
      <sheetName val="Plan 2.7"/>
      <sheetName val="lista_comp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vert Lat, Long to UTM"/>
      <sheetName val="Fresagem de Pista Ago-98"/>
      <sheetName val="Resumo Financeiro"/>
      <sheetName val="Quantidades e Preços - Lote 01"/>
      <sheetName val="Geral"/>
      <sheetName val="P A T O 98 D"/>
      <sheetName val="Teor"/>
      <sheetName val="Serviços"/>
      <sheetName val="MB VIAB."/>
      <sheetName val="2.2.5.CBUQ"/>
      <sheetName val="2.2.5.PMQ"/>
      <sheetName val="61M-CBMI"/>
      <sheetName val="PRO-08"/>
      <sheetName val="PROJETO"/>
      <sheetName val="QuQuant"/>
      <sheetName val="Medição"/>
      <sheetName val="PROD_PRIM_"/>
      <sheetName val="IDENTIFICAÇÃO"/>
      <sheetName val="PRO_08"/>
      <sheetName val="Dados da Obra"/>
      <sheetName val="P reaj x P atual"/>
      <sheetName val="Cashflow"/>
      <sheetName val="Quadro Geral"/>
      <sheetName val="450"/>
      <sheetName val="8ª MP_BR_459"/>
      <sheetName val="8ª MP_BR-459"/>
      <sheetName val="RMLE157"/>
      <sheetName val="Plan 2.7"/>
      <sheetName val="CUSTO LARANJEIRAS"/>
      <sheetName val="lista_comp"/>
      <sheetName val="Compactação  botafor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Equipamentos"/>
      <sheetName val="Convert Lat, Long to UTM"/>
      <sheetName val="P A T O 99 B"/>
      <sheetName val="CUSTO INDIRETO"/>
      <sheetName val="P A T O"/>
      <sheetName val="Quadro Geral"/>
      <sheetName val="Medição"/>
      <sheetName val="Plan1"/>
      <sheetName val="PROJETO"/>
      <sheetName val="QuQuant"/>
      <sheetName val="Dados da Obra"/>
      <sheetName val="PRO-08"/>
      <sheetName val="Quantidades e Preços - Lote 01"/>
      <sheetName val="Conversão"/>
      <sheetName val="LTQ"/>
      <sheetName val="orçamento_global"/>
      <sheetName val="MB"/>
      <sheetName val="8ª MP_BR_459"/>
      <sheetName val="450"/>
      <sheetName val="8ª MP_BR-459"/>
      <sheetName val="CUSTO LARANJEIRAS"/>
      <sheetName val="Geral"/>
      <sheetName val="CUSTO ZONA SUL"/>
      <sheetName val="lista_comp"/>
      <sheetName val="RMLE157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 Financeiro"/>
      <sheetName val="Teor"/>
      <sheetName val="Equipamentos"/>
      <sheetName val="PRO_08"/>
      <sheetName val="MEDIÇÃO RESUMO"/>
      <sheetName val="LVC215O1_1_"/>
      <sheetName val="PLANILHA DE QUANT. E CUSTOS A"/>
      <sheetName val="8ª MP_BR-459"/>
      <sheetName val="P A T O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RESUMO_AUT1"/>
      <sheetName val="Auxiliares"/>
      <sheetName val="materiais civil"/>
      <sheetName val="mão de obra civil"/>
      <sheetName val="Quantidades e Preços - Lote 01"/>
      <sheetName val="Página 16"/>
      <sheetName val="PRO-08"/>
      <sheetName val="Conversão"/>
      <sheetName val="Orçamentária"/>
      <sheetName val="CS#"/>
      <sheetName val="análise"/>
      <sheetName val="FLUXO - EXECUÇÃO PRÓPRIA"/>
      <sheetName val="QuQuant"/>
      <sheetName val="CUSTO ZONA SUL"/>
      <sheetName val="Alteração"/>
      <sheetName val="Mat"/>
      <sheetName val="PN (Fx 3)"/>
      <sheetName val="BD Equip.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"/>
      <sheetName val="Ind. Físicos"/>
      <sheetName val="pluviometria"/>
      <sheetName val="Fh. Medição"/>
      <sheetName val="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RESUMO_AUT1"/>
      <sheetName val="Resumo Financeiro"/>
      <sheetName val="PRO-08"/>
      <sheetName val="INSUMOS"/>
      <sheetName val="MEDIÇÃO RESUMO"/>
      <sheetName val="Cronog Físico Finaceiro "/>
      <sheetName val="61M-CBMI"/>
      <sheetName val="MARSHAL"/>
      <sheetName val="8ª MP_BR-459"/>
      <sheetName val="BANCO"/>
      <sheetName val="2.2.5.CBUQ"/>
      <sheetName val="2.2.5.PMQ"/>
      <sheetName val="Auxiliares"/>
      <sheetName val="materiais civil"/>
      <sheetName val="mão de obra civil"/>
      <sheetName val="PRO_08"/>
      <sheetName val="Plan1"/>
      <sheetName val="Orçamentária"/>
      <sheetName val="PROD.PRIM."/>
      <sheetName val="CS#"/>
      <sheetName val="COMPOS1"/>
      <sheetName val="PROJETO"/>
      <sheetName val="Equipamentos"/>
      <sheetName val="QuQuant"/>
      <sheetName val="FLUXO - EXECUÇÃO PRÓPRIA"/>
      <sheetName val="Mat"/>
      <sheetName val="PQ"/>
      <sheetName val="Te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ição"/>
      <sheetName val="Boletim"/>
      <sheetName val="Ind. Físicos"/>
      <sheetName val="pluviometria"/>
      <sheetName val="Fh. 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PRO_08"/>
      <sheetName val="RESUMO_AUT1"/>
      <sheetName val="PRO-08"/>
      <sheetName val="Instalação e manutenção de cant"/>
      <sheetName val="INSUMOS"/>
      <sheetName val="PLANILHA DE QUANT. E CUSTOS A"/>
      <sheetName val="Cronog Físico Finaceiro "/>
      <sheetName val="INVENTÁRIO"/>
      <sheetName val="PROJETO"/>
      <sheetName val="BANCO"/>
      <sheetName val="Fresagem de Pista Ago-98"/>
      <sheetName val="61M-CBMI"/>
      <sheetName val="Q-01"/>
      <sheetName val="MEDIÇÃO RESUMO"/>
      <sheetName val="PROD.PRIM."/>
      <sheetName val="PROD_PRIM_"/>
      <sheetName val="IDENTIFICAÇÃO"/>
      <sheetName val="QuQuant"/>
      <sheetName val="P A T O"/>
      <sheetName val="Índices de Reajustamento"/>
      <sheetName val="Planilha"/>
      <sheetName val="Teor"/>
      <sheetName val="Dados"/>
      <sheetName val="ORÇAMENTO"/>
      <sheetName val="alphaville"/>
      <sheetName val="Equipamentos"/>
      <sheetName val="P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PRO_08"/>
      <sheetName val="Plan1"/>
      <sheetName val="C_U"/>
      <sheetName val="Instalação e manutenção de cant"/>
      <sheetName val="61M-CBMI"/>
      <sheetName val="DESMATAMENTO"/>
      <sheetName val="RESUMO_AUT1"/>
      <sheetName val="PROJET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Medição"/>
      <sheetName val="MEDIÇÃO RESUM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UMOS"/>
      <sheetName val="PROD_PRIM_"/>
      <sheetName val="IDENTIFICAÇÃO"/>
      <sheetName val="Dados da Obra"/>
      <sheetName val="Conversão"/>
      <sheetName val="Plan 2.7"/>
      <sheetName val="CUSTO LARANJEIRAS"/>
      <sheetName val="Mão de Obra"/>
      <sheetName val="Teor"/>
      <sheetName val="Equipamentos"/>
      <sheetName val="Índices de Reajustamento"/>
      <sheetName val="alphaville"/>
      <sheetName val="PQ"/>
      <sheetName val="Dados"/>
      <sheetName val="Orçamento"/>
      <sheetName val="CONS_CORR"/>
      <sheetName val="Calendário"/>
      <sheetName val="P A T O"/>
      <sheetName val="Planilha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Q-01"/>
      <sheetName val="QuQuant"/>
      <sheetName val="C_U"/>
      <sheetName val="INVENTÁRIO"/>
      <sheetName val="Carimbo de Nota"/>
      <sheetName val="SERVIÇOS"/>
      <sheetName val="RESUMO_AUT1"/>
      <sheetName val="PROJETO"/>
      <sheetName val="COMPOS1"/>
      <sheetName val="Acum A"/>
      <sheetName val="MED"/>
      <sheetName val="RESUMO"/>
      <sheetName val="Teor"/>
      <sheetName val="Medição"/>
      <sheetName val="INSUMOS"/>
      <sheetName val="61M-CBMI"/>
      <sheetName val="2.2.5.CBUQ"/>
      <sheetName val="2.2.5.PMQ"/>
      <sheetName val="Instalação e manutenção de cant"/>
      <sheetName val="Dados da Obra"/>
      <sheetName val="Quantidades e Preços - Lote 01"/>
      <sheetName val="Conversão"/>
      <sheetName val="Orçamentária"/>
      <sheetName val="estgg"/>
      <sheetName val="lista_comp"/>
      <sheetName val="Calendário"/>
      <sheetName val="CUSTO LARANJEIRAS"/>
      <sheetName val="Equipamentos"/>
      <sheetName val="ORÇAMENTO"/>
      <sheetName val="QUADRO COMPARATIVO"/>
      <sheetName val="CBUQ DRENO LONGIT RECOBRIMENTO"/>
      <sheetName val="DAR-01"/>
      <sheetName val="Plan 2.7"/>
      <sheetName val="Mão de Obra"/>
      <sheetName val="CONS_CORR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_08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 D"/>
      <sheetName val="QuQuant"/>
      <sheetName val="RESUMO_AUT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PU-MARÇO_2002"/>
      <sheetName val="Auxiliares"/>
      <sheetName val="materiais civil"/>
      <sheetName val="mão de obra civil"/>
      <sheetName val="PROJETO"/>
      <sheetName val="Original"/>
      <sheetName val="B M Pl04"/>
      <sheetName val="Listas"/>
      <sheetName val="Página 16"/>
      <sheetName val="BANCO"/>
      <sheetName val="Teor"/>
      <sheetName val="Instalação e manutenção de cant"/>
      <sheetName val="Medição"/>
      <sheetName val="Quadro Geral"/>
      <sheetName val="C_U"/>
      <sheetName val="Quantidades e Preços - Lote 01"/>
      <sheetName val="Orçamentária"/>
      <sheetName val="PROD.PRIM."/>
      <sheetName val="8ª MP_BR_459"/>
      <sheetName val="lista_comp"/>
      <sheetName val="Geral"/>
      <sheetName val="COMPOS1"/>
      <sheetName val="CBUQ DRENO LONGIT RECOBRIMENTO"/>
      <sheetName val="DAR-01"/>
      <sheetName val="Calendário"/>
      <sheetName val="Orçamento"/>
      <sheetName val="CONS_CORR"/>
      <sheetName val="QUADRO COMPARATIVO"/>
      <sheetName val="CUSTO LARANJEIRAS"/>
      <sheetName val="Equipamentos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Final"/>
      <sheetName val="SGP"/>
      <sheetName val="Gráfic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P A T O"/>
      <sheetName val="P A T O  D"/>
      <sheetName val="TPU-MARÇO_2002"/>
      <sheetName val="CRONFISFIN_"/>
      <sheetName val="QuQuant"/>
      <sheetName val="Medição"/>
      <sheetName val="PROJETO"/>
      <sheetName val="P A T O 99 B"/>
      <sheetName val="Quadro Geral"/>
      <sheetName val="RESUMO_AUT1"/>
      <sheetName val="RMLE157"/>
      <sheetName val="COMPOS1"/>
      <sheetName val="BANCO"/>
      <sheetName val="8ª MP_BR-459"/>
      <sheetName val="MEDIÇÃO RESUMO"/>
      <sheetName val="PROD_PRIM_"/>
      <sheetName val="IDENTIFICAÇÃO"/>
      <sheetName val="Dados da Obra"/>
      <sheetName val="estgg"/>
      <sheetName val="CUSTO ZONA SUL"/>
      <sheetName val="Alteração"/>
      <sheetName val="DSS_04"/>
      <sheetName val="Fresagem"/>
      <sheetName val="Meio-fio"/>
      <sheetName val="PintLigacao"/>
      <sheetName val="PMQ"/>
      <sheetName val="STC_01"/>
      <sheetName val="Geral"/>
      <sheetName val="CBUQ DRENO LONGIT RECOBRIMENTO"/>
      <sheetName val="DAR-01"/>
      <sheetName val="QUADRO COMPARATIVO"/>
      <sheetName val="Serviç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ia-me"/>
      <sheetName val="Geral"/>
      <sheetName val="Serviços"/>
      <sheetName val="Q08 Planilha"/>
      <sheetName val="Folha fecho 1"/>
      <sheetName val="Q09 CPU"/>
      <sheetName val="CPAux"/>
      <sheetName val="Q10 MO"/>
      <sheetName val="Materiais"/>
      <sheetName val="Equipamentos"/>
      <sheetName val="Transporte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BD_Equipamentos"/>
      <sheetName val="BD_Tabela de Salários"/>
      <sheetName val="P A T O  D"/>
      <sheetName val="P reaj x P atual"/>
      <sheetName val="CRONFISFIN_"/>
      <sheetName val="Medição"/>
      <sheetName val="PROJETO"/>
      <sheetName val="Teor"/>
      <sheetName val="MB VIAB."/>
      <sheetName val="RESUMO_AUT1"/>
      <sheetName val="RMLE157"/>
      <sheetName val="BANCO"/>
      <sheetName val="MEDIÇÃO RESUMO"/>
      <sheetName val="INSUMOS"/>
      <sheetName val="Dados da Obra"/>
      <sheetName val="Quantidades e Preços - Lote 01"/>
      <sheetName val="CG"/>
      <sheetName val="Mat"/>
      <sheetName val="MB"/>
      <sheetName val="BD Equip."/>
      <sheetName val="Especif"/>
      <sheetName val="QuQuant"/>
    </sheetNames>
    <sheetDataSet>
      <sheetData sheetId="0" refreshError="1"/>
      <sheetData sheetId="1">
        <row r="15">
          <cell r="B15">
            <v>39995</v>
          </cell>
        </row>
        <row r="22">
          <cell r="B22">
            <v>0</v>
          </cell>
        </row>
        <row r="23">
          <cell r="B23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Geral"/>
      <sheetName val="2.2.5.CBUQ"/>
      <sheetName val="2.2.5.PMQ"/>
      <sheetName val="PROJETO"/>
      <sheetName val="P A T O 98 D"/>
      <sheetName val="BD_Equipamentos"/>
      <sheetName val="BD_Tabela de Salários"/>
      <sheetName val="QuQuant"/>
      <sheetName val="CS#"/>
      <sheetName val="Teor"/>
      <sheetName val="P A T O"/>
      <sheetName val="RESUMO_AUT1"/>
      <sheetName val="61M-CBMI"/>
      <sheetName val="Comp P Unit "/>
      <sheetName val="CUSTO MATERIAL"/>
      <sheetName val="CALCULOS AUXILIARES"/>
      <sheetName val="Croqui"/>
      <sheetName val="Geral"/>
      <sheetName val="P A T O  D"/>
      <sheetName val="CUSTO EQUIP"/>
      <sheetName val="C MÃO OBRA"/>
      <sheetName val="INSUMOS"/>
      <sheetName val="Instalação e manutenção de cant"/>
      <sheetName val="Quantidades e Preços - Lote 01"/>
      <sheetName val="ORÇAMENTO"/>
      <sheetName val="SERVIÇOS"/>
      <sheetName val="Dados"/>
      <sheetName val="MAT-BET"/>
      <sheetName val="BD Equip."/>
      <sheetName val="TCC4"/>
      <sheetName val="TCB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P A T O"/>
      <sheetName val="Quadro Geral"/>
      <sheetName val="PROJETO"/>
      <sheetName val="CUSTO INDIRETO"/>
      <sheetName val="P A T O 98 D"/>
      <sheetName val="61M-CBMI"/>
      <sheetName val="BANCO"/>
      <sheetName val="PLANILHA DE QUANT. E CUSTOS A"/>
      <sheetName val="8ª MP_BR-459"/>
      <sheetName val="Medição"/>
      <sheetName val="Planejamento"/>
      <sheetName val="Vínculos (Não Mexer)"/>
      <sheetName val="Vínculos"/>
      <sheetName val="Comp P Unit "/>
      <sheetName val="CUSTO MATERIAL"/>
      <sheetName val="CALCULOS AUXILIARES"/>
      <sheetName val="Croqui"/>
      <sheetName val="P A T O  D"/>
      <sheetName val="COMPOS1"/>
      <sheetName val="QuQuant"/>
      <sheetName val="BD_Equipamentos"/>
      <sheetName val="BD_Tabela de Salários"/>
      <sheetName val="Instalação e manutenção de cant"/>
      <sheetName val="C_U"/>
      <sheetName val="rev int TP"/>
      <sheetName val="Orçamento"/>
      <sheetName val="CONS_CORR"/>
      <sheetName val="Serviços"/>
      <sheetName val="TCC4"/>
      <sheetName val="TCB5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GT"/>
      <sheetName val="8ª MP_BR-459"/>
      <sheetName val="P A T O"/>
      <sheetName val="PROJETO"/>
      <sheetName val="QuQuant"/>
      <sheetName val="LVC215O1_1_"/>
      <sheetName val="CUSTO INDIRETO"/>
      <sheetName val="CS#"/>
      <sheetName val="COMPOS1"/>
      <sheetName val="61M-CBMI"/>
      <sheetName val="MARSHAL"/>
      <sheetName val="Medição"/>
      <sheetName val="P A T O 99 B"/>
      <sheetName val="Planejamento"/>
      <sheetName val="Vínculos (Não Mexer)"/>
      <sheetName val="Vínculos"/>
      <sheetName val="BD_Equipamentos"/>
      <sheetName val="BD_Tabela de Salários"/>
      <sheetName val="Original"/>
      <sheetName val="P A T O 98 D"/>
      <sheetName val="C_U"/>
      <sheetName val="MEDIÇÃO RESUMO"/>
      <sheetName val="RESUMO_AUT1"/>
      <sheetName val="8ª MP_BR_459"/>
      <sheetName val="TCB5"/>
      <sheetName val="QUADRO COMPARATIVO"/>
      <sheetName val="Página 16"/>
      <sheetName val="Planilha"/>
      <sheetName val="Teor"/>
      <sheetName val="Equipamentos"/>
      <sheetName val="PLANILHA CONTRATUAL"/>
      <sheetName val="Calendário"/>
    </sheetNames>
    <definedNames>
      <definedName name="Bt_Cancel_Clique"/>
      <definedName name="Bt_Fechar_Clique"/>
      <definedName name="Mc_CGráfic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 (2)"/>
      <sheetName val="RESUMO GERAL (2)"/>
      <sheetName val="DISTRIBUICAO (2)"/>
      <sheetName val="FORMULAS NÃO MEXER (2)"/>
      <sheetName val="TERRAP EST 1871 A 2169 (2)"/>
      <sheetName val="ENTRADA DE DADOS"/>
      <sheetName val="RESUMO GERAL"/>
      <sheetName val="DISTRIBUICAO"/>
      <sheetName val="FORMULAS NÃO MEXER"/>
      <sheetName val="Plan1 (2)"/>
      <sheetName val="REL. EMP. LAT."/>
      <sheetName val="CORTE PISTA"/>
      <sheetName val=" EMPR. LE"/>
      <sheetName val=" EMPR. LD"/>
      <sheetName val=" ATERRO 100%"/>
      <sheetName val=" ATERRO 95%"/>
      <sheetName val="Plan4"/>
      <sheetName val="JUN. 01"/>
      <sheetName val="resumo"/>
      <sheetName val="Plan1"/>
      <sheetName val="Plan3"/>
      <sheetName val="Plan2"/>
      <sheetName val=" ATER. A 100%(SUB.)"/>
      <sheetName val="PLANILHA DE QUANT. E CUSTOS A"/>
      <sheetName val="SERVIÇOS"/>
      <sheetName val="PLANILHA DE QUANT_ E CUSTOS A"/>
      <sheetName val="Página 16"/>
      <sheetName val="PROJETO"/>
      <sheetName val="8ª MP_BR-459"/>
      <sheetName val="Cronog Físico Finaceiro "/>
      <sheetName val="LVC215O1_1_"/>
      <sheetName val="61M-CBMI"/>
      <sheetName val="P A T O 98 D"/>
      <sheetName val="Conversão"/>
      <sheetName val="RMLE157"/>
      <sheetName val="RESUMO_AUT1"/>
      <sheetName val="INVENTÁRIO"/>
      <sheetName val="Medição"/>
      <sheetName val="BANCO"/>
      <sheetName val="Planejamento"/>
      <sheetName val="Vínculos (Não Mexer)"/>
      <sheetName val="Vínculos"/>
      <sheetName val="Geral"/>
      <sheetName val="CUSTO INDIRETO"/>
      <sheetName val="QuQuant"/>
      <sheetName val="P A T O  D"/>
      <sheetName val="MEDIÇÃO RESUMO"/>
      <sheetName val="INSUMOS"/>
      <sheetName val="estgg"/>
      <sheetName val="PLANILHA CONTRATUAL"/>
      <sheetName val="Quadro de qntd"/>
      <sheetName val="CURVA ABC"/>
      <sheetName val="Cronograma FIS FINANC"/>
      <sheetName val="TCB5"/>
      <sheetName val="alphaville"/>
      <sheetName val="Mão de Obra"/>
      <sheetName val="Calendário"/>
      <sheetName val="COMPOS1"/>
      <sheetName val="CBUQ DRENO LONGIT RECOBRIMENTO"/>
      <sheetName val="DAR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ROJETO"/>
      <sheetName val="Cronog Físico Finaceiro "/>
      <sheetName val="P A T O"/>
      <sheetName val="Orçamentária"/>
      <sheetName val="Geral"/>
      <sheetName val="RESUMO_AUT1"/>
      <sheetName val="QuQuant"/>
      <sheetName val="BANCO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A T O 99 B"/>
      <sheetName val="CUSTO INDIRETO"/>
      <sheetName val="LVC215O1_1_"/>
      <sheetName val="P A T O  D"/>
      <sheetName val="INSUMOS"/>
      <sheetName val="Instalação e manutenção de cant"/>
      <sheetName val="MB"/>
      <sheetName val="BD Equip."/>
      <sheetName val="P A T O  B"/>
      <sheetName val="Equipamentos"/>
      <sheetName val="8ª MP_BR_459"/>
      <sheetName val="Quadro de qntd"/>
      <sheetName val="Calendário"/>
      <sheetName val="COMPOS1"/>
      <sheetName val="DSS_04"/>
      <sheetName val="Fresagem"/>
      <sheetName val="Meio-fio"/>
      <sheetName val="PintLigacao"/>
      <sheetName val="PMQ"/>
      <sheetName val="STC_01"/>
      <sheetName val="Serviços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  <sheetName val="Orçamentária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LANILHA DE QUANT. E CUSTOS A"/>
      <sheetName val="PQ"/>
      <sheetName val="Especif"/>
      <sheetName val="61M-CBMI"/>
      <sheetName val="MAT-BET"/>
      <sheetName val="CG"/>
      <sheetName val="8ª MP_BR_459"/>
      <sheetName val="MB"/>
      <sheetName val="QuQuant"/>
      <sheetName val="P A T O  D"/>
      <sheetName val="DSS_04"/>
      <sheetName val="Fresagem"/>
      <sheetName val="Meio-fio"/>
      <sheetName val="PintLigacao"/>
      <sheetName val="PMQ"/>
      <sheetName val="STC_01"/>
      <sheetName val="PLANILHA CONTRATUAL"/>
      <sheetName val="001 -RPFO SUPRIMR"/>
      <sheetName val="Pontes"/>
      <sheetName val="Quadro de qntd"/>
      <sheetName val="CURVA ABC"/>
      <sheetName val="Cronograma FIS FINANC"/>
    </sheetNames>
    <sheetDataSet>
      <sheetData sheetId="0" refreshError="1">
        <row r="3">
          <cell r="E3">
            <v>1</v>
          </cell>
        </row>
        <row r="24">
          <cell r="G24" t="str">
            <v>20/07 À 31/07/2005</v>
          </cell>
        </row>
        <row r="36">
          <cell r="G36" t="str">
            <v>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143">
          <cell r="H143">
            <v>0</v>
          </cell>
        </row>
        <row r="144">
          <cell r="H144">
            <v>0</v>
          </cell>
        </row>
        <row r="145"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  <sheetName val="PROJETO"/>
      <sheetName val="QuQuant"/>
      <sheetName val="DESMATAMENTO"/>
      <sheetName val="Cronog Físico Finaceiro "/>
      <sheetName val="Conversão"/>
      <sheetName val="Medição (2"/>
      <sheetName val="Medição Completa"/>
      <sheetName val="PROD.PRIM."/>
      <sheetName val="Comp P Unit "/>
      <sheetName val="CUSTO MATERIAL"/>
      <sheetName val="CALCULOS AUXILIARES"/>
      <sheetName val="RESUMO_AUT1"/>
      <sheetName val="BANCO"/>
      <sheetName val="CUSTO EQUIP"/>
      <sheetName val="C MÃO OBRA"/>
      <sheetName val="61M-CBMI"/>
      <sheetName val="PLANILHA DE QUANT. E CUSTOS A"/>
      <sheetName val="LVC215O1_1_"/>
      <sheetName val="Teor"/>
      <sheetName val="P A T O  D"/>
      <sheetName val="Instalação e manutenção de cant"/>
      <sheetName val="C_U"/>
      <sheetName val="Equipamentos"/>
      <sheetName val="Pontes"/>
      <sheetName val="CG"/>
      <sheetName val="PONTES LICITADAS"/>
      <sheetName val="2 - ORÇAMEMTO RPFO"/>
      <sheetName val="001 -RPFO SUPRIMR"/>
      <sheetName val=" QUADRO QTDE DRENAGEM URBANA"/>
      <sheetName val="Especif"/>
      <sheetName val="MAT-BET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QuQuant"/>
      <sheetName val="Carimbo de Nota"/>
      <sheetName val="DESMATAMENTO"/>
      <sheetName val="Orçamentária"/>
      <sheetName val="PROD_PRIM_"/>
      <sheetName val="IDENTIFICAÇÃO"/>
      <sheetName val="Planejamento"/>
      <sheetName val="Vínculos (Não Mexer)"/>
      <sheetName val="Vínculos"/>
      <sheetName val="TPU-MARÇO_2002"/>
      <sheetName val="Auxiliares"/>
      <sheetName val="materiais civil"/>
      <sheetName val="mão de obra civi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INVENTÁRIO"/>
      <sheetName val="SERVIÇOS AUX"/>
      <sheetName val="OBRAS MELHORAM"/>
      <sheetName val="MAT PLACA"/>
      <sheetName val="ADM"/>
      <sheetName val="DRENOS"/>
      <sheetName val="CONSERVA ROTINEIRA"/>
      <sheetName val="SINALIZ"/>
      <sheetName val="Cronog Físico Finaceiro "/>
      <sheetName val="P A T O  D"/>
      <sheetName val="BD_Equipamentos"/>
      <sheetName val="BD_Tabela de Salários"/>
      <sheetName val="C_U"/>
      <sheetName val="Planilha"/>
      <sheetName val="alphaville"/>
      <sheetName val="PONTES LICITADAS"/>
      <sheetName val="Pontes"/>
      <sheetName val="61M-CBMI"/>
      <sheetName val="CG"/>
      <sheetName val="MAT-BET"/>
      <sheetName val=" QUADRO QTDE DRENAGEM URBANA"/>
      <sheetName val="Serviç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PROD.PRIM."/>
      <sheetName val="Compactação  botafora"/>
      <sheetName val="Dados da Obra"/>
      <sheetName val="P A T O 99 B"/>
      <sheetName val="RESUMO_AUT1"/>
      <sheetName val="61M-CBMI"/>
      <sheetName val="COMPOS1"/>
      <sheetName val="Original"/>
      <sheetName val="MARSHALL"/>
      <sheetName val="Cronog Físico Finaceiro "/>
      <sheetName val="PLANILHA DE QUANT. E CUSTOS A"/>
      <sheetName val="DESMATAMENTO"/>
      <sheetName val="BD_Equipamentos"/>
      <sheetName val="BD_Tabela de Salários"/>
      <sheetName val="P A T O 98 D"/>
      <sheetName val="QuQuant"/>
      <sheetName val="P A T O  D"/>
      <sheetName val="COMPOSIÇÕES"/>
      <sheetName val="Página 16"/>
      <sheetName val="Mão de Obra"/>
      <sheetName val="Teor"/>
      <sheetName val="Equipamentos"/>
      <sheetName val="quadro de qtde DRENAGEM URBANA"/>
      <sheetName val="comp1"/>
      <sheetName val="alphaville"/>
      <sheetName val="Pontes"/>
      <sheetName val="Medição"/>
      <sheetName val="Especif"/>
      <sheetName val="MAT-BET"/>
      <sheetName val="TCC4"/>
      <sheetName val="TCB5"/>
      <sheetName val="2 - ORÇAMEMTO RPFO"/>
      <sheetName val="LOCALIZAÇÃO PLACAS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DADE"/>
      <sheetName val="compos1"/>
      <sheetName val="Resumo_%"/>
      <sheetName val="Cadastrar"/>
      <sheetName val="Vínculos (Não Mexer)"/>
      <sheetName val="dados"/>
      <sheetName val="Vínculos"/>
      <sheetName val="Listas"/>
      <sheetName val="Códigos"/>
      <sheetName val="B M Pl04"/>
      <sheetName val="insumos"/>
      <sheetName val="rev int TP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ROJETO"/>
      <sheetName val="RESUMO_AUT1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PROD_PRIM_"/>
      <sheetName val="IDENTIFICAÇÃO"/>
      <sheetName val="450"/>
      <sheetName val="Quantidades e Preços - Lote 01"/>
      <sheetName val="PLANILHA DE QUANT. E CUSTOS A"/>
      <sheetName val="QuQuant"/>
      <sheetName val="Medição"/>
      <sheetName val="Original"/>
      <sheetName val="Geral"/>
      <sheetName val="SERVIÇOS"/>
      <sheetName val="INVENTÁRIO"/>
      <sheetName val="DESMATAMENTO"/>
      <sheetName val="61M-CBMI"/>
      <sheetName val="Carimbo de Nota"/>
      <sheetName val="P A T O 98 D"/>
      <sheetName val="CUSTO INDIRETO"/>
      <sheetName val="P A T O  D"/>
      <sheetName val="Consultoria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orçamento"/>
      <sheetName val="8ª MP_BR_459"/>
      <sheetName val="TCB5"/>
      <sheetName val="PLANILHA CONTRATUAL"/>
      <sheetName val="001 -RPFO SUPRI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</sheetNames>
    <sheetDataSet>
      <sheetData sheetId="0">
        <row r="4">
          <cell r="B4" t="str">
            <v>Rev. 0</v>
          </cell>
        </row>
        <row r="5">
          <cell r="B5">
            <v>1.25</v>
          </cell>
        </row>
        <row r="6">
          <cell r="B6" t="str">
            <v>NOME ARQUIVO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PROJETO"/>
      <sheetName val="RESUMO_AUT1"/>
      <sheetName val="CRONFISFIN_"/>
      <sheetName val="Capa Resumo"/>
      <sheetName val="Capa Anexo II"/>
      <sheetName val="Capa Anexo III"/>
      <sheetName val="Dados da Obra"/>
      <sheetName val="450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Medição"/>
      <sheetName val="Geral"/>
      <sheetName val="P A T O 99 B"/>
      <sheetName val="TPU-MARÇO_2002"/>
      <sheetName val="MARSHALL"/>
      <sheetName val="Carimbo de Nota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CUSTO INDIRETO"/>
      <sheetName val="LVC215O1_1_"/>
      <sheetName val="P A T O  D"/>
      <sheetName val="Consultoria"/>
      <sheetName val="CG"/>
      <sheetName val="BANCO"/>
      <sheetName val="Quadro de qntd"/>
      <sheetName val="CURVA ABC"/>
      <sheetName val="Cronograma FIS FINANC"/>
      <sheetName val="Equipamentos"/>
      <sheetName val="Pontes"/>
      <sheetName val="com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ágina 16"/>
      <sheetName val="Teor"/>
      <sheetName val="PROJETO"/>
      <sheetName val="RESUMO_AUT1"/>
      <sheetName val="CRONFISFIN_"/>
      <sheetName val="Quantidades e Preços - Lote 01"/>
      <sheetName val="orçamento_global"/>
      <sheetName val="61M-CBMI"/>
      <sheetName val="CS#"/>
      <sheetName val="P A T O 99 B"/>
      <sheetName val="Macro1"/>
      <sheetName val="SERVIÇO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P A T O  D"/>
      <sheetName val="BD_Equipamentos"/>
      <sheetName val="BD_Tabela de Salários"/>
      <sheetName val="MAT-BET"/>
      <sheetName val="Especif"/>
      <sheetName val="BANCO"/>
      <sheetName val="P A T O  B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 Corrente"/>
      <sheetName val="PROJETO"/>
      <sheetName val="RESUMO_AUT1"/>
      <sheetName val="Página 16"/>
      <sheetName val="P A T O 99 B"/>
      <sheetName val="CRONFISFIN_"/>
      <sheetName val="QuQuant"/>
      <sheetName val="MEDIÇÃO RESUMO"/>
      <sheetName val="INVENTÁRIO"/>
      <sheetName val="61M-CBMI"/>
      <sheetName val="BANCO"/>
      <sheetName val="Teor"/>
      <sheetName val="Composições"/>
      <sheetName val="TPU-MARÇO_2002"/>
      <sheetName val="Capa Resumo"/>
      <sheetName val="Capa Anexo II"/>
      <sheetName val="Capa Anexo III"/>
      <sheetName val="SERVIÇOS"/>
      <sheetName val="Cronog Físico Finaceiro "/>
      <sheetName val="BD_Equipamentos"/>
      <sheetName val="BD_Tabela de Salários"/>
      <sheetName val="P A T O 98 D"/>
      <sheetName val="Carta"/>
      <sheetName val="Vínculos (Não Mexer)"/>
      <sheetName val="TCC4"/>
      <sheetName val="TCB5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Equipamentos"/>
    </sheetNames>
    <definedNames>
      <definedName name="Dom_Páscoa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02"/>
      <sheetName val="CR LOTE 02"/>
    </sheetNames>
    <sheetDataSet>
      <sheetData sheetId="0"/>
      <sheetData sheetId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PROJETO"/>
      <sheetName val="RESUMO_AUT1"/>
      <sheetName val="P A T O 98 D"/>
      <sheetName val="P A T O 99 B"/>
      <sheetName val="PN (Fx 3)"/>
      <sheetName val="INSUMOS"/>
      <sheetName val="MARSHALL"/>
      <sheetName val="61M-CBMI"/>
      <sheetName val="COMPOS1"/>
      <sheetName val="PLANILHA DE QUANT. E CUSTOS A"/>
      <sheetName val="P reaj x P atual"/>
      <sheetName val="Macro1"/>
      <sheetName val="CRONFISFIN_"/>
      <sheetName val="TPU-MARÇO_2002"/>
      <sheetName val="Cronog Físico Finaceiro "/>
      <sheetName val="DESMATAMENTO"/>
      <sheetName val="CUSTO INDIRETO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edição"/>
      <sheetName val="8ª MP_BR_459"/>
      <sheetName val="TCB5"/>
    </sheetNames>
    <sheetDataSet>
      <sheetData sheetId="0" refreshError="1"/>
      <sheetData sheetId="1" refreshError="1"/>
      <sheetData sheetId="2" refreshError="1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_AUT1"/>
      <sheetName val="PROJETO"/>
      <sheetName val="P A T O 98 D"/>
      <sheetName val="MEDIÇÃO RESUMO"/>
      <sheetName val="Instalação e manutenção de cant"/>
      <sheetName val="SERVIÇOS"/>
      <sheetName val="Medição"/>
      <sheetName val="Conversão"/>
      <sheetName val="RMLE157"/>
      <sheetName val="PLANILHA DE QUANT. E CUSTOS A"/>
      <sheetName val="Composições"/>
      <sheetName val="CRONFISFIN_"/>
      <sheetName val="P reaj x P atual"/>
      <sheetName val="P A T O 99 B"/>
      <sheetName val="DESMATAMENTO"/>
      <sheetName val="Carimbo de Nota"/>
      <sheetName val="CUSTO INDIRETO"/>
      <sheetName val="LVC215O1_1_"/>
      <sheetName val="DIPRVS12"/>
      <sheetName val="TCB5"/>
      <sheetName val="PLANILHA CONTRATUAL"/>
      <sheetName val="8ª MP_BR_459"/>
      <sheetName val="Original"/>
      <sheetName val="Convert Lat, Long to UTM"/>
    </sheetNames>
    <sheetDataSet>
      <sheetData sheetId="0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Nominais"/>
      <sheetName val="TB-MB029"/>
      <sheetName val="RESUMO_AUT1"/>
      <sheetName val="P A T O"/>
      <sheetName val="P A T O 98 D"/>
      <sheetName val="INSUMOS"/>
      <sheetName val="FLUXO - EXECUÇÃO PRÓPRIA"/>
      <sheetName val="C_U"/>
      <sheetName val="TPU-MARÇO_2002"/>
      <sheetName val="Medição"/>
      <sheetName val="Orçamentária"/>
      <sheetName val="Geral"/>
      <sheetName val="61M-CBMI"/>
      <sheetName val="INVENTÁRIO"/>
      <sheetName val="CS#"/>
      <sheetName val="P reaj x P atual"/>
      <sheetName val="P A T O 99 B"/>
      <sheetName val="QuQuant"/>
      <sheetName val="Página 16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BANCO"/>
      <sheetName val="Quadro de qntd"/>
      <sheetName val="P A T O  B"/>
      <sheetName val="CURVA ABC"/>
      <sheetName val="Cronograma FIS FINANC"/>
      <sheetName val="CUSTO INDIRETO"/>
      <sheetName val="PROJETO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RESUMO_AUT1"/>
      <sheetName val="61M-CBMI"/>
      <sheetName val="Medição (2"/>
      <sheetName val="Medição Completa"/>
      <sheetName val="P A T O"/>
      <sheetName val="Instalação e manutenção de cant"/>
      <sheetName val="FLUXO - EXECUÇÃO PRÓPRIA"/>
      <sheetName val="QuQuant"/>
      <sheetName val="Macro1"/>
      <sheetName val="BANCO"/>
      <sheetName val="PROD.PRIM."/>
      <sheetName val="Comp P Unit "/>
      <sheetName val="CUSTO MATERIAL"/>
      <sheetName val="CALCULOS AUXILIARES"/>
      <sheetName val="Croqui"/>
      <sheetName val="INVENTÁRIO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og Físico Finaceiro "/>
      <sheetName val="P A T O 99 B"/>
      <sheetName val="Equipamentos"/>
      <sheetName val="P A T O  B"/>
      <sheetName val="orçamento_global"/>
      <sheetName val="2 - ORÇAMEMTO RPFO"/>
      <sheetName val="001 -RPFO SUPRIMR"/>
      <sheetName val="39 -quadro qtde DRENAGEM URBAN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RESUMO_AUT1"/>
      <sheetName val="Medição"/>
      <sheetName val="Medição (2"/>
      <sheetName val="Medição Completa"/>
      <sheetName val="C_U"/>
      <sheetName val="Equipamentos"/>
      <sheetName val="P A T O  D"/>
      <sheetName val="Composições"/>
      <sheetName val="PROD_PRIM_"/>
      <sheetName val="IDENTIFICAÇÃO"/>
      <sheetName val="Planejamento"/>
      <sheetName val="Vínculos (Não Mexer)"/>
      <sheetName val="Vínculos"/>
      <sheetName val="SERVIÇOS"/>
      <sheetName val="CS#"/>
      <sheetName val="P A T O 98 D"/>
      <sheetName val="Capa Resumo"/>
      <sheetName val="Capa Anexo II"/>
      <sheetName val="Capa Anexo III"/>
      <sheetName val="CRONFISFIN_"/>
      <sheetName val="Cronog Físico Finaceiro "/>
      <sheetName val="DESMATAMENTO"/>
      <sheetName val="Elétrica"/>
      <sheetName val="CUSTO EQUIP"/>
      <sheetName val="Comp P Unit "/>
      <sheetName val="CUSTO MATERIAL"/>
      <sheetName val="CALCULOS AUXILIARES"/>
      <sheetName val="Croqui"/>
      <sheetName val="C MÃO OBRA"/>
      <sheetName val="Teor"/>
      <sheetName val="Quadro de qntd"/>
      <sheetName val="CURVA ABC"/>
      <sheetName val="Cronograma FIS FINANC"/>
      <sheetName val="PONTES LICITAD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RESUMO_AUT1"/>
      <sheetName val="Medição"/>
      <sheetName val="PROJETO"/>
      <sheetName val="Compactação  botafora"/>
      <sheetName val="QuQuant"/>
      <sheetName val="P A T O  D"/>
      <sheetName val="P reaj x P atual"/>
      <sheetName val="CUSTO EQUIP"/>
      <sheetName val="Comp P Unit "/>
      <sheetName val="CUSTO MATERIAL"/>
      <sheetName val="CALCULOS AUXILIARES"/>
      <sheetName val="Croqui"/>
      <sheetName val="C MÃO OBRA"/>
      <sheetName val="Dados da Obra"/>
      <sheetName val="P A T O 99 B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Conversão"/>
      <sheetName val="PRO-08"/>
      <sheetName val="Página 15"/>
      <sheetName val="CR LOTE 02"/>
      <sheetName val="PROP ELAB GANH"/>
      <sheetName val="PARETOS"/>
      <sheetName val="DESEMP AN"/>
      <sheetName val="eaigesen"/>
      <sheetName val="Página 16"/>
      <sheetName val="relatório"/>
      <sheetName val="A"/>
      <sheetName val="market"/>
      <sheetName val="Cadastro Medição"/>
      <sheetName val="Geral"/>
      <sheetName val="aux"/>
      <sheetName val="Ativos"/>
      <sheetName val="DER janeiro98"/>
      <sheetName val="Orçamento"/>
      <sheetName val="DG"/>
      <sheetName val="Dados"/>
      <sheetName val="paulo de carvalho"/>
      <sheetName val="relatório-1ª med."/>
      <sheetName val="Cronograma Executivo"/>
      <sheetName val="Teor"/>
      <sheetName val="CPU_Serviço"/>
      <sheetName val="Dados Iniciais"/>
      <sheetName val="F. MEDIÇAO"/>
      <sheetName val="TPU-MARÇO_2002"/>
      <sheetName val="P A T O"/>
      <sheetName val="CRONFISFIN_"/>
      <sheetName val="DESMATAMENTO"/>
      <sheetName val="Carimbo de Not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COMPOS1"/>
      <sheetName val="Equipamentos"/>
      <sheetName val="Quadro de qntd"/>
      <sheetName val="PONTES LICITADAS"/>
    </sheetNames>
    <sheetDataSet>
      <sheetData sheetId="0" refreshError="1">
        <row r="1">
          <cell r="A1" t="str">
            <v>CONSTRUTORA CATARINENSE DE RODOVIAS  LTDA</v>
          </cell>
        </row>
        <row r="8">
          <cell r="A8">
            <v>1</v>
          </cell>
          <cell r="B8">
            <v>774.19354838709683</v>
          </cell>
          <cell r="C8">
            <v>774.19354838709683</v>
          </cell>
          <cell r="D8">
            <v>59</v>
          </cell>
          <cell r="E8">
            <v>12.5</v>
          </cell>
          <cell r="F8">
            <v>0.5</v>
          </cell>
          <cell r="G8">
            <v>160</v>
          </cell>
          <cell r="H8">
            <v>160</v>
          </cell>
          <cell r="I8">
            <v>0</v>
          </cell>
          <cell r="J8">
            <v>0</v>
          </cell>
        </row>
        <row r="9">
          <cell r="A9">
            <v>2</v>
          </cell>
          <cell r="B9">
            <v>774.19354838709683</v>
          </cell>
          <cell r="C9">
            <v>1548.3870967741937</v>
          </cell>
          <cell r="D9">
            <v>65</v>
          </cell>
          <cell r="E9">
            <v>12</v>
          </cell>
          <cell r="F9">
            <v>1</v>
          </cell>
          <cell r="G9">
            <v>200</v>
          </cell>
          <cell r="H9">
            <v>360</v>
          </cell>
          <cell r="I9">
            <v>1300</v>
          </cell>
          <cell r="J9">
            <v>1300</v>
          </cell>
        </row>
        <row r="10">
          <cell r="A10">
            <v>3</v>
          </cell>
          <cell r="B10">
            <v>774.19354838709683</v>
          </cell>
          <cell r="C10">
            <v>2322.5806451612907</v>
          </cell>
          <cell r="D10">
            <v>50</v>
          </cell>
          <cell r="E10">
            <v>8.34</v>
          </cell>
          <cell r="F10">
            <v>2.66</v>
          </cell>
          <cell r="G10">
            <v>1020</v>
          </cell>
          <cell r="H10">
            <v>360</v>
          </cell>
          <cell r="I10">
            <v>1000</v>
          </cell>
          <cell r="J10">
            <v>2300</v>
          </cell>
        </row>
        <row r="11">
          <cell r="A11">
            <v>4</v>
          </cell>
          <cell r="B11">
            <v>774.19354838709683</v>
          </cell>
          <cell r="C11">
            <v>3096.7741935483873</v>
          </cell>
          <cell r="D11">
            <v>58</v>
          </cell>
          <cell r="E11">
            <v>11.5</v>
          </cell>
          <cell r="F11">
            <v>1.5</v>
          </cell>
          <cell r="G11">
            <v>160</v>
          </cell>
          <cell r="H11">
            <v>520</v>
          </cell>
          <cell r="I11">
            <v>1160</v>
          </cell>
          <cell r="J11">
            <v>3460</v>
          </cell>
        </row>
        <row r="12">
          <cell r="A12">
            <v>5</v>
          </cell>
          <cell r="B12">
            <v>774.19354838709683</v>
          </cell>
          <cell r="C12">
            <v>3870.9677419354839</v>
          </cell>
          <cell r="D12">
            <v>44</v>
          </cell>
          <cell r="E12">
            <v>10</v>
          </cell>
          <cell r="F12">
            <v>1</v>
          </cell>
          <cell r="G12">
            <v>880</v>
          </cell>
          <cell r="H12">
            <v>520</v>
          </cell>
          <cell r="I12">
            <v>880</v>
          </cell>
          <cell r="J12">
            <v>4340</v>
          </cell>
        </row>
        <row r="13">
          <cell r="A13">
            <v>6</v>
          </cell>
          <cell r="B13">
            <v>774.19354838709683</v>
          </cell>
          <cell r="C13">
            <v>4645.1612903225805</v>
          </cell>
          <cell r="D13">
            <v>49</v>
          </cell>
          <cell r="E13">
            <v>9.5</v>
          </cell>
          <cell r="F13">
            <v>1.5</v>
          </cell>
          <cell r="G13">
            <v>60</v>
          </cell>
          <cell r="H13">
            <v>580</v>
          </cell>
          <cell r="I13">
            <v>980</v>
          </cell>
          <cell r="J13">
            <v>5320</v>
          </cell>
        </row>
        <row r="14">
          <cell r="A14">
            <v>7</v>
          </cell>
          <cell r="B14">
            <v>774.19354838709683</v>
          </cell>
          <cell r="C14">
            <v>5419.3548387096771</v>
          </cell>
          <cell r="D14">
            <v>56</v>
          </cell>
          <cell r="E14">
            <v>12.5</v>
          </cell>
          <cell r="F14">
            <v>0.5</v>
          </cell>
          <cell r="G14">
            <v>760</v>
          </cell>
          <cell r="H14">
            <v>580</v>
          </cell>
          <cell r="I14">
            <v>1120</v>
          </cell>
          <cell r="J14">
            <v>6440</v>
          </cell>
        </row>
        <row r="15">
          <cell r="A15">
            <v>8</v>
          </cell>
          <cell r="B15">
            <v>774.19354838709683</v>
          </cell>
          <cell r="C15">
            <v>6193.5483870967737</v>
          </cell>
          <cell r="D15">
            <v>27</v>
          </cell>
          <cell r="E15">
            <v>6</v>
          </cell>
          <cell r="F15">
            <v>5</v>
          </cell>
          <cell r="G15">
            <v>940</v>
          </cell>
          <cell r="H15">
            <v>580</v>
          </cell>
          <cell r="I15">
            <v>540</v>
          </cell>
          <cell r="J15">
            <v>6980</v>
          </cell>
        </row>
        <row r="16">
          <cell r="A16">
            <v>9</v>
          </cell>
          <cell r="B16">
            <v>774.19354838709683</v>
          </cell>
          <cell r="C16">
            <v>6967.7419354838703</v>
          </cell>
          <cell r="D16">
            <v>59</v>
          </cell>
          <cell r="E16">
            <v>12.67</v>
          </cell>
          <cell r="F16">
            <v>0.33</v>
          </cell>
          <cell r="G16">
            <v>860</v>
          </cell>
          <cell r="H16">
            <v>580</v>
          </cell>
          <cell r="I16">
            <v>1180</v>
          </cell>
          <cell r="J16">
            <v>8160</v>
          </cell>
        </row>
        <row r="17">
          <cell r="A17">
            <v>10</v>
          </cell>
          <cell r="B17">
            <v>774.19354838709683</v>
          </cell>
          <cell r="C17">
            <v>7741.9354838709669</v>
          </cell>
          <cell r="D17">
            <v>60</v>
          </cell>
          <cell r="E17">
            <v>12.5</v>
          </cell>
          <cell r="F17">
            <v>0.5</v>
          </cell>
          <cell r="G17">
            <v>500</v>
          </cell>
          <cell r="H17">
            <v>580</v>
          </cell>
          <cell r="I17">
            <v>1200</v>
          </cell>
          <cell r="J17">
            <v>9360</v>
          </cell>
        </row>
        <row r="18">
          <cell r="A18">
            <v>11</v>
          </cell>
          <cell r="B18">
            <v>774.19354838709683</v>
          </cell>
          <cell r="C18">
            <v>8516.1290322580644</v>
          </cell>
          <cell r="D18">
            <v>63</v>
          </cell>
          <cell r="E18">
            <v>12.33</v>
          </cell>
          <cell r="F18">
            <v>0.67</v>
          </cell>
          <cell r="G18">
            <v>200</v>
          </cell>
          <cell r="H18">
            <v>780</v>
          </cell>
          <cell r="I18">
            <v>1260</v>
          </cell>
          <cell r="J18">
            <v>10620</v>
          </cell>
        </row>
        <row r="19">
          <cell r="A19">
            <v>12</v>
          </cell>
          <cell r="B19">
            <v>774.19354838709683</v>
          </cell>
          <cell r="C19">
            <v>9290.322580645161</v>
          </cell>
          <cell r="D19">
            <v>46</v>
          </cell>
          <cell r="E19">
            <v>10</v>
          </cell>
          <cell r="F19">
            <v>0.5</v>
          </cell>
          <cell r="G19">
            <v>200</v>
          </cell>
          <cell r="H19">
            <v>980</v>
          </cell>
          <cell r="I19">
            <v>920</v>
          </cell>
          <cell r="J19">
            <v>11540</v>
          </cell>
        </row>
        <row r="20">
          <cell r="A20">
            <v>13</v>
          </cell>
          <cell r="B20">
            <v>774.19354838709683</v>
          </cell>
          <cell r="C20">
            <v>10064.516129032258</v>
          </cell>
          <cell r="D20">
            <v>55</v>
          </cell>
          <cell r="E20">
            <v>11.5</v>
          </cell>
          <cell r="F20">
            <v>1.5</v>
          </cell>
          <cell r="G20">
            <v>160</v>
          </cell>
          <cell r="H20">
            <v>1140</v>
          </cell>
          <cell r="I20">
            <v>1100</v>
          </cell>
          <cell r="J20">
            <v>12640</v>
          </cell>
        </row>
        <row r="21">
          <cell r="A21">
            <v>14</v>
          </cell>
          <cell r="B21">
            <v>774.19354838709683</v>
          </cell>
          <cell r="C21">
            <v>10838.709677419354</v>
          </cell>
          <cell r="D21">
            <v>47</v>
          </cell>
          <cell r="E21">
            <v>10</v>
          </cell>
          <cell r="F21">
            <v>3</v>
          </cell>
          <cell r="G21">
            <v>160</v>
          </cell>
          <cell r="H21">
            <v>1300</v>
          </cell>
          <cell r="I21">
            <v>940</v>
          </cell>
          <cell r="J21">
            <v>13580</v>
          </cell>
        </row>
        <row r="22">
          <cell r="A22">
            <v>15</v>
          </cell>
          <cell r="B22">
            <v>774.19354838709683</v>
          </cell>
          <cell r="C22">
            <v>11612.903225806451</v>
          </cell>
          <cell r="D22">
            <v>47</v>
          </cell>
          <cell r="E22">
            <v>10.5</v>
          </cell>
          <cell r="F22">
            <v>0.5</v>
          </cell>
          <cell r="G22">
            <v>140</v>
          </cell>
          <cell r="H22">
            <v>1440</v>
          </cell>
          <cell r="I22">
            <v>940</v>
          </cell>
          <cell r="J22">
            <v>14520</v>
          </cell>
        </row>
        <row r="23">
          <cell r="A23">
            <v>16</v>
          </cell>
          <cell r="B23">
            <v>774.19354838709683</v>
          </cell>
          <cell r="C23">
            <v>12387.096774193547</v>
          </cell>
          <cell r="D23">
            <v>43</v>
          </cell>
          <cell r="E23">
            <v>8.17</v>
          </cell>
          <cell r="F23">
            <v>4.83</v>
          </cell>
          <cell r="G23">
            <v>800</v>
          </cell>
          <cell r="H23">
            <v>1440</v>
          </cell>
          <cell r="I23">
            <v>860</v>
          </cell>
          <cell r="J23">
            <v>15380</v>
          </cell>
        </row>
        <row r="24">
          <cell r="A24">
            <v>17</v>
          </cell>
          <cell r="B24">
            <v>774.19354838709683</v>
          </cell>
          <cell r="C24">
            <v>13161.290322580644</v>
          </cell>
          <cell r="D24">
            <v>58</v>
          </cell>
          <cell r="E24">
            <v>12.5</v>
          </cell>
          <cell r="F24">
            <v>0.5</v>
          </cell>
          <cell r="G24">
            <v>0</v>
          </cell>
          <cell r="H24">
            <v>1440</v>
          </cell>
          <cell r="I24">
            <v>1160</v>
          </cell>
          <cell r="J24">
            <v>16540</v>
          </cell>
        </row>
        <row r="25">
          <cell r="A25">
            <v>18</v>
          </cell>
          <cell r="B25">
            <v>774.19354838709683</v>
          </cell>
          <cell r="C25">
            <v>13935.483870967741</v>
          </cell>
          <cell r="D25">
            <v>52</v>
          </cell>
          <cell r="E25">
            <v>12.17</v>
          </cell>
          <cell r="F25">
            <v>0.83</v>
          </cell>
          <cell r="G25">
            <v>40</v>
          </cell>
          <cell r="H25">
            <v>1480</v>
          </cell>
          <cell r="I25">
            <v>1040</v>
          </cell>
          <cell r="J25">
            <v>17580</v>
          </cell>
        </row>
        <row r="26">
          <cell r="A26">
            <v>19</v>
          </cell>
          <cell r="B26">
            <v>774.19354838709683</v>
          </cell>
          <cell r="C26">
            <v>14709.677419354837</v>
          </cell>
          <cell r="D26">
            <v>9</v>
          </cell>
          <cell r="E26">
            <v>2.67</v>
          </cell>
          <cell r="F26">
            <v>8.33</v>
          </cell>
          <cell r="G26">
            <v>160</v>
          </cell>
          <cell r="H26">
            <v>1640</v>
          </cell>
          <cell r="I26">
            <v>180</v>
          </cell>
          <cell r="J26">
            <v>17760</v>
          </cell>
        </row>
        <row r="27">
          <cell r="A27">
            <v>20</v>
          </cell>
          <cell r="B27">
            <v>774.19354838709683</v>
          </cell>
          <cell r="C27">
            <v>15483.870967741934</v>
          </cell>
          <cell r="D27">
            <v>58</v>
          </cell>
          <cell r="E27">
            <v>12.5</v>
          </cell>
          <cell r="F27">
            <v>0.5</v>
          </cell>
          <cell r="G27">
            <v>280</v>
          </cell>
          <cell r="H27">
            <v>1920</v>
          </cell>
          <cell r="I27">
            <v>1160</v>
          </cell>
          <cell r="J27">
            <v>18920</v>
          </cell>
        </row>
        <row r="28">
          <cell r="A28">
            <v>21</v>
          </cell>
          <cell r="B28">
            <v>774.19354838709683</v>
          </cell>
          <cell r="C28">
            <v>16258.06451612903</v>
          </cell>
          <cell r="D28">
            <v>60</v>
          </cell>
          <cell r="E28">
            <v>13</v>
          </cell>
          <cell r="F28">
            <v>2</v>
          </cell>
          <cell r="G28">
            <v>160</v>
          </cell>
          <cell r="H28">
            <v>2080</v>
          </cell>
          <cell r="I28">
            <v>1200</v>
          </cell>
          <cell r="J28">
            <v>20120</v>
          </cell>
        </row>
        <row r="29">
          <cell r="A29">
            <v>22</v>
          </cell>
          <cell r="B29">
            <v>774.19354838709683</v>
          </cell>
          <cell r="C29">
            <v>17032.258064516129</v>
          </cell>
          <cell r="D29">
            <v>60</v>
          </cell>
          <cell r="E29">
            <v>13</v>
          </cell>
          <cell r="F29">
            <v>2.33</v>
          </cell>
          <cell r="G29">
            <v>260</v>
          </cell>
          <cell r="H29">
            <v>2340</v>
          </cell>
          <cell r="I29">
            <v>1200</v>
          </cell>
          <cell r="J29">
            <v>21320</v>
          </cell>
        </row>
        <row r="30">
          <cell r="A30">
            <v>23</v>
          </cell>
          <cell r="B30">
            <v>774.19354838709683</v>
          </cell>
          <cell r="C30">
            <v>17806.451612903227</v>
          </cell>
          <cell r="D30">
            <v>58</v>
          </cell>
          <cell r="E30">
            <v>12.33</v>
          </cell>
          <cell r="F30">
            <v>0.67</v>
          </cell>
          <cell r="G30">
            <v>160</v>
          </cell>
          <cell r="H30">
            <v>2500</v>
          </cell>
          <cell r="I30">
            <v>1160</v>
          </cell>
          <cell r="J30">
            <v>22480</v>
          </cell>
        </row>
        <row r="31">
          <cell r="A31">
            <v>24</v>
          </cell>
          <cell r="B31">
            <v>774.19354838709683</v>
          </cell>
          <cell r="C31">
            <v>18580.645161290326</v>
          </cell>
          <cell r="D31">
            <v>56</v>
          </cell>
          <cell r="E31">
            <v>13</v>
          </cell>
          <cell r="F31">
            <v>0.5</v>
          </cell>
          <cell r="G31">
            <v>40</v>
          </cell>
          <cell r="H31">
            <v>2540</v>
          </cell>
          <cell r="I31">
            <v>1120</v>
          </cell>
          <cell r="J31">
            <v>23600</v>
          </cell>
        </row>
        <row r="32">
          <cell r="A32">
            <v>25</v>
          </cell>
          <cell r="B32">
            <v>774.19354838709683</v>
          </cell>
          <cell r="C32">
            <v>19354.838709677424</v>
          </cell>
          <cell r="D32">
            <v>42</v>
          </cell>
          <cell r="E32">
            <v>12.33</v>
          </cell>
          <cell r="F32">
            <v>0.67</v>
          </cell>
          <cell r="G32">
            <v>860</v>
          </cell>
          <cell r="H32">
            <v>2540</v>
          </cell>
          <cell r="I32">
            <v>840</v>
          </cell>
          <cell r="J32">
            <v>24440</v>
          </cell>
        </row>
        <row r="33">
          <cell r="A33">
            <v>26</v>
          </cell>
          <cell r="B33">
            <v>774.19354838709683</v>
          </cell>
          <cell r="C33">
            <v>20129.032258064522</v>
          </cell>
          <cell r="D33">
            <v>39</v>
          </cell>
          <cell r="E33">
            <v>10</v>
          </cell>
          <cell r="F33">
            <v>0.5</v>
          </cell>
          <cell r="G33">
            <v>1180</v>
          </cell>
          <cell r="H33">
            <v>2540</v>
          </cell>
          <cell r="I33">
            <v>780</v>
          </cell>
          <cell r="J33">
            <v>25220</v>
          </cell>
        </row>
        <row r="34">
          <cell r="A34">
            <v>27</v>
          </cell>
          <cell r="B34">
            <v>774.19354838709683</v>
          </cell>
          <cell r="C34">
            <v>20903.225806451621</v>
          </cell>
          <cell r="D34">
            <v>48</v>
          </cell>
          <cell r="E34">
            <v>13</v>
          </cell>
          <cell r="F34">
            <v>12.83</v>
          </cell>
          <cell r="G34">
            <v>0</v>
          </cell>
          <cell r="H34">
            <v>2540</v>
          </cell>
          <cell r="I34">
            <v>960</v>
          </cell>
          <cell r="J34">
            <v>26180</v>
          </cell>
        </row>
        <row r="35">
          <cell r="A35">
            <v>28</v>
          </cell>
          <cell r="B35">
            <v>774.19354838709683</v>
          </cell>
          <cell r="C35">
            <v>21677.419354838719</v>
          </cell>
          <cell r="D35">
            <v>57</v>
          </cell>
          <cell r="E35">
            <v>13</v>
          </cell>
          <cell r="F35">
            <v>1</v>
          </cell>
          <cell r="G35">
            <v>920</v>
          </cell>
          <cell r="H35">
            <v>2540</v>
          </cell>
          <cell r="I35">
            <v>1140</v>
          </cell>
          <cell r="J35">
            <v>27320</v>
          </cell>
        </row>
        <row r="36">
          <cell r="A36">
            <v>29</v>
          </cell>
          <cell r="B36">
            <v>774.19354838709683</v>
          </cell>
          <cell r="C36">
            <v>22451.612903225818</v>
          </cell>
          <cell r="D36">
            <v>43</v>
          </cell>
          <cell r="E36">
            <v>9.75</v>
          </cell>
          <cell r="F36">
            <v>3.25</v>
          </cell>
          <cell r="G36">
            <v>920</v>
          </cell>
          <cell r="H36">
            <v>2540</v>
          </cell>
          <cell r="I36">
            <v>860</v>
          </cell>
          <cell r="J36">
            <v>28180</v>
          </cell>
        </row>
        <row r="37">
          <cell r="A37">
            <v>30</v>
          </cell>
          <cell r="B37">
            <v>774.19354838709683</v>
          </cell>
          <cell r="C37">
            <v>23225.806451612916</v>
          </cell>
          <cell r="D37">
            <v>57</v>
          </cell>
          <cell r="E37">
            <v>13</v>
          </cell>
          <cell r="F37">
            <v>2.77</v>
          </cell>
          <cell r="G37">
            <v>900</v>
          </cell>
          <cell r="H37">
            <v>2540</v>
          </cell>
          <cell r="I37">
            <v>1140</v>
          </cell>
          <cell r="J37">
            <v>29320</v>
          </cell>
        </row>
        <row r="38">
          <cell r="A38">
            <v>31</v>
          </cell>
          <cell r="B38">
            <v>774.19354838709683</v>
          </cell>
          <cell r="C38">
            <v>24000.000000000015</v>
          </cell>
          <cell r="D38">
            <v>62</v>
          </cell>
          <cell r="E38">
            <v>12.5</v>
          </cell>
          <cell r="F38">
            <v>0.5</v>
          </cell>
          <cell r="G38">
            <v>100</v>
          </cell>
          <cell r="H38">
            <v>2640</v>
          </cell>
          <cell r="I38">
            <v>1240</v>
          </cell>
          <cell r="J38">
            <v>30560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8">
          <cell r="A8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/>
      <sheetData sheetId="10">
        <row r="7">
          <cell r="A7">
            <v>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PROD_PRIM_"/>
      <sheetName val="ACOMPANHAMENTO"/>
      <sheetName val="Orçamentária"/>
      <sheetName val="Banco de Dados"/>
      <sheetName val="RESUMO_AUT1"/>
      <sheetName val="Página 16"/>
      <sheetName val="BANCO"/>
      <sheetName val="450"/>
      <sheetName val="PROJETO"/>
      <sheetName val="Compactação  botafora"/>
      <sheetName val="P A T O  D"/>
      <sheetName val="P A T O"/>
      <sheetName val="COMPOS1"/>
      <sheetName val="Quantidades e Preços - Lote 01"/>
      <sheetName val="PLANILHA DE QUANT. E CUSTOS A"/>
      <sheetName val="TPU-MARÇO_2002"/>
      <sheetName val="P reaj x P atual"/>
      <sheetName val="dados"/>
      <sheetName val="Medição (2"/>
      <sheetName val="Medição Completa"/>
      <sheetName val="61M-CBMI"/>
      <sheetName val="CRONFISFIN_"/>
      <sheetName val="P A T O 99 B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 PIB Brasil ( R$ de 1996 )"/>
      <sheetName val="Original"/>
      <sheetName val="Equipament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</sheetNames>
    <sheetDataSet>
      <sheetData sheetId="0" refreshError="1">
        <row r="3">
          <cell r="D3" t="str">
            <v>344/2007-00</v>
          </cell>
        </row>
        <row r="4">
          <cell r="D4" t="str">
            <v>ÚNICO</v>
          </cell>
        </row>
        <row r="6">
          <cell r="D6" t="str">
            <v>Div. BA/ES – Div. ES/RJ</v>
          </cell>
        </row>
        <row r="7">
          <cell r="D7" t="str">
            <v>Entr. ES-010(B)(Carapina) – Entr. ES-080 (Tabajara)</v>
          </cell>
        </row>
        <row r="8">
          <cell r="D8" t="str">
            <v>Km 268,8 – Km 288,1</v>
          </cell>
        </row>
        <row r="9">
          <cell r="D9" t="str">
            <v>19,30 km</v>
          </cell>
        </row>
        <row r="13">
          <cell r="D13" t="str">
            <v>MAIO/2007</v>
          </cell>
        </row>
        <row r="15">
          <cell r="D15" t="str">
            <v>26 de setembro de 2007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r"/>
      <sheetName val="Dados da Obra"/>
      <sheetName val="04 - RESUMO"/>
      <sheetName val="05 - PLANILHA"/>
      <sheetName val="13 - FISFIN"/>
      <sheetName val="19 - ABC INSUMOS"/>
      <sheetName val="20 - ABC SERVIÇOS"/>
      <sheetName val="FIS"/>
      <sheetName val="RESUMO_AUT1"/>
      <sheetName val="Página 16"/>
      <sheetName val="BANCO"/>
      <sheetName val="450"/>
      <sheetName val="P A T O  D"/>
      <sheetName val="Índices de Reajustamento"/>
      <sheetName val="BD_Equipamentos"/>
      <sheetName val="BD_Tabela de Salários"/>
      <sheetName val="CS#"/>
      <sheetName val="Original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reaj x P atual"/>
      <sheetName val="QuQuant"/>
      <sheetName val="F. MEDIÇAO"/>
      <sheetName val="Conversão"/>
      <sheetName val="Medição"/>
      <sheetName val="P A T O 99 B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MPOS1"/>
      <sheetName val="Geral"/>
      <sheetName val="Calendário"/>
      <sheetName val="61M-CBMI"/>
    </sheetNames>
    <sheetDataSet>
      <sheetData sheetId="0"/>
      <sheetData sheetId="1">
        <row r="6">
          <cell r="B6" t="str">
            <v>32,2 km</v>
          </cell>
        </row>
        <row r="7">
          <cell r="B7" t="str">
            <v>Março / 2009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dades e Preços - Lote 01"/>
      <sheetName val="Estrutura Analítica"/>
      <sheetName val="Cronograma Físico Planejado"/>
      <sheetName val="Cronograma Físico Realizado"/>
      <sheetName val="Curva de Progresso Físico"/>
      <sheetName val="Cronograma Financeiro Planejado"/>
      <sheetName val="Cronograma Financeiro Realiz"/>
      <sheetName val="Curva de Progresso Financeiro"/>
      <sheetName val="F-OBRAS-01C"/>
      <sheetName val="somente informações"/>
      <sheetName val="Edital"/>
      <sheetName val="PROD.PRIM."/>
      <sheetName val="Orçamentária"/>
      <sheetName val="Conversão"/>
      <sheetName val="Calendário da Família"/>
      <sheetName val="DG"/>
      <sheetName val="IDENTIFICAÇÃO"/>
      <sheetName val="ORÇAMENTO"/>
      <sheetName val="Quantidades_e_Preços_-_Lote_01"/>
      <sheetName val="Estrutura_Analítica"/>
      <sheetName val="Cronograma_Físico_Planejado"/>
      <sheetName val="Cronograma_Físico_Realizado"/>
      <sheetName val="Curva_de_Progresso_Físico"/>
      <sheetName val="Cronograma_Financeiro_Planejado"/>
      <sheetName val="Cronograma_Financeiro_Realiz"/>
      <sheetName val="Curva_de_Progresso_Financeiro"/>
      <sheetName val="somente_informações"/>
      <sheetName val="Calendário_da_Família"/>
      <sheetName val="PROD_PRIM_"/>
      <sheetName val="COLA!!"/>
      <sheetName val="Produção"/>
      <sheetName val="Produção Consolidada"/>
      <sheetName val="Faturamento"/>
      <sheetName val="Despesa Econ."/>
      <sheetName val="Compromissos"/>
      <sheetName val="Efetivo"/>
      <sheetName val="Desp. Ind."/>
      <sheetName val="Equipamentos"/>
      <sheetName val="EquipLoc"/>
      <sheetName val="Controle Operacional"/>
      <sheetName val="PrevTri"/>
      <sheetName val="PrevRec"/>
      <sheetName val="Resumo"/>
      <sheetName val="Estoque"/>
      <sheetName val="PrevTriGastos"/>
      <sheetName val="61M-CBMI"/>
      <sheetName val="RESUMO_AUT1"/>
      <sheetName val="COMPOS1"/>
      <sheetName val="orçamento_global"/>
      <sheetName val="PROJETO"/>
      <sheetName val="450"/>
      <sheetName val="P A T O  D"/>
      <sheetName val="Plan 2.7"/>
      <sheetName val="P A T O 98 D"/>
      <sheetName val="Geral"/>
      <sheetName val="QuQuant"/>
      <sheetName val="Carimbo de Nota"/>
      <sheetName val="Compactação  botafora"/>
      <sheetName val="C_U"/>
      <sheetName val="MEDIÇÃO RESUMO"/>
      <sheetName val="Medição"/>
      <sheetName val="Capa Resumo"/>
      <sheetName val="Capa Anexo II"/>
      <sheetName val="Capa Anexo III"/>
      <sheetName val="CRONFISFIN_"/>
      <sheetName val="P A T O 99 B"/>
      <sheetName val="INVENTÁRIO"/>
    </sheetNames>
    <sheetDataSet>
      <sheetData sheetId="0" refreshError="1">
        <row r="6">
          <cell r="H6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8ª MP_BR_459"/>
      <sheetName val="DSS_04"/>
      <sheetName val="Fresagem"/>
      <sheetName val="Meio-fio"/>
      <sheetName val="PintLigacao"/>
      <sheetName val="PMQ"/>
      <sheetName val="STC_01"/>
      <sheetName val="RESUMO_AUT1"/>
      <sheetName val="8ª MP_BR-459"/>
      <sheetName val="Original"/>
      <sheetName val="QuQuant"/>
      <sheetName val="orçamento_global"/>
      <sheetName val="PROJETO"/>
      <sheetName val="BD_Equipamentos"/>
      <sheetName val="BD_Tabela de Salários"/>
      <sheetName val="CUSTO LARANJEIRAS"/>
      <sheetName val="CUSTO INDIRETO"/>
      <sheetName val="Orçamentária"/>
      <sheetName val="P A T O 99 B"/>
      <sheetName val="MEDIÇÃO RESUMO"/>
      <sheetName val="INVENTÁRIO"/>
      <sheetName val="CS#"/>
      <sheetName val="Quantidades e Preços - Lote 01"/>
      <sheetName val="450"/>
      <sheetName val="PROD.PRIM."/>
      <sheetName val="BANCO"/>
      <sheetName val="P A T O 98 D"/>
      <sheetName val="CRONFISFIN_"/>
      <sheetName val="COMPOS1"/>
      <sheetName val="Teor"/>
      <sheetName val="C_U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Q"/>
      <sheetName val="61M-CBMI"/>
      <sheetName val="RESUMO_AUT1"/>
      <sheetName val="Geral"/>
      <sheetName val="PN (Fx 3)"/>
      <sheetName val="QuQuant"/>
      <sheetName val="P A T O 98 D"/>
      <sheetName val="LVC215O1_1_"/>
      <sheetName val="F. MEDIÇAO"/>
      <sheetName val="Teor"/>
      <sheetName val="INSUMOS"/>
      <sheetName val="MARSHALL"/>
      <sheetName val="CS#"/>
      <sheetName val="C_U"/>
      <sheetName val="450"/>
      <sheetName val="PROD_PRIM_"/>
      <sheetName val="IDENTIFICAÇÃO"/>
      <sheetName val="BANCO"/>
      <sheetName val="P A T O"/>
      <sheetName val="CRONFISFIN_"/>
      <sheetName val="P A T O 99 B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USTO INDIRETO"/>
      <sheetName val="SERVIÇOS"/>
      <sheetName val="PONTES LICITAD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 02"/>
      <sheetName val=" FL DE MEDIÇÃO "/>
      <sheetName val="CHUVAS"/>
      <sheetName val=" BOLETIM "/>
      <sheetName val="Realiz.Físicas"/>
      <sheetName val="Comentários"/>
      <sheetName val="MEDIÇÃO RESUMO"/>
      <sheetName val="Memória"/>
      <sheetName val="MEDIÇÃO RESUMO %"/>
      <sheetName val="MEDIÇÃO RESUMO (2)"/>
      <sheetName val="MEDIÇÃO RESUMO ultima"/>
      <sheetName val="Medição"/>
      <sheetName val="61M-CBMI"/>
      <sheetName val="P A T O 99 B"/>
      <sheetName val="PROJETO"/>
      <sheetName val="PN (Fx 3)"/>
      <sheetName val="CUSTO INDIRETO"/>
      <sheetName val="lista_comp"/>
      <sheetName val="Cronog Físico Finaceiro "/>
      <sheetName val="Quantidades e Preços - Lote 01"/>
      <sheetName val="Instalação e manutenção de cant"/>
      <sheetName val="SERVIÇOS"/>
      <sheetName val="CROQUI "/>
      <sheetName val="PREVENTIVA"/>
      <sheetName val="CONSERVA ROTINEIRA"/>
      <sheetName val="orçamento_global"/>
      <sheetName val="Dados da Obra"/>
      <sheetName val="CUSTO EQUIP"/>
      <sheetName val="Comp P Unit "/>
      <sheetName val="CUSTO MATERIAL"/>
      <sheetName val="CALCULOS AUXILIARES"/>
      <sheetName val="Croqui"/>
      <sheetName val="C MÃO OBRA"/>
      <sheetName val="Medição (2"/>
      <sheetName val="Medição Completa"/>
      <sheetName val="P A T O 98 D"/>
      <sheetName val="COMPOS1"/>
      <sheetName val="PLANILHA DE QUANT. E CUSTOS A"/>
      <sheetName val="Quadro de qntd"/>
      <sheetName val="CURVA ABC"/>
      <sheetName val="Cronograma FIS FINANC"/>
      <sheetName val="Especif"/>
      <sheetName val="TPU-MARÇO_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CADASTRO"/>
      <sheetName val="SEMANA (1)"/>
      <sheetName val="SEMANA (2)"/>
      <sheetName val="SEMANA (3)"/>
      <sheetName val="SEMANA (4)"/>
      <sheetName val="SEMANA (5)"/>
      <sheetName val="RESUMO TOTAL"/>
      <sheetName val="RESUMO CUSTO"/>
      <sheetName val="MAPA"/>
      <sheetName val="PONTO "/>
      <sheetName val="MARMITEX"/>
      <sheetName val="MATERIAIS"/>
      <sheetName val="SUB-EMPREITEIROS"/>
      <sheetName val="TERCEIROS"/>
      <sheetName val="MAQ. E EQUIP"/>
      <sheetName val="RETRO CASE"/>
      <sheetName val="ANE-2545"/>
      <sheetName val="BOBCAT"/>
      <sheetName val="FER E EQ"/>
      <sheetName val="APD 6761"/>
      <sheetName val="ENTRADA CUSTO INDIR"/>
      <sheetName val="INDIRETOS Sem 1"/>
      <sheetName val="INDIRETOS Sem 2"/>
      <sheetName val="INDIRETOS Sem 3"/>
      <sheetName val="INDIRETOS Sem 4"/>
      <sheetName val="INDIRETOS Sem 5"/>
      <sheetName val="INDIRETO TOTAL"/>
      <sheetName val="INSUMOS"/>
      <sheetName val="Contrato"/>
      <sheetName val="Plan1"/>
      <sheetName val="12 - CUSTOS  DEZ_2008"/>
      <sheetName val="Medição"/>
      <sheetName val="Teor"/>
      <sheetName val="FLUXO - EXECUÇÃO PRÓPRIA"/>
      <sheetName val="PROJETO"/>
      <sheetName val="LVC215O1_1_"/>
      <sheetName val="Geral"/>
      <sheetName val="Cronog Físico Finaceiro "/>
      <sheetName val="PLANILHA DE QUANT. E CUSTOS A"/>
      <sheetName val="C_U"/>
      <sheetName val="TPU-MARÇO_2002"/>
      <sheetName val="Conversão"/>
      <sheetName val="P A T O  D"/>
      <sheetName val="MEDIÇÃO RESUMO"/>
      <sheetName val="QuQuant"/>
      <sheetName val="Quantidades e Preços - Lote 01"/>
      <sheetName val="COMPOS1"/>
      <sheetName val="RESUMO_AUT1"/>
      <sheetName val="P A T O 98 D"/>
      <sheetName val="Indiretas"/>
      <sheetName val="61M-CBMI"/>
      <sheetName val="Quadro de qntd"/>
      <sheetName val="CURVA ABC"/>
      <sheetName val="Cronograma FIS FINANC"/>
      <sheetName val="P reaj x P atual"/>
    </sheetNames>
    <sheetDataSet>
      <sheetData sheetId="0"/>
      <sheetData sheetId="1">
        <row r="87">
          <cell r="B87" t="str">
            <v xml:space="preserve">Motorista Especial 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305">
          <cell r="N305">
            <v>1.7</v>
          </cell>
        </row>
        <row r="306">
          <cell r="N306">
            <v>2.68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amentos"/>
      <sheetName val="Materiais"/>
      <sheetName val="Mão de Obra"/>
      <sheetName val="Instalação e manutenção de cant"/>
      <sheetName val="Mobilização e desmob. de equip."/>
      <sheetName val="Mob. e desmob. de equip."/>
      <sheetName val="desmat. destoc 0,15m"/>
      <sheetName val="Esc. carga transp DMT 1000 a 12"/>
      <sheetName val="Compactação aterro 100%"/>
      <sheetName val="Dependências da área técnica"/>
      <sheetName val="Preparação área de estocagem"/>
      <sheetName val="Dados da Obra"/>
      <sheetName val="BANCO"/>
      <sheetName val="Medição"/>
      <sheetName val="FLUXO - EXECUÇÃO PRÓPRIA"/>
      <sheetName val="Cronog Físico Finaceiro "/>
      <sheetName val="CUSTO ZONA SUL"/>
      <sheetName val="DESMATAMENTO"/>
      <sheetName val="61M-CBMI"/>
      <sheetName val="QuQuant"/>
      <sheetName val="Macro1"/>
      <sheetName val="Conversão"/>
      <sheetName val="Orçamentária"/>
      <sheetName val="P A T O  D"/>
      <sheetName val="C_U"/>
      <sheetName val="PN (Fx 3)"/>
      <sheetName val="Original"/>
      <sheetName val="PROJETO"/>
      <sheetName val="Compactação  botafora"/>
      <sheetName val="P A T O 98 D"/>
      <sheetName val="CROQUIS DE DIST."/>
      <sheetName val="INVENTÁRIO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U"/>
      <sheetName val="C_U"/>
      <sheetName val="Plan1"/>
      <sheetName val="geral"/>
      <sheetName val="SERVIÇOS"/>
      <sheetName val="MARSHALL"/>
      <sheetName val="Pista"/>
      <sheetName val="REPAROS LOCAL."/>
      <sheetName val="Acostamento"/>
      <sheetName val="Parâmetros"/>
      <sheetName val="TPU-MARÇO_2002"/>
      <sheetName val="RESUMO_AUT1"/>
      <sheetName val="COMPOS1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Sarjeta SCC 01"/>
      <sheetName val="Meio fio MFC 01"/>
      <sheetName val="Meio fio MFC 03"/>
      <sheetName val="Meio fio MFC 05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Entrada dágua EDA 01"/>
      <sheetName val="Entrada dágua EDA 02"/>
      <sheetName val="Dissipador DEB 01"/>
      <sheetName val="Dissipador DEB 03"/>
      <sheetName val="Dissipador DEB 07"/>
      <sheetName val="Dissipador DEB 08"/>
      <sheetName val="BLS 02"/>
      <sheetName val="BLD 02"/>
      <sheetName val="CLP 16"/>
      <sheetName val="PVI 03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INVENTÁRIO"/>
      <sheetName val="Calendário da Família"/>
      <sheetName val="Resumo"/>
      <sheetName val="PATO"/>
      <sheetName val="MATERIAL"/>
      <sheetName val="MEDIÇÃO RESUMO"/>
      <sheetName val="INSUMOS"/>
      <sheetName val="CADASTRO"/>
      <sheetName val="Indice de Reajuste"/>
      <sheetName val="COMPOSIÇÕES"/>
      <sheetName val="C"/>
      <sheetName val="Equipamentos"/>
      <sheetName val="BANCO"/>
      <sheetName val="61M-CBMI"/>
      <sheetName val="FLUXO - EXECUÇÃO PRÓPRIA"/>
      <sheetName val="Cronog Físico Finaceiro "/>
      <sheetName val="Alteração"/>
      <sheetName val="Carimbo de Nota"/>
      <sheetName val="P A T O  D"/>
      <sheetName val="Orçamentária"/>
      <sheetName val="PROD.PRIM."/>
      <sheetName val="CRONFISFIN_"/>
      <sheetName val="PROJETO"/>
      <sheetName val="P A T O 98 D"/>
      <sheetName val="450"/>
      <sheetName val="P A T O"/>
      <sheetName val="VISTEM"/>
      <sheetName val="Quadro de qntd"/>
      <sheetName val="2 - ORÇAMEMTO RPFO"/>
      <sheetName val="39 -quadro qtde DRENAGEM URBANA"/>
      <sheetName val="001 -RPFO SUPRIMR"/>
      <sheetName val="8ª MP_BR_459"/>
      <sheetName val="QUADRO COMPARATIVO"/>
      <sheetName val="QuQuant"/>
      <sheetName val="Quantidades e Preços - Lote 01"/>
      <sheetName val="8ª MP_BR-45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INVENTÁRIO"/>
      <sheetName val="Equipamentos"/>
      <sheetName val="DESMATAMENTO"/>
      <sheetName val="61M-CBMI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RESUMO_AUT1"/>
      <sheetName val="P A T O  D"/>
      <sheetName val="P reaj x P atual"/>
      <sheetName val="PROD.PRIM."/>
      <sheetName val="PROD_PRIM_"/>
      <sheetName val="IDENTIFICAÇÃO"/>
      <sheetName val="P A T O 98 D"/>
      <sheetName val="CROQUI "/>
      <sheetName val="Serviços"/>
      <sheetName val="PREVENTIVA"/>
      <sheetName val="CONSERVA ROTINEIRA"/>
      <sheetName val="FLUXO - EXECUÇÃO PRÓPRIA"/>
      <sheetName val="MEDIÇÃO RESUMO"/>
      <sheetName val="P A T O 99 B"/>
      <sheetName val="450"/>
      <sheetName val="Medição (2"/>
      <sheetName val="Medição Completa"/>
      <sheetName val="Fresagem de Pista Ago-98"/>
      <sheetName val="CS#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RESUMOS"/>
      <sheetName val="10-CRUSHING AND STOCKPILE"/>
      <sheetName val="20-GRINDING AREA"/>
      <sheetName val="25-IN LINE LEACH REACTOR"/>
      <sheetName val="30-LEACH AND ADSORPTION AREA"/>
      <sheetName val="40-DESORPTION AND CARBON REGENE"/>
      <sheetName val="50-GOLD ROOM"/>
      <sheetName val="60-DETOXIFICATION"/>
      <sheetName val="70-TAILINGS DISPOSAL"/>
      <sheetName val="80-REAGENTS"/>
      <sheetName val="90-WATER SYSTEM"/>
      <sheetName val="100-AIR SYSTEM"/>
      <sheetName val="TAILINGS STORAGE FACILITY"/>
      <sheetName val="ON-SITE INFRASTRUCTURE"/>
      <sheetName val="OFF-SITE INFRASTRUCTURE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SERVIÇOS"/>
      <sheetName val="P A T O"/>
      <sheetName val="Carimbo de Nota"/>
      <sheetName val="Mat"/>
      <sheetName val="Capa Resumo"/>
      <sheetName val="Capa Anexo II"/>
      <sheetName val="Capa Anexo III"/>
      <sheetName val="CROQUI "/>
      <sheetName val="PREVENTIVA"/>
      <sheetName val="CONSERVA ROTINEIRA"/>
      <sheetName val="PROD_PRIM_"/>
      <sheetName val="IDENTIFICAÇÃO"/>
      <sheetName val="Dados da Obra"/>
      <sheetName val="LVC215O1_1_"/>
      <sheetName val="FLUXO - EXECUÇÃO PRÓPRIA"/>
      <sheetName val="INSUMOS"/>
      <sheetName val="Teor"/>
      <sheetName val="orçamento_global"/>
      <sheetName val="PROJETO"/>
      <sheetName val="RESUMO_AUT1"/>
      <sheetName val="Fresagem de Pista Ago-98"/>
      <sheetName val="TPU-MARÇO_2002"/>
      <sheetName val="61M-CBMI"/>
      <sheetName val="quadro de qtde DRENAGEM UR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Original"/>
      <sheetName val="COMPOS1"/>
      <sheetName val="TPU-MARÇO_2002"/>
      <sheetName val="Índices de Reajustamento"/>
      <sheetName val="P A T 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ROJETO"/>
      <sheetName val="CRONFISFIN_"/>
      <sheetName val="BD_Equipamentos"/>
      <sheetName val="BD_Tabela de Salários"/>
      <sheetName val="CS#"/>
      <sheetName val="Dados da Obra"/>
      <sheetName val="GUARANTÃS"/>
      <sheetName val="Equipamentos"/>
      <sheetName val="Instalação e manutenção de cant"/>
      <sheetName val="QuQuant"/>
      <sheetName val="Compactação  botafora"/>
      <sheetName val="Convert Lat, Long to UTM"/>
      <sheetName val="P reaj x P 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Geral"/>
      <sheetName val="Original"/>
      <sheetName val="P reaj x P atual"/>
      <sheetName val="Plan 2.7"/>
      <sheetName val="Índices de Reajustamento"/>
      <sheetName val="Capa Resumo"/>
      <sheetName val="Capa Anexo II"/>
      <sheetName val="Capa Anexo III"/>
      <sheetName val="PROJETO"/>
      <sheetName val="CRONFISFIN_"/>
      <sheetName val="P A T O 98 D"/>
      <sheetName val="Quantidades e Preços - Lote 01"/>
      <sheetName val="Cronog Físico Finaceiro "/>
      <sheetName val="C_U"/>
      <sheetName val="PLANILHA DE QUANT. E CUSTOS A"/>
      <sheetName val="PN (Fx 3)"/>
      <sheetName val="450"/>
      <sheetName val="Teor"/>
      <sheetName val="Equipamentos"/>
      <sheetName val="QuQuant"/>
      <sheetName val="Convers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_Receita Lote II (%)"/>
      <sheetName val="Rel_Receita Lote II (Quant)"/>
      <sheetName val="Rel_Receita Lote II (Valor)"/>
      <sheetName val="Rel_Projeção Resultado"/>
      <sheetName val="Rel_Curva S"/>
      <sheetName val="Rel_Grafico Despesas"/>
      <sheetName val="Rel_Despesas Diversas"/>
      <sheetName val="Rel_Curva ABC despesas"/>
      <sheetName val="Rel_Fís-Fin Mão Obra"/>
      <sheetName val="Rel_Permanência de Mão Obra"/>
      <sheetName val="Rel_Histograma M. Obra"/>
      <sheetName val="Rel_Veículos Alug"/>
      <sheetName val="Rel_Equip. Diretos"/>
      <sheetName val="Rel_Equip. Diretos (1)"/>
      <sheetName val="Resumo - Despesas INDIRETAS"/>
      <sheetName val="Aux_C.Setor - RESUMO"/>
      <sheetName val="C.Setor - Gerente"/>
      <sheetName val="C.Setor - Eng+Enc Geral"/>
      <sheetName val="C.Setor - Administ."/>
      <sheetName val="C.Setor - Alojamento e Cant."/>
      <sheetName val="C.Setor - Seção Técnica"/>
      <sheetName val="C.Setor - Apropriação"/>
      <sheetName val="C.Setor - SESMT-Qualid"/>
      <sheetName val="C.Setor - Laboratório"/>
      <sheetName val="C.Setor - Suprimentos"/>
      <sheetName val="C.Setor - Manutenção"/>
      <sheetName val="C.Setor - Terraplenagem"/>
      <sheetName val="C.Setor - Pavimentação"/>
      <sheetName val="C.Setor - Drenagem"/>
      <sheetName val="Resumo - Despesas DIRETAS"/>
      <sheetName val="Aux_C.Unit - RESUMO"/>
      <sheetName val="C.Unit - Terraplenagem"/>
      <sheetName val="C.Unit Remoção"/>
      <sheetName val="C.Unit - Regul-Subleito"/>
      <sheetName val="C.Unit - Sub-Base"/>
      <sheetName val="C.Unit - Base BG"/>
      <sheetName val="C.Unit - Reciclagem"/>
      <sheetName val="C.Unit - Imprimação"/>
      <sheetName val="C.Unit - Fresagem"/>
      <sheetName val="Cronograma Físico"/>
      <sheetName val="C.Unit - CBUQ"/>
      <sheetName val="C.Unit - Pint. Ligação"/>
      <sheetName val="C.Unit - Drenagem"/>
      <sheetName val="Mem_Qtdes Drenagem-Dreno"/>
      <sheetName val="Mem_Inst. Cant. de Obras"/>
      <sheetName val="Mem_Custos de Terceiro"/>
      <sheetName val="Mem_Custos Sub-Empreiteiro"/>
      <sheetName val="Info_Insumos"/>
      <sheetName val="BD_Tabela de Salários"/>
      <sheetName val="BD_Mobilização"/>
      <sheetName val="BD_Equipamentos"/>
      <sheetName val="BD_SESMT"/>
      <sheetName val="BD_LEIS_H"/>
      <sheetName val="BD_LEIS_M"/>
      <sheetName val="Info_Praticabilidade"/>
      <sheetName val="Info_Media de Chuvas"/>
      <sheetName val="Memoria-Pavimentação"/>
      <sheetName val="P A T O 99 B"/>
      <sheetName val="Geral"/>
      <sheetName val="QuQuant"/>
      <sheetName val="CUSTO LARANJEIRAS"/>
      <sheetName val="Plan 2.7"/>
      <sheetName val="CRONFISFIN_"/>
      <sheetName val="PQ"/>
      <sheetName val="P A T O  D"/>
      <sheetName val="CUSTO INDIRETO"/>
      <sheetName val="Orçamentária"/>
      <sheetName val="Cronog Físico Finaceiro "/>
      <sheetName val="P A T O 98 D"/>
      <sheetName val="P A T O"/>
      <sheetName val="61M-CBMI"/>
      <sheetName val="PROJETO"/>
      <sheetName val="450"/>
      <sheetName val="Resumo Financeir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5">
          <cell r="D5" t="str">
            <v>AJUD. DE ELETRICA</v>
          </cell>
        </row>
        <row r="6">
          <cell r="D6" t="str">
            <v>AJUD. DE LUBRIFICACAO</v>
          </cell>
        </row>
        <row r="7">
          <cell r="D7" t="str">
            <v>AJUD. DE MECANICA</v>
          </cell>
        </row>
        <row r="8">
          <cell r="D8" t="str">
            <v>ALMOXARIFE</v>
          </cell>
        </row>
        <row r="9">
          <cell r="D9" t="str">
            <v xml:space="preserve">ANAL. CONTROLE </v>
          </cell>
        </row>
        <row r="10">
          <cell r="D10" t="str">
            <v>ANAL. CONTROLE  II</v>
          </cell>
        </row>
        <row r="11">
          <cell r="D11" t="str">
            <v xml:space="preserve">ANAL. FINANCAS </v>
          </cell>
        </row>
        <row r="12">
          <cell r="D12" t="str">
            <v>ANAL. FINANCAS  II</v>
          </cell>
        </row>
        <row r="13">
          <cell r="D13" t="str">
            <v>ANAL. FINANCAS  III</v>
          </cell>
        </row>
        <row r="14">
          <cell r="D14" t="str">
            <v>ANAL. MEIO AMBIENTE</v>
          </cell>
        </row>
        <row r="15">
          <cell r="D15" t="str">
            <v xml:space="preserve">ANALISTA SUPORTE </v>
          </cell>
        </row>
        <row r="16">
          <cell r="D16" t="str">
            <v>ANALISTA SUPORTE  II</v>
          </cell>
        </row>
        <row r="17">
          <cell r="D17" t="str">
            <v>ANALISTA SUPORTE  III</v>
          </cell>
        </row>
        <row r="18">
          <cell r="D18" t="str">
            <v>APONTADOR</v>
          </cell>
        </row>
        <row r="19">
          <cell r="D19" t="str">
            <v>APROPRIADOR</v>
          </cell>
        </row>
        <row r="20">
          <cell r="D20" t="str">
            <v>ARMADOR</v>
          </cell>
        </row>
        <row r="21">
          <cell r="D21" t="str">
            <v>ASSES. GESTAO CONTR.</v>
          </cell>
        </row>
        <row r="22">
          <cell r="D22" t="str">
            <v>ASSIST. ADM. PESSOAL</v>
          </cell>
        </row>
        <row r="23">
          <cell r="D23" t="str">
            <v>ASSIST. ADMINISTRAT.</v>
          </cell>
        </row>
        <row r="24">
          <cell r="D24" t="str">
            <v>ASSIST. CONTABILIDADE</v>
          </cell>
        </row>
        <row r="25">
          <cell r="D25" t="str">
            <v>ASSIST. DA QUALIDADE</v>
          </cell>
        </row>
        <row r="26">
          <cell r="D26" t="str">
            <v>ASSIST. FINANCEIRO</v>
          </cell>
        </row>
        <row r="27">
          <cell r="D27" t="str">
            <v>ASSIST. TEC. MANUT.</v>
          </cell>
        </row>
        <row r="28">
          <cell r="D28" t="str">
            <v>ASSIST. TEC. MANUT. II</v>
          </cell>
        </row>
        <row r="29">
          <cell r="D29" t="str">
            <v>ASSIST. TEC. MANUT. III</v>
          </cell>
        </row>
        <row r="30">
          <cell r="D30" t="str">
            <v xml:space="preserve">ASSIST. TEC. MED. </v>
          </cell>
        </row>
        <row r="31">
          <cell r="D31" t="str">
            <v>ASSIST. TEC. MED. II</v>
          </cell>
        </row>
        <row r="32">
          <cell r="D32" t="str">
            <v>ASSIST. TEC. MED. III</v>
          </cell>
        </row>
        <row r="33">
          <cell r="D33" t="str">
            <v>ASSIST. TEC. PLANEJ.</v>
          </cell>
        </row>
        <row r="34">
          <cell r="D34" t="str">
            <v>ASSIST. TEC. PLANEJ. II</v>
          </cell>
        </row>
        <row r="35">
          <cell r="D35" t="str">
            <v>ASSIST. TEC. PLANEJ. III</v>
          </cell>
        </row>
        <row r="36">
          <cell r="D36" t="str">
            <v>AUX. ADMINISTRATIVO</v>
          </cell>
        </row>
        <row r="37">
          <cell r="D37" t="str">
            <v>AUX. ALMOXARIFADO</v>
          </cell>
        </row>
        <row r="38">
          <cell r="D38" t="str">
            <v>AUX. CANTINA</v>
          </cell>
        </row>
        <row r="39">
          <cell r="D39" t="str">
            <v>AUX. CONTR. MANUTENCAO</v>
          </cell>
        </row>
        <row r="40">
          <cell r="D40" t="str">
            <v>AUX. ENFERMAGEM</v>
          </cell>
        </row>
        <row r="41">
          <cell r="D41" t="str">
            <v>AUX. ENFERMAGEM TRAB.</v>
          </cell>
        </row>
        <row r="42">
          <cell r="D42" t="str">
            <v>AUX. ENGENHARIA</v>
          </cell>
        </row>
        <row r="43">
          <cell r="D43" t="str">
            <v>AUX. ESCRITORIO</v>
          </cell>
        </row>
        <row r="44">
          <cell r="D44" t="str">
            <v>AUX. FINANCEIRO</v>
          </cell>
        </row>
        <row r="45">
          <cell r="D45" t="str">
            <v>AUX. LABORATORIO</v>
          </cell>
        </row>
        <row r="46">
          <cell r="D46" t="str">
            <v>AUX. PESSOAL</v>
          </cell>
        </row>
        <row r="47">
          <cell r="D47" t="str">
            <v>AUX. SERV. DE APOIO</v>
          </cell>
        </row>
        <row r="48">
          <cell r="D48" t="str">
            <v>AUX. SERV. GERAL MANUT</v>
          </cell>
        </row>
        <row r="49">
          <cell r="D49" t="str">
            <v>AUX. SUPORTE ADMINIST</v>
          </cell>
        </row>
        <row r="50">
          <cell r="D50" t="str">
            <v>AUX. TOPOGRAFIA</v>
          </cell>
        </row>
        <row r="51">
          <cell r="D51" t="str">
            <v>AUXILIAR TECNICO</v>
          </cell>
        </row>
        <row r="52">
          <cell r="D52" t="str">
            <v>BLASTER</v>
          </cell>
        </row>
        <row r="53">
          <cell r="D53" t="str">
            <v>BORRACHEIRO</v>
          </cell>
        </row>
        <row r="54">
          <cell r="D54" t="str">
            <v>BOMBEIRO HIDRÁULICO</v>
          </cell>
        </row>
        <row r="55">
          <cell r="D55" t="str">
            <v>CARPINTEIRO</v>
          </cell>
        </row>
        <row r="56">
          <cell r="D56" t="str">
            <v xml:space="preserve">COMPRADOR  </v>
          </cell>
        </row>
        <row r="57">
          <cell r="D57" t="str">
            <v>COMPRADOR  II</v>
          </cell>
        </row>
        <row r="58">
          <cell r="D58" t="str">
            <v>CONTADOR</v>
          </cell>
        </row>
        <row r="59">
          <cell r="D59" t="str">
            <v>CONTROL. MANUTENCAO</v>
          </cell>
        </row>
        <row r="60">
          <cell r="D60" t="str">
            <v>CONTROL. PATRIMONIO</v>
          </cell>
        </row>
        <row r="61">
          <cell r="D61" t="str">
            <v>COORD. ADMINIST. OBRA</v>
          </cell>
        </row>
        <row r="62">
          <cell r="D62" t="str">
            <v>COZINHEIRO</v>
          </cell>
        </row>
        <row r="63">
          <cell r="D63" t="str">
            <v>DESENH. PROJETISTA</v>
          </cell>
        </row>
        <row r="64">
          <cell r="D64" t="str">
            <v>ELETR. C/ ALTERNADA</v>
          </cell>
        </row>
        <row r="65">
          <cell r="D65" t="str">
            <v>ELETR. C/ CONTINUA</v>
          </cell>
        </row>
        <row r="66">
          <cell r="D66" t="str">
            <v>ELETR. FORCA CONTROL</v>
          </cell>
        </row>
        <row r="67">
          <cell r="D67" t="str">
            <v>ELETRICISTA MONTADOR</v>
          </cell>
        </row>
        <row r="68">
          <cell r="D68" t="str">
            <v>ENCANADOR HIDRAULICO</v>
          </cell>
        </row>
        <row r="69">
          <cell r="D69" t="str">
            <v>ENCAR. ADMINISTRAT.</v>
          </cell>
        </row>
        <row r="70">
          <cell r="D70" t="str">
            <v>ENCAR. ALMOXARIFADO</v>
          </cell>
        </row>
        <row r="71">
          <cell r="D71" t="str">
            <v>ENCAR. ARMACAO</v>
          </cell>
        </row>
        <row r="72">
          <cell r="D72" t="str">
            <v>ENCAR. ASFALTO</v>
          </cell>
        </row>
        <row r="73">
          <cell r="D73" t="str">
            <v>ENCAR. CANTINA</v>
          </cell>
        </row>
        <row r="74">
          <cell r="D74" t="str">
            <v>ENCAR. CENT. BRITAGEM</v>
          </cell>
        </row>
        <row r="75">
          <cell r="D75" t="str">
            <v>ENCAR. CENT. CONCRETO</v>
          </cell>
        </row>
        <row r="76">
          <cell r="D76" t="str">
            <v>ENCAR. COMPRAS</v>
          </cell>
        </row>
        <row r="77">
          <cell r="D77" t="str">
            <v>ENCAR. CONCRETO</v>
          </cell>
        </row>
        <row r="78">
          <cell r="D78" t="str">
            <v>ENCAR. CONTR. MANUTENC</v>
          </cell>
        </row>
        <row r="79">
          <cell r="D79" t="str">
            <v>ENCAR. DESMONT. ROCHA</v>
          </cell>
        </row>
        <row r="80">
          <cell r="D80" t="str">
            <v>ENCAR. ELETRICA</v>
          </cell>
        </row>
        <row r="81">
          <cell r="D81" t="str">
            <v>ENCAR. ELETRICA PRED</v>
          </cell>
        </row>
        <row r="82">
          <cell r="D82" t="str">
            <v>ENCAR. FORMA</v>
          </cell>
        </row>
        <row r="83">
          <cell r="D83" t="str">
            <v xml:space="preserve">ENCAR. GERAL </v>
          </cell>
        </row>
        <row r="84">
          <cell r="D84" t="str">
            <v>ENCAR. GERAL II</v>
          </cell>
        </row>
        <row r="85">
          <cell r="D85" t="str">
            <v>ENCAR. GERAL CONCRETO</v>
          </cell>
        </row>
        <row r="86">
          <cell r="D86" t="str">
            <v>ENCAR. GERAL CONCRETO II</v>
          </cell>
        </row>
        <row r="87">
          <cell r="D87" t="str">
            <v>ENCAR. GERAL MECANIC</v>
          </cell>
        </row>
        <row r="88">
          <cell r="D88" t="str">
            <v>ENCAR. LABORATORIO</v>
          </cell>
        </row>
        <row r="89">
          <cell r="D89" t="str">
            <v>ENCAR. MECANICA</v>
          </cell>
        </row>
        <row r="90">
          <cell r="D90" t="str">
            <v>ENCAR. MONTAGEM</v>
          </cell>
        </row>
        <row r="91">
          <cell r="D91" t="str">
            <v>ENCAR. OBRA DE ARTE</v>
          </cell>
        </row>
        <row r="92">
          <cell r="D92" t="str">
            <v>ENCAR. PATRIMONIO</v>
          </cell>
        </row>
        <row r="93">
          <cell r="D93" t="str">
            <v>ENCAR. PEDREIRA</v>
          </cell>
        </row>
        <row r="94">
          <cell r="D94" t="str">
            <v>ENCAR. PESSOAL</v>
          </cell>
        </row>
        <row r="95">
          <cell r="D95" t="str">
            <v>ENCAR. SECAO TECNICA</v>
          </cell>
        </row>
        <row r="96">
          <cell r="D96" t="str">
            <v>ENCAR. SERVIÇOS GERAIS</v>
          </cell>
        </row>
        <row r="97">
          <cell r="D97" t="str">
            <v>ENCAR. TERRAPLENAGEM</v>
          </cell>
        </row>
        <row r="98">
          <cell r="D98" t="str">
            <v>ENCAR. TOPOGRAFIA</v>
          </cell>
        </row>
        <row r="99">
          <cell r="D99" t="str">
            <v>ENCAR. TRANSPORTE</v>
          </cell>
        </row>
        <row r="100">
          <cell r="D100" t="str">
            <v>ENCAR. USINA ASFALTO</v>
          </cell>
        </row>
        <row r="101">
          <cell r="D101" t="str">
            <v>ENFERMEIRO</v>
          </cell>
        </row>
        <row r="102">
          <cell r="D102" t="str">
            <v>ENG. ELETRICISTA</v>
          </cell>
        </row>
        <row r="103">
          <cell r="D103" t="str">
            <v xml:space="preserve">ENG. MANUTENCAO </v>
          </cell>
        </row>
        <row r="104">
          <cell r="D104" t="str">
            <v>ENG. MANUTENCAO II</v>
          </cell>
        </row>
        <row r="105">
          <cell r="D105" t="str">
            <v>ENG. MANUTENCAO III</v>
          </cell>
        </row>
        <row r="106">
          <cell r="D106" t="str">
            <v>ENG. MANUTENCAO IV</v>
          </cell>
        </row>
        <row r="107">
          <cell r="D107" t="str">
            <v xml:space="preserve">ENG. MEIO AMBIENTE </v>
          </cell>
        </row>
        <row r="108">
          <cell r="D108" t="str">
            <v>ENG. MEIO AMBIENTE II</v>
          </cell>
        </row>
        <row r="109">
          <cell r="D109" t="str">
            <v xml:space="preserve">ENG. ORCAMENTISTA </v>
          </cell>
        </row>
        <row r="110">
          <cell r="D110" t="str">
            <v>ENG. ORCAMENTISTA  II</v>
          </cell>
        </row>
        <row r="111">
          <cell r="D111" t="str">
            <v>ENG. ORCAMENTISTA  III</v>
          </cell>
        </row>
        <row r="112">
          <cell r="D112" t="str">
            <v>ENG. ORCAMENTISTA  IV</v>
          </cell>
        </row>
        <row r="113">
          <cell r="D113" t="str">
            <v>ENG. PLANEJ. CONTR.</v>
          </cell>
        </row>
        <row r="114">
          <cell r="D114" t="str">
            <v>ENG. PLANEJ. CONTR. II</v>
          </cell>
        </row>
        <row r="115">
          <cell r="D115" t="str">
            <v>ENG. PLANEJ. CONTR. III</v>
          </cell>
        </row>
        <row r="116">
          <cell r="D116" t="str">
            <v>ENG. PLANEJ. CONTR. IV</v>
          </cell>
        </row>
        <row r="117">
          <cell r="D117" t="str">
            <v xml:space="preserve">ENG. PRODUCAO </v>
          </cell>
        </row>
        <row r="118">
          <cell r="D118" t="str">
            <v>ENG. PRODUCAO II</v>
          </cell>
        </row>
        <row r="119">
          <cell r="D119" t="str">
            <v>ENG. PRODUCAO III</v>
          </cell>
        </row>
        <row r="120">
          <cell r="D120" t="str">
            <v>ENG. PRODUCAO IV</v>
          </cell>
        </row>
        <row r="121">
          <cell r="D121" t="str">
            <v xml:space="preserve">ENG. SEG. TRABALHO </v>
          </cell>
        </row>
        <row r="122">
          <cell r="D122" t="str">
            <v>ENG. SEG. TRABALHO  II</v>
          </cell>
        </row>
        <row r="123">
          <cell r="D123" t="str">
            <v>ENGENHEIRO</v>
          </cell>
        </row>
        <row r="124">
          <cell r="D124" t="str">
            <v>ENGENHEIRO JUNIOR</v>
          </cell>
        </row>
        <row r="125">
          <cell r="D125" t="str">
            <v>ESTAGIARIO</v>
          </cell>
        </row>
        <row r="126">
          <cell r="D126" t="str">
            <v>FEITOR CARPINTARIA</v>
          </cell>
        </row>
        <row r="127">
          <cell r="D127" t="str">
            <v>FEITOR DE ARMACAO</v>
          </cell>
        </row>
        <row r="128">
          <cell r="D128" t="str">
            <v>FEITOR DE CONCRETO</v>
          </cell>
        </row>
        <row r="129">
          <cell r="D129" t="str">
            <v>FEITOR LUBRIFICACAO</v>
          </cell>
        </row>
        <row r="130">
          <cell r="D130" t="str">
            <v>FEITOR OBRA DE ARTE</v>
          </cell>
        </row>
        <row r="131">
          <cell r="D131" t="str">
            <v>FEITOR TERRAPLENAGEM</v>
          </cell>
        </row>
        <row r="132">
          <cell r="D132" t="str">
            <v>GERENTE DE CONTRATO</v>
          </cell>
        </row>
        <row r="133">
          <cell r="D133" t="str">
            <v>GREIDISTA</v>
          </cell>
        </row>
        <row r="134">
          <cell r="D134" t="str">
            <v>INSPETOR PATRIMONIO</v>
          </cell>
        </row>
        <row r="135">
          <cell r="D135" t="str">
            <v>JARDINEIRO</v>
          </cell>
        </row>
        <row r="136">
          <cell r="D136" t="str">
            <v>LABORATORISTA</v>
          </cell>
        </row>
        <row r="137">
          <cell r="D137" t="str">
            <v>LAMINISTA</v>
          </cell>
        </row>
        <row r="138">
          <cell r="D138" t="str">
            <v>LANTERNEIRO</v>
          </cell>
        </row>
        <row r="139">
          <cell r="D139" t="str">
            <v>LAVADOR</v>
          </cell>
        </row>
        <row r="140">
          <cell r="D140" t="str">
            <v>LUBRIFICADOR</v>
          </cell>
        </row>
        <row r="141">
          <cell r="D141" t="str">
            <v>MARTELETEIRO</v>
          </cell>
        </row>
        <row r="142">
          <cell r="D142" t="str">
            <v>MEC. INDUSTRIAL</v>
          </cell>
        </row>
        <row r="143">
          <cell r="D143" t="str">
            <v>MEC. MAQUINAS PESADAS</v>
          </cell>
        </row>
        <row r="144">
          <cell r="D144" t="str">
            <v>MEC. VEIC. LEVES</v>
          </cell>
        </row>
        <row r="145">
          <cell r="D145" t="str">
            <v>MEC. VEICULOS</v>
          </cell>
        </row>
        <row r="146">
          <cell r="D146" t="str">
            <v>MEDICO DO TRABALHO</v>
          </cell>
        </row>
        <row r="147">
          <cell r="D147" t="str">
            <v>MESTRE DE ELETRICA</v>
          </cell>
        </row>
        <row r="148">
          <cell r="D148" t="str">
            <v>MOT. CAM. BOMBA CONCR.</v>
          </cell>
        </row>
        <row r="149">
          <cell r="D149" t="str">
            <v>MOT. CAMINH. PIPA</v>
          </cell>
        </row>
        <row r="150">
          <cell r="D150" t="str">
            <v>MOT. CAMINH. BETONEIRA</v>
          </cell>
        </row>
        <row r="151">
          <cell r="D151" t="str">
            <v>MOT. CAMINH. F.ESTRADA</v>
          </cell>
        </row>
        <row r="152">
          <cell r="D152" t="str">
            <v>MOT. CAMINHAO 2 EIXOS</v>
          </cell>
        </row>
        <row r="153">
          <cell r="D153" t="str">
            <v>MOT. CAMINHAO TRACADO</v>
          </cell>
        </row>
        <row r="154">
          <cell r="D154" t="str">
            <v>MOT. CARRETA</v>
          </cell>
        </row>
        <row r="155">
          <cell r="D155" t="str">
            <v>MOT. MUNCK</v>
          </cell>
        </row>
        <row r="156">
          <cell r="D156" t="str">
            <v>MOT. VEICULOS  LEVES</v>
          </cell>
        </row>
        <row r="157">
          <cell r="D157" t="str">
            <v>MOTORISTA</v>
          </cell>
        </row>
        <row r="158">
          <cell r="D158" t="str">
            <v>NIVELADOR</v>
          </cell>
        </row>
        <row r="159">
          <cell r="D159" t="str">
            <v>NUTRICIONISTA</v>
          </cell>
        </row>
        <row r="160">
          <cell r="D160" t="str">
            <v>OPER. ACABADORA</v>
          </cell>
        </row>
        <row r="161">
          <cell r="D161" t="str">
            <v>OPER. ACABADORA DE CONCRETO</v>
          </cell>
        </row>
        <row r="162">
          <cell r="D162" t="str">
            <v>OPER. CARREGADEIRA</v>
          </cell>
        </row>
        <row r="163">
          <cell r="D163" t="str">
            <v>OPER. CENTRAL BRITAGEM</v>
          </cell>
        </row>
        <row r="164">
          <cell r="D164" t="str">
            <v>OPER. CENTRAL CONCRETO</v>
          </cell>
        </row>
        <row r="165">
          <cell r="D165" t="str">
            <v>OPER. DE  ROCADEIRA</v>
          </cell>
        </row>
        <row r="166">
          <cell r="D166" t="str">
            <v>OPER. DE PERFURATRIZ</v>
          </cell>
        </row>
        <row r="167">
          <cell r="D167" t="str">
            <v>OPER. ESCAVADEIRA</v>
          </cell>
        </row>
        <row r="168">
          <cell r="D168" t="str">
            <v>OPER. ESPARGIDOR</v>
          </cell>
        </row>
        <row r="169">
          <cell r="D169" t="str">
            <v>OPER. GUINDASTE</v>
          </cell>
        </row>
        <row r="170">
          <cell r="D170" t="str">
            <v>OPER. MOTO SCRAPER</v>
          </cell>
        </row>
        <row r="171">
          <cell r="D171" t="str">
            <v>OPER. MOTO SERRA</v>
          </cell>
        </row>
        <row r="172">
          <cell r="D172" t="str">
            <v>OPER. MOTONIVELADORA</v>
          </cell>
        </row>
        <row r="173">
          <cell r="D173" t="str">
            <v>OPER. RETROESCAVAD.</v>
          </cell>
        </row>
        <row r="174">
          <cell r="D174" t="str">
            <v>OPER. ROLO</v>
          </cell>
        </row>
        <row r="175">
          <cell r="D175" t="str">
            <v>OPER. ROLO ASFALTO</v>
          </cell>
        </row>
        <row r="176">
          <cell r="D176" t="str">
            <v>OPER. TECMINE</v>
          </cell>
        </row>
        <row r="177">
          <cell r="D177" t="str">
            <v>OPER. TRATOR AGRICOLA</v>
          </cell>
        </row>
        <row r="178">
          <cell r="D178" t="str">
            <v>OPER. TRATOR ESTEIRA</v>
          </cell>
        </row>
        <row r="179">
          <cell r="D179" t="str">
            <v>OPER. USINA ASFALTO</v>
          </cell>
        </row>
        <row r="180">
          <cell r="D180" t="str">
            <v>OPER. USINA SOLOS</v>
          </cell>
        </row>
        <row r="181">
          <cell r="D181" t="str">
            <v>PEDREIRO</v>
          </cell>
        </row>
        <row r="182">
          <cell r="D182" t="str">
            <v>PINTOR</v>
          </cell>
        </row>
        <row r="183">
          <cell r="D183" t="str">
            <v>PORTEIRO</v>
          </cell>
        </row>
        <row r="184">
          <cell r="D184" t="str">
            <v>RASTELEIRO</v>
          </cell>
        </row>
        <row r="185">
          <cell r="D185" t="str">
            <v>RECEPCIONISTA</v>
          </cell>
        </row>
        <row r="186">
          <cell r="D186" t="str">
            <v>SECRETARIA</v>
          </cell>
        </row>
        <row r="187">
          <cell r="D187" t="str">
            <v>SERVENTE</v>
          </cell>
        </row>
        <row r="188">
          <cell r="D188" t="str">
            <v>SOLDADOR</v>
          </cell>
        </row>
        <row r="189">
          <cell r="D189" t="str">
            <v>SUPERV. INSTRUMENT.</v>
          </cell>
        </row>
        <row r="190">
          <cell r="D190" t="str">
            <v>SUPERVISOR ADMINISTR</v>
          </cell>
        </row>
        <row r="191">
          <cell r="D191" t="str">
            <v>SUPERVISOR ELETRICA</v>
          </cell>
        </row>
        <row r="192">
          <cell r="D192" t="str">
            <v>SUPERVISOR MECANICA</v>
          </cell>
        </row>
        <row r="193">
          <cell r="D193" t="str">
            <v>SUPERVISOR TECNICO</v>
          </cell>
        </row>
        <row r="194">
          <cell r="D194" t="str">
            <v>TEC. GESTAO QUALIDADE</v>
          </cell>
        </row>
        <row r="195">
          <cell r="D195" t="str">
            <v>TEC. INFORMATICA</v>
          </cell>
        </row>
        <row r="196">
          <cell r="D196" t="str">
            <v>TEC. MECANICA</v>
          </cell>
        </row>
        <row r="197">
          <cell r="D197" t="str">
            <v xml:space="preserve">TEC. SEG. TRAB. </v>
          </cell>
        </row>
        <row r="198">
          <cell r="D198" t="str">
            <v>TEC. SEG. TRAB. II</v>
          </cell>
        </row>
        <row r="199">
          <cell r="D199" t="str">
            <v xml:space="preserve">TOPOGRAFO </v>
          </cell>
        </row>
        <row r="200">
          <cell r="D200" t="str">
            <v>TOPOGRAFO II</v>
          </cell>
        </row>
        <row r="201">
          <cell r="D201" t="str">
            <v>TORNEIRO MECANICO</v>
          </cell>
        </row>
        <row r="202">
          <cell r="D202" t="str">
            <v>VIGIA</v>
          </cell>
        </row>
      </sheetData>
      <sheetData sheetId="49" refreshError="1"/>
      <sheetData sheetId="50">
        <row r="8">
          <cell r="E8" t="str">
            <v>BAÚ OFICINA/LAB/ESCRITÓRIO MÓVEL - CARRETA</v>
          </cell>
          <cell r="F8">
            <v>156414.07999999999</v>
          </cell>
          <cell r="H8">
            <v>24.666666666666668</v>
          </cell>
          <cell r="I8" t="str">
            <v>TON</v>
          </cell>
          <cell r="K8">
            <v>0</v>
          </cell>
          <cell r="L8">
            <v>0</v>
          </cell>
          <cell r="N8">
            <v>363.25</v>
          </cell>
          <cell r="O8">
            <v>105</v>
          </cell>
          <cell r="P8">
            <v>0</v>
          </cell>
          <cell r="Q8">
            <v>0</v>
          </cell>
          <cell r="R8">
            <v>60</v>
          </cell>
        </row>
        <row r="9">
          <cell r="E9" t="str">
            <v>AMBULANCIA</v>
          </cell>
          <cell r="K9">
            <v>6</v>
          </cell>
          <cell r="O9">
            <v>0</v>
          </cell>
          <cell r="R9">
            <v>5</v>
          </cell>
        </row>
        <row r="10">
          <cell r="E10" t="str">
            <v>BRITADOR - 10060C MÓVEL</v>
          </cell>
          <cell r="F10">
            <v>682437.19</v>
          </cell>
          <cell r="G10" t="str">
            <v>165 CV</v>
          </cell>
          <cell r="K10">
            <v>0</v>
          </cell>
          <cell r="L10">
            <v>0.10610889462567473</v>
          </cell>
          <cell r="M10">
            <v>0.02</v>
          </cell>
          <cell r="N10">
            <v>17.971602910114996</v>
          </cell>
          <cell r="O10">
            <v>18.669931158569977</v>
          </cell>
          <cell r="P10">
            <v>0</v>
          </cell>
          <cell r="Q10">
            <v>0</v>
          </cell>
          <cell r="R10">
            <v>200</v>
          </cell>
        </row>
        <row r="11">
          <cell r="E11" t="str">
            <v>BRITADOR - 12040</v>
          </cell>
          <cell r="F11">
            <v>70489.964999999997</v>
          </cell>
          <cell r="G11" t="str">
            <v>75 CV</v>
          </cell>
          <cell r="H11" t="str">
            <v>55/162</v>
          </cell>
          <cell r="I11" t="str">
            <v>m³/h</v>
          </cell>
          <cell r="K11">
            <v>0</v>
          </cell>
          <cell r="L11">
            <v>0.10610889462567473</v>
          </cell>
          <cell r="M11">
            <v>0.02</v>
          </cell>
          <cell r="N11">
            <v>17.971602910114996</v>
          </cell>
          <cell r="O11">
            <v>18.669931158569977</v>
          </cell>
          <cell r="P11">
            <v>0</v>
          </cell>
          <cell r="Q11">
            <v>0</v>
          </cell>
          <cell r="R11">
            <v>150</v>
          </cell>
        </row>
        <row r="12">
          <cell r="E12" t="str">
            <v>BRITADOR CÔNICO - 489S</v>
          </cell>
          <cell r="F12">
            <v>188972.05</v>
          </cell>
          <cell r="G12" t="str">
            <v>125 CV</v>
          </cell>
          <cell r="H12" t="str">
            <v>154/208</v>
          </cell>
          <cell r="I12" t="str">
            <v>t/h</v>
          </cell>
          <cell r="K12">
            <v>0</v>
          </cell>
          <cell r="L12">
            <v>1.6327663646803623</v>
          </cell>
          <cell r="M12">
            <v>0.02</v>
          </cell>
          <cell r="N12">
            <v>6.4323019012377181</v>
          </cell>
          <cell r="O12">
            <v>11.160158861809366</v>
          </cell>
          <cell r="P12">
            <v>0</v>
          </cell>
          <cell r="Q12">
            <v>0</v>
          </cell>
          <cell r="R12">
            <v>0</v>
          </cell>
        </row>
        <row r="13">
          <cell r="E13" t="str">
            <v>BRITADOR CÔNICO - 48FC</v>
          </cell>
          <cell r="F13">
            <v>209195.2525</v>
          </cell>
          <cell r="G13" t="str">
            <v>150 CV</v>
          </cell>
          <cell r="H13" t="str">
            <v>67/250</v>
          </cell>
          <cell r="I13" t="str">
            <v>t/h</v>
          </cell>
          <cell r="K13">
            <v>0</v>
          </cell>
          <cell r="L13">
            <v>1.6327663646803623</v>
          </cell>
          <cell r="M13">
            <v>0.02</v>
          </cell>
          <cell r="N13">
            <v>6.4323019012377181</v>
          </cell>
          <cell r="O13">
            <v>11.160158861809366</v>
          </cell>
          <cell r="P13">
            <v>0</v>
          </cell>
          <cell r="Q13">
            <v>0</v>
          </cell>
          <cell r="R13">
            <v>0</v>
          </cell>
        </row>
        <row r="14">
          <cell r="E14" t="str">
            <v>BRITADOR CÔNICO - BARMAC B6000/B7100</v>
          </cell>
          <cell r="F14">
            <v>292004.58</v>
          </cell>
          <cell r="G14" t="str">
            <v>150 CV</v>
          </cell>
          <cell r="K14">
            <v>0</v>
          </cell>
          <cell r="L14">
            <v>1.6327663646803623</v>
          </cell>
          <cell r="M14">
            <v>0.02</v>
          </cell>
          <cell r="N14">
            <v>6.4323019012377181</v>
          </cell>
          <cell r="O14">
            <v>11.160158861809366</v>
          </cell>
          <cell r="P14">
            <v>0</v>
          </cell>
          <cell r="Q14">
            <v>0</v>
          </cell>
          <cell r="R14">
            <v>150</v>
          </cell>
        </row>
        <row r="15">
          <cell r="E15" t="str">
            <v>BRITADOR DE MANDÍBULAS - 10060A/C</v>
          </cell>
          <cell r="F15">
            <v>110875</v>
          </cell>
          <cell r="G15" t="str">
            <v>100 CV</v>
          </cell>
          <cell r="H15" t="str">
            <v>72/200</v>
          </cell>
          <cell r="I15" t="str">
            <v>m³/h</v>
          </cell>
          <cell r="K15">
            <v>0</v>
          </cell>
          <cell r="L15">
            <v>0.10610889462567473</v>
          </cell>
          <cell r="M15">
            <v>0.02</v>
          </cell>
          <cell r="N15">
            <v>17.971602910114996</v>
          </cell>
          <cell r="O15">
            <v>18.669931158569977</v>
          </cell>
          <cell r="P15">
            <v>0</v>
          </cell>
          <cell r="Q15">
            <v>0</v>
          </cell>
          <cell r="R15">
            <v>200</v>
          </cell>
        </row>
        <row r="16">
          <cell r="E16" t="str">
            <v>BRITADOR DE MANDÍBULAS - 11080</v>
          </cell>
          <cell r="F16">
            <v>149677.89000000001</v>
          </cell>
          <cell r="G16" t="str">
            <v>125 CV</v>
          </cell>
          <cell r="H16" t="str">
            <v>110x80</v>
          </cell>
          <cell r="K16">
            <v>0</v>
          </cell>
          <cell r="L16">
            <v>0.10610889462567473</v>
          </cell>
          <cell r="M16">
            <v>0.02</v>
          </cell>
          <cell r="N16">
            <v>17.971602910114996</v>
          </cell>
          <cell r="O16">
            <v>18.669931158569977</v>
          </cell>
          <cell r="P16">
            <v>0</v>
          </cell>
          <cell r="Q16">
            <v>0</v>
          </cell>
          <cell r="R16">
            <v>200</v>
          </cell>
        </row>
        <row r="17">
          <cell r="E17" t="str">
            <v>BRITADOR DE MANDÍBULAS - 6240</v>
          </cell>
          <cell r="F17">
            <v>123085.13</v>
          </cell>
          <cell r="G17" t="str">
            <v>40 CV</v>
          </cell>
          <cell r="H17" t="str">
            <v>17/55</v>
          </cell>
          <cell r="I17" t="str">
            <v>m³/h</v>
          </cell>
          <cell r="K17">
            <v>0</v>
          </cell>
          <cell r="L17">
            <v>0.10610889462567473</v>
          </cell>
          <cell r="M17">
            <v>0.02</v>
          </cell>
          <cell r="N17">
            <v>17.971602910114996</v>
          </cell>
          <cell r="O17">
            <v>18.669931158569977</v>
          </cell>
          <cell r="P17">
            <v>0</v>
          </cell>
          <cell r="Q17">
            <v>0</v>
          </cell>
          <cell r="R17">
            <v>0</v>
          </cell>
        </row>
        <row r="18">
          <cell r="E18" t="str">
            <v>BRITADOR DE MANDÍBULAS - 9026</v>
          </cell>
          <cell r="F18">
            <v>65871.820000000007</v>
          </cell>
          <cell r="G18" t="str">
            <v>40 CV</v>
          </cell>
          <cell r="H18" t="str">
            <v>17/58</v>
          </cell>
          <cell r="I18" t="str">
            <v>m³/h</v>
          </cell>
          <cell r="K18">
            <v>0</v>
          </cell>
          <cell r="L18">
            <v>0.10610889462567473</v>
          </cell>
          <cell r="M18">
            <v>0.02</v>
          </cell>
          <cell r="N18">
            <v>17.971602910114996</v>
          </cell>
          <cell r="O18">
            <v>18.669931158569977</v>
          </cell>
          <cell r="P18">
            <v>0</v>
          </cell>
          <cell r="Q18">
            <v>0</v>
          </cell>
          <cell r="R18">
            <v>0</v>
          </cell>
        </row>
        <row r="19">
          <cell r="E19" t="str">
            <v>CAM. BASCULANTE - 2428</v>
          </cell>
          <cell r="F19">
            <v>203000</v>
          </cell>
          <cell r="G19" t="str">
            <v>249 CV</v>
          </cell>
          <cell r="H19">
            <v>14</v>
          </cell>
          <cell r="I19" t="str">
            <v>m³</v>
          </cell>
          <cell r="K19">
            <v>6.7194990847805718</v>
          </cell>
          <cell r="L19">
            <v>0.5903102817090049</v>
          </cell>
          <cell r="M19">
            <v>0.02</v>
          </cell>
          <cell r="N19">
            <v>4.1428824866574425</v>
          </cell>
          <cell r="O19">
            <v>1.05</v>
          </cell>
          <cell r="P19">
            <v>0</v>
          </cell>
          <cell r="Q19">
            <v>0</v>
          </cell>
          <cell r="R19">
            <v>85</v>
          </cell>
        </row>
        <row r="20">
          <cell r="E20" t="str">
            <v>CAM. BASCULANTE - 4144 K33</v>
          </cell>
          <cell r="F20">
            <v>371279.16666666669</v>
          </cell>
          <cell r="G20" t="str">
            <v>428 CV</v>
          </cell>
          <cell r="H20">
            <v>14</v>
          </cell>
          <cell r="I20" t="str">
            <v>m³</v>
          </cell>
          <cell r="K20">
            <v>6.6204640095181437</v>
          </cell>
          <cell r="L20">
            <v>0.48458517018659003</v>
          </cell>
          <cell r="M20">
            <v>0.02</v>
          </cell>
          <cell r="N20">
            <v>0.13994646044021417</v>
          </cell>
          <cell r="O20">
            <v>4.9769429208529834</v>
          </cell>
          <cell r="P20">
            <v>0</v>
          </cell>
          <cell r="Q20">
            <v>0</v>
          </cell>
          <cell r="R20">
            <v>85</v>
          </cell>
        </row>
        <row r="21">
          <cell r="E21" t="str">
            <v>CAM. BASCULANTE - FM 440</v>
          </cell>
          <cell r="F21">
            <v>350000</v>
          </cell>
          <cell r="G21" t="str">
            <v>440 CV</v>
          </cell>
          <cell r="H21">
            <v>14</v>
          </cell>
          <cell r="I21" t="str">
            <v>m³</v>
          </cell>
          <cell r="K21">
            <v>8.6826123257922383</v>
          </cell>
          <cell r="L21">
            <v>0.44251016805179783</v>
          </cell>
          <cell r="M21">
            <v>0.02</v>
          </cell>
          <cell r="N21">
            <v>3.9047774484325029</v>
          </cell>
          <cell r="O21">
            <v>5.39</v>
          </cell>
          <cell r="P21">
            <v>0</v>
          </cell>
          <cell r="Q21">
            <v>0</v>
          </cell>
          <cell r="R21">
            <v>95</v>
          </cell>
        </row>
        <row r="22">
          <cell r="E22" t="str">
            <v>CAM. BASCULANTE LK-1621 - 1621 TOCO</v>
          </cell>
          <cell r="F22">
            <v>126231.82125000001</v>
          </cell>
          <cell r="G22" t="str">
            <v>210 CV</v>
          </cell>
          <cell r="H22">
            <v>8</v>
          </cell>
          <cell r="I22" t="str">
            <v>m³</v>
          </cell>
          <cell r="K22">
            <v>5.3151071962772143</v>
          </cell>
          <cell r="L22">
            <v>0.44559581186637859</v>
          </cell>
          <cell r="M22">
            <v>0.02</v>
          </cell>
          <cell r="N22">
            <v>4.1181319594482302</v>
          </cell>
          <cell r="O22">
            <v>1.0594166528170186</v>
          </cell>
          <cell r="P22">
            <v>0</v>
          </cell>
          <cell r="Q22">
            <v>0</v>
          </cell>
          <cell r="R22">
            <v>60</v>
          </cell>
        </row>
        <row r="23">
          <cell r="E23" t="str">
            <v xml:space="preserve">CAM. BASCULANTE LK-2638 - 2638 - 6X4 </v>
          </cell>
          <cell r="F23">
            <v>273532.44553571427</v>
          </cell>
          <cell r="G23" t="str">
            <v>380 CV</v>
          </cell>
          <cell r="H23">
            <v>14</v>
          </cell>
          <cell r="K23">
            <v>8.2341857335127866</v>
          </cell>
          <cell r="L23">
            <v>0.60451996410946618</v>
          </cell>
          <cell r="M23">
            <v>0.02</v>
          </cell>
          <cell r="N23">
            <v>3.0012877442273531</v>
          </cell>
          <cell r="O23">
            <v>8.36</v>
          </cell>
          <cell r="P23">
            <v>0</v>
          </cell>
          <cell r="Q23">
            <v>0</v>
          </cell>
          <cell r="R23">
            <v>85</v>
          </cell>
        </row>
        <row r="24">
          <cell r="E24" t="str">
            <v>CAM. BAÚ OFICINA - 1513/1113</v>
          </cell>
          <cell r="F24">
            <v>250269.33000000002</v>
          </cell>
          <cell r="G24" t="str">
            <v>170 CV</v>
          </cell>
          <cell r="H24">
            <v>13.25</v>
          </cell>
          <cell r="I24" t="str">
            <v>TON</v>
          </cell>
          <cell r="K24">
            <v>12.418527873197149</v>
          </cell>
          <cell r="L24">
            <v>1.9004081632653058</v>
          </cell>
          <cell r="M24">
            <v>0.02</v>
          </cell>
          <cell r="N24">
            <v>11.482482993197278</v>
          </cell>
          <cell r="O24">
            <v>5.3027210884353737</v>
          </cell>
          <cell r="P24">
            <v>0</v>
          </cell>
          <cell r="Q24">
            <v>0</v>
          </cell>
          <cell r="R24">
            <v>17.5</v>
          </cell>
        </row>
        <row r="25">
          <cell r="E25" t="str">
            <v>CAM. BETONEIRA - 2220</v>
          </cell>
          <cell r="F25">
            <v>187603.86</v>
          </cell>
          <cell r="G25" t="str">
            <v>192 CV</v>
          </cell>
          <cell r="H25">
            <v>7</v>
          </cell>
          <cell r="I25" t="str">
            <v>m³</v>
          </cell>
          <cell r="K25">
            <v>6.2449567500772325</v>
          </cell>
          <cell r="L25">
            <v>1.019902172793739</v>
          </cell>
          <cell r="M25">
            <v>0.02</v>
          </cell>
          <cell r="N25">
            <v>6.8062592039544816</v>
          </cell>
          <cell r="O25">
            <v>2.0031450491735745</v>
          </cell>
          <cell r="P25">
            <v>0</v>
          </cell>
          <cell r="Q25">
            <v>0</v>
          </cell>
          <cell r="R25">
            <v>100</v>
          </cell>
        </row>
        <row r="26">
          <cell r="E26" t="str">
            <v>CAM. BETONEIRA - 2325</v>
          </cell>
          <cell r="F26">
            <v>213959.10499999998</v>
          </cell>
          <cell r="G26" t="str">
            <v>252 CV</v>
          </cell>
          <cell r="H26">
            <v>7</v>
          </cell>
          <cell r="I26" t="str">
            <v>m³</v>
          </cell>
          <cell r="K26">
            <v>6.2452783069872817</v>
          </cell>
          <cell r="L26">
            <v>1.0199546882240871</v>
          </cell>
          <cell r="M26">
            <v>0.02</v>
          </cell>
          <cell r="N26">
            <v>6.8062592039544816</v>
          </cell>
          <cell r="O26">
            <v>2.0031450491735745</v>
          </cell>
          <cell r="P26">
            <v>0</v>
          </cell>
          <cell r="Q26">
            <v>0</v>
          </cell>
          <cell r="R26">
            <v>100</v>
          </cell>
        </row>
        <row r="27">
          <cell r="E27" t="str">
            <v>CAM. BETONEIRA - 2423</v>
          </cell>
          <cell r="F27">
            <v>264285.71428571426</v>
          </cell>
          <cell r="G27" t="str">
            <v>231 CV</v>
          </cell>
          <cell r="H27">
            <v>8</v>
          </cell>
          <cell r="I27" t="str">
            <v>m³</v>
          </cell>
          <cell r="K27">
            <v>6.2452783069872817</v>
          </cell>
          <cell r="L27">
            <v>1.0199546882240871</v>
          </cell>
          <cell r="M27">
            <v>0.02</v>
          </cell>
          <cell r="N27">
            <v>6.8062592039544816</v>
          </cell>
          <cell r="O27">
            <v>2.0031450491735745</v>
          </cell>
          <cell r="P27">
            <v>0</v>
          </cell>
          <cell r="Q27">
            <v>0</v>
          </cell>
          <cell r="R27">
            <v>100</v>
          </cell>
        </row>
        <row r="28">
          <cell r="E28" t="str">
            <v xml:space="preserve">CAM. CARROCERIA - </v>
          </cell>
          <cell r="F28">
            <v>193600</v>
          </cell>
          <cell r="G28" t="str">
            <v>245 CV</v>
          </cell>
          <cell r="H28">
            <v>10</v>
          </cell>
          <cell r="I28" t="str">
            <v>TON</v>
          </cell>
          <cell r="K28">
            <v>6.3128312525171175</v>
          </cell>
          <cell r="L28">
            <v>0.42511746543160156</v>
          </cell>
          <cell r="M28">
            <v>0.02</v>
          </cell>
          <cell r="N28">
            <v>6.9471741173311852</v>
          </cell>
          <cell r="O28">
            <v>4.4998630688683043</v>
          </cell>
          <cell r="P28">
            <v>0</v>
          </cell>
          <cell r="Q28">
            <v>0</v>
          </cell>
          <cell r="R28">
            <v>23.5</v>
          </cell>
        </row>
        <row r="29">
          <cell r="E29" t="str">
            <v>CAM. CARROCERIA  - 1620</v>
          </cell>
          <cell r="F29">
            <v>95281.26</v>
          </cell>
          <cell r="G29" t="str">
            <v>204 CV</v>
          </cell>
          <cell r="H29">
            <v>10</v>
          </cell>
          <cell r="I29" t="str">
            <v>TON</v>
          </cell>
          <cell r="K29">
            <v>6.3128312525171175</v>
          </cell>
          <cell r="L29">
            <v>0.42511746543160156</v>
          </cell>
          <cell r="M29">
            <v>0.02</v>
          </cell>
          <cell r="N29">
            <v>6.9471741173311852</v>
          </cell>
          <cell r="O29">
            <v>4.4998630688683043</v>
          </cell>
          <cell r="P29">
            <v>0</v>
          </cell>
          <cell r="Q29">
            <v>0</v>
          </cell>
          <cell r="R29">
            <v>23.5</v>
          </cell>
        </row>
        <row r="30">
          <cell r="E30" t="str">
            <v xml:space="preserve">CAM. CARROCERIA  - 709/710 </v>
          </cell>
          <cell r="F30">
            <v>64471.183333333327</v>
          </cell>
          <cell r="G30" t="str">
            <v>100 CV</v>
          </cell>
          <cell r="H30">
            <v>4</v>
          </cell>
          <cell r="I30" t="str">
            <v>TON</v>
          </cell>
          <cell r="K30">
            <v>6.3128312525171175</v>
          </cell>
          <cell r="L30">
            <v>0.42511746543160156</v>
          </cell>
          <cell r="M30">
            <v>0.02</v>
          </cell>
          <cell r="N30">
            <v>6.9471741173311852</v>
          </cell>
          <cell r="O30">
            <v>4.4998630688683043</v>
          </cell>
          <cell r="P30">
            <v>0</v>
          </cell>
          <cell r="Q30">
            <v>0</v>
          </cell>
          <cell r="R30">
            <v>17.5</v>
          </cell>
        </row>
        <row r="31">
          <cell r="E31" t="str">
            <v>CAM. COMBOIO - 1414/1614/1418/1518/2423</v>
          </cell>
          <cell r="F31">
            <v>174140.71124999999</v>
          </cell>
          <cell r="G31" t="str">
            <v>136 CV</v>
          </cell>
          <cell r="H31">
            <v>4750</v>
          </cell>
          <cell r="I31" t="str">
            <v>Litros</v>
          </cell>
          <cell r="K31">
            <v>5.0509539295392951</v>
          </cell>
          <cell r="L31">
            <v>0.29523115024766095</v>
          </cell>
          <cell r="M31">
            <v>0.02</v>
          </cell>
          <cell r="N31">
            <v>5.7292735277930653</v>
          </cell>
          <cell r="O31">
            <v>2</v>
          </cell>
          <cell r="P31">
            <v>0</v>
          </cell>
          <cell r="Q31">
            <v>0</v>
          </cell>
          <cell r="R31">
            <v>75</v>
          </cell>
        </row>
        <row r="32">
          <cell r="E32" t="str">
            <v>CAM. COMBOIO - 2423 K</v>
          </cell>
          <cell r="F32">
            <v>332452.95</v>
          </cell>
          <cell r="G32" t="str">
            <v>231 CV</v>
          </cell>
          <cell r="H32">
            <v>7500</v>
          </cell>
          <cell r="I32" t="str">
            <v>Litros</v>
          </cell>
          <cell r="K32">
            <v>5.0509539295392951</v>
          </cell>
          <cell r="L32">
            <v>0.29523115024766095</v>
          </cell>
          <cell r="M32">
            <v>0.02</v>
          </cell>
          <cell r="N32">
            <v>5.7292735277930653</v>
          </cell>
          <cell r="O32">
            <v>2</v>
          </cell>
          <cell r="P32">
            <v>0</v>
          </cell>
          <cell r="Q32">
            <v>0</v>
          </cell>
          <cell r="R32">
            <v>85</v>
          </cell>
        </row>
        <row r="33">
          <cell r="E33" t="str">
            <v>CAM. ESPARGIDOR - 1113/1214C</v>
          </cell>
          <cell r="F33">
            <v>165860.15166666667</v>
          </cell>
          <cell r="G33" t="str">
            <v>145 CV</v>
          </cell>
          <cell r="H33">
            <v>6000</v>
          </cell>
          <cell r="I33" t="str">
            <v>Litros</v>
          </cell>
          <cell r="K33">
            <v>5.115847705824927</v>
          </cell>
          <cell r="L33">
            <v>0.35266189391474129</v>
          </cell>
          <cell r="M33">
            <v>0.02</v>
          </cell>
          <cell r="N33">
            <v>7.4060559713634877</v>
          </cell>
          <cell r="O33">
            <v>0.8890335177351123</v>
          </cell>
          <cell r="P33">
            <v>0</v>
          </cell>
          <cell r="Q33">
            <v>0</v>
          </cell>
          <cell r="R33">
            <v>60</v>
          </cell>
        </row>
        <row r="34">
          <cell r="E34" t="str">
            <v>CAM. ESPARGIDOR - 1514</v>
          </cell>
          <cell r="F34">
            <v>139001.98000000001</v>
          </cell>
          <cell r="G34" t="str">
            <v>130 CV</v>
          </cell>
          <cell r="H34">
            <v>11.5</v>
          </cell>
          <cell r="I34" t="str">
            <v>TON</v>
          </cell>
          <cell r="K34">
            <v>5.115847705824927</v>
          </cell>
          <cell r="L34">
            <v>0.35266189391474129</v>
          </cell>
          <cell r="M34">
            <v>0.02</v>
          </cell>
          <cell r="N34">
            <v>7.4060559713634877</v>
          </cell>
          <cell r="O34">
            <v>0.8890335177351123</v>
          </cell>
          <cell r="P34">
            <v>0</v>
          </cell>
          <cell r="Q34">
            <v>0</v>
          </cell>
          <cell r="R34">
            <v>60</v>
          </cell>
        </row>
        <row r="35">
          <cell r="E35" t="str">
            <v>CAM. FORA ESTRADA - R35</v>
          </cell>
          <cell r="F35">
            <v>94276.049999999988</v>
          </cell>
          <cell r="G35" t="str">
            <v>368 HP</v>
          </cell>
          <cell r="H35">
            <v>22</v>
          </cell>
          <cell r="I35" t="str">
            <v>m³</v>
          </cell>
          <cell r="K35">
            <v>8.2569002366231583</v>
          </cell>
          <cell r="L35">
            <v>1.7988100145027099</v>
          </cell>
          <cell r="M35">
            <v>0.02</v>
          </cell>
          <cell r="N35">
            <v>19.26422563163117</v>
          </cell>
          <cell r="O35">
            <v>6.07</v>
          </cell>
          <cell r="P35">
            <v>0</v>
          </cell>
          <cell r="Q35">
            <v>0</v>
          </cell>
          <cell r="R35">
            <v>0</v>
          </cell>
        </row>
        <row r="36">
          <cell r="E36" t="str">
            <v>CAM. FORA ESTRADA - RK425B</v>
          </cell>
          <cell r="F36">
            <v>255336.96600000001</v>
          </cell>
          <cell r="G36" t="str">
            <v>296 HP</v>
          </cell>
          <cell r="H36">
            <v>25</v>
          </cell>
          <cell r="I36" t="str">
            <v>m³</v>
          </cell>
          <cell r="K36">
            <v>8.2569002366231583</v>
          </cell>
          <cell r="L36">
            <v>1.7988100145027099</v>
          </cell>
          <cell r="M36">
            <v>0.02</v>
          </cell>
          <cell r="N36">
            <v>19.26422563163117</v>
          </cell>
          <cell r="O36">
            <v>6.07</v>
          </cell>
          <cell r="P36">
            <v>0</v>
          </cell>
          <cell r="Q36">
            <v>0</v>
          </cell>
          <cell r="R36">
            <v>100</v>
          </cell>
        </row>
        <row r="37">
          <cell r="E37" t="str">
            <v>CAM. GUINCHO MADAL - ATEGO 1518</v>
          </cell>
          <cell r="F37">
            <v>179379.74142857143</v>
          </cell>
          <cell r="G37" t="str">
            <v>177 CV</v>
          </cell>
          <cell r="H37">
            <v>12</v>
          </cell>
          <cell r="I37" t="str">
            <v>TON</v>
          </cell>
          <cell r="K37">
            <v>6.0823942446043162</v>
          </cell>
          <cell r="L37">
            <v>0.3577611510791367</v>
          </cell>
          <cell r="M37">
            <v>0.02</v>
          </cell>
          <cell r="N37">
            <v>5.1113611510791364</v>
          </cell>
          <cell r="O37">
            <v>0.85388489208633089</v>
          </cell>
          <cell r="P37">
            <v>0</v>
          </cell>
          <cell r="Q37">
            <v>0</v>
          </cell>
          <cell r="R37">
            <v>45</v>
          </cell>
        </row>
        <row r="38">
          <cell r="E38" t="str">
            <v>CAM. GUINDASTE  - RK20</v>
          </cell>
          <cell r="F38">
            <v>595226.43999999994</v>
          </cell>
          <cell r="G38" t="str">
            <v>170 CV</v>
          </cell>
          <cell r="H38">
            <v>20</v>
          </cell>
          <cell r="I38" t="str">
            <v>TON</v>
          </cell>
          <cell r="K38">
            <v>3.7628033401499668</v>
          </cell>
          <cell r="L38">
            <v>1.3303968984321746</v>
          </cell>
          <cell r="M38">
            <v>0.02</v>
          </cell>
          <cell r="N38">
            <v>2.7996148602590321</v>
          </cell>
          <cell r="O38">
            <v>0.67</v>
          </cell>
          <cell r="P38">
            <v>0</v>
          </cell>
          <cell r="Q38">
            <v>0</v>
          </cell>
          <cell r="R38">
            <v>115</v>
          </cell>
        </row>
        <row r="39">
          <cell r="E39" t="str">
            <v>CAM. GUINDASTE BR 400 - FM 400</v>
          </cell>
          <cell r="F39">
            <v>123597.31</v>
          </cell>
          <cell r="G39" t="str">
            <v>400 CV</v>
          </cell>
          <cell r="H39">
            <v>40</v>
          </cell>
          <cell r="I39" t="str">
            <v>TON</v>
          </cell>
          <cell r="K39">
            <v>3.7628033401499668</v>
          </cell>
          <cell r="L39">
            <v>1.3303968984321746</v>
          </cell>
          <cell r="M39">
            <v>0.02</v>
          </cell>
          <cell r="N39">
            <v>2.7996148602590321</v>
          </cell>
          <cell r="O39">
            <v>0.67</v>
          </cell>
          <cell r="P39">
            <v>0</v>
          </cell>
          <cell r="Q39">
            <v>0</v>
          </cell>
          <cell r="R39">
            <v>165</v>
          </cell>
        </row>
        <row r="40">
          <cell r="E40" t="str">
            <v>CAM. GUINDASTE MD600 - MD600</v>
          </cell>
          <cell r="F40">
            <v>1711373.1</v>
          </cell>
          <cell r="G40" t="str">
            <v>440 CV</v>
          </cell>
          <cell r="H40">
            <v>60</v>
          </cell>
          <cell r="I40" t="str">
            <v>TON</v>
          </cell>
          <cell r="K40">
            <v>3.7628033401499668</v>
          </cell>
          <cell r="L40">
            <v>1.3303968984321746</v>
          </cell>
          <cell r="M40">
            <v>0.02</v>
          </cell>
          <cell r="N40">
            <v>2.7996148602590321</v>
          </cell>
          <cell r="O40">
            <v>0.67</v>
          </cell>
          <cell r="P40">
            <v>0</v>
          </cell>
          <cell r="Q40">
            <v>0</v>
          </cell>
          <cell r="R40">
            <v>350</v>
          </cell>
        </row>
        <row r="41">
          <cell r="E41" t="str">
            <v>CAM. GUINDAUTO MD11500 - 1418/1620</v>
          </cell>
          <cell r="F41">
            <v>125086.02500000001</v>
          </cell>
          <cell r="G41" t="str">
            <v>204 CV</v>
          </cell>
          <cell r="I41" t="str">
            <v>TON</v>
          </cell>
          <cell r="K41">
            <v>6.0823942446043162</v>
          </cell>
          <cell r="L41">
            <v>0.3577611510791367</v>
          </cell>
          <cell r="M41">
            <v>0.02</v>
          </cell>
          <cell r="N41">
            <v>5.1113611510791364</v>
          </cell>
          <cell r="O41">
            <v>0.85388489208633089</v>
          </cell>
          <cell r="P41">
            <v>0</v>
          </cell>
          <cell r="Q41">
            <v>0</v>
          </cell>
          <cell r="R41">
            <v>65</v>
          </cell>
        </row>
        <row r="42">
          <cell r="E42" t="str">
            <v>CAM. GUINDAUTO MD30500 - 2318</v>
          </cell>
          <cell r="F42">
            <v>181880.13500000001</v>
          </cell>
          <cell r="G42" t="str">
            <v>184 CV</v>
          </cell>
          <cell r="H42">
            <v>16</v>
          </cell>
          <cell r="I42" t="str">
            <v>TON</v>
          </cell>
          <cell r="K42">
            <v>6.0823942446043162</v>
          </cell>
          <cell r="L42">
            <v>0.3577611510791367</v>
          </cell>
          <cell r="M42">
            <v>0.02</v>
          </cell>
          <cell r="N42">
            <v>5.1113611510791364</v>
          </cell>
          <cell r="O42">
            <v>0.85388489208633089</v>
          </cell>
          <cell r="P42">
            <v>0</v>
          </cell>
          <cell r="Q42">
            <v>0</v>
          </cell>
          <cell r="R42">
            <v>105</v>
          </cell>
        </row>
        <row r="43">
          <cell r="E43" t="str">
            <v>CAM. GUINDAUTO MD3500 - 710 (OFICINA)</v>
          </cell>
          <cell r="F43">
            <v>69332.892500000002</v>
          </cell>
          <cell r="G43" t="str">
            <v>115 CV</v>
          </cell>
          <cell r="H43">
            <v>3.5</v>
          </cell>
          <cell r="I43" t="str">
            <v>TON</v>
          </cell>
          <cell r="K43">
            <v>6.0823942446043162</v>
          </cell>
          <cell r="L43">
            <v>0.3577611510791367</v>
          </cell>
          <cell r="M43">
            <v>0.02</v>
          </cell>
          <cell r="N43">
            <v>5.1113611510791364</v>
          </cell>
          <cell r="O43">
            <v>0.85388489208633089</v>
          </cell>
          <cell r="P43">
            <v>0</v>
          </cell>
          <cell r="Q43">
            <v>0</v>
          </cell>
          <cell r="R43">
            <v>65</v>
          </cell>
        </row>
        <row r="44">
          <cell r="E44" t="str">
            <v>CAM. GUINDAUTO PKK-12.500 - 1518 (OFICINA)</v>
          </cell>
          <cell r="F44">
            <v>148321.67000000001</v>
          </cell>
          <cell r="G44" t="str">
            <v>170 CV</v>
          </cell>
          <cell r="H44">
            <v>11.5</v>
          </cell>
          <cell r="I44" t="str">
            <v>TON</v>
          </cell>
          <cell r="K44">
            <v>6.0823942446043162</v>
          </cell>
          <cell r="L44">
            <v>0.3577611510791367</v>
          </cell>
          <cell r="M44">
            <v>0.02</v>
          </cell>
          <cell r="N44">
            <v>5.1113611510791364</v>
          </cell>
          <cell r="O44">
            <v>0.85388489208633089</v>
          </cell>
          <cell r="P44">
            <v>0</v>
          </cell>
          <cell r="Q44">
            <v>0</v>
          </cell>
          <cell r="R44">
            <v>75</v>
          </cell>
        </row>
        <row r="45">
          <cell r="E45" t="str">
            <v>CAM. LANÇA BOMBA DE CONC. - 2431</v>
          </cell>
          <cell r="F45">
            <v>985454.06</v>
          </cell>
          <cell r="G45" t="str">
            <v>200 CV</v>
          </cell>
          <cell r="I45" t="str">
            <v>m³</v>
          </cell>
          <cell r="K45">
            <v>6.2833522727272735</v>
          </cell>
          <cell r="L45">
            <v>0.39193939393939387</v>
          </cell>
          <cell r="M45">
            <v>0.02</v>
          </cell>
          <cell r="N45">
            <v>2.0829393939393941</v>
          </cell>
          <cell r="O45">
            <v>0.19538257575757573</v>
          </cell>
          <cell r="P45">
            <v>0</v>
          </cell>
          <cell r="Q45">
            <v>0</v>
          </cell>
          <cell r="R45">
            <v>200</v>
          </cell>
        </row>
        <row r="46">
          <cell r="E46" t="str">
            <v xml:space="preserve">CAM. PIPA ABASTEC. - 1614/1418 </v>
          </cell>
          <cell r="F46">
            <v>153661.80666666667</v>
          </cell>
          <cell r="G46" t="str">
            <v>136 CV</v>
          </cell>
          <cell r="H46">
            <v>7666.666666666667</v>
          </cell>
          <cell r="I46" t="str">
            <v>Litros</v>
          </cell>
          <cell r="K46">
            <v>3.8229632738788393</v>
          </cell>
          <cell r="L46">
            <v>0.46997494103773585</v>
          </cell>
          <cell r="M46">
            <v>0.02</v>
          </cell>
          <cell r="N46">
            <v>9.6742349646226433</v>
          </cell>
          <cell r="O46">
            <v>2.4650427476415095</v>
          </cell>
          <cell r="P46">
            <v>0</v>
          </cell>
          <cell r="Q46">
            <v>0</v>
          </cell>
          <cell r="R46">
            <v>50</v>
          </cell>
        </row>
        <row r="47">
          <cell r="E47" t="str">
            <v>CAM. PIPA IRRIGADOR - 1618/1620</v>
          </cell>
          <cell r="F47">
            <v>169462.45</v>
          </cell>
          <cell r="G47" t="str">
            <v>184 CV</v>
          </cell>
          <cell r="H47">
            <v>9111.1111111111113</v>
          </cell>
          <cell r="I47" t="str">
            <v>Litros</v>
          </cell>
          <cell r="K47">
            <v>7.1835641146077975</v>
          </cell>
          <cell r="L47">
            <v>0.49137905119774539</v>
          </cell>
          <cell r="M47">
            <v>0.02</v>
          </cell>
          <cell r="N47">
            <v>4.713750117426021</v>
          </cell>
          <cell r="O47">
            <v>0.49788633161108503</v>
          </cell>
          <cell r="P47">
            <v>0</v>
          </cell>
          <cell r="Q47">
            <v>0</v>
          </cell>
          <cell r="R47">
            <v>80</v>
          </cell>
        </row>
        <row r="48">
          <cell r="E48" t="str">
            <v>CAM. PIPA IRRIGADOR - 2428</v>
          </cell>
          <cell r="F48">
            <v>259670.05800000002</v>
          </cell>
          <cell r="G48" t="str">
            <v>279 CV</v>
          </cell>
          <cell r="H48">
            <v>18000</v>
          </cell>
          <cell r="I48" t="str">
            <v>Litros</v>
          </cell>
          <cell r="K48">
            <v>7.1835641146077975</v>
          </cell>
          <cell r="L48">
            <v>0.49137905119774539</v>
          </cell>
          <cell r="M48">
            <v>0.02</v>
          </cell>
          <cell r="N48">
            <v>4.713750117426021</v>
          </cell>
          <cell r="O48">
            <v>0.49788633161108503</v>
          </cell>
          <cell r="P48">
            <v>0</v>
          </cell>
          <cell r="Q48">
            <v>0</v>
          </cell>
          <cell r="R48">
            <v>90</v>
          </cell>
        </row>
        <row r="49">
          <cell r="E49" t="str">
            <v>CAM. PIPA IRRIGADOR - 2635</v>
          </cell>
          <cell r="F49">
            <v>210873.63600000003</v>
          </cell>
          <cell r="G49" t="str">
            <v>354 CV</v>
          </cell>
          <cell r="H49">
            <v>22000</v>
          </cell>
          <cell r="I49" t="str">
            <v>Litros</v>
          </cell>
          <cell r="K49">
            <v>7.1835641146077975</v>
          </cell>
          <cell r="L49">
            <v>0.49137905119774539</v>
          </cell>
          <cell r="M49">
            <v>0.02</v>
          </cell>
          <cell r="N49">
            <v>4.713750117426021</v>
          </cell>
          <cell r="O49">
            <v>0.49788633161108503</v>
          </cell>
          <cell r="P49">
            <v>0</v>
          </cell>
          <cell r="Q49">
            <v>0</v>
          </cell>
          <cell r="R49">
            <v>85</v>
          </cell>
        </row>
        <row r="50">
          <cell r="E50" t="str">
            <v>CAM. PIPA IRRIGADOR - 2638</v>
          </cell>
          <cell r="F50">
            <v>106258.36666666665</v>
          </cell>
          <cell r="G50" t="str">
            <v>380 CV</v>
          </cell>
          <cell r="I50" t="str">
            <v>Litros</v>
          </cell>
          <cell r="K50">
            <v>7.1835641146077975</v>
          </cell>
          <cell r="L50">
            <v>0.49137905119774539</v>
          </cell>
          <cell r="M50">
            <v>0.02</v>
          </cell>
          <cell r="N50">
            <v>4.713750117426021</v>
          </cell>
          <cell r="O50">
            <v>0.49788633161108503</v>
          </cell>
          <cell r="P50">
            <v>0</v>
          </cell>
          <cell r="Q50">
            <v>0</v>
          </cell>
          <cell r="R50">
            <v>90</v>
          </cell>
        </row>
        <row r="51">
          <cell r="E51" t="str">
            <v>CAM. PIPA LAVADOR - 1514/1614</v>
          </cell>
          <cell r="F51">
            <v>177507.16</v>
          </cell>
          <cell r="G51" t="str">
            <v>136 CV</v>
          </cell>
          <cell r="H51">
            <v>7500</v>
          </cell>
          <cell r="I51" t="str">
            <v>Litros</v>
          </cell>
          <cell r="K51">
            <v>6.2777360219981668</v>
          </cell>
          <cell r="L51">
            <v>0.7341613198900091</v>
          </cell>
          <cell r="M51">
            <v>0.02</v>
          </cell>
          <cell r="N51">
            <v>2.013263061411549</v>
          </cell>
          <cell r="O51">
            <v>2.1136571952337304</v>
          </cell>
          <cell r="P51">
            <v>0</v>
          </cell>
          <cell r="Q51">
            <v>0</v>
          </cell>
          <cell r="R51">
            <v>70</v>
          </cell>
        </row>
        <row r="52">
          <cell r="E52" t="str">
            <v xml:space="preserve">CAMINHONETE PICK-UP L200 - L200 </v>
          </cell>
          <cell r="F52">
            <v>69927.272727272721</v>
          </cell>
          <cell r="G52" t="str">
            <v>100 CV</v>
          </cell>
          <cell r="H52">
            <v>1000</v>
          </cell>
          <cell r="I52" t="str">
            <v>KG</v>
          </cell>
          <cell r="K52">
            <v>0</v>
          </cell>
          <cell r="L52">
            <v>0</v>
          </cell>
          <cell r="M52">
            <v>0.02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30</v>
          </cell>
        </row>
        <row r="53">
          <cell r="E53" t="str">
            <v>CARREGADEIRA DE PNEUS - 924G</v>
          </cell>
          <cell r="F53">
            <v>295000</v>
          </cell>
          <cell r="G53" t="str">
            <v>121 HP</v>
          </cell>
          <cell r="H53">
            <v>1.9</v>
          </cell>
          <cell r="I53" t="str">
            <v>m³</v>
          </cell>
          <cell r="K53">
            <v>10.209078611152863</v>
          </cell>
          <cell r="L53">
            <v>1.019413798286487</v>
          </cell>
          <cell r="M53">
            <v>0.02</v>
          </cell>
          <cell r="N53">
            <v>5.5701322711558703</v>
          </cell>
          <cell r="O53">
            <v>3.76</v>
          </cell>
          <cell r="P53">
            <v>0</v>
          </cell>
          <cell r="Q53">
            <v>0</v>
          </cell>
          <cell r="R53">
            <v>80</v>
          </cell>
        </row>
        <row r="54">
          <cell r="E54" t="str">
            <v>CARREGADEIRA DE PNEUS - 930T</v>
          </cell>
          <cell r="F54">
            <v>156850.37</v>
          </cell>
          <cell r="G54" t="str">
            <v>105 HP</v>
          </cell>
          <cell r="H54">
            <v>2.64</v>
          </cell>
          <cell r="I54" t="str">
            <v>m³</v>
          </cell>
          <cell r="K54">
            <v>10.209078611152863</v>
          </cell>
          <cell r="L54">
            <v>1.019413798286487</v>
          </cell>
          <cell r="M54">
            <v>0.02</v>
          </cell>
          <cell r="N54">
            <v>5.5701322711558703</v>
          </cell>
          <cell r="O54">
            <v>3.76</v>
          </cell>
          <cell r="P54">
            <v>0</v>
          </cell>
          <cell r="Q54">
            <v>0</v>
          </cell>
          <cell r="R54">
            <v>80</v>
          </cell>
        </row>
        <row r="55">
          <cell r="E55" t="str">
            <v>CARREGADEIRA DE PNEUS - 966F</v>
          </cell>
          <cell r="F55">
            <v>365709.42714285717</v>
          </cell>
          <cell r="G55" t="str">
            <v>220 HP</v>
          </cell>
          <cell r="H55">
            <v>4.5</v>
          </cell>
          <cell r="I55" t="str">
            <v>j3</v>
          </cell>
          <cell r="K55">
            <v>23.523495751690653</v>
          </cell>
          <cell r="L55">
            <v>1.2684307265475985</v>
          </cell>
          <cell r="M55">
            <v>0.02</v>
          </cell>
          <cell r="N55">
            <v>3.6832633951794698</v>
          </cell>
          <cell r="O55">
            <v>0.85559736431420141</v>
          </cell>
          <cell r="P55">
            <v>0</v>
          </cell>
          <cell r="Q55">
            <v>0</v>
          </cell>
          <cell r="R55">
            <v>90</v>
          </cell>
        </row>
        <row r="56">
          <cell r="E56" t="str">
            <v>CARREGADEIRA DE PNEUS - 980G</v>
          </cell>
          <cell r="F56">
            <v>547701.06000000006</v>
          </cell>
          <cell r="G56" t="str">
            <v>235 HP</v>
          </cell>
          <cell r="H56">
            <v>4.5</v>
          </cell>
          <cell r="I56" t="str">
            <v>j3</v>
          </cell>
          <cell r="K56">
            <v>26.720045839210155</v>
          </cell>
          <cell r="L56">
            <v>3.5401974612129758</v>
          </cell>
          <cell r="M56">
            <v>0.02</v>
          </cell>
          <cell r="N56">
            <v>33.365331452750354</v>
          </cell>
          <cell r="O56">
            <v>5.7090479548660085</v>
          </cell>
          <cell r="P56">
            <v>0</v>
          </cell>
          <cell r="Q56">
            <v>0</v>
          </cell>
          <cell r="R56">
            <v>160</v>
          </cell>
        </row>
        <row r="57">
          <cell r="E57" t="str">
            <v>CARRETA - BAÚ ESCRITÓRIO.MÓVEL - 2ER/1260</v>
          </cell>
          <cell r="F57">
            <v>111000</v>
          </cell>
          <cell r="H57">
            <v>27</v>
          </cell>
          <cell r="I57" t="str">
            <v>TON</v>
          </cell>
          <cell r="K57">
            <v>0</v>
          </cell>
          <cell r="L57">
            <v>0</v>
          </cell>
          <cell r="M57">
            <v>0.02</v>
          </cell>
          <cell r="N57">
            <v>363.25</v>
          </cell>
          <cell r="O57">
            <v>105</v>
          </cell>
          <cell r="P57">
            <v>0</v>
          </cell>
          <cell r="Q57">
            <v>0</v>
          </cell>
          <cell r="R57">
            <v>100</v>
          </cell>
        </row>
        <row r="58">
          <cell r="E58" t="str">
            <v>CARRETA - BAÚ LABORATÓRIO MÓVEL - 2ER/1260</v>
          </cell>
          <cell r="F58">
            <v>110234.88</v>
          </cell>
          <cell r="H58">
            <v>27</v>
          </cell>
          <cell r="I58" t="str">
            <v>TON</v>
          </cell>
          <cell r="K58">
            <v>0</v>
          </cell>
          <cell r="L58">
            <v>0</v>
          </cell>
          <cell r="M58">
            <v>0.02</v>
          </cell>
          <cell r="N58">
            <v>363.25</v>
          </cell>
          <cell r="O58">
            <v>105</v>
          </cell>
          <cell r="P58">
            <v>0</v>
          </cell>
          <cell r="Q58">
            <v>0</v>
          </cell>
          <cell r="R58">
            <v>75</v>
          </cell>
        </row>
        <row r="59">
          <cell r="E59" t="str">
            <v>CARRETA CARGA SECA - SR</v>
          </cell>
          <cell r="F59">
            <v>61937.345000000001</v>
          </cell>
          <cell r="H59">
            <v>27</v>
          </cell>
          <cell r="I59" t="str">
            <v>TON</v>
          </cell>
          <cell r="K59">
            <v>0</v>
          </cell>
          <cell r="L59">
            <v>0</v>
          </cell>
          <cell r="M59">
            <v>0.02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62.5</v>
          </cell>
        </row>
        <row r="60">
          <cell r="E60" t="str">
            <v>CARRETA PRANCHA - SEB/SR/C</v>
          </cell>
          <cell r="F60">
            <v>66825.755000000005</v>
          </cell>
          <cell r="H60">
            <v>50</v>
          </cell>
          <cell r="I60" t="str">
            <v>TON</v>
          </cell>
          <cell r="K60">
            <v>0</v>
          </cell>
          <cell r="L60">
            <v>0</v>
          </cell>
          <cell r="M60">
            <v>0.02</v>
          </cell>
          <cell r="N60">
            <v>95.06</v>
          </cell>
          <cell r="P60">
            <v>0</v>
          </cell>
          <cell r="Q60">
            <v>0</v>
          </cell>
          <cell r="R60">
            <v>80</v>
          </cell>
        </row>
        <row r="61">
          <cell r="E61" t="str">
            <v>CARRETA SILO DOSADOR - SR</v>
          </cell>
          <cell r="F61">
            <v>7500</v>
          </cell>
          <cell r="H61">
            <v>27</v>
          </cell>
          <cell r="I61" t="str">
            <v>TON</v>
          </cell>
          <cell r="K61">
            <v>0</v>
          </cell>
          <cell r="L61">
            <v>0</v>
          </cell>
          <cell r="M61">
            <v>0.02</v>
          </cell>
          <cell r="N61">
            <v>95.06</v>
          </cell>
          <cell r="P61">
            <v>0</v>
          </cell>
          <cell r="Q61">
            <v>0</v>
          </cell>
          <cell r="R61">
            <v>0</v>
          </cell>
        </row>
        <row r="62">
          <cell r="E62" t="str">
            <v>CARRETA TANQUE ABASTECEDOR - SRT TQ</v>
          </cell>
          <cell r="F62">
            <v>41346.666666666664</v>
          </cell>
          <cell r="H62">
            <v>30</v>
          </cell>
          <cell r="I62" t="str">
            <v>TON</v>
          </cell>
          <cell r="K62">
            <v>0</v>
          </cell>
          <cell r="L62">
            <v>0</v>
          </cell>
          <cell r="M62">
            <v>0.02</v>
          </cell>
          <cell r="N62">
            <v>95.06</v>
          </cell>
          <cell r="P62">
            <v>0</v>
          </cell>
          <cell r="Q62">
            <v>0</v>
          </cell>
          <cell r="R62">
            <v>50</v>
          </cell>
        </row>
        <row r="63">
          <cell r="E63" t="str">
            <v>CARRETA TANQUE ASFALTO - SCHAFFNER</v>
          </cell>
          <cell r="F63">
            <v>43317.82</v>
          </cell>
          <cell r="H63">
            <v>27</v>
          </cell>
          <cell r="I63" t="str">
            <v>TON</v>
          </cell>
          <cell r="K63">
            <v>0</v>
          </cell>
          <cell r="L63">
            <v>0</v>
          </cell>
          <cell r="M63">
            <v>0.02</v>
          </cell>
          <cell r="N63">
            <v>95.06</v>
          </cell>
          <cell r="P63">
            <v>0</v>
          </cell>
          <cell r="Q63">
            <v>0</v>
          </cell>
          <cell r="R63">
            <v>0</v>
          </cell>
        </row>
        <row r="64">
          <cell r="E64" t="str">
            <v>CARRETA TANQUE PARA C.A.P - SR</v>
          </cell>
          <cell r="F64">
            <v>63317.82</v>
          </cell>
          <cell r="H64">
            <v>27</v>
          </cell>
          <cell r="I64" t="str">
            <v>TON</v>
          </cell>
          <cell r="K64">
            <v>0</v>
          </cell>
          <cell r="L64">
            <v>0</v>
          </cell>
          <cell r="M64">
            <v>0.02</v>
          </cell>
          <cell r="N64">
            <v>95.06</v>
          </cell>
          <cell r="P64">
            <v>0</v>
          </cell>
          <cell r="Q64">
            <v>0</v>
          </cell>
          <cell r="R64">
            <v>0</v>
          </cell>
        </row>
        <row r="65">
          <cell r="E65" t="str">
            <v>CAVALO MECÂNICO - N10/NL10 + CARRETA PRANCHA</v>
          </cell>
          <cell r="F65">
            <v>153411.16250000001</v>
          </cell>
          <cell r="G65" t="str">
            <v>340 CV</v>
          </cell>
          <cell r="H65">
            <v>45</v>
          </cell>
          <cell r="I65" t="str">
            <v>TON</v>
          </cell>
          <cell r="K65">
            <v>11.789207317073171</v>
          </cell>
          <cell r="L65">
            <v>0.60096689895470379</v>
          </cell>
          <cell r="M65">
            <v>0.02</v>
          </cell>
          <cell r="N65">
            <v>9.6239808362369317</v>
          </cell>
          <cell r="O65">
            <v>5.0853658536585362</v>
          </cell>
          <cell r="P65">
            <v>0</v>
          </cell>
          <cell r="Q65">
            <v>0</v>
          </cell>
          <cell r="R65">
            <v>0</v>
          </cell>
        </row>
        <row r="66">
          <cell r="E66" t="str">
            <v>CAVALO MECÂNICO - NH12/FH12</v>
          </cell>
          <cell r="F66">
            <v>233333.76500000001</v>
          </cell>
          <cell r="G66" t="str">
            <v>420 CV</v>
          </cell>
          <cell r="H66">
            <v>100</v>
          </cell>
          <cell r="I66" t="str">
            <v>TON</v>
          </cell>
          <cell r="K66">
            <v>11.789207317073171</v>
          </cell>
          <cell r="L66">
            <v>0.60096689895470379</v>
          </cell>
          <cell r="M66">
            <v>0.02</v>
          </cell>
          <cell r="N66">
            <v>9.6239808362369317</v>
          </cell>
          <cell r="O66">
            <v>5.0853658536585362</v>
          </cell>
          <cell r="P66">
            <v>0</v>
          </cell>
          <cell r="Q66">
            <v>0</v>
          </cell>
          <cell r="R66">
            <v>0</v>
          </cell>
        </row>
        <row r="67">
          <cell r="E67" t="str">
            <v>CENTRAL CONCRETO - DELTA - Dosadora</v>
          </cell>
          <cell r="F67">
            <v>154260.45000000001</v>
          </cell>
          <cell r="G67" t="str">
            <v>27 CV</v>
          </cell>
          <cell r="H67" t="str">
            <v>25/30</v>
          </cell>
          <cell r="I67" t="str">
            <v>m³/h</v>
          </cell>
          <cell r="K67">
            <v>0</v>
          </cell>
          <cell r="L67">
            <v>0</v>
          </cell>
          <cell r="M67">
            <v>0.02</v>
          </cell>
          <cell r="N67">
            <v>9.145092618979767</v>
          </cell>
          <cell r="O67">
            <v>3.6944941578797379</v>
          </cell>
          <cell r="P67">
            <v>0</v>
          </cell>
          <cell r="Q67">
            <v>0</v>
          </cell>
          <cell r="R67">
            <v>75</v>
          </cell>
        </row>
        <row r="68">
          <cell r="E68" t="str">
            <v>CENTRAL CONCRETO - M-2 - Misturadora</v>
          </cell>
          <cell r="F68">
            <v>76464.100000000006</v>
          </cell>
          <cell r="H68" t="str">
            <v>94/117</v>
          </cell>
          <cell r="I68" t="str">
            <v>m³/h</v>
          </cell>
          <cell r="M68">
            <v>0.02</v>
          </cell>
          <cell r="O68">
            <v>0</v>
          </cell>
          <cell r="P68">
            <v>0</v>
          </cell>
          <cell r="Q68">
            <v>0</v>
          </cell>
          <cell r="R68">
            <v>200</v>
          </cell>
        </row>
        <row r="69">
          <cell r="E69" t="str">
            <v>CENTRAL CONCRETO - USP4 - Dosadora</v>
          </cell>
          <cell r="F69">
            <v>374189.33</v>
          </cell>
          <cell r="G69" t="str">
            <v>45 CV</v>
          </cell>
          <cell r="H69" t="str">
            <v>50/90</v>
          </cell>
          <cell r="I69" t="str">
            <v>m³/h</v>
          </cell>
          <cell r="K69">
            <v>0</v>
          </cell>
          <cell r="L69">
            <v>0</v>
          </cell>
          <cell r="M69">
            <v>0.02</v>
          </cell>
          <cell r="N69">
            <v>9.145092618979767</v>
          </cell>
          <cell r="O69">
            <v>3.6944941578797379</v>
          </cell>
          <cell r="P69">
            <v>0</v>
          </cell>
          <cell r="Q69">
            <v>0</v>
          </cell>
          <cell r="R69">
            <v>100</v>
          </cell>
        </row>
        <row r="70">
          <cell r="E70" t="str">
            <v>COMPRESSOR DE AR PORTÁTIL - 900Q</v>
          </cell>
          <cell r="F70">
            <v>69408.259999999995</v>
          </cell>
          <cell r="G70" t="str">
            <v>270 CV</v>
          </cell>
          <cell r="H70">
            <v>7</v>
          </cell>
          <cell r="I70" t="str">
            <v>Bar</v>
          </cell>
          <cell r="K70">
            <v>22.369886110106119</v>
          </cell>
          <cell r="L70">
            <v>1.4012873271869082</v>
          </cell>
          <cell r="M70">
            <v>0.02</v>
          </cell>
          <cell r="N70">
            <v>3.063303225127723</v>
          </cell>
          <cell r="O70">
            <v>1.99364166701641E-2</v>
          </cell>
          <cell r="P70">
            <v>0</v>
          </cell>
          <cell r="Q70">
            <v>0</v>
          </cell>
          <cell r="R70">
            <v>65</v>
          </cell>
        </row>
        <row r="71">
          <cell r="E71" t="str">
            <v>COMPRESSOR DE AR PORTÁTIL - 950DUH</v>
          </cell>
          <cell r="F71">
            <v>48656</v>
          </cell>
          <cell r="G71" t="str">
            <v>450 CV</v>
          </cell>
          <cell r="H71">
            <v>950</v>
          </cell>
          <cell r="I71" t="str">
            <v>PCM</v>
          </cell>
          <cell r="K71">
            <v>22.369886110106119</v>
          </cell>
          <cell r="L71">
            <v>1.4012873271869082</v>
          </cell>
          <cell r="M71">
            <v>0.02</v>
          </cell>
          <cell r="N71">
            <v>3.063303225127723</v>
          </cell>
          <cell r="O71">
            <v>1.99364166701641E-2</v>
          </cell>
          <cell r="P71">
            <v>0</v>
          </cell>
          <cell r="Q71">
            <v>0</v>
          </cell>
          <cell r="R71">
            <v>75</v>
          </cell>
        </row>
        <row r="72">
          <cell r="E72" t="str">
            <v>COMPRESSOR DE AR PORTÁTIL - XA 175 PD</v>
          </cell>
          <cell r="F72">
            <v>42730.25</v>
          </cell>
          <cell r="G72" t="str">
            <v>111 CV</v>
          </cell>
          <cell r="H72">
            <v>350</v>
          </cell>
          <cell r="I72" t="str">
            <v>PCM</v>
          </cell>
          <cell r="K72">
            <v>22.369886110106119</v>
          </cell>
          <cell r="L72">
            <v>1.4012873271869082</v>
          </cell>
          <cell r="M72">
            <v>0.02</v>
          </cell>
          <cell r="N72">
            <v>3.063303225127723</v>
          </cell>
          <cell r="O72">
            <v>1.99364166701641E-2</v>
          </cell>
          <cell r="P72">
            <v>0</v>
          </cell>
          <cell r="Q72">
            <v>0</v>
          </cell>
          <cell r="R72">
            <v>30</v>
          </cell>
        </row>
        <row r="73">
          <cell r="E73" t="str">
            <v>COMPRESSOR DE AR PORTÁTIL - XA160</v>
          </cell>
          <cell r="F73">
            <v>56824.393333333333</v>
          </cell>
          <cell r="G73" t="str">
            <v>79 CV</v>
          </cell>
          <cell r="H73">
            <v>335</v>
          </cell>
          <cell r="I73" t="str">
            <v>PCM</v>
          </cell>
          <cell r="K73">
            <v>22.369886110106119</v>
          </cell>
          <cell r="L73">
            <v>1.4012873271869082</v>
          </cell>
          <cell r="M73">
            <v>0.02</v>
          </cell>
          <cell r="N73">
            <v>3.063303225127723</v>
          </cell>
          <cell r="O73">
            <v>1.99364166701641E-2</v>
          </cell>
          <cell r="P73">
            <v>0</v>
          </cell>
          <cell r="Q73">
            <v>0</v>
          </cell>
          <cell r="R73">
            <v>30</v>
          </cell>
        </row>
        <row r="74">
          <cell r="E74" t="str">
            <v>COMPRESSOR DE AR PORTÁTIL - XA360</v>
          </cell>
          <cell r="F74">
            <v>87112.58</v>
          </cell>
          <cell r="G74" t="str">
            <v>269 CV</v>
          </cell>
          <cell r="H74">
            <v>760</v>
          </cell>
          <cell r="I74" t="str">
            <v>PCM</v>
          </cell>
          <cell r="K74">
            <v>22.369886110106119</v>
          </cell>
          <cell r="L74">
            <v>1.4012873271869082</v>
          </cell>
          <cell r="M74">
            <v>0.02</v>
          </cell>
          <cell r="N74">
            <v>3.063303225127723</v>
          </cell>
          <cell r="O74">
            <v>1.99364166701641E-2</v>
          </cell>
          <cell r="P74">
            <v>0</v>
          </cell>
          <cell r="Q74">
            <v>0</v>
          </cell>
          <cell r="R74">
            <v>50</v>
          </cell>
        </row>
        <row r="75">
          <cell r="E75" t="str">
            <v>COMPRESSOR DE AR PORTÁTIL - XAS420</v>
          </cell>
          <cell r="F75">
            <v>162846.15384615384</v>
          </cell>
          <cell r="G75" t="str">
            <v>250 CV</v>
          </cell>
          <cell r="H75">
            <v>100</v>
          </cell>
          <cell r="I75" t="str">
            <v>PCM</v>
          </cell>
          <cell r="K75">
            <v>22.369886110106119</v>
          </cell>
          <cell r="L75">
            <v>1.4012873271869082</v>
          </cell>
          <cell r="M75">
            <v>0.02</v>
          </cell>
          <cell r="N75">
            <v>3.063303225127723</v>
          </cell>
          <cell r="O75">
            <v>1.99364166701641E-2</v>
          </cell>
          <cell r="P75">
            <v>0</v>
          </cell>
          <cell r="Q75">
            <v>0</v>
          </cell>
          <cell r="R75">
            <v>65</v>
          </cell>
        </row>
        <row r="76">
          <cell r="E76" t="str">
            <v>CONJ.BRIT.MÓVEL - IBP752</v>
          </cell>
          <cell r="F76">
            <v>1106539.56</v>
          </cell>
          <cell r="G76" t="str">
            <v>100 CV</v>
          </cell>
          <cell r="H76" t="str">
            <v>60/120</v>
          </cell>
          <cell r="I76" t="str">
            <v>t/h</v>
          </cell>
          <cell r="K76">
            <v>0</v>
          </cell>
          <cell r="L76">
            <v>0.70729334840167912</v>
          </cell>
          <cell r="M76">
            <v>0.02</v>
          </cell>
          <cell r="N76">
            <v>21.272499596383597</v>
          </cell>
          <cell r="O76">
            <v>9.58</v>
          </cell>
          <cell r="P76">
            <v>0</v>
          </cell>
          <cell r="Q76">
            <v>0</v>
          </cell>
          <cell r="R76">
            <v>250</v>
          </cell>
        </row>
        <row r="77">
          <cell r="E77" t="str">
            <v>DISTR. AGREGADOS PROPELIDO - SD-1</v>
          </cell>
          <cell r="F77">
            <v>60982.906666666669</v>
          </cell>
          <cell r="G77" t="str">
            <v>98 CV</v>
          </cell>
          <cell r="M77">
            <v>0.02</v>
          </cell>
          <cell r="O77">
            <v>0</v>
          </cell>
          <cell r="P77">
            <v>0</v>
          </cell>
          <cell r="Q77">
            <v>0</v>
          </cell>
          <cell r="R77">
            <v>6</v>
          </cell>
        </row>
        <row r="78">
          <cell r="E78" t="str">
            <v>ESCAV. HIDRÁULICA - 235C</v>
          </cell>
          <cell r="F78">
            <v>760316.38</v>
          </cell>
          <cell r="G78" t="str">
            <v>250 HP</v>
          </cell>
          <cell r="H78">
            <v>2.2999999999999998</v>
          </cell>
          <cell r="K78">
            <v>0</v>
          </cell>
          <cell r="L78">
            <v>0</v>
          </cell>
          <cell r="M78">
            <v>0.02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180</v>
          </cell>
        </row>
        <row r="79">
          <cell r="E79" t="str">
            <v>ESCAV. HIDRÁULICA - 320BL</v>
          </cell>
          <cell r="F79">
            <v>338226.73499999999</v>
          </cell>
          <cell r="G79" t="str">
            <v>128 HP</v>
          </cell>
          <cell r="H79">
            <v>1.75</v>
          </cell>
          <cell r="I79" t="str">
            <v>j3</v>
          </cell>
          <cell r="K79">
            <v>15.554811930091187</v>
          </cell>
          <cell r="L79">
            <v>1.999034954407295</v>
          </cell>
          <cell r="M79">
            <v>0.02</v>
          </cell>
          <cell r="N79">
            <v>24.080051291793314</v>
          </cell>
          <cell r="O79">
            <v>1.9959118541033438</v>
          </cell>
          <cell r="P79">
            <v>0</v>
          </cell>
          <cell r="Q79">
            <v>0</v>
          </cell>
          <cell r="R79">
            <v>97</v>
          </cell>
        </row>
        <row r="80">
          <cell r="E80" t="str">
            <v>ESCAV. HIDRÁULICA - 330 CL</v>
          </cell>
          <cell r="F80">
            <v>265629.34285714285</v>
          </cell>
          <cell r="G80" t="str">
            <v>247 HP</v>
          </cell>
          <cell r="H80">
            <v>2.6999999999999997</v>
          </cell>
          <cell r="I80" t="str">
            <v>m³</v>
          </cell>
          <cell r="K80">
            <v>30.746716193922914</v>
          </cell>
          <cell r="L80">
            <v>3.4749022078635874</v>
          </cell>
          <cell r="M80">
            <v>0.02</v>
          </cell>
          <cell r="N80">
            <v>35.785874767081786</v>
          </cell>
          <cell r="O80">
            <v>4.0087268925023798</v>
          </cell>
          <cell r="P80">
            <v>0</v>
          </cell>
          <cell r="Q80">
            <v>0</v>
          </cell>
          <cell r="R80">
            <v>180</v>
          </cell>
        </row>
        <row r="81">
          <cell r="E81" t="str">
            <v>ESCAV. HIDRÁULICA - 330 DL</v>
          </cell>
          <cell r="F81">
            <v>870200</v>
          </cell>
          <cell r="G81" t="str">
            <v>268 HP</v>
          </cell>
          <cell r="H81">
            <v>2.4</v>
          </cell>
          <cell r="I81" t="str">
            <v>m³</v>
          </cell>
          <cell r="K81">
            <v>30.746716193922914</v>
          </cell>
          <cell r="L81">
            <v>3.4749022078635874</v>
          </cell>
          <cell r="M81">
            <v>0.02</v>
          </cell>
          <cell r="N81">
            <v>35.785874767081786</v>
          </cell>
          <cell r="O81">
            <v>4.0087268925023798</v>
          </cell>
          <cell r="P81">
            <v>0</v>
          </cell>
          <cell r="Q81">
            <v>0</v>
          </cell>
          <cell r="R81">
            <v>180</v>
          </cell>
        </row>
        <row r="82">
          <cell r="E82" t="str">
            <v>ESCAV. HIDRÁULICA - 345 BL</v>
          </cell>
          <cell r="F82">
            <v>469724.77</v>
          </cell>
          <cell r="G82" t="str">
            <v>247 HP</v>
          </cell>
          <cell r="H82">
            <v>2.8200000000000003</v>
          </cell>
          <cell r="I82" t="str">
            <v>m³</v>
          </cell>
          <cell r="K82">
            <v>39.969735863714554</v>
          </cell>
          <cell r="L82">
            <v>3.257895788247045</v>
          </cell>
          <cell r="M82">
            <v>0.02</v>
          </cell>
          <cell r="N82">
            <v>26.296562066478003</v>
          </cell>
          <cell r="O82">
            <v>8.6622293435436433</v>
          </cell>
          <cell r="P82">
            <v>0</v>
          </cell>
          <cell r="Q82">
            <v>0</v>
          </cell>
          <cell r="R82">
            <v>210</v>
          </cell>
        </row>
        <row r="83">
          <cell r="E83" t="str">
            <v>ESCAV. HIDRÁULICA - 345 CL</v>
          </cell>
          <cell r="F83">
            <v>874912.5</v>
          </cell>
          <cell r="G83" t="str">
            <v>321 HP</v>
          </cell>
          <cell r="H83">
            <v>3</v>
          </cell>
          <cell r="I83" t="str">
            <v>m³</v>
          </cell>
          <cell r="K83">
            <v>39.969735863714554</v>
          </cell>
          <cell r="L83">
            <v>3.257895788247045</v>
          </cell>
          <cell r="M83">
            <v>0.02</v>
          </cell>
          <cell r="N83">
            <v>26.296562066478003</v>
          </cell>
          <cell r="O83">
            <v>8.6622293435436433</v>
          </cell>
          <cell r="P83">
            <v>0</v>
          </cell>
          <cell r="Q83">
            <v>0</v>
          </cell>
          <cell r="R83">
            <v>210</v>
          </cell>
        </row>
        <row r="84">
          <cell r="E84" t="str">
            <v>ESCAV. HIDRÁULICA - 375L</v>
          </cell>
          <cell r="F84">
            <v>875887.69</v>
          </cell>
          <cell r="K84">
            <v>49.912384327623549</v>
          </cell>
          <cell r="L84">
            <v>12.720082693443592</v>
          </cell>
          <cell r="M84">
            <v>0.02</v>
          </cell>
          <cell r="N84">
            <v>81.650813152195312</v>
          </cell>
          <cell r="O84">
            <v>10.335701909824769</v>
          </cell>
          <cell r="P84">
            <v>0</v>
          </cell>
          <cell r="Q84">
            <v>0</v>
          </cell>
          <cell r="R84">
            <v>270</v>
          </cell>
        </row>
        <row r="85">
          <cell r="E85" t="str">
            <v>ESTAÇÃO TOTAL + NÍVEL E ACESSÓRIOS</v>
          </cell>
          <cell r="M85">
            <v>0.02</v>
          </cell>
          <cell r="R85">
            <v>0</v>
          </cell>
        </row>
        <row r="86">
          <cell r="E86" t="str">
            <v>SERRA DE DISCO DIAMANTADA</v>
          </cell>
          <cell r="M86">
            <v>0.02</v>
          </cell>
          <cell r="R86">
            <v>0</v>
          </cell>
        </row>
        <row r="87">
          <cell r="E87" t="str">
            <v>ACABADORA DE CONCRETO WIRTGEN SP850</v>
          </cell>
          <cell r="F87">
            <v>5500000</v>
          </cell>
          <cell r="G87">
            <v>171</v>
          </cell>
          <cell r="H87">
            <v>100</v>
          </cell>
          <cell r="I87" t="str">
            <v>M3</v>
          </cell>
          <cell r="K87">
            <v>60</v>
          </cell>
          <cell r="L87">
            <v>0</v>
          </cell>
          <cell r="M87">
            <v>0.02</v>
          </cell>
          <cell r="N87">
            <v>176</v>
          </cell>
          <cell r="O87">
            <v>0</v>
          </cell>
          <cell r="R87">
            <v>0</v>
          </cell>
        </row>
        <row r="88">
          <cell r="E88" t="str">
            <v>ACABADORA DE CONCRETO SP500 (3m)</v>
          </cell>
          <cell r="F88">
            <v>5500000</v>
          </cell>
          <cell r="G88">
            <v>171</v>
          </cell>
          <cell r="H88">
            <v>100</v>
          </cell>
          <cell r="I88" t="str">
            <v>M3</v>
          </cell>
          <cell r="K88">
            <v>60</v>
          </cell>
          <cell r="L88">
            <v>0</v>
          </cell>
          <cell r="M88">
            <v>0.02</v>
          </cell>
          <cell r="N88">
            <v>176</v>
          </cell>
          <cell r="O88">
            <v>0</v>
          </cell>
          <cell r="R88">
            <v>0</v>
          </cell>
        </row>
        <row r="89">
          <cell r="E89" t="str">
            <v>FRESADORA</v>
          </cell>
          <cell r="M89">
            <v>0.02</v>
          </cell>
          <cell r="O89">
            <v>0</v>
          </cell>
          <cell r="R89">
            <v>0</v>
          </cell>
        </row>
        <row r="90">
          <cell r="E90" t="str">
            <v>GRUPO GERADOR - 145 A 162 KVA</v>
          </cell>
          <cell r="F90">
            <v>12911.395</v>
          </cell>
          <cell r="G90" t="str">
            <v>145 A 162 KVA</v>
          </cell>
          <cell r="K90">
            <v>14.338823142669296</v>
          </cell>
          <cell r="L90">
            <v>0.57198115275038353</v>
          </cell>
          <cell r="M90">
            <v>0.02</v>
          </cell>
          <cell r="N90">
            <v>2.0361560376944992</v>
          </cell>
          <cell r="O90">
            <v>0</v>
          </cell>
          <cell r="P90">
            <v>0</v>
          </cell>
          <cell r="Q90">
            <v>0</v>
          </cell>
          <cell r="R90">
            <v>23.25</v>
          </cell>
        </row>
        <row r="91">
          <cell r="E91" t="str">
            <v>GRUPO GERADOR - 395 KVA</v>
          </cell>
          <cell r="F91">
            <v>63025.34</v>
          </cell>
          <cell r="G91" t="str">
            <v>395 KVA</v>
          </cell>
          <cell r="K91">
            <v>14.338823142669296</v>
          </cell>
          <cell r="L91">
            <v>0.57198115275038353</v>
          </cell>
          <cell r="M91">
            <v>0.02</v>
          </cell>
          <cell r="N91">
            <v>2.0361560376944992</v>
          </cell>
          <cell r="O91">
            <v>0</v>
          </cell>
          <cell r="P91">
            <v>0</v>
          </cell>
          <cell r="Q91">
            <v>0</v>
          </cell>
          <cell r="R91">
            <v>43.75</v>
          </cell>
        </row>
        <row r="92">
          <cell r="E92" t="str">
            <v>GRUPO GERADOR - 40 A 84 KVA</v>
          </cell>
          <cell r="F92">
            <v>19064.046000000002</v>
          </cell>
          <cell r="G92" t="str">
            <v>40 A 87 KVA</v>
          </cell>
          <cell r="K92">
            <v>14.338823142669296</v>
          </cell>
          <cell r="L92">
            <v>0.57198115275038353</v>
          </cell>
          <cell r="M92">
            <v>0.02</v>
          </cell>
          <cell r="N92">
            <v>2.0361560376944992</v>
          </cell>
          <cell r="O92">
            <v>0</v>
          </cell>
          <cell r="P92">
            <v>0</v>
          </cell>
          <cell r="Q92">
            <v>0</v>
          </cell>
          <cell r="R92">
            <v>18.25</v>
          </cell>
        </row>
        <row r="93">
          <cell r="E93" t="str">
            <v>GRUPO GERADOR - 450 KVA</v>
          </cell>
          <cell r="F93">
            <v>21639.75</v>
          </cell>
          <cell r="G93" t="str">
            <v>450 KVA</v>
          </cell>
          <cell r="K93">
            <v>14.338823142669296</v>
          </cell>
          <cell r="L93">
            <v>0.57198115275038353</v>
          </cell>
          <cell r="M93">
            <v>0.02</v>
          </cell>
          <cell r="N93">
            <v>2.0361560376944992</v>
          </cell>
          <cell r="O93">
            <v>0</v>
          </cell>
          <cell r="P93">
            <v>0</v>
          </cell>
          <cell r="Q93">
            <v>0</v>
          </cell>
          <cell r="R93">
            <v>57.25</v>
          </cell>
        </row>
        <row r="94">
          <cell r="E94" t="str">
            <v>MOTO SCRAPER - 621R</v>
          </cell>
          <cell r="F94">
            <v>946736.61</v>
          </cell>
          <cell r="G94" t="str">
            <v>270 HP</v>
          </cell>
          <cell r="H94">
            <v>15.300000000000002</v>
          </cell>
          <cell r="I94" t="str">
            <v>m³</v>
          </cell>
          <cell r="K94">
            <v>24.247004234297815</v>
          </cell>
          <cell r="L94">
            <v>2.4335391672547635</v>
          </cell>
          <cell r="M94">
            <v>0.02</v>
          </cell>
          <cell r="N94">
            <v>9.6835497529992942</v>
          </cell>
          <cell r="O94">
            <v>0.49297275329986495</v>
          </cell>
          <cell r="P94">
            <v>0</v>
          </cell>
          <cell r="Q94">
            <v>0</v>
          </cell>
          <cell r="R94">
            <v>130</v>
          </cell>
        </row>
        <row r="95">
          <cell r="E95" t="str">
            <v>MOTO SCRAPER - 631E</v>
          </cell>
          <cell r="F95">
            <v>1246743.9237500001</v>
          </cell>
          <cell r="G95" t="str">
            <v>450 HP</v>
          </cell>
          <cell r="H95">
            <v>23</v>
          </cell>
          <cell r="I95" t="str">
            <v>m³</v>
          </cell>
          <cell r="K95">
            <v>42.678731023581228</v>
          </cell>
          <cell r="L95">
            <v>5.6509066061874851</v>
          </cell>
          <cell r="M95">
            <v>0.02</v>
          </cell>
          <cell r="N95">
            <v>33.043839264945333</v>
          </cell>
          <cell r="O95">
            <v>17.141822516864387</v>
          </cell>
          <cell r="P95">
            <v>0</v>
          </cell>
          <cell r="Q95">
            <v>0</v>
          </cell>
          <cell r="R95">
            <v>200</v>
          </cell>
        </row>
        <row r="96">
          <cell r="E96" t="str">
            <v>MOTONIVELADORA - 140G</v>
          </cell>
          <cell r="F96">
            <v>509106.06599999999</v>
          </cell>
          <cell r="K96">
            <v>19.218840453356584</v>
          </cell>
          <cell r="L96">
            <v>2.9134699215344382</v>
          </cell>
          <cell r="M96">
            <v>0.02</v>
          </cell>
          <cell r="N96">
            <v>31.256634699215351</v>
          </cell>
          <cell r="O96">
            <v>5.7445161290322577</v>
          </cell>
          <cell r="P96">
            <v>0</v>
          </cell>
          <cell r="Q96">
            <v>0</v>
          </cell>
          <cell r="R96">
            <v>110</v>
          </cell>
        </row>
        <row r="97">
          <cell r="E97" t="str">
            <v>MOTONIVELADORA - 140H</v>
          </cell>
          <cell r="F97">
            <v>236990.88384615385</v>
          </cell>
          <cell r="G97" t="str">
            <v>185 HP</v>
          </cell>
          <cell r="K97">
            <v>20.841287884571344</v>
          </cell>
          <cell r="L97">
            <v>1.6340911519963353</v>
          </cell>
          <cell r="M97">
            <v>0.02</v>
          </cell>
          <cell r="N97">
            <v>11.19527139476296</v>
          </cell>
          <cell r="O97">
            <v>4.4000000000000004</v>
          </cell>
          <cell r="P97">
            <v>0</v>
          </cell>
          <cell r="Q97">
            <v>0</v>
          </cell>
          <cell r="R97">
            <v>120</v>
          </cell>
        </row>
        <row r="98">
          <cell r="E98" t="str">
            <v>MOTONIVELADORA - 140M</v>
          </cell>
          <cell r="F98">
            <v>663200</v>
          </cell>
          <cell r="G98" t="str">
            <v>218 HP</v>
          </cell>
          <cell r="K98">
            <v>19.230419834710744</v>
          </cell>
          <cell r="L98">
            <v>0.64877355371900824</v>
          </cell>
          <cell r="M98">
            <v>0.02</v>
          </cell>
          <cell r="N98">
            <v>4.3000661157024798</v>
          </cell>
          <cell r="O98">
            <v>1.5100628099173552</v>
          </cell>
          <cell r="P98">
            <v>0</v>
          </cell>
          <cell r="Q98">
            <v>0</v>
          </cell>
          <cell r="R98">
            <v>130</v>
          </cell>
        </row>
        <row r="99">
          <cell r="E99" t="str">
            <v>ÔNIBUS URBANO</v>
          </cell>
          <cell r="M99">
            <v>0.02</v>
          </cell>
          <cell r="O99">
            <v>0</v>
          </cell>
          <cell r="R99">
            <v>17.5</v>
          </cell>
        </row>
        <row r="100">
          <cell r="E100" t="str">
            <v>PERFURATRIZ - PW5000</v>
          </cell>
          <cell r="F100">
            <v>0</v>
          </cell>
          <cell r="K100">
            <v>0.02</v>
          </cell>
          <cell r="L100">
            <v>0.44</v>
          </cell>
          <cell r="M100">
            <v>0.02</v>
          </cell>
          <cell r="N100">
            <v>6.56</v>
          </cell>
          <cell r="O100">
            <v>0.53</v>
          </cell>
          <cell r="P100">
            <v>0</v>
          </cell>
          <cell r="Q100">
            <v>0</v>
          </cell>
          <cell r="R100">
            <v>50</v>
          </cell>
        </row>
        <row r="101">
          <cell r="E101" t="str">
            <v>PERFURATRIZ - PW-DTH 5000</v>
          </cell>
          <cell r="F101">
            <v>0</v>
          </cell>
          <cell r="K101">
            <v>0.02</v>
          </cell>
          <cell r="L101">
            <v>0.44</v>
          </cell>
          <cell r="M101">
            <v>0.02</v>
          </cell>
          <cell r="N101">
            <v>6.56</v>
          </cell>
          <cell r="O101">
            <v>0.53</v>
          </cell>
          <cell r="P101">
            <v>0</v>
          </cell>
          <cell r="Q101">
            <v>0</v>
          </cell>
          <cell r="R101">
            <v>50</v>
          </cell>
        </row>
        <row r="102">
          <cell r="E102" t="str">
            <v>PERFURATRIZ - PWH 5000</v>
          </cell>
          <cell r="F102">
            <v>72596.153846153844</v>
          </cell>
          <cell r="H102">
            <v>710</v>
          </cell>
          <cell r="I102" t="str">
            <v>PCM</v>
          </cell>
          <cell r="K102">
            <v>0.02</v>
          </cell>
          <cell r="L102">
            <v>0.44</v>
          </cell>
          <cell r="M102">
            <v>0.02</v>
          </cell>
          <cell r="N102">
            <v>6.56</v>
          </cell>
          <cell r="O102">
            <v>0.53</v>
          </cell>
          <cell r="P102">
            <v>0</v>
          </cell>
          <cell r="Q102">
            <v>0</v>
          </cell>
          <cell r="R102">
            <v>50</v>
          </cell>
        </row>
        <row r="103">
          <cell r="E103" t="str">
            <v>PERFURATRIZ - RANGER 500</v>
          </cell>
          <cell r="F103">
            <v>784665</v>
          </cell>
          <cell r="K103">
            <v>20.065675105485234</v>
          </cell>
          <cell r="L103">
            <v>7.5012142522269105</v>
          </cell>
          <cell r="M103">
            <v>0.02</v>
          </cell>
          <cell r="N103">
            <v>80.592182372245659</v>
          </cell>
          <cell r="O103">
            <v>1.3404969526488513</v>
          </cell>
          <cell r="P103">
            <v>0</v>
          </cell>
          <cell r="Q103">
            <v>0</v>
          </cell>
          <cell r="R103">
            <v>0</v>
          </cell>
        </row>
        <row r="104">
          <cell r="E104" t="str">
            <v>PERFURATRIZ - RANGER 700.2</v>
          </cell>
          <cell r="F104">
            <v>899395</v>
          </cell>
          <cell r="K104">
            <v>20.065675105485234</v>
          </cell>
          <cell r="L104">
            <v>7.5012142522269105</v>
          </cell>
          <cell r="M104">
            <v>0.02</v>
          </cell>
          <cell r="N104">
            <v>80.592182372245659</v>
          </cell>
          <cell r="O104">
            <v>1.3404969526488513</v>
          </cell>
          <cell r="P104">
            <v>0</v>
          </cell>
          <cell r="Q104">
            <v>0</v>
          </cell>
          <cell r="R104">
            <v>0</v>
          </cell>
        </row>
        <row r="105">
          <cell r="E105" t="str">
            <v>RECICLADORA</v>
          </cell>
          <cell r="J105">
            <v>100</v>
          </cell>
          <cell r="M105">
            <v>0.02</v>
          </cell>
          <cell r="O105">
            <v>0</v>
          </cell>
        </row>
        <row r="106">
          <cell r="E106" t="str">
            <v>REBOQUE DOLLY - 2E 5RODA</v>
          </cell>
          <cell r="F106">
            <v>49392</v>
          </cell>
          <cell r="H106">
            <v>35</v>
          </cell>
          <cell r="I106" t="str">
            <v>TON</v>
          </cell>
          <cell r="K106">
            <v>0</v>
          </cell>
          <cell r="L106">
            <v>0</v>
          </cell>
          <cell r="M106">
            <v>0.02</v>
          </cell>
          <cell r="N106">
            <v>95.06</v>
          </cell>
          <cell r="O106">
            <v>3082</v>
          </cell>
          <cell r="P106">
            <v>0</v>
          </cell>
          <cell r="Q106">
            <v>0</v>
          </cell>
          <cell r="R106">
            <v>0</v>
          </cell>
        </row>
        <row r="107">
          <cell r="E107" t="str">
            <v>RETRO ESCAVADEIRA</v>
          </cell>
          <cell r="K107">
            <v>0</v>
          </cell>
          <cell r="L107">
            <v>0</v>
          </cell>
          <cell r="M107">
            <v>0.02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40</v>
          </cell>
        </row>
        <row r="108">
          <cell r="E108" t="str">
            <v>ROLO DE PNEUS PC AUTO PROPULSOR - CP 271</v>
          </cell>
          <cell r="F108">
            <v>200903.5</v>
          </cell>
          <cell r="G108" t="str">
            <v>100 CV</v>
          </cell>
          <cell r="H108">
            <v>27</v>
          </cell>
          <cell r="K108">
            <v>6.6346087580760953</v>
          </cell>
          <cell r="L108">
            <v>0.75576453697056711</v>
          </cell>
          <cell r="M108">
            <v>0.02</v>
          </cell>
          <cell r="N108">
            <v>12.67732232591529</v>
          </cell>
          <cell r="O108">
            <v>0</v>
          </cell>
          <cell r="P108">
            <v>0</v>
          </cell>
          <cell r="Q108">
            <v>0</v>
          </cell>
          <cell r="R108">
            <v>75</v>
          </cell>
        </row>
        <row r="109">
          <cell r="E109" t="str">
            <v>ROLO DE PNEUS PC AUTO PROPULSOR - CP27/30</v>
          </cell>
          <cell r="F109">
            <v>230035.78333333333</v>
          </cell>
          <cell r="G109" t="str">
            <v>145 CV</v>
          </cell>
          <cell r="H109">
            <v>28</v>
          </cell>
          <cell r="K109">
            <v>6.9076062939404084</v>
          </cell>
          <cell r="L109">
            <v>1.2006996986943421</v>
          </cell>
          <cell r="M109">
            <v>0.02</v>
          </cell>
          <cell r="N109">
            <v>8.5641178439906263</v>
          </cell>
          <cell r="O109">
            <v>6.0180783394710415</v>
          </cell>
          <cell r="P109">
            <v>0</v>
          </cell>
          <cell r="Q109">
            <v>0</v>
          </cell>
          <cell r="R109">
            <v>75</v>
          </cell>
        </row>
        <row r="110">
          <cell r="E110" t="str">
            <v>ROLO ESTÁTICO PC AUTO PROPULSOR - 815F</v>
          </cell>
          <cell r="F110">
            <v>782000</v>
          </cell>
          <cell r="G110" t="str">
            <v>232 HP</v>
          </cell>
          <cell r="H110">
            <v>20</v>
          </cell>
          <cell r="K110">
            <v>35.162283054388588</v>
          </cell>
          <cell r="L110">
            <v>1.3571902693310165</v>
          </cell>
          <cell r="M110">
            <v>0.02</v>
          </cell>
          <cell r="N110">
            <v>2.7350112945264988</v>
          </cell>
          <cell r="O110">
            <v>0</v>
          </cell>
          <cell r="P110">
            <v>0</v>
          </cell>
          <cell r="Q110">
            <v>0</v>
          </cell>
          <cell r="R110">
            <v>120</v>
          </cell>
        </row>
        <row r="111">
          <cell r="E111" t="str">
            <v>ROLO PATA - TR 260</v>
          </cell>
          <cell r="F111">
            <v>369733.84</v>
          </cell>
          <cell r="G111" t="str">
            <v>210 CV</v>
          </cell>
          <cell r="H111">
            <v>21.4</v>
          </cell>
          <cell r="K111">
            <v>6.8863416625045</v>
          </cell>
          <cell r="L111">
            <v>1.9788510638297876</v>
          </cell>
          <cell r="M111">
            <v>0.02</v>
          </cell>
          <cell r="N111">
            <v>12.783776595744682</v>
          </cell>
          <cell r="O111">
            <v>0</v>
          </cell>
          <cell r="P111">
            <v>0</v>
          </cell>
          <cell r="Q111">
            <v>0</v>
          </cell>
          <cell r="R111">
            <v>120</v>
          </cell>
        </row>
        <row r="112">
          <cell r="E112" t="str">
            <v>ROLO PATA - TR25/CT25</v>
          </cell>
          <cell r="F112">
            <v>231207.98166666666</v>
          </cell>
          <cell r="G112" t="str">
            <v xml:space="preserve">210 CV </v>
          </cell>
          <cell r="H112">
            <v>18.8</v>
          </cell>
          <cell r="K112">
            <v>21.267067307692308</v>
          </cell>
          <cell r="L112">
            <v>1.5530951317552479</v>
          </cell>
          <cell r="M112">
            <v>0.02</v>
          </cell>
          <cell r="N112">
            <v>30.435408664582404</v>
          </cell>
          <cell r="O112">
            <v>4.3077079332996462</v>
          </cell>
          <cell r="P112">
            <v>0</v>
          </cell>
          <cell r="Q112">
            <v>0</v>
          </cell>
          <cell r="R112">
            <v>120</v>
          </cell>
        </row>
        <row r="113">
          <cell r="E113" t="str">
            <v>ROLO TANDEN ESTÁTICO - RT82H</v>
          </cell>
          <cell r="F113">
            <v>68864.259999999995</v>
          </cell>
          <cell r="G113" t="str">
            <v>45 CV</v>
          </cell>
          <cell r="K113">
            <v>4.6274509803921573</v>
          </cell>
          <cell r="L113">
            <v>0.74352941176470588</v>
          </cell>
          <cell r="M113">
            <v>0.02</v>
          </cell>
          <cell r="N113">
            <v>3.1003921568627453</v>
          </cell>
          <cell r="O113">
            <v>0</v>
          </cell>
          <cell r="P113">
            <v>0</v>
          </cell>
          <cell r="Q113">
            <v>0</v>
          </cell>
          <cell r="R113">
            <v>45</v>
          </cell>
        </row>
        <row r="114">
          <cell r="E114" t="str">
            <v>ROLO TANDEN ESTÁTICO - TH10</v>
          </cell>
          <cell r="F114">
            <v>54396.94</v>
          </cell>
          <cell r="G114" t="str">
            <v>44 CV</v>
          </cell>
          <cell r="K114">
            <v>4.6274509803921573</v>
          </cell>
          <cell r="L114">
            <v>0.74352941176470588</v>
          </cell>
          <cell r="M114">
            <v>0.02</v>
          </cell>
          <cell r="N114">
            <v>3.1003921568627453</v>
          </cell>
          <cell r="O114">
            <v>0</v>
          </cell>
          <cell r="P114">
            <v>0</v>
          </cell>
          <cell r="Q114">
            <v>0</v>
          </cell>
          <cell r="R114">
            <v>45</v>
          </cell>
        </row>
        <row r="115">
          <cell r="E115" t="str">
            <v>ROLO VIB. AUTO. PROP. - CA25PD</v>
          </cell>
          <cell r="F115">
            <v>390823.2</v>
          </cell>
          <cell r="G115" t="str">
            <v>145 CV</v>
          </cell>
          <cell r="H115">
            <v>30</v>
          </cell>
          <cell r="I115" t="str">
            <v>TON</v>
          </cell>
          <cell r="K115">
            <v>11.71</v>
          </cell>
          <cell r="L115">
            <v>1.83</v>
          </cell>
          <cell r="M115">
            <v>0.02</v>
          </cell>
          <cell r="N115">
            <v>8.68</v>
          </cell>
          <cell r="O115">
            <v>6</v>
          </cell>
          <cell r="P115">
            <v>0</v>
          </cell>
          <cell r="Q115">
            <v>0</v>
          </cell>
          <cell r="R115">
            <v>65</v>
          </cell>
        </row>
        <row r="116">
          <cell r="E116" t="str">
            <v>ROLO VIBRATÓRIO - AVR-4000</v>
          </cell>
          <cell r="F116">
            <v>35500</v>
          </cell>
          <cell r="G116" t="str">
            <v>20 HP</v>
          </cell>
          <cell r="H116">
            <v>3400</v>
          </cell>
          <cell r="K116">
            <v>0.39344262295081966</v>
          </cell>
          <cell r="L116">
            <v>0</v>
          </cell>
          <cell r="M116">
            <v>0.02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</row>
        <row r="117">
          <cell r="E117" t="str">
            <v>ROLO VIBRATÓRIO LISO - CB534B/D</v>
          </cell>
          <cell r="F117">
            <v>223273.45714285717</v>
          </cell>
          <cell r="G117" t="str">
            <v>170 CV</v>
          </cell>
          <cell r="H117">
            <v>0</v>
          </cell>
          <cell r="K117">
            <v>7.8800420926037287</v>
          </cell>
          <cell r="L117">
            <v>0.43463018641010226</v>
          </cell>
          <cell r="M117">
            <v>0.02</v>
          </cell>
          <cell r="N117">
            <v>5.3082651834034866</v>
          </cell>
          <cell r="O117">
            <v>0</v>
          </cell>
          <cell r="P117">
            <v>0</v>
          </cell>
          <cell r="Q117">
            <v>0</v>
          </cell>
          <cell r="R117">
            <v>70</v>
          </cell>
        </row>
        <row r="118">
          <cell r="E118" t="str">
            <v>ROLO VIBRATÓRIO PATA - CP533C/D</v>
          </cell>
          <cell r="F118">
            <v>265791.98</v>
          </cell>
          <cell r="G118" t="str">
            <v>145 CV</v>
          </cell>
          <cell r="H118">
            <v>0</v>
          </cell>
          <cell r="K118">
            <v>12.869094827586208</v>
          </cell>
          <cell r="L118">
            <v>0.41564974457215836</v>
          </cell>
          <cell r="M118">
            <v>0.02</v>
          </cell>
          <cell r="N118">
            <v>6.5260472541507015</v>
          </cell>
          <cell r="O118">
            <v>0.30869993080648878</v>
          </cell>
          <cell r="P118">
            <v>0</v>
          </cell>
          <cell r="Q118">
            <v>0</v>
          </cell>
          <cell r="R118">
            <v>70</v>
          </cell>
        </row>
        <row r="119">
          <cell r="E119" t="str">
            <v>TRATOR AGRICOLA - TM31</v>
          </cell>
          <cell r="F119">
            <v>122655.72</v>
          </cell>
          <cell r="G119" t="str">
            <v>260 HP</v>
          </cell>
          <cell r="K119">
            <v>25.198663893688103</v>
          </cell>
          <cell r="L119">
            <v>3.1524999999999999</v>
          </cell>
          <cell r="M119">
            <v>0.02</v>
          </cell>
          <cell r="N119">
            <v>7.6630441176470585</v>
          </cell>
          <cell r="O119">
            <v>7.9470294117647056</v>
          </cell>
          <cell r="P119">
            <v>0</v>
          </cell>
          <cell r="Q119">
            <v>0</v>
          </cell>
          <cell r="R119">
            <v>65</v>
          </cell>
        </row>
        <row r="120">
          <cell r="E120" t="str">
            <v>TRATOR AGRICOLA DE PNEUS - 8630DT</v>
          </cell>
          <cell r="F120">
            <v>75143.55</v>
          </cell>
          <cell r="G120" t="str">
            <v>160 CV</v>
          </cell>
          <cell r="K120">
            <v>16.362104092526693</v>
          </cell>
          <cell r="L120">
            <v>1.4002001779359432</v>
          </cell>
          <cell r="M120">
            <v>0.02</v>
          </cell>
          <cell r="N120">
            <v>7.9259986654804271</v>
          </cell>
          <cell r="O120">
            <v>0.138923487544484</v>
          </cell>
          <cell r="P120">
            <v>0</v>
          </cell>
          <cell r="Q120">
            <v>0</v>
          </cell>
          <cell r="R120">
            <v>60</v>
          </cell>
        </row>
        <row r="121">
          <cell r="E121" t="str">
            <v>TRATOR AGRICOLA DE PNEUS - MF 680</v>
          </cell>
          <cell r="F121">
            <v>116866.66666666667</v>
          </cell>
          <cell r="G121" t="str">
            <v>173 CV</v>
          </cell>
          <cell r="K121">
            <v>11.034544638851504</v>
          </cell>
          <cell r="L121">
            <v>1.1730865859129656</v>
          </cell>
          <cell r="M121">
            <v>0.02</v>
          </cell>
          <cell r="N121">
            <v>3.732373261552266</v>
          </cell>
          <cell r="O121">
            <v>0.15226558995065051</v>
          </cell>
          <cell r="P121">
            <v>0</v>
          </cell>
          <cell r="Q121">
            <v>0</v>
          </cell>
          <cell r="R121">
            <v>50</v>
          </cell>
        </row>
        <row r="122">
          <cell r="E122" t="str">
            <v>TRATOR ESTEIRAS - D6D/E PS</v>
          </cell>
          <cell r="F122">
            <v>405682.18333333329</v>
          </cell>
          <cell r="G122" t="str">
            <v>140 HP</v>
          </cell>
          <cell r="J122">
            <v>654</v>
          </cell>
          <cell r="K122">
            <v>22.052714234492651</v>
          </cell>
          <cell r="L122">
            <v>2.072701685191825</v>
          </cell>
          <cell r="M122">
            <v>0.02</v>
          </cell>
          <cell r="N122">
            <v>22.365150591609897</v>
          </cell>
          <cell r="O122">
            <v>0.64038365005378273</v>
          </cell>
          <cell r="P122">
            <v>0</v>
          </cell>
          <cell r="Q122">
            <v>0</v>
          </cell>
          <cell r="R122">
            <v>95</v>
          </cell>
        </row>
        <row r="123">
          <cell r="E123" t="str">
            <v>TRATOR ESTEIRAS - D6N</v>
          </cell>
          <cell r="F123">
            <v>159847.92499999999</v>
          </cell>
          <cell r="G123" t="str">
            <v>170 HP</v>
          </cell>
          <cell r="K123">
            <v>22.052714234492651</v>
          </cell>
          <cell r="L123">
            <v>2.072701685191825</v>
          </cell>
          <cell r="M123">
            <v>0.02</v>
          </cell>
          <cell r="N123">
            <v>22.365150591609897</v>
          </cell>
          <cell r="O123">
            <v>0.64038365005378273</v>
          </cell>
          <cell r="P123">
            <v>0</v>
          </cell>
          <cell r="Q123">
            <v>0</v>
          </cell>
          <cell r="R123">
            <v>100</v>
          </cell>
        </row>
        <row r="124">
          <cell r="E124" t="str">
            <v>TRATOR ESTEIRAS - D6R</v>
          </cell>
          <cell r="F124">
            <v>57572.86</v>
          </cell>
          <cell r="G124" t="str">
            <v>185 HP</v>
          </cell>
          <cell r="K124">
            <v>30.885416666666668</v>
          </cell>
          <cell r="L124">
            <v>1.6460416666666664</v>
          </cell>
          <cell r="M124">
            <v>0.02</v>
          </cell>
          <cell r="N124">
            <v>6.2415665064102566</v>
          </cell>
          <cell r="O124">
            <v>0.15424679487179488</v>
          </cell>
          <cell r="P124">
            <v>0</v>
          </cell>
          <cell r="Q124">
            <v>0</v>
          </cell>
          <cell r="R124">
            <v>120</v>
          </cell>
        </row>
        <row r="125">
          <cell r="E125" t="str">
            <v>TRATOR ESTEIRAS - D6T</v>
          </cell>
          <cell r="F125">
            <v>843000</v>
          </cell>
          <cell r="G125" t="str">
            <v>200 Hp</v>
          </cell>
          <cell r="K125">
            <v>30.885416666666668</v>
          </cell>
          <cell r="L125">
            <v>1.6460416666666664</v>
          </cell>
          <cell r="M125">
            <v>0.02</v>
          </cell>
          <cell r="N125">
            <v>6.2415665064102566</v>
          </cell>
          <cell r="O125">
            <v>0.15424679487179488</v>
          </cell>
          <cell r="P125">
            <v>0</v>
          </cell>
          <cell r="Q125">
            <v>0</v>
          </cell>
          <cell r="R125">
            <v>160</v>
          </cell>
        </row>
        <row r="126">
          <cell r="E126" t="str">
            <v>TRATOR ESTEIRAS - D8L</v>
          </cell>
          <cell r="F126">
            <v>862135.42142857146</v>
          </cell>
          <cell r="G126" t="str">
            <v>335 HP</v>
          </cell>
          <cell r="H126">
            <v>0</v>
          </cell>
          <cell r="K126">
            <v>36.131834211192007</v>
          </cell>
          <cell r="L126">
            <v>6.2005068655704356</v>
          </cell>
          <cell r="M126">
            <v>0.02</v>
          </cell>
          <cell r="N126">
            <v>34.679536927162793</v>
          </cell>
          <cell r="O126">
            <v>22.143261852291349</v>
          </cell>
          <cell r="R126">
            <v>200</v>
          </cell>
        </row>
        <row r="127">
          <cell r="E127" t="str">
            <v>TRATOR ESTEIRAS - D8N</v>
          </cell>
          <cell r="F127">
            <v>786317.81499999994</v>
          </cell>
          <cell r="G127" t="str">
            <v>306 HP</v>
          </cell>
          <cell r="K127">
            <v>32.830908178625187</v>
          </cell>
          <cell r="L127">
            <v>1.5596136477671851</v>
          </cell>
          <cell r="M127">
            <v>0.02</v>
          </cell>
          <cell r="N127">
            <v>1.5380832915203211</v>
          </cell>
          <cell r="O127">
            <v>11.436014687374112</v>
          </cell>
          <cell r="P127">
            <v>0</v>
          </cell>
          <cell r="Q127">
            <v>0</v>
          </cell>
          <cell r="R127">
            <v>300</v>
          </cell>
        </row>
        <row r="128">
          <cell r="E128" t="str">
            <v>USINA DE ASFALTO - BA1500</v>
          </cell>
          <cell r="F128">
            <v>745532.38</v>
          </cell>
          <cell r="H128">
            <v>130</v>
          </cell>
          <cell r="I128" t="str">
            <v>t/h</v>
          </cell>
          <cell r="K128">
            <v>0</v>
          </cell>
          <cell r="L128">
            <v>12.730994152046783</v>
          </cell>
          <cell r="M128">
            <v>0.02</v>
          </cell>
          <cell r="N128">
            <v>83.435730994152038</v>
          </cell>
          <cell r="O128">
            <v>0</v>
          </cell>
          <cell r="P128">
            <v>0</v>
          </cell>
          <cell r="Q128">
            <v>0</v>
          </cell>
          <cell r="R128">
            <v>300</v>
          </cell>
        </row>
        <row r="129">
          <cell r="E129" t="str">
            <v>USINA DE ASFALTO - DM55</v>
          </cell>
          <cell r="F129">
            <v>806659.62</v>
          </cell>
          <cell r="G129" t="str">
            <v>345 CV</v>
          </cell>
          <cell r="H129">
            <v>150</v>
          </cell>
          <cell r="I129" t="str">
            <v>t/h</v>
          </cell>
          <cell r="K129">
            <v>0</v>
          </cell>
          <cell r="L129">
            <v>12.730994152046783</v>
          </cell>
          <cell r="M129">
            <v>0.02</v>
          </cell>
          <cell r="N129">
            <v>83.435730994152038</v>
          </cell>
          <cell r="O129">
            <v>0</v>
          </cell>
          <cell r="P129">
            <v>0</v>
          </cell>
          <cell r="Q129">
            <v>0</v>
          </cell>
        </row>
        <row r="130">
          <cell r="E130" t="str">
            <v>USINA DE ASFALTO - RD80.3</v>
          </cell>
          <cell r="F130">
            <v>490419.91</v>
          </cell>
          <cell r="G130" t="str">
            <v>130 Cv</v>
          </cell>
          <cell r="H130" t="str">
            <v>50/80</v>
          </cell>
          <cell r="I130" t="str">
            <v>t/h</v>
          </cell>
          <cell r="K130">
            <v>0</v>
          </cell>
          <cell r="L130">
            <v>12.730994152046783</v>
          </cell>
          <cell r="M130">
            <v>0.02</v>
          </cell>
          <cell r="N130">
            <v>83.435730994152038</v>
          </cell>
          <cell r="O130">
            <v>0</v>
          </cell>
          <cell r="P130">
            <v>0</v>
          </cell>
          <cell r="Q130">
            <v>0</v>
          </cell>
        </row>
        <row r="131">
          <cell r="E131" t="str">
            <v>USINA DE ASFALTO - UACF17PME</v>
          </cell>
          <cell r="F131">
            <v>1015000</v>
          </cell>
          <cell r="G131" t="str">
            <v>245 CV</v>
          </cell>
          <cell r="H131">
            <v>120</v>
          </cell>
          <cell r="I131" t="str">
            <v>t/h</v>
          </cell>
          <cell r="M131">
            <v>0.02</v>
          </cell>
          <cell r="O131">
            <v>0</v>
          </cell>
          <cell r="P131">
            <v>0</v>
          </cell>
          <cell r="Q131">
            <v>0</v>
          </cell>
        </row>
        <row r="132">
          <cell r="E132" t="str">
            <v>USINA DE SOLOS - USC2</v>
          </cell>
          <cell r="F132">
            <v>152163.82250000001</v>
          </cell>
          <cell r="G132" t="str">
            <v>162 CV</v>
          </cell>
          <cell r="H132" t="str">
            <v>350/600</v>
          </cell>
          <cell r="I132" t="str">
            <v>t/h</v>
          </cell>
          <cell r="K132">
            <v>0</v>
          </cell>
          <cell r="L132">
            <v>0</v>
          </cell>
          <cell r="M132">
            <v>0.02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75</v>
          </cell>
        </row>
        <row r="133">
          <cell r="E133" t="str">
            <v>VIBRO ACABADORA - SA15</v>
          </cell>
          <cell r="F133">
            <v>400000</v>
          </cell>
          <cell r="G133" t="str">
            <v>64 CV</v>
          </cell>
          <cell r="H133">
            <v>4.55</v>
          </cell>
          <cell r="I133" t="str">
            <v>m</v>
          </cell>
          <cell r="K133">
            <v>5.4329775921002659</v>
          </cell>
          <cell r="L133">
            <v>1.8319559437903532</v>
          </cell>
          <cell r="M133">
            <v>0.02</v>
          </cell>
          <cell r="N133">
            <v>47.292837067983285</v>
          </cell>
          <cell r="O133">
            <v>0</v>
          </cell>
          <cell r="P133">
            <v>0</v>
          </cell>
          <cell r="Q133">
            <v>0</v>
          </cell>
          <cell r="R133">
            <v>120</v>
          </cell>
        </row>
        <row r="134">
          <cell r="E134" t="str">
            <v>VIBRO ACABADORA DE ASFALTO - AF5000</v>
          </cell>
          <cell r="F134">
            <v>530000</v>
          </cell>
          <cell r="G134" t="str">
            <v>105 CV</v>
          </cell>
          <cell r="H134">
            <v>5.5</v>
          </cell>
          <cell r="K134">
            <v>5.4329775921002659</v>
          </cell>
          <cell r="L134">
            <v>1.8319559437903532</v>
          </cell>
          <cell r="M134">
            <v>0.02</v>
          </cell>
          <cell r="N134">
            <v>47.292837067983285</v>
          </cell>
          <cell r="O134">
            <v>0</v>
          </cell>
          <cell r="P134">
            <v>0</v>
          </cell>
          <cell r="Q134">
            <v>0</v>
          </cell>
          <cell r="R134">
            <v>150</v>
          </cell>
        </row>
        <row r="135">
          <cell r="E135" t="str">
            <v>VIBRO ACABADORA DE ASFALTO - AP1050/50B</v>
          </cell>
          <cell r="F135">
            <v>632932.31499999994</v>
          </cell>
          <cell r="H135">
            <v>6.2</v>
          </cell>
          <cell r="I135" t="str">
            <v>m³</v>
          </cell>
          <cell r="K135">
            <v>33.211678832116789</v>
          </cell>
          <cell r="L135">
            <v>3.618005839416059</v>
          </cell>
          <cell r="M135">
            <v>0.02</v>
          </cell>
          <cell r="N135">
            <v>85.667109489051086</v>
          </cell>
          <cell r="O135">
            <v>0</v>
          </cell>
          <cell r="P135">
            <v>0</v>
          </cell>
          <cell r="Q135">
            <v>0</v>
          </cell>
          <cell r="R135">
            <v>180</v>
          </cell>
        </row>
        <row r="136">
          <cell r="E136" t="str">
            <v>VIBRO ACABADORA DE ASFALTO - SA12</v>
          </cell>
          <cell r="F136">
            <v>380000</v>
          </cell>
          <cell r="G136" t="str">
            <v>90 CV</v>
          </cell>
          <cell r="K136">
            <v>5.4329775921002659</v>
          </cell>
          <cell r="L136">
            <v>1.8319559437903532</v>
          </cell>
          <cell r="M136">
            <v>0.02</v>
          </cell>
          <cell r="N136">
            <v>47.292837067983285</v>
          </cell>
          <cell r="O136">
            <v>0</v>
          </cell>
          <cell r="P136">
            <v>0</v>
          </cell>
          <cell r="Q136">
            <v>0</v>
          </cell>
          <cell r="R136">
            <v>120</v>
          </cell>
        </row>
        <row r="137">
          <cell r="E137" t="str">
            <v>VIBRO ACABADORA DE ASFALTO - SA41</v>
          </cell>
          <cell r="F137">
            <v>0</v>
          </cell>
          <cell r="G137" t="str">
            <v>57 CV</v>
          </cell>
          <cell r="K137">
            <v>5.4329775921002659</v>
          </cell>
          <cell r="L137">
            <v>1.8319559437903532</v>
          </cell>
          <cell r="M137">
            <v>0.02</v>
          </cell>
          <cell r="N137">
            <v>47.292837067983285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</row>
      </sheetData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Teor"/>
      <sheetName val="CUSTO LARANJEIRAS"/>
      <sheetName val="CRONFISFIN_"/>
      <sheetName val="Dados"/>
      <sheetName val="LVC215O1_1_"/>
      <sheetName val="F. MEDIÇAO"/>
      <sheetName val="MEDIÇÃO RESUMO"/>
      <sheetName val="DESMATAMENTO"/>
      <sheetName val="Índices de Reajustamento"/>
      <sheetName val="P A T O  D"/>
      <sheetName val="INVENTÁRIO"/>
      <sheetName val="FLUXO - EXECUÇÃO PRÓPRIA"/>
      <sheetName val="orçamento_global"/>
      <sheetName val="PROJETO"/>
      <sheetName val="Resumo Financeiro"/>
      <sheetName val="CS#"/>
      <sheetName val="PROD.PRIM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 final (SP-215)(2)"/>
      <sheetName val="LVC215O1 (2)"/>
      <sheetName val="grafico final (SP-215) (1)"/>
      <sheetName val="LVC215O1(1)"/>
      <sheetName val="LVC215O1_1_"/>
      <sheetName val="PLANILHA DE QUANT. E CUSTOS A"/>
      <sheetName val="Geral"/>
      <sheetName val="lista_comp"/>
      <sheetName val="P A T O 98 D"/>
      <sheetName val="Orçamento"/>
      <sheetName val="GUARANTÃS"/>
      <sheetName val="61M-CBMI"/>
      <sheetName val="Cronog Físico Finaceiro "/>
      <sheetName val="INSUMOS"/>
      <sheetName val="Instalação e manutenção de cant"/>
      <sheetName val="Capa Resumo"/>
      <sheetName val="Capa Anexo II"/>
      <sheetName val="Capa Anexo III"/>
      <sheetName val="CUSTO LARANJEIRAS"/>
      <sheetName val="P A T O  D"/>
      <sheetName val="SERVIÇOS"/>
      <sheetName val="Equipamentos"/>
      <sheetName val="PN (Fx 3)"/>
      <sheetName val="RESUMO_AUT1"/>
      <sheetName val="Dados da Obra"/>
    </sheetNames>
    <sheetDataSet>
      <sheetData sheetId="0"/>
      <sheetData sheetId="1"/>
      <sheetData sheetId="2"/>
      <sheetData sheetId="3">
        <row r="1">
          <cell r="B1" t="str">
            <v>ESTACA</v>
          </cell>
        </row>
      </sheetData>
      <sheetData sheetId="4">
        <row r="1">
          <cell r="B1" t="str">
            <v>ESTACA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LVC215O1_1_"/>
      <sheetName val="61M-CBMI"/>
      <sheetName val="PLANILHA DE QUANT. E CUSTOS A"/>
      <sheetName val="Conversão"/>
      <sheetName val="CUSTO ZONA SUL"/>
      <sheetName val="Geral"/>
      <sheetName val="CONS_CORR"/>
      <sheetName val="P A T O"/>
      <sheetName val="DESMATAMENTO"/>
      <sheetName val="Instalação e manutenção de cant"/>
      <sheetName val="C_U"/>
      <sheetName val="Capa Anexo III"/>
      <sheetName val="Capa Anexo IV"/>
      <sheetName val="BD_Equipamentos"/>
      <sheetName val="BD_Tabela de Salários"/>
      <sheetName val="TPU-MARÇO_2002"/>
      <sheetName val="PROJETO"/>
      <sheetName val="PRO-08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INVENTÁRIO"/>
      <sheetName val="61M-CBMI"/>
      <sheetName val="Orçamentária"/>
      <sheetName val="Alteração"/>
      <sheetName val="CUSTO ZONA SUL"/>
      <sheetName val="P A T O 98 D"/>
      <sheetName val="Medição (2"/>
      <sheetName val="Medição Completa"/>
      <sheetName val="Conversão"/>
      <sheetName val="Carimbo de Nota"/>
      <sheetName val="MEDIÇÃO RESUMO"/>
      <sheetName val="C_U"/>
      <sheetName val="QuQuant"/>
      <sheetName val="CRONFISFIN_"/>
      <sheetName val="DESMATAMENTO"/>
      <sheetName val="lista_comp"/>
      <sheetName val="P reaj x P atual"/>
      <sheetName val="P A T O"/>
      <sheetName val="FLUXO - EXECUÇÃO PRÓPRIA"/>
      <sheetName val="PRO-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RESUMO_AUT1"/>
      <sheetName val="INVENTÁRIO"/>
      <sheetName val="PROD.PRIM."/>
      <sheetName val="61M-CBMI"/>
      <sheetName val="Alteração"/>
      <sheetName val="P A T O"/>
      <sheetName val="QUADRO COMPARATIVO"/>
      <sheetName val="Orçamentári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QuQuant"/>
      <sheetName val="P A T O  D"/>
      <sheetName val="CRONFISFIN_"/>
      <sheetName val="Carimbo de Nota"/>
      <sheetName val="Geral"/>
      <sheetName val="CUSTO INDIRETO"/>
      <sheetName val="Índices de Reajustamento"/>
      <sheetName val="FLUXO - EXECUÇÃO PRÓPRIA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_  POÇOS DEFINITIVO _2007  c"/>
      <sheetName val="TAB___POÇOS_DEFINITIVO__2007__c"/>
      <sheetName val="dados"/>
      <sheetName val="compos1"/>
      <sheetName val="Listas"/>
      <sheetName val="Códigos"/>
      <sheetName val="rev int TP ímpar"/>
      <sheetName val="rev int TP par"/>
      <sheetName val="rev int pav 21_"/>
      <sheetName val="rev int pav 22_"/>
      <sheetName val="rev int pav 23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imbo de Nota"/>
      <sheetName val="croqui localiz_"/>
      <sheetName val="Banco"/>
      <sheetName val="Boletim"/>
      <sheetName val="Pluviometrico"/>
      <sheetName val="Transporte-N"/>
      <sheetName val="Extenso"/>
      <sheetName val="MEDICÃO ADMINISTRAÇÃO"/>
      <sheetName val="Extenso 1 (040)"/>
      <sheetName val="Extenso 1 (381)"/>
      <sheetName val="Elementos"/>
      <sheetName val="Cont_Saldo"/>
      <sheetName val="MEDICÃO RESUMO GERAL"/>
      <sheetName val="MEDICÃO RESUMO 1 (040)"/>
      <sheetName val="MEDICÃO RESUMO 1(381)"/>
      <sheetName val="Limpeza de Ponte-16"/>
      <sheetName val="Desobstrução de Bueiro-32"/>
      <sheetName val="Concreto (Manual + Lanç.)-11"/>
      <sheetName val="Dobragem e Armadura-13"/>
      <sheetName val="Forma de Madeira-14"/>
      <sheetName val="Escavação Manual-17"/>
      <sheetName val="Escav. Mecaniz.-18"/>
      <sheetName val="Enronc. Pedra Arrum.-20"/>
      <sheetName val="Tapa Buraco-23"/>
      <sheetName val="Limpesa.Sarjeta-28"/>
      <sheetName val="Assent. Tubo 120-36"/>
      <sheetName val="Caiação-39"/>
      <sheetName val="Recomp. Manual Aterro-44"/>
      <sheetName val="Recomp. Mecan. Aterro1-45"/>
      <sheetName val="Roçada Manual-48"/>
      <sheetName val="Roçada Colonião-49"/>
      <sheetName val="Capina Manual-51"/>
      <sheetName val="Transp. Local Carroc.-53"/>
      <sheetName val="Transp. Local Remendo-54"/>
      <sheetName val="Transp. Local 5m3-52"/>
      <sheetName val="Transp. Comercial Carroc.-55"/>
      <sheetName val="Transp. Comercial 10m3-56"/>
      <sheetName val="Encarregado-68"/>
      <sheetName val="Servente-69"/>
      <sheetName val="Pedreiro-70"/>
      <sheetName val="Caminhão Basc. 10m3-73"/>
      <sheetName val="Retroescavadeira-75"/>
      <sheetName val="Transp. Local 5m3-52 (040)"/>
      <sheetName val="Transp. Local Carroc.-53 (040)"/>
      <sheetName val="Transp. Local Remendo-54 (040)"/>
      <sheetName val="Transp. Com. Carroc.-55 (040)"/>
      <sheetName val="Transp. Comercial 10m3-56 (040)"/>
      <sheetName val="Transp. Local 5m3-52 (381)"/>
      <sheetName val="Transp. Local Carroc.-53 (381)"/>
      <sheetName val="Transp. Local Remendo-54 (381)"/>
      <sheetName val="Transp. Com. Carroc.-55 (381)"/>
      <sheetName val="Transp. Comercial 10m3-56 (381)"/>
      <sheetName val="Argamassa-12"/>
      <sheetName val="Assent. Dreno Profundo-19"/>
      <sheetName val="Limpeza de Bueiro-31"/>
      <sheetName val="Assent. Tubo 100-35"/>
      <sheetName val="Recomp. Cerca Mourão-41"/>
      <sheetName val="Caminhão Basc. 5m3-72"/>
      <sheetName val="Carregadeira Case-76"/>
      <sheetName val="Carpinteiro-71"/>
      <sheetName val="Tapa Buraco com Clipper-25"/>
      <sheetName val="Rem. Mecan. Barreira-47"/>
      <sheetName val="Assent. Tubo 60-33"/>
      <sheetName val="Assent. Tubo 80-34"/>
      <sheetName val="Remendo Profundo Manual-24"/>
      <sheetName val="Roçada Mecanizada-50"/>
      <sheetName val="Correção.Defeito.CBUQ-27"/>
      <sheetName val="Muro Gabião-22"/>
      <sheetName val="Enronc. Pedra Jogada-21"/>
      <sheetName val="Reaterro Apiloado-1"/>
      <sheetName val="Caminhão Tanque-78"/>
      <sheetName val="Moto Serra-77"/>
      <sheetName val="Caminhão Carroceria-74"/>
      <sheetName val="Reg. Mec. Faixa Domínio-2"/>
      <sheetName val="Solo p Base Remendo-3"/>
      <sheetName val="Concreto Ciclópico-9"/>
      <sheetName val="Recomp. Placa Sinaliz.-38"/>
      <sheetName val="Concreto (Conf. + Lanç.)-10"/>
      <sheetName val="Fresagem-8"/>
      <sheetName val="Reaterro e Comp. Bueiro-15"/>
      <sheetName val="Limp. de Vala Dren.-30"/>
      <sheetName val="Rem. Man. Barreira-46"/>
      <sheetName val="Valeta.Corte-29"/>
      <sheetName val="Renov. Pintura-40"/>
      <sheetName val="Recomp. Parc. Cerca Mourão-42"/>
      <sheetName val="Tapa Buraco-N"/>
      <sheetName val="Transporte.Mat.Remendo-N"/>
      <sheetName val="Reaterro e Compac. Bueiro"/>
      <sheetName val="Relatorio BR 040.262.381"/>
      <sheetName val="Avanço"/>
      <sheetName val="Indice"/>
      <sheetName val="Gabião"/>
      <sheetName val="P_Ligação"/>
      <sheetName val="Regularização"/>
      <sheetName val="Solo p rem_"/>
      <sheetName val="Rec.Revest.MBUQ"/>
      <sheetName val="Concreto de Cimento"/>
      <sheetName val="Forma madeira"/>
      <sheetName val="Escavação Mecanizada"/>
      <sheetName val="Enrocam. pedra.jogada"/>
      <sheetName val="Vala.drenagem"/>
      <sheetName val="Limpeza de Placa"/>
      <sheetName val="Caiação."/>
      <sheetName val="Rec Mec de Aterro"/>
      <sheetName val="Gráf1"/>
      <sheetName val="MBetuminosa"/>
      <sheetName val="Rec revest"/>
      <sheetName val="Rem pav"/>
      <sheetName val="Ciclopico"/>
      <sheetName val="Portland"/>
      <sheetName val="Aço"/>
      <sheetName val="Argamassa"/>
      <sheetName val="Reaterro"/>
      <sheetName val="Forma"/>
      <sheetName val="Escav_ Mec"/>
      <sheetName val="Dreno"/>
      <sheetName val="Grama"/>
      <sheetName val="New jersey"/>
      <sheetName val="Enrocamento"/>
      <sheetName val="Remendo manual"/>
      <sheetName val="Remendo mec_"/>
      <sheetName val="Guarda corpo"/>
      <sheetName val="Fresagem"/>
      <sheetName val="V de corte"/>
      <sheetName val="Limpeza Bueiro"/>
      <sheetName val="bueiro 80"/>
      <sheetName val="Placas"/>
      <sheetName val="Defensa"/>
      <sheetName val="Balizador"/>
      <sheetName val="Cerca _MOIRÃ0_"/>
      <sheetName val="Cerca _ARAME_"/>
      <sheetName val="Sinalização"/>
      <sheetName val="Aterro manual"/>
      <sheetName val="Aterro"/>
      <sheetName val="Rem_ manual"/>
      <sheetName val="Barreira Mec_"/>
      <sheetName val="Colonião"/>
      <sheetName val="5m³"/>
      <sheetName val="Mat_ Remendos"/>
      <sheetName val="traço"/>
      <sheetName val="Carroceria"/>
      <sheetName val="Limpeza Descida Dágua"/>
      <sheetName val="Armadura"/>
      <sheetName val="Betuminosos"/>
      <sheetName val="Encarregado"/>
      <sheetName val="Servente"/>
      <sheetName val="Pedreiro"/>
      <sheetName val="Retroescavadeira"/>
      <sheetName val="SERVIÇOS EXTRAS"/>
      <sheetName val="Cubação"/>
      <sheetName val="Cronog Físico Finaceiro "/>
      <sheetName val="SERVIÇOS"/>
      <sheetName val="RESUMO_AUT1"/>
      <sheetName val="PROD_PRIM_"/>
      <sheetName val="IDENTIFICAÇÃO"/>
      <sheetName val="Mat"/>
      <sheetName val="61M-CBMI"/>
      <sheetName val="Medição (2"/>
      <sheetName val="Medição Completa"/>
      <sheetName val="QuQuant"/>
      <sheetName val="PROJETO"/>
      <sheetName val="Compactação  botafora"/>
      <sheetName val="PROD.PRIM."/>
      <sheetName val="Capa Resumo"/>
      <sheetName val="Capa Anexo II"/>
      <sheetName val="Capa Anexo III"/>
      <sheetName val="CROQUI "/>
      <sheetName val="PREVENTIVA"/>
      <sheetName val="CONSERVA ROTINEIRA"/>
      <sheetName val="P A T O  D"/>
      <sheetName val="INVENTÁRIO "/>
      <sheetName val="CUSTO ZONA SUL"/>
      <sheetName val="LVC215O1_1_"/>
      <sheetName val="Plan 2.7"/>
      <sheetName val="Equipamentos"/>
      <sheetName val="PRO_08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Teor"/>
      <sheetName val="MEDIÇÃO 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PRO-08"/>
      <sheetName val="PLANILHA ATUALIZADA"/>
      <sheetName val="Quadro Geral"/>
      <sheetName val="PRO_08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 "/>
      <sheetName val="Obras de Arte Especiais"/>
      <sheetName val="OAE"/>
      <sheetName val="Capa Memória de Calc"/>
      <sheetName val="Características"/>
      <sheetName val="M2"/>
      <sheetName val="Percentu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"/>
      <sheetName val="Crono. Financ. (kmf) (2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 reaj x P atual"/>
      <sheetName val="TPU-MARÇO_2002"/>
      <sheetName val="PROJETO"/>
      <sheetName val="Teor"/>
      <sheetName val="Compactação  botafora"/>
      <sheetName val="RMLE157"/>
      <sheetName val="450"/>
      <sheetName val="Dados da Obra"/>
      <sheetName val="CRONFISFIN_"/>
      <sheetName val="P A T O  D"/>
      <sheetName val="BD_Equipamentos"/>
      <sheetName val="BD_Tabela de Salários"/>
      <sheetName val="P A T O 98 D"/>
      <sheetName val="61M-CBMI"/>
      <sheetName val="Cronog Físico Finaceiro "/>
      <sheetName val="P A T O"/>
      <sheetName val="PRO-08"/>
      <sheetName val="Quantidades e Preços - Lote 01"/>
      <sheetName val="Instalação e manutenção de cant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>
        <row r="47">
          <cell r="E47" t="str">
            <v>ANEXO II - Avaliação Objetiva de Superfície (IGG)</v>
          </cell>
        </row>
      </sheetData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Carimbo de Nota"/>
      <sheetName val="QuQuant"/>
      <sheetName val="P reaj x P atual"/>
      <sheetName val="PQ"/>
      <sheetName val="PROJETO"/>
      <sheetName val="450"/>
      <sheetName val="8ª MP_BR-459"/>
      <sheetName val="orçamento_global"/>
      <sheetName val="Quantidades e Preços - Lote 01"/>
      <sheetName val="P A T O 99 B"/>
      <sheetName val="P A T O  D"/>
      <sheetName val="BD_Equipamentos"/>
      <sheetName val="BD_Tabela de Salários"/>
      <sheetName val="P A T O 98 D"/>
      <sheetName val="Mat"/>
      <sheetName val="DESMATAMENTO"/>
      <sheetName val="lista_comp"/>
      <sheetName val="Índices de Reajustamento"/>
      <sheetName val="PRO-08"/>
      <sheetName val="C_U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QuQuant"/>
      <sheetName val="MEDIÇÃO RESUMO"/>
      <sheetName val="Dados"/>
      <sheetName val="PQ"/>
      <sheetName val="450"/>
      <sheetName val="8ª MP_BR_459"/>
      <sheetName val="P A T O 98 D"/>
      <sheetName val="CUSTO INDIRETO"/>
      <sheetName val="P A T O"/>
      <sheetName val="INVENTÁRIO "/>
      <sheetName val="Teor"/>
      <sheetName val="PROJETO"/>
      <sheetName val="Carimbo de Nota"/>
      <sheetName val="Conversão"/>
      <sheetName val="Geral"/>
      <sheetName val="Plan 2.7"/>
      <sheetName val="PRO-08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CS#"/>
      <sheetName val="INSUMOS"/>
      <sheetName val="ORÇAMENTO"/>
      <sheetName val="Dados"/>
      <sheetName val="orçamento_global"/>
      <sheetName val="PROJETO"/>
      <sheetName val="QuQuant"/>
      <sheetName val="MB"/>
      <sheetName val="PN (Fx 3)"/>
      <sheetName val="INVENTÁRIO "/>
      <sheetName val="LVC215O1_1_"/>
      <sheetName val="CUSTO INDIRETO"/>
      <sheetName val="Medição (2"/>
      <sheetName val="Medição Comple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Orçamentária"/>
      <sheetName val="CUSTO ZONA SUL"/>
      <sheetName val="CUSTO LARANJEIRAS"/>
      <sheetName val="PRO-08"/>
      <sheetName val="PRO_08"/>
      <sheetName val="Plan1"/>
      <sheetName val="MEDIÇÃO RESUMO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CS#"/>
      <sheetName val="Instalação e manutenção de cant"/>
      <sheetName val="Orçamento"/>
      <sheetName val="QuQuant"/>
      <sheetName val="PN (Fx 3)"/>
      <sheetName val="BD Equip."/>
      <sheetName val="PROJETO"/>
      <sheetName val="P A T O 99 B"/>
      <sheetName val="MEDIÇÃO RESUMO"/>
      <sheetName val="GUARANTÃS"/>
      <sheetName val="LVC215O1_1_"/>
      <sheetName val="Cronog Físico Finaceiro "/>
      <sheetName val="450"/>
      <sheetName val="PQ"/>
      <sheetName val="Capa Resumo"/>
      <sheetName val="Capa Anexo II"/>
      <sheetName val="Capa Anexo III"/>
      <sheetName val="PROD.PRIM."/>
      <sheetName val="Alteração"/>
      <sheetName val="Plan1"/>
      <sheetName val="INSUM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</sheetNames>
    <definedNames>
      <definedName name="Extenso" refersTo="#REF!"/>
      <definedName name="módulo1.Extenso" refersTo="#REF!"/>
      <definedName name="QQ_2" refersTo="#REF!"/>
      <definedName name="RESUMO" refersTo="#REF!"/>
      <definedName name="WEWRWR" refersTo="#REF!"/>
      <definedName name="XXX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QuQuant"/>
      <sheetName val="CONS_CORR"/>
      <sheetName val="PROJETO"/>
      <sheetName val="FLUXO - EXECUÇÃO PRÓPRIA"/>
      <sheetName val="INSUMOS"/>
      <sheetName val="P A T O"/>
      <sheetName val="Cronog Físico Finaceiro "/>
      <sheetName val="DESMATAMENTO"/>
      <sheetName val="C"/>
      <sheetName val="ORÇAMENTO"/>
      <sheetName val="CRONFISFIN_"/>
      <sheetName val="PROD_PRIM_"/>
      <sheetName val="IDENTIFICAÇÃO"/>
      <sheetName val="Mat"/>
      <sheetName val="Geral"/>
      <sheetName val="2 - ORÇAMEMTO RPFO"/>
      <sheetName val="39 -quadro qtde DRENAGEM URBANA"/>
      <sheetName val="001 -RPFO SUPRIMR"/>
      <sheetName val="Instalação e manutenção de cant"/>
      <sheetName val="BD_Equipamentos"/>
      <sheetName val="BD_Tabela de Salá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Conversão"/>
      <sheetName val="P A T O  D"/>
      <sheetName val="QUADRO COMPARATIVO"/>
      <sheetName val="FLUXO - EXECUÇÃO PRÓPRIA"/>
      <sheetName val="QuQuant"/>
      <sheetName val="Equipamentos"/>
      <sheetName val="P A T O 98 D"/>
      <sheetName val="Instalação e manutenção de cant"/>
      <sheetName val="Medição (2"/>
      <sheetName val="Medição Completa"/>
      <sheetName val="Cronog Físico Finaceiro "/>
      <sheetName val="Carimbo de Nota"/>
      <sheetName val="Orçamento"/>
      <sheetName val="CRONFISFIN_"/>
      <sheetName val="Dados da Obra"/>
      <sheetName val="Teor"/>
      <sheetName val="PROJETO"/>
      <sheetName val="CUSTO ZONA SUL"/>
      <sheetName val="LAMINA"/>
      <sheetName val="C_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Orçamentária"/>
      <sheetName val="Conversão"/>
      <sheetName val="P A T O  D"/>
      <sheetName val="RESUMO_AUT1"/>
      <sheetName val="QuQuant"/>
      <sheetName val="QUADRO COMPARATIVO"/>
      <sheetName val="FLUXO - EXECUÇÃO PRÓPRIA"/>
      <sheetName val="P A T O"/>
      <sheetName val="C_U"/>
      <sheetName val="DESMATAMEN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ABLA"/>
      <sheetName val="CONS_CORR"/>
      <sheetName val="P A T O 99 B"/>
      <sheetName val="Quantidades e Preços - Lote 01"/>
      <sheetName val="PROJETO"/>
      <sheetName val="Alteração"/>
      <sheetName val="Q-01"/>
      <sheetName val="CUSTO INDIRETO"/>
    </sheetNames>
    <sheetDataSet>
      <sheetData sheetId="0"/>
      <sheetData sheetId="1"/>
      <sheetData sheetId="2" refreshError="1"/>
      <sheetData sheetId="3"/>
      <sheetData sheetId="4" refreshError="1">
        <row r="143">
          <cell r="K143">
            <v>70224.815100000007</v>
          </cell>
        </row>
        <row r="144">
          <cell r="K144">
            <v>378057.35399999999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D.PRIM."/>
      <sheetName val="Orçamentária"/>
      <sheetName val="P A T O  D"/>
      <sheetName val="QuQuant"/>
      <sheetName val="Equipamentos"/>
      <sheetName val="Medição (2"/>
      <sheetName val="Medição Completa"/>
      <sheetName val="PROJETO"/>
      <sheetName val="Compactação  botafora"/>
      <sheetName val="Carimbo de Nota"/>
      <sheetName val="Capa Resumo"/>
      <sheetName val="Capa Anexo II"/>
      <sheetName val="Capa Anexo III"/>
      <sheetName val="PRO-08"/>
      <sheetName val="450"/>
      <sheetName val="P A T O 98 D"/>
      <sheetName val="PQ"/>
      <sheetName val="61M-CBMI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LVC215O1_1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C"/>
      <sheetName val="C.U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RESUMO-4ª MED"/>
      <sheetName val="450"/>
      <sheetName val="P A T O 98 D"/>
      <sheetName val="PROD_PRIM_"/>
      <sheetName val="IDENTIFICAÇÃO"/>
      <sheetName val="PROD.PRIM."/>
      <sheetName val="RMLE157"/>
      <sheetName val="QuQuant"/>
      <sheetName val="P A T O"/>
      <sheetName val="P A T O  D"/>
      <sheetName val="CRONFISFIN_"/>
      <sheetName val="FLUXO - EXECUÇÃO PRÓPRIA"/>
      <sheetName val="QUADRO COMPARATIVO"/>
      <sheetName val="Dados"/>
      <sheetName val="Mat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ronog Físico Finaceiro "/>
      <sheetName val="Orçamentária"/>
      <sheetName val="DG"/>
      <sheetName val="TrafContExpan-NoPrint"/>
      <sheetName val="TodasTraf-2000-NoPrint"/>
      <sheetName val="Instalação e manutenção de cant"/>
      <sheetName val="RELATÓRIO"/>
      <sheetName val="12.Serviços(Cad)"/>
      <sheetName val="Resumo 1"/>
      <sheetName val="IDENTIFIC. EMPRESA - Q1"/>
      <sheetName val="P A T O 99 B"/>
      <sheetName val="SINALIZAÇÃO VERTICAL"/>
      <sheetName val="Cálculo"/>
      <sheetName val="Carimbo de Nota"/>
      <sheetName val="RESUMO_8ª MED"/>
      <sheetName val="Grafico Geral Orçamento"/>
      <sheetName val="PACAJUS"/>
      <sheetName val="BANCO"/>
      <sheetName val="procedimentos"/>
      <sheetName val="MEMÓRIA CONS MAT BET CONS"/>
      <sheetName val="CAL MAT BET CONSERVA "/>
      <sheetName val="COMP_SERVIÇOS"/>
      <sheetName val="MEMÓRIA MAT REC PLACA SINALIZ"/>
      <sheetName val="PATO"/>
      <sheetName val="TRANSPORTE"/>
      <sheetName val="Folha de Medição"/>
      <sheetName val="Solum"/>
      <sheetName val="Plan2"/>
      <sheetName val="Plan3"/>
      <sheetName val="cobertura quadra"/>
      <sheetName val="CRON REF"/>
      <sheetName val="Vínculo (2)"/>
      <sheetName val="Calendário"/>
      <sheetName val="compos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Dados da Obra"/>
      <sheetName val="PROD_PRIM_"/>
      <sheetName val="IDENTIFICAÇÃO"/>
      <sheetName val="LVC215O1_1_"/>
      <sheetName val="8ª MP_BR-459"/>
      <sheetName val="RMLE157"/>
      <sheetName val="P A T O"/>
      <sheetName val="Índices de Reajustamento"/>
      <sheetName val="Planilha"/>
      <sheetName val="C"/>
      <sheetName val="P A T O  D"/>
      <sheetName val="Capa Anexo III"/>
      <sheetName val="Capa Anexo IV"/>
      <sheetName val="Capa Resumo"/>
      <sheetName val="Capa Anexo II"/>
      <sheetName val="CRONFISFIN_"/>
      <sheetName val="#REF"/>
      <sheetName val="QuQuant"/>
      <sheetName val="RESUMO_AUT1"/>
      <sheetName val="P A T O 98 D"/>
      <sheetName val="MEDIÇÃO RESUMO"/>
      <sheetName val="ORÇAMENTO"/>
      <sheetName val="Teor"/>
      <sheetName val="PROJETO"/>
      <sheetName val="2.2.5.CBUQ"/>
      <sheetName val="2.2.5.PMQ"/>
      <sheetName val="Cronog Físico Finaceir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 PIPEWORK 1  "/>
      <sheetName val="Quantidades e Preços - Lote 01"/>
      <sheetName val="Dados da Obra"/>
      <sheetName val="Cronog Físico Finaceiro "/>
      <sheetName val="8ª MP_BR_459"/>
      <sheetName val="8ª MP_BR-459"/>
      <sheetName val="Índices de Reajustamento"/>
      <sheetName val="Plan 2.7"/>
      <sheetName val="alphaville"/>
      <sheetName val="QuQuant"/>
      <sheetName val="P A T O  D"/>
      <sheetName val="orçamento_global"/>
      <sheetName val="CRONFISFIN_"/>
      <sheetName val="P A T O 99 B"/>
      <sheetName val="Equipamentos"/>
      <sheetName val="TABLA"/>
      <sheetName val="P A T O"/>
      <sheetName val="INSUMOS"/>
      <sheetName val="Orçamento"/>
      <sheetName val="PROJETO"/>
      <sheetName val="2.2.5.CBUQ"/>
      <sheetName val="2.2.5.PMQ"/>
      <sheetName val="BD_Equipamentos"/>
      <sheetName val="BD_Tabela de Salários"/>
      <sheetName val="DESMATAMENTO"/>
      <sheetName val="Teor"/>
      <sheetName val="ficha medição"/>
      <sheetName val="procedimentos"/>
      <sheetName val="Preço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Medição (2"/>
      <sheetName val="Medição Completa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DG"/>
      <sheetName val="SINALIZAÇÃO VERTICAL"/>
      <sheetName val="compos1"/>
      <sheetName val="PLANILHA CONTRATUAL"/>
      <sheetName val="linear executivo R1"/>
      <sheetName val="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 GREIDE"/>
      <sheetName val="Loc. e Dist."/>
      <sheetName val="MEMÓRIA ESCAVAÇÃO"/>
      <sheetName val="MEMÓRIA FINALIDADE"/>
      <sheetName val="RESUMO-MS-CB"/>
      <sheetName val="SOLO MOLE"/>
      <sheetName val="DESMATAMENTO"/>
      <sheetName val="RESUMO POR CÓD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alação e Manutenção de cant"/>
      <sheetName val="Manutenção de 24 meses"/>
      <sheetName val="Mobilização e desmobilização Eq"/>
      <sheetName val="Quant-serviços_conservaçào"/>
      <sheetName val="Quant-serviços_manutenção"/>
      <sheetName val="orçamento_pu"/>
      <sheetName val="orçamento_global"/>
      <sheetName val="1680"/>
      <sheetName val="cronograma de a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  <sheetName val="RESUMO-DVOP"/>
      <sheetName val="orçamento_global"/>
      <sheetName val="Quantidades e Preços - Lote 01"/>
      <sheetName val="DESMATAMENTO"/>
      <sheetName val="Plan 2.7"/>
      <sheetName val="CUSTO LARANJEIRAS"/>
      <sheetName val="Mão de Obra"/>
      <sheetName val="TABLA"/>
      <sheetName val="BD_Equipamentos"/>
      <sheetName val="BD_Tabela de Salários"/>
      <sheetName val="CRONFISFIN_"/>
      <sheetName val="DSS_04"/>
      <sheetName val="Fresagem"/>
      <sheetName val="Meio-fio"/>
      <sheetName val="PintLigacao"/>
      <sheetName val="PMQ"/>
      <sheetName val="STC_01"/>
      <sheetName val="P A T O 98 D"/>
      <sheetName val="RMLE157"/>
      <sheetName val="Medição (2"/>
      <sheetName val="Instalação e manutenção de cant"/>
      <sheetName val="CONS_CORR"/>
      <sheetName val="Plan1"/>
      <sheetName val="Carimbo de Nota"/>
      <sheetName val="P A T O  B"/>
      <sheetName val="Conversão"/>
      <sheetName val="P A T O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 (Fx 3)"/>
      <sheetName val="PN (Fx4)"/>
      <sheetName val="PN (Fx 5)"/>
      <sheetName val="QuQuant"/>
      <sheetName val="Carimbo de Nota"/>
      <sheetName val="BD Equip."/>
      <sheetName val="MB"/>
      <sheetName val="CUSTO LARANJEIRAS"/>
      <sheetName val="Teor"/>
      <sheetName val="Equipamentos"/>
      <sheetName val="PRO-08"/>
      <sheetName val="P A T O 98 D"/>
      <sheetName val="INVENTÁRIO "/>
      <sheetName val="P A T O 99 B"/>
      <sheetName val="P A T O"/>
      <sheetName val="FLUXO - EXECUÇÃO PRÓPRIA"/>
      <sheetName val="8ª MP_BR-459"/>
      <sheetName val="RESUMO_AUT1"/>
      <sheetName val="C_U"/>
      <sheetName val="Dados"/>
      <sheetName val="Acum A"/>
      <sheetName val="MED"/>
      <sheetName val="RESUMO"/>
      <sheetName val="CUSTO INDIR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N (Fx 3)"/>
      <sheetName val="MEDIÇÃO RESUM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QuQuant"/>
      <sheetName val="BD Equip."/>
      <sheetName val="lista_comp"/>
      <sheetName val="Calendário"/>
      <sheetName val="FLUXO - EXECUÇÃO PRÓPRIA"/>
      <sheetName val="CUSTO INDIRETO"/>
      <sheetName val="P A T O 99 B"/>
      <sheetName val="P A T O 98 D"/>
      <sheetName val="Índices de Reajustamento"/>
      <sheetName val="#REF"/>
      <sheetName val="8ª MP_BR_459"/>
      <sheetName val="Compactação  botafora"/>
      <sheetName val="QUADRO COMPARATIVO"/>
      <sheetName val="ORÇAMENTO"/>
      <sheetName val="Códigos"/>
      <sheetName val="LVC215O1_1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INSUMOS"/>
      <sheetName val="MEDIÇÃO RESUMO"/>
      <sheetName val="Capa Resumo"/>
      <sheetName val="Capa Anexo II"/>
      <sheetName val="Capa Anexo III"/>
      <sheetName val="QuQuant"/>
      <sheetName val="lista_comp"/>
      <sheetName val="Geral"/>
      <sheetName val="COMPOS1"/>
      <sheetName val="#REF"/>
      <sheetName val="LVC215O1_1_"/>
      <sheetName val="P A T O 98 D"/>
      <sheetName val="P A T O"/>
      <sheetName val="Insumos - Materiais"/>
      <sheetName val="Equipamentos"/>
      <sheetName val="MB"/>
      <sheetName val="450"/>
      <sheetName val="P A T O  D"/>
      <sheetName val="RESUMO_AUT1"/>
      <sheetName val="Orçamento"/>
      <sheetName val="Instalação"/>
      <sheetName val="AUXILIARES"/>
      <sheetName val="ADM"/>
      <sheetName val="Serviços"/>
      <sheetName val="SINALIZ"/>
      <sheetName val="Cronog Físico Finaceiro "/>
      <sheetName val="CRONFISFIN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Estudo"/>
      <sheetName val="points"/>
      <sheetName val="Instalação e manutenção de cant"/>
      <sheetName val="INSUMOS"/>
      <sheetName val="CRONFISFIN_"/>
      <sheetName val="QuQuant"/>
      <sheetName val="Geral"/>
      <sheetName val="CUSTO ZONA SUL"/>
      <sheetName val="CBUQ DRENO LONGIT RECOBRIMENTO"/>
      <sheetName val="DAR-01"/>
      <sheetName val="Equipamentos"/>
      <sheetName val="Cronog Físico Finaceiro "/>
      <sheetName val="P A T O 98 D"/>
      <sheetName val="P A T O"/>
      <sheetName val="Medição (2"/>
      <sheetName val="Medição Completa"/>
      <sheetName val="BD Equip."/>
      <sheetName val="450"/>
      <sheetName val="P A T O  D"/>
      <sheetName val="CONS_CORR"/>
      <sheetName val="Quadro Geral"/>
      <sheetName val="orçamento_global"/>
      <sheetName val="ACOPL ENG"/>
      <sheetName val="henfel"/>
      <sheetName val="Voith"/>
      <sheetName val="C"/>
      <sheetName val="Calendário"/>
      <sheetName val="Dados da Obra"/>
      <sheetName val="LVC215O1_1_"/>
      <sheetName val="Compactação  botafora"/>
      <sheetName val="CUSTO EQUIP"/>
      <sheetName val="Comp P Unit "/>
      <sheetName val="CUSTO MATERIAL"/>
      <sheetName val="CALCULOS AUXILIARES"/>
      <sheetName val="Croqui"/>
      <sheetName val="C MÃO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FLUXO - EXECUÇÃO PRÓPRIA"/>
      <sheetName val="C_U"/>
      <sheetName val="Instalação e manutenção de cant"/>
      <sheetName val="CRONFISFIN_"/>
      <sheetName val="QuQuant"/>
      <sheetName val="CUSTO ZONA SUL"/>
      <sheetName val="Alteração"/>
      <sheetName val="Cronog Físico Finaceiro "/>
      <sheetName val="P A T O"/>
      <sheetName val="Medição (2"/>
      <sheetName val="Medição Completa"/>
      <sheetName val="RESUMO_AUT1"/>
      <sheetName val="Plan 2.7"/>
      <sheetName val="orçamento_global"/>
      <sheetName val="PROJETO"/>
      <sheetName val="P A T O  D"/>
      <sheetName val="RMLE157"/>
      <sheetName val="Serviços"/>
      <sheetName val="MB VIAB."/>
      <sheetName val="DESMATAMENTO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 Resumo"/>
      <sheetName val="Capa Anexo II"/>
      <sheetName val="Capa Anexo III"/>
      <sheetName val="Capa Anexo IV"/>
      <sheetName val="Carimbo de Nota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AVS"/>
      <sheetName val="Ctr."/>
      <sheetName val="OR960887.XLS"/>
      <sheetName val="Dados"/>
      <sheetName val="Equipamentos"/>
      <sheetName val="QuQuant"/>
      <sheetName val="C_U"/>
      <sheetName val="P A T O 99 B"/>
      <sheetName val="Alteração"/>
      <sheetName val="61M-CBMI"/>
      <sheetName val="DSS_04"/>
      <sheetName val="Meio-fio"/>
      <sheetName val="PintLigacao"/>
      <sheetName val="PMQ"/>
      <sheetName val="STC_01"/>
      <sheetName val="P A T O"/>
      <sheetName val="DESMATAMENTO"/>
      <sheetName val="Medição (2"/>
      <sheetName val="Medição Completa"/>
      <sheetName val="RESUMO_AUT1"/>
      <sheetName val="Compactação  botafora"/>
      <sheetName val="CUSTO LARANJEIRAS"/>
      <sheetName val="Índices de Reajustamento"/>
      <sheetName val="PN (Fx 3)"/>
      <sheetName val="BD_Equipamentos"/>
      <sheetName val="BD_Tabela de Salários"/>
      <sheetName val="8ª MP_BR-459"/>
      <sheetName val="QUADRO COMPARATIVO"/>
      <sheetName val="P A T O 98 D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P A T O  D"/>
      <sheetName val="QuQuant"/>
      <sheetName val="PATO BR-163 - CONTORNO OESTE DE"/>
      <sheetName val="P A T O 98 D"/>
      <sheetName val="Planilha"/>
      <sheetName val="PROJETO"/>
      <sheetName val="61M-CBMI"/>
      <sheetName val="Mat"/>
      <sheetName val="Serviços"/>
      <sheetName val="Índices de Reajustamento"/>
      <sheetName val="Carimbo de Nota"/>
      <sheetName val="450"/>
      <sheetName val="Compactação  botafora"/>
      <sheetName val="RESUMO_AUT1"/>
      <sheetName val="Insumos - Materiais"/>
      <sheetName val="PN (Fx 3)"/>
      <sheetName val="Equipamentos"/>
      <sheetName val="Teor"/>
      <sheetName val="8ª MP_BR_459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P A T O  D"/>
      <sheetName val="alphaville"/>
      <sheetName val="Mat"/>
      <sheetName val="Teor"/>
      <sheetName val="PROJETO"/>
      <sheetName val="Serviços"/>
      <sheetName val="Insumos - Materiai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"/>
      <sheetName val="450"/>
      <sheetName val="QuQuant"/>
      <sheetName val="FLUXO - EXECUÇÃO PRÓPRIA"/>
      <sheetName val="CUSTO INDIRETO"/>
      <sheetName val="MB"/>
      <sheetName val="8ª MP_BR-459"/>
      <sheetName val="P A T O 98 D"/>
    </sheetNames>
    <sheetDataSet>
      <sheetData sheetId="0" refreshError="1">
        <row r="2">
          <cell r="B2" t="str">
            <v>TER</v>
          </cell>
          <cell r="C2">
            <v>159.5</v>
          </cell>
          <cell r="D2">
            <v>94.343999999999994</v>
          </cell>
          <cell r="E2">
            <v>100</v>
          </cell>
          <cell r="F2">
            <v>101.621</v>
          </cell>
          <cell r="G2">
            <v>7.7099999999999946E-2</v>
          </cell>
          <cell r="H2">
            <v>111.08</v>
          </cell>
          <cell r="I2">
            <v>0.1774</v>
          </cell>
          <cell r="J2">
            <v>142.91499999999999</v>
          </cell>
          <cell r="K2">
            <v>0.51479999999999992</v>
          </cell>
          <cell r="L2">
            <v>147.691</v>
          </cell>
          <cell r="M2">
            <v>0.56549999999999989</v>
          </cell>
          <cell r="N2">
            <v>165.06</v>
          </cell>
          <cell r="O2">
            <v>0.74960000000000004</v>
          </cell>
        </row>
        <row r="3">
          <cell r="B3" t="str">
            <v>OAE</v>
          </cell>
          <cell r="C3">
            <v>166.048</v>
          </cell>
          <cell r="D3">
            <v>96.338999999999999</v>
          </cell>
          <cell r="E3">
            <v>100</v>
          </cell>
          <cell r="F3">
            <v>101.38800000000001</v>
          </cell>
          <cell r="G3">
            <v>5.2400000000000002E-2</v>
          </cell>
          <cell r="H3">
            <v>110.977</v>
          </cell>
          <cell r="I3">
            <v>0.15189999999999992</v>
          </cell>
          <cell r="J3">
            <v>132.65799999999999</v>
          </cell>
          <cell r="K3">
            <v>0.377</v>
          </cell>
          <cell r="L3">
            <v>142.61500000000001</v>
          </cell>
          <cell r="M3">
            <v>0.48029999999999995</v>
          </cell>
          <cell r="N3">
            <v>161.476</v>
          </cell>
          <cell r="O3">
            <v>0.67609999999999992</v>
          </cell>
        </row>
        <row r="4">
          <cell r="B4" t="str">
            <v>PAV</v>
          </cell>
          <cell r="C4">
            <v>165.29400000000001</v>
          </cell>
          <cell r="D4">
            <v>89.486999999999995</v>
          </cell>
          <cell r="E4">
            <v>100</v>
          </cell>
          <cell r="F4">
            <v>102.048</v>
          </cell>
          <cell r="G4">
            <v>0.14040000000000008</v>
          </cell>
          <cell r="H4">
            <v>108.396</v>
          </cell>
          <cell r="I4">
            <v>0.21130000000000004</v>
          </cell>
          <cell r="J4">
            <v>142.10599999999999</v>
          </cell>
          <cell r="K4">
            <v>0.58800000000000008</v>
          </cell>
          <cell r="L4">
            <v>147.488</v>
          </cell>
          <cell r="M4">
            <v>0.64820000000000011</v>
          </cell>
          <cell r="N4">
            <v>169.72499999999999</v>
          </cell>
          <cell r="O4">
            <v>0.89660000000000006</v>
          </cell>
        </row>
        <row r="5">
          <cell r="B5" t="str">
            <v>COM</v>
          </cell>
          <cell r="C5">
            <v>192.56399999999999</v>
          </cell>
          <cell r="D5">
            <v>94.308999999999997</v>
          </cell>
          <cell r="E5">
            <v>100</v>
          </cell>
          <cell r="F5">
            <v>100.39</v>
          </cell>
          <cell r="G5">
            <v>6.4500000000000002E-2</v>
          </cell>
          <cell r="H5">
            <v>106.45</v>
          </cell>
          <cell r="I5">
            <v>0.12870000000000004</v>
          </cell>
          <cell r="J5">
            <v>114.105</v>
          </cell>
          <cell r="K5">
            <v>0.20989999999999998</v>
          </cell>
          <cell r="L5">
            <v>125.005</v>
          </cell>
          <cell r="M5">
            <v>0.3254999999999999</v>
          </cell>
          <cell r="N5">
            <v>132.32599999999999</v>
          </cell>
          <cell r="O5">
            <v>0.40310000000000001</v>
          </cell>
        </row>
        <row r="6">
          <cell r="B6" t="str">
            <v>DRE</v>
          </cell>
          <cell r="D6">
            <v>94.382000000000005</v>
          </cell>
          <cell r="E6">
            <v>100</v>
          </cell>
          <cell r="F6">
            <v>101.631</v>
          </cell>
          <cell r="G6">
            <v>7.6799999999999979E-2</v>
          </cell>
          <cell r="H6">
            <v>111.16500000000001</v>
          </cell>
          <cell r="I6">
            <v>0.17779999999999996</v>
          </cell>
          <cell r="J6">
            <v>134.238</v>
          </cell>
          <cell r="K6">
            <v>0.4222999999999999</v>
          </cell>
          <cell r="L6">
            <v>144.07900000000001</v>
          </cell>
          <cell r="M6">
            <v>0.52659999999999996</v>
          </cell>
          <cell r="N6">
            <v>162.37700000000001</v>
          </cell>
          <cell r="O6">
            <v>0.72039999999999993</v>
          </cell>
        </row>
        <row r="7">
          <cell r="B7" t="str">
            <v>SIN/P</v>
          </cell>
          <cell r="D7">
            <v>89.570999999999998</v>
          </cell>
          <cell r="E7">
            <v>100</v>
          </cell>
          <cell r="F7">
            <v>100.748</v>
          </cell>
          <cell r="G7">
            <v>0.12480000000000002</v>
          </cell>
          <cell r="H7">
            <v>108.357</v>
          </cell>
          <cell r="I7">
            <v>0.2097</v>
          </cell>
          <cell r="J7">
            <v>126.38800000000001</v>
          </cell>
          <cell r="K7">
            <v>0.41100000000000003</v>
          </cell>
          <cell r="L7">
            <v>135.78399999999999</v>
          </cell>
          <cell r="M7">
            <v>0.51590000000000003</v>
          </cell>
          <cell r="N7">
            <v>156.39599999999999</v>
          </cell>
          <cell r="O7">
            <v>0.74609999999999999</v>
          </cell>
        </row>
        <row r="8">
          <cell r="B8" t="str">
            <v>SIN/T</v>
          </cell>
          <cell r="D8">
            <v>94.468000000000004</v>
          </cell>
          <cell r="E8">
            <v>100</v>
          </cell>
          <cell r="F8">
            <v>100.748</v>
          </cell>
          <cell r="G8">
            <v>6.6500000000000004E-2</v>
          </cell>
          <cell r="H8">
            <v>108.357</v>
          </cell>
          <cell r="I8">
            <v>0.14700000000000002</v>
          </cell>
          <cell r="J8">
            <v>126.38800000000001</v>
          </cell>
          <cell r="K8">
            <v>0.33790000000000009</v>
          </cell>
          <cell r="L8">
            <v>135.78399999999999</v>
          </cell>
          <cell r="M8">
            <v>0.43740000000000001</v>
          </cell>
          <cell r="N8">
            <v>156.39599999999999</v>
          </cell>
          <cell r="O8">
            <v>0.65549999999999997</v>
          </cell>
        </row>
        <row r="9">
          <cell r="B9" t="str">
            <v>PCP</v>
          </cell>
          <cell r="D9">
            <v>89.471999999999994</v>
          </cell>
          <cell r="E9">
            <v>100</v>
          </cell>
          <cell r="F9">
            <v>101.35899999999999</v>
          </cell>
          <cell r="G9">
            <v>0.13290000000000002</v>
          </cell>
          <cell r="H9">
            <v>114.574</v>
          </cell>
          <cell r="I9">
            <v>0.28059999999999996</v>
          </cell>
          <cell r="J9">
            <v>140.58199999999999</v>
          </cell>
          <cell r="K9">
            <v>0.57119999999999993</v>
          </cell>
          <cell r="L9">
            <v>144.245</v>
          </cell>
          <cell r="M9">
            <v>0.61220000000000008</v>
          </cell>
          <cell r="N9">
            <v>153.923</v>
          </cell>
          <cell r="O9">
            <v>0.72029999999999994</v>
          </cell>
        </row>
        <row r="10">
          <cell r="B10" t="str">
            <v>CSV/P</v>
          </cell>
          <cell r="D10">
            <v>89.441000000000003</v>
          </cell>
          <cell r="E10">
            <v>100</v>
          </cell>
          <cell r="F10">
            <v>101.355</v>
          </cell>
          <cell r="G10">
            <v>0.13319999999999999</v>
          </cell>
          <cell r="H10">
            <v>110.203</v>
          </cell>
          <cell r="I10">
            <v>0.23209999999999997</v>
          </cell>
          <cell r="J10">
            <v>128.708</v>
          </cell>
          <cell r="K10">
            <v>0.43900000000000006</v>
          </cell>
          <cell r="L10">
            <v>138.982</v>
          </cell>
          <cell r="M10">
            <v>0.55390000000000006</v>
          </cell>
          <cell r="N10">
            <v>152.42099999999999</v>
          </cell>
          <cell r="O10">
            <v>0.70419999999999994</v>
          </cell>
        </row>
        <row r="11">
          <cell r="B11" t="str">
            <v>CSV/T</v>
          </cell>
          <cell r="D11">
            <v>94.337999999999994</v>
          </cell>
          <cell r="E11">
            <v>100</v>
          </cell>
          <cell r="F11">
            <v>101.355</v>
          </cell>
          <cell r="G11">
            <v>7.4400000000000022E-2</v>
          </cell>
          <cell r="H11">
            <v>110.203</v>
          </cell>
          <cell r="I11">
            <v>0.16819999999999991</v>
          </cell>
          <cell r="J11">
            <v>128.708</v>
          </cell>
          <cell r="K11">
            <v>0.36430000000000007</v>
          </cell>
          <cell r="L11">
            <v>138.982</v>
          </cell>
          <cell r="M11">
            <v>0.47320000000000007</v>
          </cell>
          <cell r="N11">
            <v>152.42099999999999</v>
          </cell>
          <cell r="O11">
            <v>0.61569999999999991</v>
          </cell>
        </row>
        <row r="12">
          <cell r="B12" t="str">
            <v>CSV/O</v>
          </cell>
          <cell r="D12">
            <v>89.489000000000004</v>
          </cell>
          <cell r="E12">
            <v>100</v>
          </cell>
          <cell r="F12">
            <v>101.355</v>
          </cell>
          <cell r="G12">
            <v>0.13260000000000005</v>
          </cell>
          <cell r="H12">
            <v>110.203</v>
          </cell>
          <cell r="I12">
            <v>0.23150000000000004</v>
          </cell>
          <cell r="J12">
            <v>128.708</v>
          </cell>
          <cell r="K12">
            <v>0.43829999999999991</v>
          </cell>
          <cell r="L12">
            <v>138.982</v>
          </cell>
          <cell r="M12">
            <v>0.55309999999999993</v>
          </cell>
          <cell r="N12">
            <v>152.42099999999999</v>
          </cell>
          <cell r="O12">
            <v>0.70320000000000005</v>
          </cell>
        </row>
        <row r="13">
          <cell r="B13" t="str">
            <v>LIG</v>
          </cell>
          <cell r="D13">
            <v>89.245000000000005</v>
          </cell>
          <cell r="E13">
            <v>100</v>
          </cell>
          <cell r="F13">
            <v>101.979</v>
          </cell>
          <cell r="G13">
            <v>0.14270000000000005</v>
          </cell>
          <cell r="H13">
            <v>108.65300000000001</v>
          </cell>
          <cell r="I13">
            <v>0.21750000000000003</v>
          </cell>
          <cell r="J13">
            <v>190.922</v>
          </cell>
          <cell r="K13">
            <v>1.1393</v>
          </cell>
          <cell r="L13">
            <v>173.48599999999999</v>
          </cell>
          <cell r="M13">
            <v>0.94389999999999996</v>
          </cell>
          <cell r="N13">
            <v>187.79900000000001</v>
          </cell>
          <cell r="O13">
            <v>1.1042999999999998</v>
          </cell>
        </row>
        <row r="14">
          <cell r="B14" t="str">
            <v>IGP</v>
          </cell>
          <cell r="C14">
            <v>178.45400000000001</v>
          </cell>
          <cell r="D14">
            <v>178.45400000000001</v>
          </cell>
          <cell r="E14">
            <v>100</v>
          </cell>
          <cell r="F14">
            <v>194.92</v>
          </cell>
          <cell r="G14">
            <v>9.2300000000000049E-2</v>
          </cell>
          <cell r="H14">
            <v>214.535</v>
          </cell>
          <cell r="I14">
            <v>0.20219999999999994</v>
          </cell>
          <cell r="J14">
            <v>276.57799999999997</v>
          </cell>
          <cell r="K14">
            <v>0.54990000000000006</v>
          </cell>
          <cell r="L14">
            <v>293.79300000000001</v>
          </cell>
          <cell r="M14">
            <v>0.6463000000000001</v>
          </cell>
          <cell r="N14">
            <v>327.91500000000002</v>
          </cell>
          <cell r="O14">
            <v>0.83749999999999991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 (2)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PROJETO"/>
      <sheetName val="Índices de Reajustamento"/>
      <sheetName val="P A T O  D"/>
      <sheetName val="P A T O 98 D"/>
      <sheetName val="Teor"/>
      <sheetName val="Equipamentos"/>
      <sheetName val="alphaville"/>
      <sheetName val="CG"/>
      <sheetName val="Capa Resumo"/>
      <sheetName val="Capa Anexo II"/>
      <sheetName val="Capa Anexo III"/>
      <sheetName val="QuQuant"/>
      <sheetName val="450"/>
      <sheetName val="orçamento_global"/>
      <sheetName val="lista_comp"/>
      <sheetName val="FLUXO - EXECUÇÃO PRÓPRIA"/>
      <sheetName val="LVC215O1_1_"/>
      <sheetName val="BD Equip."/>
      <sheetName val="RMLE157"/>
      <sheetName val="MARSHAL"/>
      <sheetName val="CRONFISFIN_"/>
      <sheetName val="P A T O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</row>
        <row r="9">
          <cell r="A9" t="str">
            <v>ÁREA - PENEIRAMENTO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H11">
            <v>1750</v>
          </cell>
          <cell r="I11" t="str">
            <v>TRA</v>
          </cell>
          <cell r="K11">
            <v>50</v>
          </cell>
          <cell r="P11">
            <v>875</v>
          </cell>
          <cell r="R11">
            <v>35000</v>
          </cell>
        </row>
        <row r="12">
          <cell r="A12" t="str">
            <v xml:space="preserve">      Potência 2 x 30 cv </v>
          </cell>
          <cell r="F12">
            <v>0</v>
          </cell>
          <cell r="H12">
            <v>0</v>
          </cell>
          <cell r="P12">
            <v>0</v>
          </cell>
        </row>
        <row r="13">
          <cell r="A13" t="str">
            <v xml:space="preserve">      Peso aproximado 2 x 17,5 t</v>
          </cell>
          <cell r="F13">
            <v>0</v>
          </cell>
          <cell r="H13">
            <v>0</v>
          </cell>
          <cell r="P13">
            <v>0</v>
          </cell>
        </row>
        <row r="14">
          <cell r="F14">
            <v>0</v>
          </cell>
          <cell r="H14">
            <v>0</v>
          </cell>
          <cell r="P14">
            <v>0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H15">
            <v>180</v>
          </cell>
          <cell r="I15" t="str">
            <v>M</v>
          </cell>
          <cell r="K15">
            <v>60</v>
          </cell>
          <cell r="P15">
            <v>180</v>
          </cell>
        </row>
        <row r="16">
          <cell r="A16" t="str">
            <v xml:space="preserve">      Potência 1 cv</v>
          </cell>
          <cell r="F16">
            <v>0</v>
          </cell>
          <cell r="H16">
            <v>0</v>
          </cell>
          <cell r="P16">
            <v>0</v>
          </cell>
        </row>
        <row r="17">
          <cell r="A17" t="str">
            <v xml:space="preserve">      Peso aproximado 3 t</v>
          </cell>
          <cell r="F17">
            <v>0</v>
          </cell>
          <cell r="H17">
            <v>0</v>
          </cell>
          <cell r="P17">
            <v>0</v>
          </cell>
        </row>
        <row r="18">
          <cell r="F18">
            <v>0</v>
          </cell>
          <cell r="H18">
            <v>0</v>
          </cell>
          <cell r="P18">
            <v>0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P19">
            <v>180</v>
          </cell>
        </row>
        <row r="20">
          <cell r="A20" t="str">
            <v xml:space="preserve">      Potência 1 cv</v>
          </cell>
          <cell r="F20">
            <v>0</v>
          </cell>
          <cell r="H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F21">
            <v>0</v>
          </cell>
          <cell r="H21">
            <v>0</v>
          </cell>
          <cell r="P21">
            <v>0</v>
          </cell>
        </row>
        <row r="22">
          <cell r="F22">
            <v>0</v>
          </cell>
          <cell r="H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K23">
            <v>60</v>
          </cell>
          <cell r="P23">
            <v>180</v>
          </cell>
        </row>
        <row r="24">
          <cell r="A24" t="str">
            <v xml:space="preserve">      Potência 1 cv</v>
          </cell>
          <cell r="F24">
            <v>0</v>
          </cell>
          <cell r="H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F25">
            <v>0</v>
          </cell>
          <cell r="H25">
            <v>0</v>
          </cell>
          <cell r="P25">
            <v>0</v>
          </cell>
        </row>
        <row r="26">
          <cell r="F26">
            <v>0</v>
          </cell>
          <cell r="H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K27">
            <v>100</v>
          </cell>
          <cell r="P27">
            <v>33</v>
          </cell>
        </row>
        <row r="28">
          <cell r="A28" t="str">
            <v xml:space="preserve">      Potência 1 cv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F29">
            <v>0</v>
          </cell>
          <cell r="H29">
            <v>0</v>
          </cell>
          <cell r="P29">
            <v>0</v>
          </cell>
        </row>
        <row r="30"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F32">
            <v>0</v>
          </cell>
          <cell r="H32">
            <v>0</v>
          </cell>
          <cell r="P32">
            <v>0</v>
          </cell>
        </row>
        <row r="33"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F51">
            <v>0</v>
          </cell>
          <cell r="H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BD_Equipamentos"/>
      <sheetName val="BD_Tabela de Salários"/>
      <sheetName val="P A T O  D"/>
      <sheetName val="P A T O"/>
      <sheetName val="Calendário"/>
      <sheetName val="Teor"/>
      <sheetName val="Equipamentos"/>
      <sheetName val="PROJETO"/>
      <sheetName val="PQ"/>
      <sheetName val="CG"/>
      <sheetName val="CRONFISFIN_"/>
      <sheetName val="TABLA"/>
      <sheetName val="orçamento_global"/>
      <sheetName val="QuQuant"/>
      <sheetName val="PN (Fx 3)"/>
      <sheetName val="Geral"/>
      <sheetName val="Planilha"/>
      <sheetName val="FLUXO - EXECUÇÃO PRÓPRIA"/>
      <sheetName val="Cronog Físico Finaceiro "/>
      <sheetName val="8ª MP_BR-459"/>
      <sheetName val="Medição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"/>
      <sheetName val="CUSTO LARANJEIRAS"/>
      <sheetName val="P A T O 98 D"/>
      <sheetName val="BD_Equipamentos"/>
      <sheetName val="BD_Tabela de Salários"/>
      <sheetName val="PROJETO"/>
      <sheetName val="Compactação  botafora"/>
      <sheetName val="COMPOS1"/>
      <sheetName val="Calendário"/>
      <sheetName val="PQ"/>
      <sheetName val="Dados"/>
      <sheetName val="Especif"/>
      <sheetName val="CRONFISFIN_"/>
      <sheetName val="PRO-08"/>
      <sheetName val="QuQuant"/>
      <sheetName val="PN (Fx 3)"/>
      <sheetName val="CUSTO ZONA SUL"/>
      <sheetName val="RESUMO_AUT1"/>
      <sheetName val="alphaville"/>
      <sheetName val="Equipamentos"/>
      <sheetName val="Cronog Físico Finaceiro "/>
      <sheetName val="Planilha"/>
      <sheetName val="8ª MP_BR_459"/>
      <sheetName val="P A T O 99 B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"/>
    </sheetNames>
    <definedNames>
      <definedName name="PassaExtenso"/>
    </definedNames>
    <sheetDataSet>
      <sheetData sheetId="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lista_comp"/>
      <sheetName val="RELAT610"/>
      <sheetName val="PQ"/>
      <sheetName val="CARTA PROPOSTA"/>
      <sheetName val="PROJETO BR_146 (2)"/>
      <sheetName val="PLANILHA CONTRATUAL"/>
      <sheetName val="TABELA"/>
      <sheetName val="CUSTO INDIRETO"/>
      <sheetName val="P A T O 98 D"/>
      <sheetName val="450"/>
      <sheetName val="CBUQ DRENO LONGIT RECOBRIMENTO"/>
      <sheetName val="DAR-01"/>
      <sheetName val="COMPOS1"/>
      <sheetName val="Dados"/>
      <sheetName val="ORÇAMENTO"/>
      <sheetName val="61M-CBMI"/>
      <sheetName val="MAT-BET"/>
      <sheetName val="P A T O 99 B"/>
      <sheetName val="FLUXO - EXECUÇÃO PRÓPRIA"/>
      <sheetName val="PN (Fx 3)"/>
      <sheetName val="PROJETO"/>
      <sheetName val="Equipamentos"/>
      <sheetName val="P A T O"/>
      <sheetName val="DESMATAMENTO"/>
      <sheetName val="alphaville"/>
      <sheetName val="QuQuant"/>
      <sheetName val="MB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ões"/>
      <sheetName val="Leia-me"/>
      <sheetName val="Geral"/>
      <sheetName val="Serviços"/>
      <sheetName val="Q08 Resumo"/>
      <sheetName val="Solução"/>
      <sheetName val="Q09 Planilha"/>
      <sheetName val="Q10 CPU"/>
      <sheetName val="CPAux"/>
      <sheetName val="Q11 MO"/>
      <sheetName val="Q12 CronoFF"/>
      <sheetName val="Materiais"/>
      <sheetName val="Equipamentos"/>
      <sheetName val="Transportes"/>
      <sheetName val="lista_comp"/>
      <sheetName val="LVC215O1_1_"/>
      <sheetName val="CUSTO INDIRETO"/>
      <sheetName val="450"/>
      <sheetName val="QuQuant"/>
      <sheetName val="CBUQ DRENO LONGIT RECOBRIMENTO"/>
      <sheetName val="DAR-01"/>
      <sheetName val="ORÇAMENTO"/>
      <sheetName val="P A T O  D"/>
      <sheetName val="P A T O 98 D"/>
      <sheetName val="#REF"/>
      <sheetName val="PROJETO"/>
      <sheetName val="FLUXO - EXECUÇÃO PRÓPRIA"/>
      <sheetName val="F. MEDIÇAO"/>
      <sheetName val="Calendário"/>
      <sheetName val="P A T O"/>
      <sheetName val="Índices de Reajustamento"/>
      <sheetName val="Carimbo de Nota"/>
      <sheetName val="Mão de Obra"/>
      <sheetName val="BD Equip."/>
    </sheetNames>
    <sheetDataSet>
      <sheetData sheetId="0" refreshError="1"/>
      <sheetData sheetId="1" refreshError="1"/>
      <sheetData sheetId="2" refreshError="1">
        <row r="21">
          <cell r="B21">
            <v>1.2667999999999999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astrar"/>
      <sheetName val="Q.Pessoal"/>
      <sheetName val="Folha Pagto."/>
      <sheetName val="Imprimir"/>
      <sheetName val="Cartao"/>
      <sheetName val="Folha (ccm)"/>
      <sheetName val="Folha (ccm) (2)"/>
      <sheetName val="Cartao (União)"/>
      <sheetName val="Cartao (Coceno)"/>
      <sheetName val="Aviso"/>
      <sheetName val="Q.Pessoal (2)"/>
    </sheetNames>
    <sheetDataSet>
      <sheetData sheetId="0">
        <row r="4">
          <cell r="A4">
            <v>1</v>
          </cell>
          <cell r="B4" t="str">
            <v xml:space="preserve">Antonio Pereira </v>
          </cell>
          <cell r="C4" t="str">
            <v>Encarregado</v>
          </cell>
          <cell r="D4">
            <v>1300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J4">
            <v>1</v>
          </cell>
          <cell r="K4">
            <v>179</v>
          </cell>
          <cell r="L4" t="str">
            <v>C.C.M.</v>
          </cell>
          <cell r="M4">
            <v>686</v>
          </cell>
          <cell r="N4">
            <v>50</v>
          </cell>
          <cell r="O4">
            <v>37046</v>
          </cell>
        </row>
        <row r="5">
          <cell r="A5">
            <v>2</v>
          </cell>
          <cell r="B5" t="str">
            <v>Dioney Gonçalves Ferreira</v>
          </cell>
          <cell r="C5" t="str">
            <v>Motorista</v>
          </cell>
          <cell r="D5">
            <v>407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J5">
            <v>1</v>
          </cell>
          <cell r="K5">
            <v>179</v>
          </cell>
          <cell r="L5" t="str">
            <v>C.C.M.</v>
          </cell>
          <cell r="M5">
            <v>681</v>
          </cell>
          <cell r="N5">
            <v>50</v>
          </cell>
          <cell r="O5">
            <v>37043</v>
          </cell>
        </row>
        <row r="6">
          <cell r="A6">
            <v>3</v>
          </cell>
          <cell r="B6" t="str">
            <v>Francisco Carvalho de Barros</v>
          </cell>
          <cell r="C6" t="str">
            <v>Aux. Topografia</v>
          </cell>
          <cell r="D6">
            <v>365</v>
          </cell>
          <cell r="E6">
            <v>0</v>
          </cell>
          <cell r="F6">
            <v>0</v>
          </cell>
          <cell r="G6">
            <v>0</v>
          </cell>
          <cell r="H6">
            <v>1</v>
          </cell>
          <cell r="J6">
            <v>1</v>
          </cell>
          <cell r="K6">
            <v>179</v>
          </cell>
          <cell r="L6" t="str">
            <v>C.C.M.</v>
          </cell>
          <cell r="M6">
            <v>67</v>
          </cell>
          <cell r="N6">
            <v>4</v>
          </cell>
          <cell r="O6">
            <v>36566</v>
          </cell>
        </row>
        <row r="7">
          <cell r="A7">
            <v>4</v>
          </cell>
          <cell r="B7" t="str">
            <v>Helder da Silva Dantas</v>
          </cell>
          <cell r="C7" t="str">
            <v>Aux. Escritório</v>
          </cell>
          <cell r="D7">
            <v>484</v>
          </cell>
          <cell r="E7">
            <v>0</v>
          </cell>
          <cell r="F7">
            <v>0</v>
          </cell>
          <cell r="G7">
            <v>0</v>
          </cell>
          <cell r="H7">
            <v>1</v>
          </cell>
          <cell r="J7">
            <v>1</v>
          </cell>
          <cell r="K7">
            <v>179</v>
          </cell>
          <cell r="L7" t="str">
            <v>C.C.M.</v>
          </cell>
          <cell r="M7">
            <v>717</v>
          </cell>
          <cell r="N7">
            <v>50</v>
          </cell>
          <cell r="O7">
            <v>37062</v>
          </cell>
        </row>
        <row r="8">
          <cell r="A8">
            <v>5</v>
          </cell>
          <cell r="B8" t="str">
            <v>Joaquim Ludovico Neto</v>
          </cell>
          <cell r="C8" t="str">
            <v>Greidista</v>
          </cell>
          <cell r="D8">
            <v>369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1</v>
          </cell>
          <cell r="K8">
            <v>179</v>
          </cell>
          <cell r="L8" t="str">
            <v>C.C.M.</v>
          </cell>
          <cell r="M8">
            <v>714</v>
          </cell>
          <cell r="N8">
            <v>10</v>
          </cell>
          <cell r="O8">
            <v>37060</v>
          </cell>
        </row>
        <row r="9">
          <cell r="A9">
            <v>6</v>
          </cell>
          <cell r="B9" t="str">
            <v>José Maria Gonçalves dos Santos</v>
          </cell>
          <cell r="C9" t="str">
            <v>Topografo</v>
          </cell>
          <cell r="D9">
            <v>1200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J9">
            <v>1</v>
          </cell>
          <cell r="K9">
            <v>179</v>
          </cell>
          <cell r="L9" t="str">
            <v>C.C.M.</v>
          </cell>
          <cell r="M9">
            <v>687</v>
          </cell>
          <cell r="N9">
            <v>50</v>
          </cell>
          <cell r="O9">
            <v>37046</v>
          </cell>
        </row>
        <row r="10">
          <cell r="A10">
            <v>7</v>
          </cell>
          <cell r="B10" t="str">
            <v>Nilton Queiroz</v>
          </cell>
          <cell r="C10" t="str">
            <v>Ger. Administrativo</v>
          </cell>
          <cell r="D10">
            <v>864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J10">
            <v>1</v>
          </cell>
          <cell r="K10">
            <v>179</v>
          </cell>
          <cell r="L10" t="str">
            <v>C.C.M.</v>
          </cell>
          <cell r="M10">
            <v>1351</v>
          </cell>
          <cell r="N10">
            <v>10</v>
          </cell>
          <cell r="O10">
            <v>37088</v>
          </cell>
        </row>
        <row r="11">
          <cell r="A11">
            <v>8</v>
          </cell>
          <cell r="B11" t="str">
            <v>Adenilton Carvalho Souza</v>
          </cell>
          <cell r="C11" t="str">
            <v>Ajudante</v>
          </cell>
          <cell r="D11">
            <v>264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</v>
          </cell>
          <cell r="K11">
            <v>148</v>
          </cell>
          <cell r="L11" t="str">
            <v>UNIÃO</v>
          </cell>
          <cell r="M11">
            <v>21</v>
          </cell>
          <cell r="N11">
            <v>2</v>
          </cell>
          <cell r="O11">
            <v>35234</v>
          </cell>
        </row>
        <row r="12">
          <cell r="A12">
            <v>9</v>
          </cell>
          <cell r="B12" t="str">
            <v>Clesio Dias da Cruz</v>
          </cell>
          <cell r="C12" t="str">
            <v>Ajudante</v>
          </cell>
          <cell r="D12">
            <v>264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2</v>
          </cell>
          <cell r="K12">
            <v>148</v>
          </cell>
          <cell r="L12" t="str">
            <v>UNIÃO</v>
          </cell>
          <cell r="M12">
            <v>715</v>
          </cell>
          <cell r="N12">
            <v>10</v>
          </cell>
          <cell r="O12">
            <v>37060</v>
          </cell>
        </row>
        <row r="13">
          <cell r="A13">
            <v>10</v>
          </cell>
          <cell r="B13" t="str">
            <v>Darcy Ferreira de Souza</v>
          </cell>
          <cell r="C13" t="str">
            <v>Laboratórista Aux.</v>
          </cell>
          <cell r="D13">
            <v>400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</v>
          </cell>
          <cell r="K13">
            <v>148</v>
          </cell>
          <cell r="L13" t="str">
            <v>UNIÃO</v>
          </cell>
          <cell r="M13">
            <v>688</v>
          </cell>
          <cell r="N13">
            <v>50</v>
          </cell>
          <cell r="O13">
            <v>37046</v>
          </cell>
        </row>
        <row r="14">
          <cell r="A14">
            <v>11</v>
          </cell>
          <cell r="B14" t="str">
            <v>Fernando Daniel Lacerda Oliveira</v>
          </cell>
          <cell r="C14" t="str">
            <v>Ajudante</v>
          </cell>
          <cell r="D14">
            <v>264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</v>
          </cell>
          <cell r="K14">
            <v>148</v>
          </cell>
          <cell r="L14" t="str">
            <v>UNIÃO</v>
          </cell>
          <cell r="M14">
            <v>1366</v>
          </cell>
          <cell r="O14">
            <v>37355</v>
          </cell>
        </row>
        <row r="15">
          <cell r="A15">
            <v>12</v>
          </cell>
          <cell r="B15" t="str">
            <v>Iranir Antonio Vilela</v>
          </cell>
          <cell r="C15" t="str">
            <v>Pedreiro</v>
          </cell>
          <cell r="D15">
            <v>369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Sem Registro</v>
          </cell>
          <cell r="J15">
            <v>2</v>
          </cell>
          <cell r="K15">
            <v>148</v>
          </cell>
          <cell r="L15" t="str">
            <v>UNIÃO</v>
          </cell>
          <cell r="O15">
            <v>37347</v>
          </cell>
        </row>
        <row r="16">
          <cell r="A16">
            <v>13</v>
          </cell>
          <cell r="B16" t="str">
            <v>Joaquim Pereira da Rocha</v>
          </cell>
          <cell r="C16" t="str">
            <v>Vígia</v>
          </cell>
          <cell r="D16">
            <v>264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0</v>
          </cell>
          <cell r="J16">
            <v>2</v>
          </cell>
          <cell r="K16">
            <v>148</v>
          </cell>
          <cell r="L16" t="str">
            <v>UNIÃO</v>
          </cell>
          <cell r="M16">
            <v>1350</v>
          </cell>
          <cell r="N16">
            <v>10</v>
          </cell>
          <cell r="O16">
            <v>37074</v>
          </cell>
        </row>
        <row r="17">
          <cell r="A17">
            <v>14</v>
          </cell>
          <cell r="B17" t="str">
            <v>José Alberto dos Reis</v>
          </cell>
          <cell r="C17" t="str">
            <v>Ajudante</v>
          </cell>
          <cell r="D17">
            <v>264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2</v>
          </cell>
          <cell r="K17">
            <v>148</v>
          </cell>
          <cell r="L17" t="str">
            <v>UNIÃO</v>
          </cell>
          <cell r="M17">
            <v>683</v>
          </cell>
          <cell r="N17">
            <v>50</v>
          </cell>
          <cell r="O17">
            <v>37043</v>
          </cell>
        </row>
        <row r="18">
          <cell r="A18">
            <v>15</v>
          </cell>
          <cell r="B18" t="str">
            <v>Manoel Messias Rodrigues</v>
          </cell>
          <cell r="C18" t="str">
            <v>Ajudante</v>
          </cell>
          <cell r="D18">
            <v>264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</v>
          </cell>
          <cell r="K18">
            <v>148</v>
          </cell>
          <cell r="L18" t="str">
            <v>UNIÃO</v>
          </cell>
          <cell r="M18">
            <v>676</v>
          </cell>
          <cell r="N18">
            <v>1</v>
          </cell>
          <cell r="O18">
            <v>37043</v>
          </cell>
        </row>
        <row r="19">
          <cell r="A19">
            <v>16</v>
          </cell>
          <cell r="B19" t="str">
            <v>Max Suel Araújo de Sousa</v>
          </cell>
          <cell r="C19" t="str">
            <v>Aux. Topografia</v>
          </cell>
          <cell r="D19">
            <v>316.8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</v>
          </cell>
          <cell r="K19">
            <v>148</v>
          </cell>
          <cell r="L19" t="str">
            <v>UNIÃO</v>
          </cell>
          <cell r="M19">
            <v>677</v>
          </cell>
          <cell r="N19">
            <v>1</v>
          </cell>
          <cell r="O19">
            <v>37043</v>
          </cell>
        </row>
        <row r="20">
          <cell r="A20">
            <v>17</v>
          </cell>
          <cell r="B20" t="str">
            <v>Raimundo Nonato G. da Silva</v>
          </cell>
          <cell r="C20" t="str">
            <v>Ajudante</v>
          </cell>
          <cell r="D20">
            <v>264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Encostado no INSS.</v>
          </cell>
          <cell r="J20">
            <v>16</v>
          </cell>
          <cell r="K20">
            <v>200</v>
          </cell>
          <cell r="L20" t="str">
            <v>UNIÃO</v>
          </cell>
          <cell r="M20">
            <v>166</v>
          </cell>
          <cell r="N20">
            <v>10</v>
          </cell>
          <cell r="O20">
            <v>36713</v>
          </cell>
        </row>
        <row r="21">
          <cell r="A21">
            <v>18</v>
          </cell>
          <cell r="B21" t="str">
            <v>Valdir Alves Costa</v>
          </cell>
          <cell r="C21" t="str">
            <v>Vigia</v>
          </cell>
          <cell r="D21">
            <v>264</v>
          </cell>
          <cell r="E21">
            <v>0</v>
          </cell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2</v>
          </cell>
          <cell r="K21">
            <v>148</v>
          </cell>
          <cell r="L21" t="str">
            <v>UNIÃO</v>
          </cell>
          <cell r="O21">
            <v>37355</v>
          </cell>
        </row>
        <row r="22">
          <cell r="A22">
            <v>19</v>
          </cell>
          <cell r="B22" t="str">
            <v>Antonio Batista de Sousa</v>
          </cell>
          <cell r="C22" t="str">
            <v>Aj. Greidista</v>
          </cell>
          <cell r="D22">
            <v>264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</v>
          </cell>
          <cell r="K22">
            <v>148</v>
          </cell>
          <cell r="L22" t="str">
            <v>COCENO</v>
          </cell>
          <cell r="M22">
            <v>697</v>
          </cell>
          <cell r="O22">
            <v>37355</v>
          </cell>
        </row>
        <row r="23">
          <cell r="A23">
            <v>20</v>
          </cell>
          <cell r="B23" t="str">
            <v>Carlos Jordão de Souza</v>
          </cell>
          <cell r="C23" t="str">
            <v>Ajudante</v>
          </cell>
          <cell r="D23">
            <v>264</v>
          </cell>
          <cell r="E23">
            <v>0</v>
          </cell>
          <cell r="F23">
            <v>0</v>
          </cell>
          <cell r="G23">
            <v>0</v>
          </cell>
          <cell r="H23">
            <v>2</v>
          </cell>
          <cell r="I23">
            <v>0</v>
          </cell>
          <cell r="J23">
            <v>2</v>
          </cell>
          <cell r="K23">
            <v>148</v>
          </cell>
          <cell r="L23" t="str">
            <v>COCENO</v>
          </cell>
          <cell r="O23">
            <v>37348</v>
          </cell>
        </row>
        <row r="24">
          <cell r="A24">
            <v>21</v>
          </cell>
          <cell r="B24" t="str">
            <v>Euripedes Rosa Mota</v>
          </cell>
          <cell r="C24" t="str">
            <v>Seção Técnica</v>
          </cell>
          <cell r="D24">
            <v>1200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</v>
          </cell>
          <cell r="K24">
            <v>148</v>
          </cell>
          <cell r="L24">
            <v>1</v>
          </cell>
          <cell r="M24">
            <v>10</v>
          </cell>
          <cell r="N24">
            <v>6</v>
          </cell>
          <cell r="O24">
            <v>34213</v>
          </cell>
        </row>
        <row r="25">
          <cell r="A25">
            <v>22</v>
          </cell>
          <cell r="B25" t="str">
            <v>José Alves da Silva</v>
          </cell>
          <cell r="C25" t="str">
            <v>Ajudante</v>
          </cell>
          <cell r="D25">
            <v>264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</v>
          </cell>
          <cell r="K25">
            <v>148</v>
          </cell>
          <cell r="L25" t="str">
            <v>COCENO</v>
          </cell>
          <cell r="O25">
            <v>37348</v>
          </cell>
        </row>
        <row r="26">
          <cell r="A26">
            <v>23</v>
          </cell>
          <cell r="B26" t="str">
            <v>Joselito dos Reis Alves</v>
          </cell>
          <cell r="C26" t="str">
            <v>Ajudante</v>
          </cell>
          <cell r="D26">
            <v>264</v>
          </cell>
          <cell r="E26">
            <v>0</v>
          </cell>
          <cell r="F26">
            <v>0</v>
          </cell>
          <cell r="G26">
            <v>0</v>
          </cell>
          <cell r="H26">
            <v>2</v>
          </cell>
          <cell r="I26">
            <v>0</v>
          </cell>
          <cell r="J26">
            <v>2</v>
          </cell>
          <cell r="K26">
            <v>148</v>
          </cell>
          <cell r="L26" t="str">
            <v>COCENO</v>
          </cell>
          <cell r="M26">
            <v>713</v>
          </cell>
          <cell r="N26">
            <v>10</v>
          </cell>
          <cell r="O26">
            <v>37060</v>
          </cell>
        </row>
        <row r="27">
          <cell r="A27">
            <v>24</v>
          </cell>
          <cell r="B27" t="str">
            <v>Jucelino Francisco dos Reis</v>
          </cell>
          <cell r="C27" t="str">
            <v>Ajudante</v>
          </cell>
          <cell r="D27">
            <v>264</v>
          </cell>
          <cell r="E27">
            <v>0</v>
          </cell>
          <cell r="F27">
            <v>0</v>
          </cell>
          <cell r="G27">
            <v>0</v>
          </cell>
          <cell r="H27">
            <v>2</v>
          </cell>
          <cell r="I27" t="str">
            <v>Sem Registro</v>
          </cell>
          <cell r="J27">
            <v>2</v>
          </cell>
          <cell r="K27">
            <v>148</v>
          </cell>
          <cell r="L27" t="str">
            <v>COCENO</v>
          </cell>
          <cell r="O27">
            <v>37355</v>
          </cell>
        </row>
        <row r="28">
          <cell r="A28">
            <v>25</v>
          </cell>
          <cell r="B28" t="str">
            <v>Railson Miranda Gomes</v>
          </cell>
          <cell r="C28" t="str">
            <v>Aux. Topografia</v>
          </cell>
          <cell r="D28">
            <v>365</v>
          </cell>
          <cell r="E28">
            <v>0</v>
          </cell>
          <cell r="F28">
            <v>0</v>
          </cell>
          <cell r="G28">
            <v>0</v>
          </cell>
          <cell r="H28">
            <v>2</v>
          </cell>
          <cell r="I28">
            <v>0</v>
          </cell>
          <cell r="J28">
            <v>1</v>
          </cell>
          <cell r="K28">
            <v>148</v>
          </cell>
          <cell r="L28" t="str">
            <v>COCENO</v>
          </cell>
          <cell r="M28">
            <v>3</v>
          </cell>
          <cell r="N28">
            <v>1</v>
          </cell>
          <cell r="O28">
            <v>32286</v>
          </cell>
        </row>
        <row r="29">
          <cell r="A29">
            <v>26</v>
          </cell>
          <cell r="B29" t="str">
            <v>Raimundo Nonato Diniz da Silva</v>
          </cell>
          <cell r="C29" t="str">
            <v>Vigia</v>
          </cell>
          <cell r="D29">
            <v>264</v>
          </cell>
          <cell r="E29">
            <v>0</v>
          </cell>
          <cell r="F29">
            <v>0</v>
          </cell>
          <cell r="G29">
            <v>0</v>
          </cell>
          <cell r="H29">
            <v>1</v>
          </cell>
          <cell r="I29">
            <v>0</v>
          </cell>
          <cell r="J29">
            <v>1</v>
          </cell>
          <cell r="K29">
            <v>148</v>
          </cell>
          <cell r="L29" t="str">
            <v>COCENO</v>
          </cell>
          <cell r="M29">
            <v>80</v>
          </cell>
          <cell r="N29">
            <v>2</v>
          </cell>
          <cell r="O29">
            <v>102</v>
          </cell>
        </row>
        <row r="30">
          <cell r="A30">
            <v>27</v>
          </cell>
          <cell r="B30" t="str">
            <v>Valter Estevo Beca</v>
          </cell>
          <cell r="C30" t="str">
            <v>Vigia</v>
          </cell>
          <cell r="D30">
            <v>264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2</v>
          </cell>
          <cell r="K30">
            <v>148</v>
          </cell>
          <cell r="L30" t="str">
            <v>COCENO</v>
          </cell>
          <cell r="M30">
            <v>716</v>
          </cell>
          <cell r="N30">
            <v>10</v>
          </cell>
          <cell r="O30">
            <v>37060</v>
          </cell>
        </row>
        <row r="31">
          <cell r="A31">
            <v>28</v>
          </cell>
          <cell r="B31" t="str">
            <v>Ademar Francisco dos Reis</v>
          </cell>
          <cell r="C31" t="str">
            <v>Ajudante</v>
          </cell>
          <cell r="D31">
            <v>264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</v>
          </cell>
          <cell r="K31">
            <v>148</v>
          </cell>
          <cell r="L31" t="str">
            <v>N.C.C.</v>
          </cell>
          <cell r="M31">
            <v>678</v>
          </cell>
          <cell r="N31">
            <v>2</v>
          </cell>
          <cell r="O31">
            <v>37043</v>
          </cell>
        </row>
        <row r="32">
          <cell r="A32">
            <v>29</v>
          </cell>
          <cell r="B32" t="str">
            <v>Ciris Roberto de Oliveira</v>
          </cell>
          <cell r="C32" t="str">
            <v>Ajudante</v>
          </cell>
          <cell r="D32">
            <v>264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2</v>
          </cell>
          <cell r="K32">
            <v>148</v>
          </cell>
          <cell r="L32" t="str">
            <v>N.C.C.</v>
          </cell>
          <cell r="M32">
            <v>689</v>
          </cell>
          <cell r="N32">
            <v>50</v>
          </cell>
          <cell r="O32">
            <v>37046</v>
          </cell>
        </row>
        <row r="33">
          <cell r="A33">
            <v>30</v>
          </cell>
          <cell r="B33" t="str">
            <v>Evaldo de Sousa Colácio</v>
          </cell>
          <cell r="C33" t="str">
            <v>Nivelador</v>
          </cell>
          <cell r="D33">
            <v>451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</v>
          </cell>
          <cell r="K33">
            <v>148</v>
          </cell>
          <cell r="L33" t="str">
            <v>N.C.C.</v>
          </cell>
          <cell r="M33">
            <v>690</v>
          </cell>
          <cell r="N33">
            <v>50</v>
          </cell>
          <cell r="O33">
            <v>37046</v>
          </cell>
        </row>
        <row r="34">
          <cell r="A34">
            <v>31</v>
          </cell>
          <cell r="B34" t="str">
            <v>José Rito Borges</v>
          </cell>
          <cell r="C34" t="str">
            <v>Vigia</v>
          </cell>
          <cell r="D34">
            <v>264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2</v>
          </cell>
          <cell r="K34">
            <v>148</v>
          </cell>
          <cell r="L34" t="str">
            <v>N.C.C.</v>
          </cell>
          <cell r="M34">
            <v>691</v>
          </cell>
          <cell r="N34">
            <v>50</v>
          </cell>
          <cell r="O34">
            <v>37046</v>
          </cell>
        </row>
        <row r="35">
          <cell r="A35">
            <v>32</v>
          </cell>
          <cell r="B35" t="str">
            <v>Luiz da Cruz Alves</v>
          </cell>
          <cell r="C35" t="str">
            <v>Vigia</v>
          </cell>
          <cell r="D35">
            <v>264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</v>
          </cell>
          <cell r="K35">
            <v>161</v>
          </cell>
          <cell r="L35" t="str">
            <v>N.C.C.</v>
          </cell>
          <cell r="M35">
            <v>1355</v>
          </cell>
          <cell r="N35">
            <v>10</v>
          </cell>
          <cell r="O35">
            <v>37095</v>
          </cell>
        </row>
        <row r="36">
          <cell r="A36">
            <v>33</v>
          </cell>
          <cell r="B36" t="str">
            <v>Luzimar Dias da Silva</v>
          </cell>
          <cell r="C36" t="str">
            <v xml:space="preserve">Apontador </v>
          </cell>
          <cell r="D36">
            <v>369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</v>
          </cell>
          <cell r="K36">
            <v>161</v>
          </cell>
          <cell r="L36" t="str">
            <v>N.C.C.</v>
          </cell>
          <cell r="M36">
            <v>1354</v>
          </cell>
          <cell r="N36">
            <v>10</v>
          </cell>
          <cell r="O36">
            <v>37089</v>
          </cell>
        </row>
        <row r="37">
          <cell r="A37">
            <v>34</v>
          </cell>
          <cell r="B37" t="str">
            <v>Paulo Tavares dos Santos</v>
          </cell>
          <cell r="C37" t="str">
            <v>Ajudante</v>
          </cell>
          <cell r="D37">
            <v>264</v>
          </cell>
          <cell r="E37">
            <v>0</v>
          </cell>
          <cell r="F37">
            <v>0</v>
          </cell>
          <cell r="G37">
            <v>0</v>
          </cell>
          <cell r="H37">
            <v>3</v>
          </cell>
          <cell r="I37" t="str">
            <v>Encostado no INSS.</v>
          </cell>
          <cell r="J37">
            <v>16</v>
          </cell>
          <cell r="K37">
            <v>200</v>
          </cell>
          <cell r="L37" t="str">
            <v>N.C.C.</v>
          </cell>
          <cell r="M37">
            <v>173</v>
          </cell>
          <cell r="N37">
            <v>10</v>
          </cell>
          <cell r="O37">
            <v>36739</v>
          </cell>
        </row>
        <row r="38">
          <cell r="A38">
            <v>35</v>
          </cell>
          <cell r="B38" t="str">
            <v>Raimundo Eduardo Ferreira Sousa</v>
          </cell>
          <cell r="C38" t="str">
            <v>Ajudante</v>
          </cell>
          <cell r="D38">
            <v>264</v>
          </cell>
          <cell r="E38">
            <v>0</v>
          </cell>
          <cell r="F38">
            <v>0</v>
          </cell>
          <cell r="G38">
            <v>0</v>
          </cell>
          <cell r="H38">
            <v>2</v>
          </cell>
          <cell r="I38">
            <v>0</v>
          </cell>
          <cell r="J38">
            <v>2</v>
          </cell>
          <cell r="K38">
            <v>148</v>
          </cell>
          <cell r="L38" t="str">
            <v>N.C.C.</v>
          </cell>
          <cell r="M38">
            <v>5</v>
          </cell>
          <cell r="N38">
            <v>1</v>
          </cell>
          <cell r="O38">
            <v>32874</v>
          </cell>
        </row>
        <row r="39">
          <cell r="A39">
            <v>36</v>
          </cell>
          <cell r="B39" t="str">
            <v>Reinaldo Alves Brito</v>
          </cell>
          <cell r="C39" t="str">
            <v>Ajudante</v>
          </cell>
          <cell r="D39">
            <v>264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</v>
          </cell>
          <cell r="K39">
            <v>148</v>
          </cell>
          <cell r="L39" t="str">
            <v>N.C.C.</v>
          </cell>
          <cell r="M39">
            <v>449</v>
          </cell>
          <cell r="N39">
            <v>1</v>
          </cell>
          <cell r="O39">
            <v>36654</v>
          </cell>
        </row>
        <row r="40">
          <cell r="A40">
            <v>37</v>
          </cell>
          <cell r="B40" t="str">
            <v>Sandro Sousa Bastos</v>
          </cell>
          <cell r="C40" t="str">
            <v xml:space="preserve">Apontador </v>
          </cell>
          <cell r="D40">
            <v>369</v>
          </cell>
          <cell r="E40">
            <v>0</v>
          </cell>
          <cell r="F40">
            <v>0</v>
          </cell>
          <cell r="G40" t="str">
            <v>Desc. Vale Transporte</v>
          </cell>
          <cell r="H40">
            <v>1</v>
          </cell>
          <cell r="I40">
            <v>0</v>
          </cell>
          <cell r="J40">
            <v>2</v>
          </cell>
          <cell r="K40">
            <v>148</v>
          </cell>
          <cell r="L40" t="str">
            <v>N.C.C.</v>
          </cell>
          <cell r="M40">
            <v>684</v>
          </cell>
          <cell r="N40">
            <v>50</v>
          </cell>
          <cell r="O40">
            <v>37043</v>
          </cell>
        </row>
        <row r="41">
          <cell r="A41">
            <v>38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39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40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H43">
            <v>0</v>
          </cell>
          <cell r="J43">
            <v>0</v>
          </cell>
          <cell r="K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O44">
            <v>0</v>
          </cell>
        </row>
        <row r="45">
          <cell r="A45">
            <v>42</v>
          </cell>
          <cell r="B45">
            <v>0</v>
          </cell>
          <cell r="C45">
            <v>0</v>
          </cell>
          <cell r="D45">
            <v>0</v>
          </cell>
          <cell r="I45">
            <v>0</v>
          </cell>
          <cell r="J45">
            <v>0</v>
          </cell>
          <cell r="K45">
            <v>0</v>
          </cell>
          <cell r="O45">
            <v>0</v>
          </cell>
        </row>
        <row r="46">
          <cell r="A46">
            <v>43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44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H47">
            <v>0</v>
          </cell>
          <cell r="J47">
            <v>0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45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N48">
            <v>0</v>
          </cell>
          <cell r="O48">
            <v>0</v>
          </cell>
        </row>
        <row r="49">
          <cell r="A49">
            <v>46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47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48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H51">
            <v>0</v>
          </cell>
          <cell r="J51">
            <v>0</v>
          </cell>
          <cell r="K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49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50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H53">
            <v>0</v>
          </cell>
          <cell r="J53">
            <v>0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51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52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>
            <v>53</v>
          </cell>
          <cell r="B56">
            <v>0</v>
          </cell>
          <cell r="C56">
            <v>0</v>
          </cell>
          <cell r="D56">
            <v>0</v>
          </cell>
          <cell r="H56">
            <v>0</v>
          </cell>
          <cell r="J56">
            <v>0</v>
          </cell>
          <cell r="K56">
            <v>0</v>
          </cell>
          <cell r="O56">
            <v>0</v>
          </cell>
        </row>
        <row r="57">
          <cell r="A57">
            <v>54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55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</row>
        <row r="59">
          <cell r="A59">
            <v>56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H59">
            <v>0</v>
          </cell>
          <cell r="J59">
            <v>0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57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H60">
            <v>0</v>
          </cell>
          <cell r="J60">
            <v>0</v>
          </cell>
          <cell r="K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58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O61">
            <v>0</v>
          </cell>
        </row>
        <row r="62">
          <cell r="A62">
            <v>59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O62">
            <v>0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</row>
        <row r="154">
          <cell r="A154">
            <v>151</v>
          </cell>
        </row>
        <row r="155">
          <cell r="A155">
            <v>152</v>
          </cell>
        </row>
        <row r="156">
          <cell r="A156">
            <v>153</v>
          </cell>
        </row>
        <row r="157">
          <cell r="A157">
            <v>154</v>
          </cell>
        </row>
        <row r="158">
          <cell r="A158">
            <v>155</v>
          </cell>
        </row>
        <row r="159">
          <cell r="A159">
            <v>156</v>
          </cell>
        </row>
        <row r="160">
          <cell r="A160">
            <v>157</v>
          </cell>
        </row>
        <row r="161">
          <cell r="A161">
            <v>165</v>
          </cell>
        </row>
        <row r="162">
          <cell r="A162">
            <v>166</v>
          </cell>
        </row>
        <row r="163">
          <cell r="A163">
            <v>167</v>
          </cell>
        </row>
        <row r="164">
          <cell r="A164">
            <v>168</v>
          </cell>
        </row>
        <row r="165">
          <cell r="A165">
            <v>169</v>
          </cell>
        </row>
        <row r="166">
          <cell r="A166">
            <v>170</v>
          </cell>
        </row>
        <row r="167">
          <cell r="A167">
            <v>171</v>
          </cell>
        </row>
        <row r="168">
          <cell r="A168">
            <v>172</v>
          </cell>
        </row>
        <row r="169">
          <cell r="A169">
            <v>173</v>
          </cell>
        </row>
        <row r="170">
          <cell r="A170">
            <v>174</v>
          </cell>
        </row>
        <row r="171">
          <cell r="A171">
            <v>175</v>
          </cell>
        </row>
        <row r="172">
          <cell r="A172">
            <v>176</v>
          </cell>
        </row>
        <row r="173">
          <cell r="A173">
            <v>177</v>
          </cell>
        </row>
        <row r="174">
          <cell r="A174">
            <v>178</v>
          </cell>
        </row>
        <row r="175">
          <cell r="A175">
            <v>179</v>
          </cell>
        </row>
        <row r="176">
          <cell r="A176">
            <v>180</v>
          </cell>
        </row>
        <row r="177">
          <cell r="A177">
            <v>181</v>
          </cell>
        </row>
        <row r="178">
          <cell r="A178">
            <v>182</v>
          </cell>
        </row>
        <row r="179">
          <cell r="A179">
            <v>183</v>
          </cell>
        </row>
        <row r="180">
          <cell r="A180">
            <v>184</v>
          </cell>
        </row>
        <row r="181">
          <cell r="A181">
            <v>185</v>
          </cell>
        </row>
        <row r="182">
          <cell r="A182">
            <v>186</v>
          </cell>
        </row>
        <row r="183">
          <cell r="A183">
            <v>187</v>
          </cell>
        </row>
        <row r="184">
          <cell r="A184">
            <v>188</v>
          </cell>
        </row>
        <row r="185">
          <cell r="A185">
            <v>189</v>
          </cell>
        </row>
        <row r="186">
          <cell r="A186">
            <v>190</v>
          </cell>
        </row>
        <row r="187">
          <cell r="A187">
            <v>191</v>
          </cell>
        </row>
        <row r="188">
          <cell r="A188">
            <v>192</v>
          </cell>
        </row>
        <row r="189">
          <cell r="A189">
            <v>193</v>
          </cell>
        </row>
        <row r="190">
          <cell r="A190">
            <v>194</v>
          </cell>
        </row>
        <row r="191">
          <cell r="A191">
            <v>195</v>
          </cell>
        </row>
        <row r="192">
          <cell r="A192">
            <v>196</v>
          </cell>
        </row>
        <row r="193">
          <cell r="A193">
            <v>197</v>
          </cell>
        </row>
        <row r="194">
          <cell r="A194">
            <v>198</v>
          </cell>
        </row>
        <row r="195">
          <cell r="A195">
            <v>199</v>
          </cell>
        </row>
        <row r="196">
          <cell r="A196">
            <v>200</v>
          </cell>
        </row>
        <row r="197">
          <cell r="A197">
            <v>201</v>
          </cell>
        </row>
        <row r="198">
          <cell r="A198">
            <v>202</v>
          </cell>
        </row>
        <row r="199">
          <cell r="A199">
            <v>203</v>
          </cell>
        </row>
        <row r="200">
          <cell r="A200">
            <v>204</v>
          </cell>
        </row>
        <row r="201">
          <cell r="A201">
            <v>205</v>
          </cell>
        </row>
        <row r="202">
          <cell r="A202">
            <v>206</v>
          </cell>
        </row>
        <row r="203">
          <cell r="A203">
            <v>207</v>
          </cell>
        </row>
        <row r="204">
          <cell r="A204">
            <v>208</v>
          </cell>
        </row>
        <row r="205">
          <cell r="A205">
            <v>209</v>
          </cell>
        </row>
        <row r="206">
          <cell r="A206">
            <v>210</v>
          </cell>
        </row>
        <row r="207">
          <cell r="A207">
            <v>211</v>
          </cell>
        </row>
        <row r="208">
          <cell r="A208">
            <v>212</v>
          </cell>
        </row>
        <row r="209">
          <cell r="A209">
            <v>213</v>
          </cell>
        </row>
        <row r="210">
          <cell r="A210">
            <v>214</v>
          </cell>
        </row>
        <row r="211">
          <cell r="A211">
            <v>215</v>
          </cell>
        </row>
        <row r="212">
          <cell r="A212">
            <v>216</v>
          </cell>
        </row>
        <row r="213">
          <cell r="A213">
            <v>217</v>
          </cell>
        </row>
        <row r="214">
          <cell r="A214">
            <v>218</v>
          </cell>
        </row>
        <row r="215">
          <cell r="A215">
            <v>219</v>
          </cell>
        </row>
        <row r="216">
          <cell r="A216">
            <v>220</v>
          </cell>
        </row>
        <row r="217">
          <cell r="A217">
            <v>221</v>
          </cell>
        </row>
        <row r="218">
          <cell r="A218">
            <v>222</v>
          </cell>
        </row>
        <row r="219">
          <cell r="A219">
            <v>223</v>
          </cell>
        </row>
        <row r="220">
          <cell r="A220">
            <v>224</v>
          </cell>
        </row>
        <row r="221">
          <cell r="A221">
            <v>225</v>
          </cell>
        </row>
        <row r="222">
          <cell r="A222">
            <v>226</v>
          </cell>
        </row>
        <row r="223">
          <cell r="A223">
            <v>227</v>
          </cell>
        </row>
        <row r="224">
          <cell r="A224">
            <v>228</v>
          </cell>
        </row>
        <row r="225">
          <cell r="A225">
            <v>229</v>
          </cell>
        </row>
        <row r="226">
          <cell r="A226">
            <v>230</v>
          </cell>
        </row>
        <row r="227">
          <cell r="A227">
            <v>231</v>
          </cell>
        </row>
        <row r="228">
          <cell r="A228">
            <v>232</v>
          </cell>
        </row>
        <row r="229">
          <cell r="A229">
            <v>233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Geral"/>
      <sheetName val="Cronog Físico Finaceiro "/>
      <sheetName val="LVC215O1_1_"/>
      <sheetName val="orçamento_global"/>
      <sheetName val="PROJETO"/>
      <sheetName val="QuQuant"/>
      <sheetName val="DSS_04"/>
      <sheetName val="Fresagem"/>
      <sheetName val="Meio-fio"/>
      <sheetName val="PintLigacao"/>
      <sheetName val="PMQ"/>
      <sheetName val="STC_01"/>
      <sheetName val="Orçamento"/>
      <sheetName val="CONS_CORR"/>
      <sheetName val="Serviços"/>
      <sheetName val="RESUMO_AUT1"/>
      <sheetName val="lista_comp"/>
      <sheetName val="Equipamentos"/>
      <sheetName val="FLUXO - EXECUÇÃO PRÓPRIA"/>
      <sheetName val="PQ"/>
      <sheetName val="COMPOS1"/>
      <sheetName val="Índices de Reajustamento"/>
      <sheetName val="Plan 2.7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 A T O 98 D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ação"/>
      <sheetName val="T.Coml."/>
      <sheetName val="T.Esp."/>
      <sheetName val="T.Água"/>
      <sheetName val="Consumo e Trans.Ligante"/>
      <sheetName val="Resumo DMT"/>
      <sheetName val="COMP PREÇOS 6ªalt"/>
      <sheetName val="Localização de ocorrências"/>
      <sheetName val="Cad.Fornecedores"/>
      <sheetName val="PRO-08"/>
      <sheetName val="EQUIPAMENTOS DELTA"/>
      <sheetName val="resumo financeiro"/>
      <sheetName val="CUSTO ZONA SUL"/>
      <sheetName val="Cronog Físico Finaceiro "/>
      <sheetName val="QuQuant"/>
      <sheetName val="PN (Fx 3)"/>
      <sheetName val="Serviços"/>
      <sheetName val="DSS_04"/>
      <sheetName val="Fresagem"/>
      <sheetName val="Meio-fio"/>
      <sheetName val="PintLigacao"/>
      <sheetName val="PMQ"/>
      <sheetName val="STC_01"/>
      <sheetName val="CONS_CORR"/>
      <sheetName val="TCC4"/>
      <sheetName val="TCB5"/>
      <sheetName val="Geral"/>
      <sheetName val="P A T O 98 D"/>
      <sheetName val="FLUXO - EXECUÇÃO PRÓPRIA"/>
      <sheetName val="Equipamentos"/>
      <sheetName val="Dados"/>
      <sheetName val="CBUQ DRENO LONGIT RECOBRIMENTO"/>
      <sheetName val="DAR-01"/>
      <sheetName val="Plan 2.7"/>
      <sheetName val="CUSTO LARANJEIRAS"/>
      <sheetName val="Capa Resumo"/>
      <sheetName val="Capa Anexo II"/>
      <sheetName val="Capa Anexo III"/>
      <sheetName val="Calendário"/>
      <sheetName val="Planilha"/>
      <sheetName val="PROJETO"/>
      <sheetName val="P A T O"/>
      <sheetName val="orçamento_global"/>
    </sheetNames>
    <sheetDataSet>
      <sheetData sheetId="0">
        <row r="19">
          <cell r="F19">
            <v>99.998000000000005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Alteração"/>
      <sheetName val="DESMATAMENTO"/>
      <sheetName val="Cronog Físico Finaceiro "/>
      <sheetName val="PN (Fx 3)"/>
      <sheetName val="PROJETO"/>
      <sheetName val="Serviços"/>
      <sheetName val="orçamento"/>
      <sheetName val="CUSTO ZONA SUL"/>
      <sheetName val="P A T O"/>
      <sheetName val="Equipamentos"/>
      <sheetName val="PONTES LICITADAS"/>
      <sheetName val="QuQuant"/>
      <sheetName val="CUSTO LARANJEIRAS"/>
      <sheetName val="CRONFISFIN_"/>
      <sheetName val="COMPOS1"/>
      <sheetName val="alphaville"/>
      <sheetName val="Planilha"/>
      <sheetName val="Teor"/>
      <sheetName val="Medição (2"/>
      <sheetName val="Medição Completa"/>
    </sheetNames>
    <sheetDataSet>
      <sheetData sheetId="0" refreshError="1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Massa_Mist__Pavimentação"/>
      <sheetName val="Custo_do_CM-30"/>
      <sheetName val="Cadastro_Traços_e_Obras"/>
      <sheetName val="PROD_PRIM_"/>
      <sheetName val="Cadastro"/>
      <sheetName val="Massa_Mist__Pavimentação1"/>
      <sheetName val="Custo_do_CM-301"/>
      <sheetName val="Cadastro_Traços_e_Obras1"/>
      <sheetName val="PROD_PRIM_1"/>
      <sheetName val="61M-CBMI"/>
      <sheetName val="Carimbo de Nota"/>
      <sheetName val="DESMATAMENTO"/>
      <sheetName val="PROJETO"/>
      <sheetName val="FLUXO - EXECUÇÃO PRÓPRIA"/>
      <sheetName val="CG"/>
      <sheetName val="Serviços"/>
      <sheetName val="QUADRO COMPARATIVO"/>
      <sheetName val="RESUMO_AUT1"/>
      <sheetName val="QuQuant"/>
      <sheetName val="8ª MP_BR_459"/>
      <sheetName val="Medição (2"/>
      <sheetName val="Medição Completa"/>
      <sheetName val="Índices de Reajustamento"/>
      <sheetName val="P A T O"/>
      <sheetName val="PONTES LICITADAS"/>
      <sheetName val="DSS_04"/>
      <sheetName val="Fresagem"/>
      <sheetName val="Meio-fio"/>
      <sheetName val="PintLigacao"/>
      <sheetName val="PMQ"/>
      <sheetName val="STC_01"/>
      <sheetName val="lista_comp"/>
      <sheetName val="CRONFISFIN_"/>
      <sheetName val="CBUQ DRENO LONGIT RECOBRIMENTO"/>
      <sheetName val="DAR-01"/>
      <sheetName val="Teor"/>
      <sheetName val="Equipamentos"/>
      <sheetName val="alphaville"/>
      <sheetName val="PN (Fx 3)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</v>
          </cell>
        </row>
        <row r="5">
          <cell r="B5" t="str">
            <v>45000</v>
          </cell>
          <cell r="C5" t="str">
            <v>EXTRACAO E CARGA DE AREIA</v>
          </cell>
          <cell r="D5" t="str">
            <v>M3</v>
          </cell>
          <cell r="E5">
            <v>5.31</v>
          </cell>
        </row>
        <row r="6">
          <cell r="B6" t="str">
            <v>45001</v>
          </cell>
          <cell r="C6" t="str">
            <v>EXTRACAO, CARGA E TRANSPORTE DE AREIA</v>
          </cell>
          <cell r="D6" t="str">
            <v>M3</v>
          </cell>
          <cell r="E6">
            <v>6.99</v>
          </cell>
        </row>
        <row r="7">
          <cell r="B7" t="str">
            <v>45002</v>
          </cell>
          <cell r="C7" t="str">
            <v>ESCAV. CARGA E TRANSP. DE AREIA EXTR. ABAIXO LENCOL FRE</v>
          </cell>
          <cell r="D7" t="str">
            <v>M3</v>
          </cell>
          <cell r="E7">
            <v>5.23</v>
          </cell>
        </row>
        <row r="8">
          <cell r="B8" t="str">
            <v>45005</v>
          </cell>
          <cell r="C8" t="str">
            <v>EXTRACAO E CARGA DE SEIXO COM DRAG-LINE</v>
          </cell>
          <cell r="D8" t="str">
            <v>M3</v>
          </cell>
          <cell r="E8">
            <v>4.55</v>
          </cell>
        </row>
        <row r="9">
          <cell r="B9" t="str">
            <v>45007</v>
          </cell>
          <cell r="C9" t="str">
            <v>EXTRACAO E CARGA DE CANAIS COM DRAG-LINE</v>
          </cell>
          <cell r="D9" t="str">
            <v>M3</v>
          </cell>
          <cell r="E9">
            <v>3.3099999999999996</v>
          </cell>
        </row>
        <row r="10">
          <cell r="B10" t="str">
            <v>45010</v>
          </cell>
          <cell r="C10" t="str">
            <v>EXTRACAO E CARGA DE SEIXO COM TRATOR</v>
          </cell>
          <cell r="D10" t="str">
            <v>M3</v>
          </cell>
          <cell r="E10">
            <v>2.86</v>
          </cell>
        </row>
        <row r="11">
          <cell r="B11" t="str">
            <v>45012</v>
          </cell>
          <cell r="C11" t="str">
            <v>PRODUCAO E CARGA DE SEIXO PENEIRADO P/REVEST. EM MICR</v>
          </cell>
          <cell r="D11" t="str">
            <v>M3</v>
          </cell>
          <cell r="E11">
            <v>7.49</v>
          </cell>
        </row>
        <row r="12">
          <cell r="B12" t="str">
            <v>45015</v>
          </cell>
          <cell r="C12" t="str">
            <v>EXTRACAO DE ROCHA PARA BRITAGEM</v>
          </cell>
          <cell r="D12" t="str">
            <v>M3</v>
          </cell>
          <cell r="E12">
            <v>6</v>
          </cell>
        </row>
        <row r="13">
          <cell r="B13" t="str">
            <v>45020</v>
          </cell>
          <cell r="C13" t="str">
            <v>FOGACHO PARA ROCHA EXTRAIDA</v>
          </cell>
          <cell r="D13" t="str">
            <v>M3</v>
          </cell>
          <cell r="E13">
            <v>11.110000000000001</v>
          </cell>
        </row>
        <row r="14">
          <cell r="B14" t="str">
            <v>45025</v>
          </cell>
          <cell r="C14" t="str">
            <v>EXTRAÇÃO DE ROCHA E FOGACHO</v>
          </cell>
          <cell r="D14" t="str">
            <v>m3</v>
          </cell>
          <cell r="E14">
            <v>7.67</v>
          </cell>
        </row>
        <row r="15">
          <cell r="B15" t="str">
            <v>45030</v>
          </cell>
          <cell r="C15" t="str">
            <v>CARGA E TRANSPORTE DA ROCHA DA PEDREIRA PARA O BRITADOR</v>
          </cell>
          <cell r="D15" t="str">
            <v>M3</v>
          </cell>
          <cell r="E15">
            <v>4.92</v>
          </cell>
        </row>
        <row r="16">
          <cell r="B16" t="str">
            <v>45035</v>
          </cell>
          <cell r="C16" t="str">
            <v>CARREGAMENTO DE SEIXO</v>
          </cell>
          <cell r="D16" t="str">
            <v>M3</v>
          </cell>
          <cell r="E16">
            <v>0.77</v>
          </cell>
        </row>
        <row r="17">
          <cell r="B17" t="str">
            <v>45040</v>
          </cell>
          <cell r="C17" t="str">
            <v>BRITAGEM DE SEIXO</v>
          </cell>
          <cell r="D17" t="str">
            <v>M3</v>
          </cell>
          <cell r="E17">
            <v>10.469999999999999</v>
          </cell>
        </row>
        <row r="18">
          <cell r="B18" t="str">
            <v>45045</v>
          </cell>
          <cell r="C18" t="str">
            <v>EXTRACAO, CARGA E TRANSPORTE DE ROCHA ATE O BRITADOR</v>
          </cell>
          <cell r="D18" t="str">
            <v>M3</v>
          </cell>
          <cell r="E18">
            <v>12.59</v>
          </cell>
        </row>
        <row r="19">
          <cell r="B19" t="str">
            <v>45050</v>
          </cell>
          <cell r="C19" t="str">
            <v>BRITAGEM PRIMARIA - PRODUCAO DE PEDRA PULMAO D &lt;= 10C</v>
          </cell>
          <cell r="D19" t="str">
            <v>M3</v>
          </cell>
          <cell r="E19">
            <v>13.32</v>
          </cell>
        </row>
        <row r="20">
          <cell r="B20" t="str">
            <v>45055</v>
          </cell>
          <cell r="C20" t="str">
            <v>BICA CORRIDA  (PRODUCAO DE BRITA)</v>
          </cell>
          <cell r="D20" t="str">
            <v>M3</v>
          </cell>
          <cell r="E20">
            <v>13.34</v>
          </cell>
        </row>
        <row r="21">
          <cell r="B21" t="str">
            <v>45060</v>
          </cell>
          <cell r="C21" t="str">
            <v>BRITAGEM DE ROCHA - PRODUCAO DE BRITA</v>
          </cell>
          <cell r="D21" t="str">
            <v>M3</v>
          </cell>
          <cell r="E21">
            <v>14.07</v>
          </cell>
        </row>
        <row r="22">
          <cell r="B22" t="str">
            <v>45070</v>
          </cell>
          <cell r="C22" t="str">
            <v>ESCAVACAO E CARGA DE MATERIAIS DE 1A. CATEGORIA</v>
          </cell>
          <cell r="D22" t="str">
            <v>M3</v>
          </cell>
          <cell r="E22">
            <v>2.04</v>
          </cell>
        </row>
        <row r="23">
          <cell r="B23" t="str">
            <v>45075</v>
          </cell>
          <cell r="C23" t="str">
            <v>ESCAVACAO E CARGA DE MATERIAIS DE 2A. CATEGORIA</v>
          </cell>
          <cell r="D23" t="str">
            <v>M3</v>
          </cell>
          <cell r="E23">
            <v>2.84</v>
          </cell>
        </row>
        <row r="24">
          <cell r="B24" t="str">
            <v>45080</v>
          </cell>
          <cell r="C24" t="str">
            <v>PRODUCAO DE SEIXO PENEIRADO</v>
          </cell>
          <cell r="D24" t="str">
            <v>M3</v>
          </cell>
          <cell r="E24">
            <v>6.0699999999999994</v>
          </cell>
        </row>
        <row r="25">
          <cell r="B25" t="str">
            <v>45085</v>
          </cell>
          <cell r="C25" t="str">
            <v>PRODUCAO DE SEIXO PARCIALMENTE BRITADO E PENEIRADO</v>
          </cell>
          <cell r="D25" t="str">
            <v>M3</v>
          </cell>
          <cell r="E25">
            <v>8.58</v>
          </cell>
        </row>
        <row r="26">
          <cell r="B26" t="str">
            <v>45090</v>
          </cell>
          <cell r="C26" t="str">
            <v>SEIXO RETIDO NA PENEIRA 2</v>
          </cell>
          <cell r="D26" t="str">
            <v>M3</v>
          </cell>
          <cell r="E26">
            <v>7.6999999999999993</v>
          </cell>
        </row>
        <row r="27">
          <cell r="B27" t="str">
            <v>45095</v>
          </cell>
          <cell r="C27" t="str">
            <v>CARREGAMENTO DE BRITA PARA DRENAGEM E O.A.C.</v>
          </cell>
          <cell r="D27" t="str">
            <v>M3</v>
          </cell>
          <cell r="E27">
            <v>0.72</v>
          </cell>
        </row>
        <row r="28">
          <cell r="B28" t="str">
            <v>45100</v>
          </cell>
          <cell r="C28" t="str">
            <v>MATERIAL JAZIDA 1A CATEGORIA</v>
          </cell>
          <cell r="D28" t="str">
            <v>M3</v>
          </cell>
          <cell r="E28">
            <v>2.5499999999999998</v>
          </cell>
        </row>
        <row r="29">
          <cell r="B29" t="str">
            <v>45105</v>
          </cell>
          <cell r="C29" t="str">
            <v>ESCAVACAO E CARGA DE MATERIAL DE 2A. CATEGORIA</v>
          </cell>
          <cell r="D29" t="str">
            <v>M3</v>
          </cell>
          <cell r="E29">
            <v>2.85</v>
          </cell>
        </row>
        <row r="30">
          <cell r="B30" t="str">
            <v>45107</v>
          </cell>
          <cell r="C30" t="str">
            <v>ESCAVACAO E CARGA DE MATERIAL GRANULAR</v>
          </cell>
          <cell r="D30" t="str">
            <v>M3</v>
          </cell>
          <cell r="E30">
            <v>2.4300000000000002</v>
          </cell>
        </row>
        <row r="31">
          <cell r="B31" t="str">
            <v>45109</v>
          </cell>
          <cell r="C31" t="str">
            <v>PRE FISSURAMENTO PARA CORTE EM ROCHA</v>
          </cell>
          <cell r="D31" t="str">
            <v>M2</v>
          </cell>
          <cell r="E31">
            <v>20.02</v>
          </cell>
        </row>
        <row r="32">
          <cell r="B32" t="str">
            <v>45110</v>
          </cell>
          <cell r="C32" t="str">
            <v>EXTRACAO DO MATERIAL DE 3A CATEGORIA PARA TERRAPLENA</v>
          </cell>
          <cell r="D32" t="str">
            <v>M3</v>
          </cell>
          <cell r="E32">
            <v>10.02</v>
          </cell>
        </row>
        <row r="33">
          <cell r="B33" t="str">
            <v>45111</v>
          </cell>
          <cell r="C33" t="str">
            <v>EXTRACAO MATERIAL 3A. CAT. P/TERRAPLENAGEM COMFOGO CON</v>
          </cell>
          <cell r="D33" t="str">
            <v>M3</v>
          </cell>
          <cell r="E33">
            <v>11.12</v>
          </cell>
        </row>
        <row r="34">
          <cell r="B34" t="str">
            <v>45115</v>
          </cell>
          <cell r="C34" t="str">
            <v>CARGA DO MATERIAL DE 3A CATEGORIA</v>
          </cell>
          <cell r="D34" t="str">
            <v>M3</v>
          </cell>
          <cell r="E34">
            <v>2.5</v>
          </cell>
        </row>
        <row r="35">
          <cell r="B35" t="str">
            <v>45116</v>
          </cell>
          <cell r="C35" t="str">
            <v>EXTRACAO E CARGA DE MATERIAL DE 3A.CAT. P/REVEST. PRIMA</v>
          </cell>
          <cell r="D35" t="str">
            <v>M3</v>
          </cell>
          <cell r="E35">
            <v>8.5</v>
          </cell>
        </row>
        <row r="36">
          <cell r="B36" t="str">
            <v>45118</v>
          </cell>
          <cell r="C36" t="str">
            <v>ESPALHAMENTO DE DE SOLOS</v>
          </cell>
          <cell r="D36" t="str">
            <v>M3</v>
          </cell>
          <cell r="E36">
            <v>0.68</v>
          </cell>
        </row>
        <row r="37">
          <cell r="B37" t="str">
            <v>45120</v>
          </cell>
          <cell r="C37" t="str">
            <v>ESPALHAMENTO DO MATERIAL DE 3A CATEGORIA</v>
          </cell>
          <cell r="D37" t="str">
            <v>M3</v>
          </cell>
          <cell r="E37">
            <v>1.03</v>
          </cell>
        </row>
        <row r="38">
          <cell r="B38" t="str">
            <v>45121</v>
          </cell>
          <cell r="C38" t="str">
            <v>ESPALH. E RECOBR. DO TERRENO COMARGILA E SOLO VEGETAL</v>
          </cell>
          <cell r="D38" t="str">
            <v>M3</v>
          </cell>
          <cell r="E38">
            <v>4.3899999999999997</v>
          </cell>
        </row>
        <row r="39">
          <cell r="B39" t="str">
            <v>45123</v>
          </cell>
          <cell r="C39" t="str">
            <v>ESTOCAGEM E RECOMPOSICAO DE CAMADA VEGETAL</v>
          </cell>
          <cell r="D39" t="str">
            <v>M3</v>
          </cell>
          <cell r="E39">
            <v>4.9999999999999991</v>
          </cell>
        </row>
        <row r="40">
          <cell r="B40" t="str">
            <v>45125</v>
          </cell>
          <cell r="C40" t="str">
            <v>ESCAVACAO CARGA E ESPALHAMENTO DE MATERIAL DE 3A. CAT</v>
          </cell>
          <cell r="D40" t="str">
            <v>M3</v>
          </cell>
          <cell r="E40">
            <v>13.549999999999999</v>
          </cell>
        </row>
        <row r="41">
          <cell r="B41" t="str">
            <v>45126</v>
          </cell>
          <cell r="C41" t="str">
            <v>ESCAV. CARGA E ESPALH. MAT. 3A. CAT. COMFOGO CONTROLADO</v>
          </cell>
          <cell r="D41" t="str">
            <v>M3</v>
          </cell>
          <cell r="E41">
            <v>14.649999999999999</v>
          </cell>
        </row>
        <row r="42">
          <cell r="B42" t="str">
            <v>45210</v>
          </cell>
          <cell r="C42" t="str">
            <v>CONCRETO MAGRO</v>
          </cell>
          <cell r="D42" t="str">
            <v>M3</v>
          </cell>
          <cell r="E42">
            <v>114.03</v>
          </cell>
        </row>
        <row r="43">
          <cell r="B43" t="str">
            <v>45215</v>
          </cell>
          <cell r="C43" t="str">
            <v>CONCRETO MAGRO COM BRITA COMERCIAL</v>
          </cell>
          <cell r="D43" t="str">
            <v>M3</v>
          </cell>
          <cell r="E43">
            <v>116.44</v>
          </cell>
        </row>
        <row r="44">
          <cell r="B44" t="str">
            <v>45220</v>
          </cell>
          <cell r="C44" t="str">
            <v>CONCRETO FCK 9 MPA</v>
          </cell>
          <cell r="D44" t="str">
            <v>M3</v>
          </cell>
          <cell r="E44">
            <v>138.90999999999997</v>
          </cell>
        </row>
        <row r="45">
          <cell r="B45" t="str">
            <v>45225</v>
          </cell>
          <cell r="C45" t="str">
            <v>CONCRETO FCK 9 MPA COM BRITA COMERCIAL</v>
          </cell>
          <cell r="D45" t="str">
            <v>M3</v>
          </cell>
          <cell r="E45">
            <v>141.04999999999998</v>
          </cell>
        </row>
        <row r="46">
          <cell r="B46" t="str">
            <v>45230</v>
          </cell>
          <cell r="C46" t="str">
            <v>CONCRETO FCK 11 MPA</v>
          </cell>
          <cell r="D46" t="str">
            <v>M3</v>
          </cell>
          <cell r="E46">
            <v>146.01</v>
          </cell>
        </row>
        <row r="47">
          <cell r="B47" t="str">
            <v>45235</v>
          </cell>
          <cell r="C47" t="str">
            <v>CONCRETO FCK 11 MPA COM BRITA COMERCIAL</v>
          </cell>
          <cell r="D47" t="str">
            <v>M3</v>
          </cell>
          <cell r="E47">
            <v>148.13</v>
          </cell>
        </row>
        <row r="48">
          <cell r="B48" t="str">
            <v>45240</v>
          </cell>
          <cell r="C48" t="str">
            <v>CONCRETO FCK 15 MPA</v>
          </cell>
          <cell r="D48" t="str">
            <v>M3</v>
          </cell>
          <cell r="E48">
            <v>155.56</v>
          </cell>
        </row>
        <row r="49">
          <cell r="B49" t="str">
            <v>45245</v>
          </cell>
          <cell r="C49" t="str">
            <v>CONCRETO FCK 15 MPA COM BRITA COMERCIAL</v>
          </cell>
          <cell r="D49" t="str">
            <v>M3</v>
          </cell>
          <cell r="E49">
            <v>157.4</v>
          </cell>
        </row>
        <row r="50">
          <cell r="B50" t="str">
            <v>45250</v>
          </cell>
          <cell r="C50" t="str">
            <v>CONCRETO POROSO</v>
          </cell>
          <cell r="D50" t="str">
            <v>M3</v>
          </cell>
          <cell r="E50">
            <v>155.28999999999996</v>
          </cell>
        </row>
        <row r="51">
          <cell r="B51" t="str">
            <v>45255</v>
          </cell>
          <cell r="C51" t="str">
            <v>CONCRETO POROSO COM BRITA COMERCIAL</v>
          </cell>
          <cell r="D51" t="str">
            <v>M3</v>
          </cell>
          <cell r="E51">
            <v>157.82</v>
          </cell>
        </row>
        <row r="52">
          <cell r="B52" t="str">
            <v>45260</v>
          </cell>
          <cell r="C52" t="str">
            <v>CONCRETO CICLOPICO FCK 11 MPA</v>
          </cell>
          <cell r="D52" t="str">
            <v>m3</v>
          </cell>
          <cell r="E52">
            <v>120.52</v>
          </cell>
        </row>
        <row r="53">
          <cell r="B53" t="str">
            <v>45265</v>
          </cell>
          <cell r="C53" t="str">
            <v>CONCRETO CICLOPICO FCK 11 MPA COM BRITA COMERCIAL</v>
          </cell>
          <cell r="D53" t="str">
            <v>M3</v>
          </cell>
          <cell r="E53">
            <v>121.97999999999999</v>
          </cell>
        </row>
        <row r="54">
          <cell r="B54" t="str">
            <v>45270</v>
          </cell>
          <cell r="C54" t="str">
            <v>CONCRETO CICLOPICO FCK 15 MPA</v>
          </cell>
          <cell r="D54" t="str">
            <v>M3</v>
          </cell>
          <cell r="E54">
            <v>127.2</v>
          </cell>
        </row>
        <row r="55">
          <cell r="B55" t="str">
            <v>45275</v>
          </cell>
          <cell r="C55" t="str">
            <v>CONCRETO CICLOPICO FCK 15 MPA COM BRITA COMERCIAL</v>
          </cell>
          <cell r="D55" t="str">
            <v>M3</v>
          </cell>
          <cell r="E55">
            <v>128.66</v>
          </cell>
        </row>
        <row r="56">
          <cell r="B56" t="str">
            <v>45280</v>
          </cell>
          <cell r="C56" t="str">
            <v>ARGAMASSA DE CIMENTO E AREIA 1:4</v>
          </cell>
          <cell r="D56" t="str">
            <v>M3</v>
          </cell>
          <cell r="E56">
            <v>308.05999999999995</v>
          </cell>
        </row>
        <row r="57">
          <cell r="B57" t="str">
            <v>45285</v>
          </cell>
          <cell r="C57" t="str">
            <v>ARGAMASSA DE CIMENTO E AREIA 1:3</v>
          </cell>
          <cell r="D57" t="str">
            <v>M3</v>
          </cell>
          <cell r="E57">
            <v>325.35999999999996</v>
          </cell>
        </row>
        <row r="58">
          <cell r="B58" t="str">
            <v>45290</v>
          </cell>
          <cell r="C58" t="str">
            <v>FORMAS COMUNS DE MADEIRA COM REAPROVEITAMENTO DE D</v>
          </cell>
          <cell r="D58" t="str">
            <v>M2</v>
          </cell>
          <cell r="E58">
            <v>28.490000000000002</v>
          </cell>
        </row>
        <row r="59">
          <cell r="B59" t="str">
            <v>45291</v>
          </cell>
          <cell r="C59" t="str">
            <v>FORMA DE PLACA COMPENSADA</v>
          </cell>
          <cell r="D59" t="str">
            <v>M2</v>
          </cell>
          <cell r="E59">
            <v>28.34</v>
          </cell>
        </row>
        <row r="60">
          <cell r="B60" t="str">
            <v>45295</v>
          </cell>
          <cell r="C60" t="str">
            <v>ESCORAMENTO PARA BUEIROS CELULARES</v>
          </cell>
          <cell r="D60" t="str">
            <v>M3</v>
          </cell>
          <cell r="E60">
            <v>11.02</v>
          </cell>
        </row>
        <row r="61">
          <cell r="B61" t="str">
            <v>45296</v>
          </cell>
          <cell r="C61" t="str">
            <v>ESCORAMENTO COMUM DE VALA - TIPO CONTINUO</v>
          </cell>
          <cell r="D61" t="str">
            <v>M2</v>
          </cell>
          <cell r="E61">
            <v>22.330000000000002</v>
          </cell>
        </row>
        <row r="62">
          <cell r="B62" t="str">
            <v>45297</v>
          </cell>
          <cell r="C62" t="str">
            <v>ESCORAMENTO COMUM DE VALAS - TIPO CONTINUO</v>
          </cell>
          <cell r="D62" t="str">
            <v>M2</v>
          </cell>
          <cell r="E62">
            <v>22.330000000000002</v>
          </cell>
        </row>
        <row r="63">
          <cell r="B63" t="str">
            <v>45300</v>
          </cell>
          <cell r="C63" t="str">
            <v>ARMADURA ACO CA-25   FORNECIMENTO DOBRAGEM E COLOCA</v>
          </cell>
          <cell r="D63" t="str">
            <v>KG</v>
          </cell>
          <cell r="E63">
            <v>2.81</v>
          </cell>
        </row>
        <row r="64">
          <cell r="B64" t="str">
            <v>45305</v>
          </cell>
          <cell r="C64" t="str">
            <v>ARMADURA ACO CA-50   FORNECIMENTO DOBRAGEM E COLOCA</v>
          </cell>
          <cell r="D64" t="str">
            <v>KG</v>
          </cell>
          <cell r="E64">
            <v>2.81</v>
          </cell>
        </row>
        <row r="65">
          <cell r="B65" t="str">
            <v>45310</v>
          </cell>
          <cell r="C65" t="str">
            <v>ARMADURA ACO CA-60   FORNECIMENTO DOBRAGEM E COLOCA</v>
          </cell>
          <cell r="D65" t="str">
            <v>KG</v>
          </cell>
          <cell r="E65">
            <v>3.08</v>
          </cell>
        </row>
        <row r="66">
          <cell r="B66" t="str">
            <v>45315</v>
          </cell>
          <cell r="C66" t="str">
            <v>LASTRO DE BRITA</v>
          </cell>
          <cell r="D66" t="str">
            <v>M3</v>
          </cell>
          <cell r="E66">
            <v>28.959999999999997</v>
          </cell>
        </row>
        <row r="67">
          <cell r="B67" t="str">
            <v>45320</v>
          </cell>
          <cell r="C67" t="str">
            <v>LASTRO DE BRITA COM BRITA COMERCIAL</v>
          </cell>
          <cell r="D67" t="str">
            <v>M3</v>
          </cell>
          <cell r="E67">
            <v>32.22</v>
          </cell>
        </row>
        <row r="68">
          <cell r="B68" t="str">
            <v>45335</v>
          </cell>
          <cell r="C68" t="str">
            <v>ENROCAMENTO DE PEDRA JOGADA COM PEDRA DO PRIMARIO</v>
          </cell>
          <cell r="D68" t="str">
            <v>M3</v>
          </cell>
          <cell r="E68">
            <v>17.330000000000002</v>
          </cell>
        </row>
        <row r="69">
          <cell r="B69" t="str">
            <v>45340</v>
          </cell>
          <cell r="C69" t="str">
            <v>ENROCAMENTO DE PEDRA ARRUMADA</v>
          </cell>
          <cell r="D69" t="str">
            <v>M3</v>
          </cell>
          <cell r="E69">
            <v>42.72</v>
          </cell>
        </row>
        <row r="70">
          <cell r="B70" t="str">
            <v>45342</v>
          </cell>
          <cell r="C70" t="str">
            <v>ENROCAMENTO COM PEDRA ARGAMASSADA</v>
          </cell>
          <cell r="D70" t="str">
            <v>M3</v>
          </cell>
          <cell r="E70">
            <v>132.70000000000002</v>
          </cell>
        </row>
        <row r="71">
          <cell r="B71" t="str">
            <v>45345</v>
          </cell>
          <cell r="C71" t="str">
            <v>ALVENARIA DE PEDRA DE MAO ARGAMASSADA</v>
          </cell>
          <cell r="D71" t="str">
            <v>M3</v>
          </cell>
          <cell r="E71">
            <v>132.70000000000002</v>
          </cell>
        </row>
        <row r="72">
          <cell r="B72" t="str">
            <v>45346</v>
          </cell>
          <cell r="C72" t="str">
            <v>ENROCAMENTO DE PEDRA DE MAO JOGADA</v>
          </cell>
          <cell r="D72" t="str">
            <v>M3</v>
          </cell>
          <cell r="E72">
            <v>38.04</v>
          </cell>
        </row>
        <row r="73">
          <cell r="B73" t="str">
            <v>45348</v>
          </cell>
          <cell r="C73" t="str">
            <v>ENROCAMENTO DE PEDRA JOGADA COM PEDRA DETONADA</v>
          </cell>
          <cell r="D73" t="str">
            <v>M3</v>
          </cell>
          <cell r="E73">
            <v>9.9400000000000013</v>
          </cell>
        </row>
        <row r="74">
          <cell r="B74" t="str">
            <v>45350</v>
          </cell>
          <cell r="C74" t="str">
            <v>ALVENARIA DE TIJOLOS MACICOS PARA PAREDE DE 20 CM</v>
          </cell>
          <cell r="D74" t="str">
            <v>M2</v>
          </cell>
          <cell r="E74">
            <v>54.589999999999996</v>
          </cell>
        </row>
        <row r="75">
          <cell r="B75" t="str">
            <v>45360</v>
          </cell>
          <cell r="C75" t="str">
            <v>CHAPISCO</v>
          </cell>
          <cell r="D75" t="str">
            <v>M2</v>
          </cell>
          <cell r="E75">
            <v>3.14</v>
          </cell>
        </row>
        <row r="76">
          <cell r="B76" t="str">
            <v>46000</v>
          </cell>
          <cell r="C76" t="str">
            <v>TORRE DE MADEIRA PARA CRAVACAO DE TUBULAO (OAE)</v>
          </cell>
          <cell r="D76" t="str">
            <v>M</v>
          </cell>
          <cell r="E76">
            <v>369.75</v>
          </cell>
        </row>
        <row r="77">
          <cell r="B77" t="str">
            <v>46010</v>
          </cell>
          <cell r="C77" t="str">
            <v>ARGAMASSA DE CIMENTO E AREIA 1:4 PREPARO E MATERIAIS (O</v>
          </cell>
          <cell r="D77" t="str">
            <v>M3</v>
          </cell>
          <cell r="E77">
            <v>308.05999999999995</v>
          </cell>
        </row>
        <row r="78">
          <cell r="B78" t="str">
            <v>46020</v>
          </cell>
          <cell r="C78" t="str">
            <v>FORMAS DE MADEIRA (OAE)</v>
          </cell>
          <cell r="D78" t="str">
            <v>M2</v>
          </cell>
          <cell r="E78">
            <v>26.91</v>
          </cell>
        </row>
        <row r="79">
          <cell r="B79" t="str">
            <v>46030</v>
          </cell>
          <cell r="C79" t="str">
            <v>ARMADURA ACO CA-50 FORNEC. DOBR. E COLOCACAO (OAE)</v>
          </cell>
          <cell r="D79" t="str">
            <v>KG</v>
          </cell>
          <cell r="E79">
            <v>2.81</v>
          </cell>
        </row>
        <row r="80">
          <cell r="B80" t="str">
            <v>46040</v>
          </cell>
          <cell r="C80" t="str">
            <v>CONCRETO FCK 15 MPA  -  PREPARO LANCAMENTO E CURA  (OA</v>
          </cell>
          <cell r="D80" t="str">
            <v>M3</v>
          </cell>
          <cell r="E80">
            <v>157.4</v>
          </cell>
        </row>
        <row r="81">
          <cell r="B81" t="str">
            <v>46050</v>
          </cell>
          <cell r="C81" t="str">
            <v>CONCRETO FCK 18 MPA  -  PREPARO LANCAMENTO E CURA  (OA</v>
          </cell>
          <cell r="D81" t="str">
            <v>M3</v>
          </cell>
          <cell r="E81">
            <v>163.52000000000001</v>
          </cell>
        </row>
        <row r="82">
          <cell r="B82" t="str">
            <v>46070</v>
          </cell>
          <cell r="C82" t="str">
            <v>DEMOLICAO DE ESTRUTURA EM CONCRETO SIMPLES (OAE)</v>
          </cell>
          <cell r="D82" t="str">
            <v>M3</v>
          </cell>
          <cell r="E82">
            <v>30.71</v>
          </cell>
        </row>
        <row r="83">
          <cell r="B83" t="str">
            <v>46080</v>
          </cell>
          <cell r="C83" t="str">
            <v>DEMOLICAO DE ESTRUTURA EM CONCRETO ARMADO (OAE)</v>
          </cell>
          <cell r="D83" t="str">
            <v>M3</v>
          </cell>
          <cell r="E83">
            <v>55.55</v>
          </cell>
        </row>
        <row r="84">
          <cell r="B84" t="str">
            <v>46090</v>
          </cell>
          <cell r="C84" t="str">
            <v>ATERRO PARA VEDACAO DE ENSECADEIRAS (OAE)</v>
          </cell>
          <cell r="D84" t="str">
            <v>M3</v>
          </cell>
          <cell r="E84">
            <v>11.319999999999999</v>
          </cell>
        </row>
        <row r="85">
          <cell r="B85" t="str">
            <v>46100</v>
          </cell>
          <cell r="C85" t="str">
            <v>ENSECADEIRAS DUPLAS (OAE)</v>
          </cell>
          <cell r="D85" t="str">
            <v>M2</v>
          </cell>
          <cell r="E85">
            <v>173.13</v>
          </cell>
        </row>
        <row r="86">
          <cell r="B86" t="str">
            <v>46415</v>
          </cell>
          <cell r="C86" t="str">
            <v>MEIO-FIO DE CONCRETO - TIPO MF01-DNER</v>
          </cell>
          <cell r="D86" t="str">
            <v>M</v>
          </cell>
          <cell r="E86">
            <v>47.470000000000006</v>
          </cell>
        </row>
        <row r="87">
          <cell r="B87" t="str">
            <v>47000</v>
          </cell>
          <cell r="C87" t="str">
            <v>ESCAVACAO MANUAL DE MATERIAL DE 1A. CATEGORIA</v>
          </cell>
          <cell r="D87" t="str">
            <v>M3</v>
          </cell>
          <cell r="E87">
            <v>15.4</v>
          </cell>
        </row>
        <row r="88">
          <cell r="B88" t="str">
            <v>47004</v>
          </cell>
          <cell r="C88" t="str">
            <v>CONCRETO FCK 22 MPA  -  PREPARO LANCAMENTO E CURA</v>
          </cell>
          <cell r="D88" t="str">
            <v>M3</v>
          </cell>
          <cell r="E88">
            <v>175.76</v>
          </cell>
        </row>
        <row r="89">
          <cell r="B89" t="str">
            <v>47005</v>
          </cell>
          <cell r="C89" t="str">
            <v>FORMAS COM CHAPAS PLASTIFICADAS PARA CONCRETO APARE</v>
          </cell>
          <cell r="D89" t="str">
            <v>M2</v>
          </cell>
          <cell r="E89">
            <v>33.839999999999996</v>
          </cell>
        </row>
        <row r="90">
          <cell r="B90" t="str">
            <v>48000</v>
          </cell>
          <cell r="C90" t="str">
            <v>ESCAV. CARGA E TRANSP. DE MAT DE CORTE COM TRATOR E CARR</v>
          </cell>
          <cell r="D90" t="str">
            <v>M3</v>
          </cell>
          <cell r="E90">
            <v>2.63</v>
          </cell>
        </row>
        <row r="91">
          <cell r="B91" t="str">
            <v>48005</v>
          </cell>
          <cell r="C91" t="str">
            <v>ESCAV. E CARGA DE MAT. DE CORTE COM TRATOR E CARREGAD</v>
          </cell>
          <cell r="D91" t="str">
            <v>M3</v>
          </cell>
          <cell r="E91">
            <v>2.6599999999999997</v>
          </cell>
        </row>
        <row r="92">
          <cell r="B92" t="str">
            <v>48008</v>
          </cell>
          <cell r="C92" t="str">
            <v>ESCAV. DE CANAIS COM CARGA, TRANSP. E ESPALH. DE MATERI</v>
          </cell>
          <cell r="D92" t="str">
            <v>M3</v>
          </cell>
          <cell r="E92">
            <v>4.1100000000000003</v>
          </cell>
        </row>
        <row r="93">
          <cell r="B93" t="str">
            <v>48009</v>
          </cell>
          <cell r="C93" t="str">
            <v>ESCAVACAO DE CANAIS COM ESPALHAMENTO DO MATERIAL</v>
          </cell>
          <cell r="D93" t="str">
            <v>M3</v>
          </cell>
          <cell r="E93">
            <v>4.1100000000000003</v>
          </cell>
        </row>
        <row r="94">
          <cell r="B94" t="str">
            <v>48010</v>
          </cell>
          <cell r="C94" t="str">
            <v>ESC. CARGA E TRANSP. DE MAT. DE CORTE COM RETROESCAVA</v>
          </cell>
          <cell r="D94" t="str">
            <v>M3</v>
          </cell>
          <cell r="E94">
            <v>2.96</v>
          </cell>
        </row>
        <row r="95">
          <cell r="B95" t="str">
            <v>48015</v>
          </cell>
          <cell r="C95" t="str">
            <v>ESCAV. E CARGA DE MAT. DE CORTE COM RETROESCAVADEIRA</v>
          </cell>
          <cell r="D95" t="str">
            <v>M3</v>
          </cell>
          <cell r="E95">
            <v>3.9499999999999997</v>
          </cell>
        </row>
        <row r="96">
          <cell r="B96" t="str">
            <v>48020</v>
          </cell>
          <cell r="C96" t="str">
            <v>RECOLHIMENTO DE PEDRA DE MAO</v>
          </cell>
          <cell r="D96" t="str">
            <v>M3</v>
          </cell>
          <cell r="E96">
            <v>28.970000000000002</v>
          </cell>
        </row>
        <row r="97">
          <cell r="B97" t="str">
            <v>48030</v>
          </cell>
          <cell r="C97" t="str">
            <v>ESCAV. E CARGA MAT. P/REVESTIMENTO PRIMARIO</v>
          </cell>
          <cell r="D97" t="str">
            <v>M3</v>
          </cell>
          <cell r="E97">
            <v>3.17</v>
          </cell>
        </row>
        <row r="98">
          <cell r="B98" t="str">
            <v>48040</v>
          </cell>
          <cell r="C98" t="str">
            <v>ESCAVACAO MANUAL DE SOLOS</v>
          </cell>
          <cell r="D98" t="str">
            <v>M3</v>
          </cell>
          <cell r="E98">
            <v>4.54</v>
          </cell>
        </row>
        <row r="99">
          <cell r="B99" t="str">
            <v>48050</v>
          </cell>
          <cell r="C99" t="str">
            <v>ESCAVACAO DE VALAS COMRETROESCAVADEIRA</v>
          </cell>
          <cell r="D99" t="str">
            <v>M3</v>
          </cell>
          <cell r="E99">
            <v>3.92</v>
          </cell>
        </row>
        <row r="100">
          <cell r="B100" t="str">
            <v>48060</v>
          </cell>
          <cell r="C100" t="str">
            <v>COMPACTACAO DE ATERRO</v>
          </cell>
          <cell r="D100" t="str">
            <v>M3</v>
          </cell>
          <cell r="E100">
            <v>1.73</v>
          </cell>
        </row>
        <row r="101">
          <cell r="B101" t="str">
            <v>48070</v>
          </cell>
          <cell r="C101" t="str">
            <v>APILOAMENTO MANUAL DE SOLOS</v>
          </cell>
          <cell r="D101" t="str">
            <v>M3</v>
          </cell>
          <cell r="E101">
            <v>10.25</v>
          </cell>
        </row>
        <row r="102">
          <cell r="B102" t="str">
            <v>48080</v>
          </cell>
          <cell r="C102" t="str">
            <v>REGULARIZACAO DE PISTA</v>
          </cell>
          <cell r="D102" t="str">
            <v>M2</v>
          </cell>
          <cell r="E102">
            <v>0.75</v>
          </cell>
        </row>
        <row r="103">
          <cell r="B103" t="str">
            <v>48090</v>
          </cell>
          <cell r="C103" t="str">
            <v>ALVENARIA DE TIJOLOS MACICO DE 11 CM</v>
          </cell>
          <cell r="D103" t="str">
            <v>M2</v>
          </cell>
          <cell r="E103">
            <v>32.67</v>
          </cell>
        </row>
        <row r="104">
          <cell r="B104" t="str">
            <v>48092</v>
          </cell>
          <cell r="C104" t="str">
            <v>ALVENARIA DE TIJOLOS FURADOS, ESPESSURA DE 10CM, CHAPI</v>
          </cell>
          <cell r="D104" t="str">
            <v>M2</v>
          </cell>
          <cell r="E104">
            <v>24.68</v>
          </cell>
        </row>
        <row r="105">
          <cell r="B105" t="str">
            <v>48100</v>
          </cell>
          <cell r="C105" t="str">
            <v>ALVENARIA DE PEDRA DE MAO ARGAMASSADA DE 15 CM</v>
          </cell>
          <cell r="D105" t="str">
            <v>M2</v>
          </cell>
          <cell r="E105">
            <v>40.04</v>
          </cell>
        </row>
        <row r="106">
          <cell r="B106" t="str">
            <v>48130</v>
          </cell>
          <cell r="C106" t="str">
            <v>PLANTIO DE GRAMA POR MUDAS</v>
          </cell>
          <cell r="D106" t="str">
            <v>M2</v>
          </cell>
          <cell r="E106">
            <v>1.84</v>
          </cell>
        </row>
        <row r="107">
          <cell r="B107" t="str">
            <v>48150</v>
          </cell>
          <cell r="C107" t="str">
            <v>REATERRO E APILOAMENTO EM CAMADAS DE 20 CM</v>
          </cell>
          <cell r="D107" t="str">
            <v>M3</v>
          </cell>
          <cell r="E107">
            <v>6.29</v>
          </cell>
        </row>
        <row r="108">
          <cell r="B108" t="str">
            <v>49000</v>
          </cell>
          <cell r="C108" t="str">
            <v>PMF (NA USINA) PARA CONSERVACAO RODOVIARIA</v>
          </cell>
          <cell r="D108" t="str">
            <v>T</v>
          </cell>
          <cell r="E108">
            <v>13.89</v>
          </cell>
        </row>
        <row r="109">
          <cell r="B109" t="str">
            <v>49010</v>
          </cell>
          <cell r="C109" t="str">
            <v>CAUQ (NA USINA) - PARA CONSERVACAO RODOVIARIA</v>
          </cell>
          <cell r="D109" t="str">
            <v>T</v>
          </cell>
          <cell r="E109">
            <v>38.5</v>
          </cell>
        </row>
        <row r="110">
          <cell r="B110" t="str">
            <v>49011</v>
          </cell>
          <cell r="C110" t="str">
            <v>COMBATE A EXSUDACAO COM AREIA(DNER)</v>
          </cell>
          <cell r="D110" t="str">
            <v>M2</v>
          </cell>
          <cell r="E110">
            <v>0.27</v>
          </cell>
        </row>
        <row r="111">
          <cell r="B111" t="str">
            <v>49020</v>
          </cell>
          <cell r="C111" t="str">
            <v>LIMPEZA DE BUEIRO</v>
          </cell>
          <cell r="D111" t="str">
            <v>M3</v>
          </cell>
          <cell r="E111">
            <v>11.73</v>
          </cell>
        </row>
        <row r="112">
          <cell r="B112" t="str">
            <v>49022</v>
          </cell>
          <cell r="C112" t="str">
            <v>DESOBSTRUCAO DE CAIXAS COLETORAS</v>
          </cell>
          <cell r="D112" t="str">
            <v>UNID</v>
          </cell>
          <cell r="E112">
            <v>19.77</v>
          </cell>
        </row>
        <row r="113">
          <cell r="B113" t="str">
            <v>49024</v>
          </cell>
          <cell r="C113" t="str">
            <v>DESOBSTRUCAO DE GALERIAS D=60CM</v>
          </cell>
          <cell r="D113" t="str">
            <v>M</v>
          </cell>
          <cell r="E113">
            <v>9.7999999999999989</v>
          </cell>
        </row>
        <row r="114">
          <cell r="B114" t="str">
            <v>49030</v>
          </cell>
          <cell r="C114" t="str">
            <v>LIMPEZA DE CAIXA COLETORA</v>
          </cell>
          <cell r="D114" t="str">
            <v>UNID</v>
          </cell>
          <cell r="E114">
            <v>15.450000000000001</v>
          </cell>
        </row>
        <row r="115">
          <cell r="B115" t="str">
            <v>49040</v>
          </cell>
          <cell r="C115" t="str">
            <v>LIMPEZA DE SARJETA E MEIO-FIO</v>
          </cell>
          <cell r="D115" t="str">
            <v>M</v>
          </cell>
          <cell r="E115">
            <v>0.19</v>
          </cell>
        </row>
        <row r="116">
          <cell r="B116" t="str">
            <v>49050</v>
          </cell>
          <cell r="C116" t="str">
            <v>LIMPEZA E PINTURA DE PONTES</v>
          </cell>
          <cell r="D116" t="str">
            <v>M</v>
          </cell>
          <cell r="E116">
            <v>4.54</v>
          </cell>
        </row>
        <row r="117">
          <cell r="B117" t="str">
            <v>49055</v>
          </cell>
          <cell r="C117" t="str">
            <v>LIMPEZA DE PLACAS DE SINALIZACAO</v>
          </cell>
          <cell r="D117" t="str">
            <v>M2</v>
          </cell>
          <cell r="E117">
            <v>2.25</v>
          </cell>
        </row>
        <row r="118">
          <cell r="B118" t="str">
            <v>49056</v>
          </cell>
          <cell r="C118" t="str">
            <v>CAIACAO</v>
          </cell>
          <cell r="D118" t="str">
            <v>M2</v>
          </cell>
          <cell r="E118">
            <v>0.6</v>
          </cell>
        </row>
        <row r="119">
          <cell r="B119" t="str">
            <v>49057</v>
          </cell>
          <cell r="C119" t="str">
            <v>ANDAIMES SUSPENSOS PARA OBRAS DE RESTAURACAO DE PON</v>
          </cell>
          <cell r="D119" t="str">
            <v>M2</v>
          </cell>
          <cell r="E119">
            <v>24.489999999999995</v>
          </cell>
        </row>
        <row r="120">
          <cell r="B120" t="str">
            <v>49060</v>
          </cell>
          <cell r="C120" t="str">
            <v>LIMPEZA MANUAL DE VALETA</v>
          </cell>
          <cell r="D120" t="str">
            <v>M</v>
          </cell>
          <cell r="E120">
            <v>0.39</v>
          </cell>
        </row>
        <row r="121">
          <cell r="B121" t="str">
            <v>49065</v>
          </cell>
          <cell r="C121" t="str">
            <v>CAPINA MANUAL</v>
          </cell>
          <cell r="D121" t="str">
            <v>M2</v>
          </cell>
          <cell r="E121">
            <v>0.31</v>
          </cell>
        </row>
        <row r="122">
          <cell r="B122" t="str">
            <v>49070</v>
          </cell>
          <cell r="C122" t="str">
            <v>PINTURA DE SARJETA E MEIO-FIO</v>
          </cell>
          <cell r="D122" t="str">
            <v>M</v>
          </cell>
          <cell r="E122">
            <v>0.23</v>
          </cell>
        </row>
        <row r="123">
          <cell r="B123" t="str">
            <v>49080</v>
          </cell>
          <cell r="C123" t="str">
            <v>RECONFORMACAO DE ACOSTAMENTO NAO PAVIMENTADO</v>
          </cell>
          <cell r="D123" t="str">
            <v>M2</v>
          </cell>
          <cell r="E123">
            <v>0.01</v>
          </cell>
        </row>
        <row r="124">
          <cell r="B124" t="str">
            <v>49090</v>
          </cell>
          <cell r="C124" t="str">
            <v>RECONFORMACAO DE PISTA NAO PAVIMENTADA</v>
          </cell>
          <cell r="D124" t="str">
            <v>M2</v>
          </cell>
          <cell r="E124">
            <v>0.05</v>
          </cell>
        </row>
        <row r="125">
          <cell r="B125" t="str">
            <v>49091</v>
          </cell>
          <cell r="C125" t="str">
            <v>RECONFORMACAO DE PISTA NAO PAVIMENTADA</v>
          </cell>
          <cell r="D125" t="str">
            <v>HA</v>
          </cell>
          <cell r="E125">
            <v>470.09</v>
          </cell>
        </row>
        <row r="126">
          <cell r="B126" t="str">
            <v>49092</v>
          </cell>
          <cell r="C126" t="str">
            <v>RECONSTITUICAO DO SUB-LEITO</v>
          </cell>
          <cell r="D126" t="str">
            <v>M3</v>
          </cell>
          <cell r="E126">
            <v>1.49</v>
          </cell>
        </row>
        <row r="127">
          <cell r="B127" t="str">
            <v>49100</v>
          </cell>
          <cell r="C127" t="str">
            <v>RECOMPOSICAO DE BUEIRO DE CONCRETO</v>
          </cell>
          <cell r="D127" t="str">
            <v>M</v>
          </cell>
          <cell r="E127">
            <v>221.04</v>
          </cell>
        </row>
        <row r="128">
          <cell r="B128" t="str">
            <v>49105</v>
          </cell>
          <cell r="C128" t="str">
            <v>RECOMPOSICAO DE BUEIRO METALICO</v>
          </cell>
          <cell r="D128" t="str">
            <v>M</v>
          </cell>
          <cell r="E128">
            <v>934.67</v>
          </cell>
        </row>
        <row r="129">
          <cell r="B129" t="str">
            <v>49110</v>
          </cell>
          <cell r="C129" t="str">
            <v>RECOMPOSICAO DE BUEIRO DE CONCRETO COMLASTRO DE BRITA</v>
          </cell>
          <cell r="D129" t="str">
            <v>M</v>
          </cell>
          <cell r="E129">
            <v>68.05</v>
          </cell>
        </row>
        <row r="130">
          <cell r="B130" t="str">
            <v>49120</v>
          </cell>
          <cell r="C130" t="str">
            <v>RECOMPOSICAO DE GUARDA-CORPO</v>
          </cell>
          <cell r="D130" t="str">
            <v>M</v>
          </cell>
          <cell r="E130">
            <v>62.45000000000001</v>
          </cell>
        </row>
        <row r="131">
          <cell r="B131" t="str">
            <v>49123</v>
          </cell>
          <cell r="C131" t="str">
            <v>RECOMPOSICAO DE DEFENSA METALICA</v>
          </cell>
          <cell r="D131" t="str">
            <v>M</v>
          </cell>
          <cell r="E131">
            <v>69.84</v>
          </cell>
        </row>
        <row r="132">
          <cell r="B132" t="str">
            <v>49130</v>
          </cell>
          <cell r="C132" t="str">
            <v>RECOMPOSICAO DE PLACAS DE CONCRETO</v>
          </cell>
          <cell r="D132" t="str">
            <v>M3</v>
          </cell>
          <cell r="E132">
            <v>223.6</v>
          </cell>
        </row>
        <row r="133">
          <cell r="B133" t="str">
            <v>49131</v>
          </cell>
          <cell r="C133" t="str">
            <v>RECOMPOSICAO DE SARJETAS REVESTIDAS E MEIO FIO</v>
          </cell>
          <cell r="D133" t="str">
            <v>M</v>
          </cell>
          <cell r="E133">
            <v>22.16</v>
          </cell>
        </row>
        <row r="134">
          <cell r="B134" t="str">
            <v>49132</v>
          </cell>
          <cell r="C134" t="str">
            <v>RECOMPOSICAO DE SARJETA NAO REVESTIDA</v>
          </cell>
          <cell r="D134" t="str">
            <v>M</v>
          </cell>
          <cell r="E134">
            <v>1.19</v>
          </cell>
        </row>
        <row r="135">
          <cell r="B135" t="str">
            <v>49133</v>
          </cell>
          <cell r="C135" t="str">
            <v>RECOMPOSICAO DE VALETA REVESTIDA</v>
          </cell>
          <cell r="D135" t="str">
            <v>M</v>
          </cell>
          <cell r="E135">
            <v>29.36</v>
          </cell>
        </row>
        <row r="136">
          <cell r="B136" t="str">
            <v>49134</v>
          </cell>
          <cell r="C136" t="str">
            <v>RECOMPOSICAO DE VALETA NAO REVESTIDA</v>
          </cell>
          <cell r="D136" t="str">
            <v>M</v>
          </cell>
          <cell r="E136">
            <v>2.72</v>
          </cell>
        </row>
        <row r="137">
          <cell r="B137" t="str">
            <v>49135</v>
          </cell>
          <cell r="C137" t="str">
            <v>RECOMPOSICAO DE SINALIZACAO VERTICAL</v>
          </cell>
          <cell r="D137" t="str">
            <v>M2</v>
          </cell>
          <cell r="E137">
            <v>28.43</v>
          </cell>
        </row>
        <row r="138">
          <cell r="B138" t="str">
            <v>49140</v>
          </cell>
          <cell r="C138" t="str">
            <v>RECOMPOSICAO DE REVESTIMENTO COM CAUQ</v>
          </cell>
          <cell r="D138" t="str">
            <v>M3</v>
          </cell>
          <cell r="E138">
            <v>210.3</v>
          </cell>
        </row>
        <row r="139">
          <cell r="B139" t="str">
            <v>49150</v>
          </cell>
          <cell r="C139" t="str">
            <v>RECOMPOSICAO DE REVESTIMENTO PRIMARIO</v>
          </cell>
          <cell r="D139" t="str">
            <v>M3</v>
          </cell>
          <cell r="E139">
            <v>4.4600000000000009</v>
          </cell>
        </row>
        <row r="140">
          <cell r="B140" t="str">
            <v>49154</v>
          </cell>
          <cell r="C140" t="str">
            <v>RECOMPOSICAO MANUAL DE ATERRO</v>
          </cell>
          <cell r="D140" t="str">
            <v>M3</v>
          </cell>
          <cell r="E140">
            <v>44.51</v>
          </cell>
        </row>
        <row r="141">
          <cell r="B141" t="str">
            <v>49155</v>
          </cell>
          <cell r="C141" t="str">
            <v>RECOMPOSICAO MECANICA DE ATERRO</v>
          </cell>
          <cell r="D141" t="str">
            <v>M3</v>
          </cell>
          <cell r="E141">
            <v>17.590000000000003</v>
          </cell>
        </row>
        <row r="142">
          <cell r="B142" t="str">
            <v>49160</v>
          </cell>
          <cell r="C142" t="str">
            <v>RECONSTRUCAO DE PAVIMENTO COMBASE DE BRITA GRADUADA</v>
          </cell>
          <cell r="D142" t="str">
            <v>M3</v>
          </cell>
          <cell r="E142">
            <v>74.039999999999992</v>
          </cell>
        </row>
        <row r="143">
          <cell r="B143" t="str">
            <v>49161</v>
          </cell>
          <cell r="C143" t="str">
            <v>SELAGEM DE TRINCA</v>
          </cell>
          <cell r="D143" t="str">
            <v>L</v>
          </cell>
          <cell r="E143">
            <v>2.7299999999999995</v>
          </cell>
        </row>
        <row r="144">
          <cell r="B144" t="str">
            <v>49170</v>
          </cell>
          <cell r="C144" t="str">
            <v>REMENDO PROFUNDO</v>
          </cell>
          <cell r="D144" t="str">
            <v>M3</v>
          </cell>
          <cell r="E144">
            <v>204.60999999999999</v>
          </cell>
        </row>
        <row r="145">
          <cell r="B145" t="str">
            <v>49171</v>
          </cell>
          <cell r="C145" t="str">
            <v>REMENDO PROFUNDO COM CAUQ</v>
          </cell>
          <cell r="D145" t="str">
            <v>M3</v>
          </cell>
          <cell r="E145">
            <v>218.68999999999997</v>
          </cell>
        </row>
        <row r="146">
          <cell r="B146" t="str">
            <v>49180</v>
          </cell>
          <cell r="C146" t="str">
            <v>REMOCAO MECANIZADA DE BARREIRAS</v>
          </cell>
          <cell r="D146" t="str">
            <v>M3</v>
          </cell>
          <cell r="E146">
            <v>7.81</v>
          </cell>
        </row>
        <row r="147">
          <cell r="B147" t="str">
            <v>49181</v>
          </cell>
          <cell r="C147" t="str">
            <v>REMOCAO MANUAL DE BARREIRA</v>
          </cell>
          <cell r="D147" t="str">
            <v>M3</v>
          </cell>
          <cell r="E147">
            <v>24.139999999999997</v>
          </cell>
        </row>
        <row r="148">
          <cell r="B148" t="str">
            <v>49185</v>
          </cell>
          <cell r="C148" t="str">
            <v>REPAROS EM PONTES DE MADEIRA</v>
          </cell>
          <cell r="D148" t="str">
            <v>M</v>
          </cell>
          <cell r="E148">
            <v>66.209999999999994</v>
          </cell>
        </row>
        <row r="149">
          <cell r="B149" t="str">
            <v>49190</v>
          </cell>
          <cell r="C149" t="str">
            <v>ROCADA MANUAL</v>
          </cell>
          <cell r="D149" t="str">
            <v>M2</v>
          </cell>
          <cell r="E149">
            <v>0.12</v>
          </cell>
        </row>
        <row r="150">
          <cell r="B150" t="str">
            <v>49200</v>
          </cell>
          <cell r="C150" t="str">
            <v>ROCADA MECANIZADA</v>
          </cell>
          <cell r="D150" t="str">
            <v>HA</v>
          </cell>
          <cell r="E150">
            <v>104.35</v>
          </cell>
        </row>
        <row r="151">
          <cell r="B151" t="str">
            <v>49210</v>
          </cell>
          <cell r="C151" t="str">
            <v>ROCADA MECANIZADA COSTAL</v>
          </cell>
          <cell r="D151" t="str">
            <v>M2</v>
          </cell>
          <cell r="E151">
            <v>0.05</v>
          </cell>
        </row>
        <row r="152">
          <cell r="B152" t="str">
            <v>49220</v>
          </cell>
          <cell r="C152" t="str">
            <v>TAPA BURACO COM CAUQ</v>
          </cell>
          <cell r="D152" t="str">
            <v>M3</v>
          </cell>
          <cell r="E152">
            <v>412.58</v>
          </cell>
        </row>
        <row r="153">
          <cell r="B153" t="str">
            <v>49230</v>
          </cell>
          <cell r="C153" t="str">
            <v>TAPA BURACO COM PMF</v>
          </cell>
          <cell r="D153" t="str">
            <v>M3</v>
          </cell>
          <cell r="E153">
            <v>330.47</v>
          </cell>
        </row>
        <row r="154">
          <cell r="B154" t="str">
            <v>49301</v>
          </cell>
          <cell r="C154" t="str">
            <v>ESC. MEC. DE VALAS P/OBRAS DE ARTE CORRENTES - 1A CATEG</v>
          </cell>
          <cell r="D154" t="str">
            <v>M3</v>
          </cell>
          <cell r="E154">
            <v>4.54</v>
          </cell>
        </row>
        <row r="155">
          <cell r="B155" t="str">
            <v>49302</v>
          </cell>
          <cell r="C155" t="str">
            <v>REATERRO E APILOAMENTO EM CAMADAS DE 20 CM</v>
          </cell>
          <cell r="D155" t="str">
            <v>M3</v>
          </cell>
          <cell r="E155">
            <v>6.6</v>
          </cell>
        </row>
        <row r="156">
          <cell r="B156" t="str">
            <v>49303</v>
          </cell>
          <cell r="C156" t="str">
            <v>BRITA GRADUADA (NA USINA) PARA CONSERVACAO RODOVIARIA</v>
          </cell>
          <cell r="D156" t="str">
            <v>T</v>
          </cell>
          <cell r="E156">
            <v>11.64</v>
          </cell>
        </row>
        <row r="157">
          <cell r="B157" t="str">
            <v>49400</v>
          </cell>
          <cell r="C157" t="str">
            <v>HORA MAQUINA - TRATOR COM LAMINA 140 HP</v>
          </cell>
          <cell r="D157" t="str">
            <v>H</v>
          </cell>
          <cell r="E157">
            <v>59.2</v>
          </cell>
        </row>
        <row r="158">
          <cell r="B158" t="str">
            <v>49401</v>
          </cell>
          <cell r="C158" t="str">
            <v>HORA MAQUINA - CARREGADEIRA DE PNEUS 73 HP</v>
          </cell>
          <cell r="D158" t="str">
            <v>H</v>
          </cell>
          <cell r="E158">
            <v>55.65</v>
          </cell>
        </row>
        <row r="159">
          <cell r="B159" t="str">
            <v>49402</v>
          </cell>
          <cell r="C159" t="str">
            <v>HORA MAQUINA - MOTONIVELADORA 125 HP</v>
          </cell>
          <cell r="D159" t="str">
            <v>H</v>
          </cell>
          <cell r="E159">
            <v>78.22</v>
          </cell>
        </row>
        <row r="160">
          <cell r="B160" t="str">
            <v>49403</v>
          </cell>
          <cell r="C160" t="str">
            <v>HORA MAQUINA - COMPACTADOR VIBRATORIO AUTOPROPELIDO</v>
          </cell>
          <cell r="D160" t="str">
            <v>H</v>
          </cell>
          <cell r="E160">
            <v>56.29</v>
          </cell>
        </row>
        <row r="161">
          <cell r="B161" t="str">
            <v>49404</v>
          </cell>
          <cell r="C161" t="str">
            <v>HORA MAQUINA - CAMINHAO BASCULANTE SIMPLES 204 HP</v>
          </cell>
          <cell r="D161" t="str">
            <v>H</v>
          </cell>
          <cell r="E161">
            <v>71.47</v>
          </cell>
        </row>
        <row r="162">
          <cell r="B162" t="str">
            <v>49405</v>
          </cell>
          <cell r="C162" t="str">
            <v>HORA MAQUINA - RETROESCAVADEIRA 76 HP</v>
          </cell>
          <cell r="D162" t="str">
            <v>H</v>
          </cell>
          <cell r="E162">
            <v>34.590000000000003</v>
          </cell>
        </row>
        <row r="163">
          <cell r="B163" t="str">
            <v>49406</v>
          </cell>
          <cell r="C163" t="str">
            <v>HORA MAQUINA - ESCAVADEIRA HIDRAULICA 93 HP</v>
          </cell>
          <cell r="D163" t="str">
            <v>H</v>
          </cell>
          <cell r="E163">
            <v>50.04</v>
          </cell>
        </row>
        <row r="164">
          <cell r="B164" t="str">
            <v>49410</v>
          </cell>
          <cell r="C164" t="str">
            <v>HORA-MAQUINA DE ESCAVADEIRA DRAG-LINE</v>
          </cell>
          <cell r="D164" t="str">
            <v>H</v>
          </cell>
          <cell r="E164">
            <v>69.22</v>
          </cell>
        </row>
        <row r="165">
          <cell r="B165" t="str">
            <v>49412</v>
          </cell>
          <cell r="C165" t="str">
            <v>HORA-MAQUINA DE ESCAVADEIRA CASE-POCLAIN 988</v>
          </cell>
          <cell r="D165" t="str">
            <v>H</v>
          </cell>
          <cell r="E165">
            <v>87.06</v>
          </cell>
        </row>
        <row r="166">
          <cell r="B166" t="str">
            <v>49414</v>
          </cell>
          <cell r="C166" t="str">
            <v>HORA-MAQUINA DE CARREGADEIRA MF-86</v>
          </cell>
          <cell r="D166" t="str">
            <v>H</v>
          </cell>
          <cell r="E166">
            <v>36.869999999999997</v>
          </cell>
        </row>
        <row r="167">
          <cell r="B167" t="str">
            <v>49416</v>
          </cell>
          <cell r="C167" t="str">
            <v>HORA-MAQUINA DE CAMINHAO LK 1621/42 - SIMPLES</v>
          </cell>
          <cell r="D167" t="str">
            <v>H</v>
          </cell>
          <cell r="E167">
            <v>45.15</v>
          </cell>
        </row>
        <row r="168">
          <cell r="B168" t="str">
            <v>49500</v>
          </cell>
          <cell r="C168" t="str">
            <v>TRANSPORTE LOCAL COMCAMINHAO BASCULANTE (PARA MICROB</v>
          </cell>
          <cell r="D168" t="str">
            <v>TON</v>
          </cell>
          <cell r="E168">
            <v>1.88</v>
          </cell>
        </row>
        <row r="169">
          <cell r="B169" t="str">
            <v>49510</v>
          </cell>
          <cell r="C169" t="str">
            <v>TRANSPORTE LOCAL COMCAMINHAO BASCULANTE (PARA MICROB</v>
          </cell>
          <cell r="D169" t="str">
            <v>TON</v>
          </cell>
          <cell r="E169">
            <v>0.9</v>
          </cell>
        </row>
        <row r="170">
          <cell r="B170" t="str">
            <v>49520</v>
          </cell>
          <cell r="C170" t="str">
            <v>TRANSPORTE COMERCIAL COMCAM. BASCULANTE (PARA MICROBA</v>
          </cell>
          <cell r="D170" t="str">
            <v>TON</v>
          </cell>
          <cell r="E170">
            <v>0.39</v>
          </cell>
        </row>
        <row r="171">
          <cell r="B171" t="str">
            <v>49530</v>
          </cell>
          <cell r="C171" t="str">
            <v>TRANSPORTE LOCAL COM CAMINHAO BASCULANTE ROD. PAVIM</v>
          </cell>
          <cell r="D171" t="str">
            <v>TN</v>
          </cell>
          <cell r="E171">
            <v>0.71</v>
          </cell>
        </row>
        <row r="172">
          <cell r="B172" t="str">
            <v>49540</v>
          </cell>
          <cell r="C172" t="str">
            <v>TRANSPORTE LOCAL COM CAMINHAO BASCULANTE ROD.NAO PA</v>
          </cell>
          <cell r="D172" t="str">
            <v>TN</v>
          </cell>
          <cell r="E172">
            <v>0.86</v>
          </cell>
        </row>
        <row r="173">
          <cell r="B173" t="str">
            <v>49550</v>
          </cell>
          <cell r="C173" t="str">
            <v>TRANSPORTE LOCAL COM CAMINHAO BASCULANTE (CTE)</v>
          </cell>
          <cell r="D173" t="str">
            <v>TN</v>
          </cell>
          <cell r="E173">
            <v>0.71</v>
          </cell>
        </row>
        <row r="174">
          <cell r="B174" t="str">
            <v>49560</v>
          </cell>
          <cell r="C174" t="str">
            <v>TRANSPORTE LOCAL COM CAMINHAO CARROCERIA ROD. PAVIM</v>
          </cell>
          <cell r="D174" t="str">
            <v>TN</v>
          </cell>
          <cell r="E174">
            <v>0.56999999999999995</v>
          </cell>
        </row>
        <row r="175">
          <cell r="B175" t="str">
            <v>49570</v>
          </cell>
          <cell r="C175" t="str">
            <v>TRANSPORTE LOCAL COM CAMINHAO CARROCERIA ROD.NAO PA</v>
          </cell>
          <cell r="D175" t="str">
            <v>TN</v>
          </cell>
          <cell r="E175">
            <v>0.42</v>
          </cell>
        </row>
        <row r="176">
          <cell r="B176" t="str">
            <v>49580</v>
          </cell>
          <cell r="C176" t="str">
            <v>TRANSPORTE LOCAL COM CAMINHAO CARROCERIA (CTE)</v>
          </cell>
          <cell r="D176" t="str">
            <v>TN</v>
          </cell>
          <cell r="E176">
            <v>3.4</v>
          </cell>
        </row>
        <row r="177">
          <cell r="B177" t="str">
            <v>49590</v>
          </cell>
          <cell r="C177" t="str">
            <v>TRANSPORTE COMERCIAL COMCAMINHAO BASCULANTE ROD.PAVI</v>
          </cell>
          <cell r="D177" t="str">
            <v>TN</v>
          </cell>
          <cell r="E177">
            <v>0.56999999999999995</v>
          </cell>
        </row>
        <row r="178">
          <cell r="B178" t="str">
            <v>49600</v>
          </cell>
          <cell r="C178" t="str">
            <v>TRANSPORTE COMERCIAL COMCAMINHAO BASCULANTE ROD.N.PA</v>
          </cell>
          <cell r="D178" t="str">
            <v>TN</v>
          </cell>
          <cell r="E178">
            <v>0.71</v>
          </cell>
        </row>
        <row r="179">
          <cell r="B179" t="str">
            <v>49610</v>
          </cell>
          <cell r="C179" t="str">
            <v>TRANSPORTE COMERCIAL COMCAMINHAO CARROCERIA ROD. PAVI</v>
          </cell>
          <cell r="D179" t="str">
            <v>TN</v>
          </cell>
          <cell r="E179">
            <v>0.33</v>
          </cell>
        </row>
        <row r="180">
          <cell r="B180" t="str">
            <v>49620</v>
          </cell>
          <cell r="C180" t="str">
            <v>TRANSPORTE COMERCIAL COMCAMINHAO CARROCERIA ROD.N.PA</v>
          </cell>
          <cell r="D180" t="str">
            <v>TN</v>
          </cell>
          <cell r="E180">
            <v>0.42</v>
          </cell>
        </row>
        <row r="181">
          <cell r="B181" t="str">
            <v>49630</v>
          </cell>
          <cell r="C181" t="str">
            <v>CONCRETO FCK 15 MPA - FUNDAÇÕES</v>
          </cell>
          <cell r="D181" t="str">
            <v>M3</v>
          </cell>
          <cell r="E181">
            <v>136.77000000000001</v>
          </cell>
        </row>
        <row r="182">
          <cell r="B182" t="str">
            <v>49640</v>
          </cell>
          <cell r="C182" t="str">
            <v>ARMADURA ACO CA-50  - FUNDAÇÕES - FORNEC / BENEFICIAMENTO</v>
          </cell>
          <cell r="D182" t="str">
            <v>KG</v>
          </cell>
          <cell r="E182">
            <v>1.91</v>
          </cell>
        </row>
        <row r="183">
          <cell r="B183" t="str">
            <v>49650</v>
          </cell>
          <cell r="C183" t="str">
            <v>LANÇAMENTO DE CONCRETO COM BOMBA</v>
          </cell>
          <cell r="D183" t="str">
            <v>M3</v>
          </cell>
          <cell r="E183">
            <v>18.13</v>
          </cell>
        </row>
        <row r="184">
          <cell r="B184" t="str">
            <v>49660</v>
          </cell>
          <cell r="C184" t="str">
            <v>LANÇAMENTO DE CONCRETO COM GUINDASTE</v>
          </cell>
          <cell r="D184" t="str">
            <v>M3</v>
          </cell>
          <cell r="E184">
            <v>24.94</v>
          </cell>
        </row>
        <row r="185">
          <cell r="B185" t="str">
            <v>49670</v>
          </cell>
          <cell r="C185" t="str">
            <v>LANÇAMENTO DE CONCRETO DESCARGA DIRETA</v>
          </cell>
          <cell r="D185" t="str">
            <v>M3</v>
          </cell>
          <cell r="E185">
            <v>1.63</v>
          </cell>
        </row>
        <row r="186">
          <cell r="B186" t="str">
            <v>49680</v>
          </cell>
          <cell r="C186" t="str">
            <v>ARMADURA AÇO CA-50 - COLOCAÇÃO</v>
          </cell>
          <cell r="D186" t="str">
            <v>KG</v>
          </cell>
          <cell r="E186">
            <v>0.5</v>
          </cell>
        </row>
        <row r="187">
          <cell r="B187" t="str">
            <v>49690</v>
          </cell>
          <cell r="C187" t="str">
            <v>CONCRETO PROJETADO</v>
          </cell>
          <cell r="D187" t="str">
            <v>M3</v>
          </cell>
          <cell r="E187">
            <v>336.24</v>
          </cell>
        </row>
        <row r="188">
          <cell r="B188" t="str">
            <v>49700</v>
          </cell>
          <cell r="C188" t="str">
            <v>PATIO DE VIGAS PRÉ-MOLDADAS</v>
          </cell>
          <cell r="D188" t="str">
            <v>UN</v>
          </cell>
          <cell r="E188">
            <v>25097.66</v>
          </cell>
        </row>
        <row r="189">
          <cell r="B189" t="str">
            <v>49750</v>
          </cell>
          <cell r="C189" t="str">
            <v>REBOCO E=3MM</v>
          </cell>
          <cell r="D189" t="str">
            <v>M2</v>
          </cell>
          <cell r="E189">
            <v>7.38</v>
          </cell>
        </row>
        <row r="190">
          <cell r="B190" t="str">
            <v>49800</v>
          </cell>
          <cell r="C190" t="str">
            <v>CONCRETO FCK=20 MPA - BOMBEÁVEL - C/ SLUMP 22</v>
          </cell>
          <cell r="D190" t="str">
            <v>M3</v>
          </cell>
          <cell r="E190">
            <v>178.29999999999998</v>
          </cell>
        </row>
        <row r="191">
          <cell r="B191" t="str">
            <v>49805</v>
          </cell>
          <cell r="C191" t="str">
            <v>BASES DE CONCRETO PARA PLACAS &lt;= 1,50 M²</v>
          </cell>
          <cell r="D191" t="str">
            <v>UNID</v>
          </cell>
          <cell r="E191">
            <v>78.91</v>
          </cell>
        </row>
        <row r="192">
          <cell r="B192" t="str">
            <v>49806</v>
          </cell>
          <cell r="C192" t="str">
            <v>BASES DE CONCRETO PARA PLACAS &gt; 1,50 M²</v>
          </cell>
          <cell r="D192" t="str">
            <v>UNID</v>
          </cell>
          <cell r="E192">
            <v>147.63</v>
          </cell>
        </row>
        <row r="193">
          <cell r="B193" t="str">
            <v>49807</v>
          </cell>
          <cell r="C193" t="str">
            <v>FORMA COMUM PARA SARJETAS E VALETAS</v>
          </cell>
          <cell r="D193" t="str">
            <v>M2</v>
          </cell>
          <cell r="E193">
            <v>7.3500000000000005</v>
          </cell>
        </row>
        <row r="194">
          <cell r="B194" t="str">
            <v>13010</v>
          </cell>
          <cell r="C194" t="str">
            <v>BRITA COMERCIAL</v>
          </cell>
          <cell r="D194" t="str">
            <v>M3</v>
          </cell>
          <cell r="E194" t="str">
            <v>17,50</v>
          </cell>
        </row>
        <row r="195">
          <cell r="B195" t="str">
            <v>13011</v>
          </cell>
          <cell r="C195" t="str">
            <v>PEDRISCO</v>
          </cell>
          <cell r="D195" t="str">
            <v>M3</v>
          </cell>
          <cell r="E195">
            <v>18.5</v>
          </cell>
        </row>
        <row r="196">
          <cell r="B196" t="str">
            <v>13012</v>
          </cell>
          <cell r="C196" t="str">
            <v>PÓ DE PEDRA</v>
          </cell>
          <cell r="D196" t="str">
            <v>M3</v>
          </cell>
          <cell r="E196">
            <v>17.3</v>
          </cell>
        </row>
        <row r="197">
          <cell r="B197" t="str">
            <v>13013</v>
          </cell>
          <cell r="C197" t="str">
            <v>PEDRA PULMÃO</v>
          </cell>
          <cell r="D197" t="str">
            <v>M3</v>
          </cell>
          <cell r="E197">
            <v>16.5</v>
          </cell>
        </row>
        <row r="198">
          <cell r="B198" t="str">
            <v>13019</v>
          </cell>
          <cell r="C198" t="str">
            <v>CINZA</v>
          </cell>
          <cell r="D198" t="str">
            <v>KG</v>
          </cell>
          <cell r="E198">
            <v>0.26</v>
          </cell>
        </row>
        <row r="199">
          <cell r="B199" t="str">
            <v>13020</v>
          </cell>
          <cell r="C199" t="str">
            <v>AREIA COMERCIAL</v>
          </cell>
          <cell r="D199" t="str">
            <v>M3</v>
          </cell>
          <cell r="E199">
            <v>14</v>
          </cell>
        </row>
        <row r="200">
          <cell r="B200" t="str">
            <v>13021</v>
          </cell>
          <cell r="C200" t="str">
            <v>AREIA PARA FUNDAÇÕES</v>
          </cell>
          <cell r="D200" t="str">
            <v>M3</v>
          </cell>
          <cell r="E200">
            <v>6</v>
          </cell>
        </row>
        <row r="201">
          <cell r="B201" t="str">
            <v>13030</v>
          </cell>
          <cell r="C201" t="str">
            <v>LAJOTA DE CONCRETO DE 10 CM X 30 CM</v>
          </cell>
          <cell r="D201" t="str">
            <v>M2</v>
          </cell>
          <cell r="E201" t="str">
            <v>14,20</v>
          </cell>
        </row>
        <row r="202">
          <cell r="B202" t="str">
            <v>13035</v>
          </cell>
          <cell r="C202" t="str">
            <v>BRIQUETES DE 8 CM</v>
          </cell>
          <cell r="D202" t="str">
            <v>M2</v>
          </cell>
          <cell r="E202" t="str">
            <v>16,00</v>
          </cell>
        </row>
        <row r="203">
          <cell r="B203" t="str">
            <v>13040</v>
          </cell>
          <cell r="C203" t="str">
            <v>CIMENTO 320 CP-IV</v>
          </cell>
          <cell r="D203" t="str">
            <v>KG</v>
          </cell>
          <cell r="E203" t="str">
            <v>0,26</v>
          </cell>
        </row>
        <row r="204">
          <cell r="B204" t="str">
            <v>13045</v>
          </cell>
          <cell r="C204" t="str">
            <v>BENTONITA</v>
          </cell>
          <cell r="D204" t="str">
            <v>KG</v>
          </cell>
          <cell r="E204">
            <v>0.21</v>
          </cell>
        </row>
        <row r="205">
          <cell r="B205" t="str">
            <v>13050</v>
          </cell>
          <cell r="C205" t="str">
            <v>TIJOLO MACICO</v>
          </cell>
          <cell r="D205" t="str">
            <v>UN</v>
          </cell>
          <cell r="E205" t="str">
            <v>0,08</v>
          </cell>
        </row>
        <row r="206">
          <cell r="B206" t="str">
            <v>13055</v>
          </cell>
          <cell r="C206" t="str">
            <v>TIJOLOS FURADOS DE 10X15X20</v>
          </cell>
          <cell r="D206" t="str">
            <v>UN</v>
          </cell>
          <cell r="E206" t="str">
            <v>0,10</v>
          </cell>
        </row>
        <row r="207">
          <cell r="B207" t="str">
            <v>13060</v>
          </cell>
          <cell r="C207" t="str">
            <v>PARALELEPIPEDO</v>
          </cell>
          <cell r="D207" t="str">
            <v>M2</v>
          </cell>
          <cell r="E207" t="str">
            <v>8,40</v>
          </cell>
        </row>
        <row r="208">
          <cell r="B208" t="str">
            <v>13061</v>
          </cell>
          <cell r="C208" t="str">
            <v>MEIO-FIO DE PEDRA</v>
          </cell>
          <cell r="D208" t="str">
            <v>M</v>
          </cell>
          <cell r="E208">
            <v>5.3</v>
          </cell>
        </row>
        <row r="209">
          <cell r="B209" t="str">
            <v>13080</v>
          </cell>
          <cell r="C209" t="str">
            <v>MOUROES TRIANG. DE CONCRETO L=10cm x 220 cm</v>
          </cell>
          <cell r="D209" t="str">
            <v>UN</v>
          </cell>
          <cell r="E209" t="str">
            <v>4,80</v>
          </cell>
        </row>
        <row r="210">
          <cell r="B210" t="str">
            <v>13085</v>
          </cell>
          <cell r="C210" t="str">
            <v>MOUROES CONCRETO 10 X 10 X 220</v>
          </cell>
          <cell r="D210" t="str">
            <v>UN</v>
          </cell>
          <cell r="E210" t="str">
            <v>8,00</v>
          </cell>
        </row>
        <row r="211">
          <cell r="B211" t="str">
            <v>13090</v>
          </cell>
          <cell r="C211" t="str">
            <v>MOUROES CONCRETO 15 X 15 X 220</v>
          </cell>
          <cell r="D211" t="str">
            <v>UN</v>
          </cell>
          <cell r="E211" t="str">
            <v>11,98</v>
          </cell>
        </row>
        <row r="212">
          <cell r="B212" t="str">
            <v>13100</v>
          </cell>
          <cell r="C212" t="str">
            <v>ESTICADOR DE CONCRETO 10x10x300 cm</v>
          </cell>
          <cell r="D212" t="str">
            <v>UN</v>
          </cell>
          <cell r="E212" t="str">
            <v>6,50</v>
          </cell>
        </row>
        <row r="213">
          <cell r="B213" t="str">
            <v>13120</v>
          </cell>
          <cell r="C213" t="str">
            <v>TUBO POROSO D=20 CM</v>
          </cell>
          <cell r="D213" t="str">
            <v>M</v>
          </cell>
          <cell r="E213" t="str">
            <v>7,30</v>
          </cell>
        </row>
        <row r="214">
          <cell r="B214" t="str">
            <v>13140</v>
          </cell>
          <cell r="C214" t="str">
            <v>TUBO PERFURADO D=20 CM</v>
          </cell>
          <cell r="D214" t="str">
            <v>M</v>
          </cell>
          <cell r="E214" t="str">
            <v>6,60</v>
          </cell>
        </row>
        <row r="215">
          <cell r="B215" t="str">
            <v>13145</v>
          </cell>
          <cell r="C215" t="str">
            <v>TUBO D=20 CM (SIMPLES)</v>
          </cell>
          <cell r="D215" t="str">
            <v>M</v>
          </cell>
          <cell r="E215">
            <v>6.8</v>
          </cell>
        </row>
        <row r="216">
          <cell r="B216" t="str">
            <v>13150</v>
          </cell>
          <cell r="C216" t="str">
            <v>TUBO D=30 CM (SIMPLES)</v>
          </cell>
          <cell r="D216" t="str">
            <v>M</v>
          </cell>
          <cell r="E216" t="str">
            <v>7,07</v>
          </cell>
        </row>
        <row r="217">
          <cell r="B217" t="str">
            <v>13160</v>
          </cell>
          <cell r="C217" t="str">
            <v>TUBO D=40 CM (SIMPLES)</v>
          </cell>
          <cell r="D217" t="str">
            <v>M</v>
          </cell>
          <cell r="E217" t="str">
            <v>12,00</v>
          </cell>
        </row>
        <row r="218">
          <cell r="B218" t="str">
            <v>13170</v>
          </cell>
          <cell r="C218" t="str">
            <v>TUBO D=50 CM (SIMPLES)</v>
          </cell>
          <cell r="D218" t="str">
            <v>M</v>
          </cell>
          <cell r="E218" t="str">
            <v>17,93</v>
          </cell>
        </row>
        <row r="219">
          <cell r="B219" t="str">
            <v>13180</v>
          </cell>
          <cell r="C219" t="str">
            <v>TUBO D=60 CM (SIMPLES)</v>
          </cell>
          <cell r="D219" t="str">
            <v>M</v>
          </cell>
          <cell r="E219" t="str">
            <v>23,00</v>
          </cell>
        </row>
        <row r="220">
          <cell r="B220" t="str">
            <v>13190</v>
          </cell>
          <cell r="C220" t="str">
            <v>TUBO D= 60 CM CA-1</v>
          </cell>
          <cell r="D220" t="str">
            <v>M</v>
          </cell>
          <cell r="E220" t="str">
            <v>34,65</v>
          </cell>
        </row>
        <row r="221">
          <cell r="B221" t="str">
            <v>13200</v>
          </cell>
          <cell r="C221" t="str">
            <v>TUBO D= 60 CM CA-2</v>
          </cell>
          <cell r="D221" t="str">
            <v>M</v>
          </cell>
          <cell r="E221" t="str">
            <v>41,25</v>
          </cell>
        </row>
        <row r="222">
          <cell r="B222" t="str">
            <v>13210</v>
          </cell>
          <cell r="C222" t="str">
            <v>TUBO D= 80 CM CA-2</v>
          </cell>
          <cell r="D222" t="str">
            <v>M</v>
          </cell>
          <cell r="E222" t="str">
            <v>74,25</v>
          </cell>
        </row>
        <row r="223">
          <cell r="B223" t="str">
            <v>13220</v>
          </cell>
          <cell r="C223" t="str">
            <v>TUBO D=100 CM CA-2</v>
          </cell>
          <cell r="D223" t="str">
            <v>M</v>
          </cell>
          <cell r="E223" t="str">
            <v>103,95</v>
          </cell>
        </row>
        <row r="224">
          <cell r="B224" t="str">
            <v>13230</v>
          </cell>
          <cell r="C224" t="str">
            <v>TUBO D=120 CM CA-2</v>
          </cell>
          <cell r="D224" t="str">
            <v>M</v>
          </cell>
          <cell r="E224" t="str">
            <v>137,55</v>
          </cell>
        </row>
        <row r="225">
          <cell r="B225" t="str">
            <v>13240</v>
          </cell>
          <cell r="C225" t="str">
            <v>TUBO D=150 CM CA-2</v>
          </cell>
          <cell r="D225" t="str">
            <v>M</v>
          </cell>
          <cell r="E225" t="str">
            <v>210,00</v>
          </cell>
        </row>
        <row r="226">
          <cell r="B226" t="str">
            <v>13250</v>
          </cell>
          <cell r="C226" t="str">
            <v>TUBO D=200 CM CA-2</v>
          </cell>
          <cell r="D226" t="str">
            <v>M</v>
          </cell>
          <cell r="E226" t="str">
            <v>354,45</v>
          </cell>
        </row>
        <row r="227">
          <cell r="B227" t="str">
            <v>13260</v>
          </cell>
          <cell r="C227" t="str">
            <v>TUBO D= 80 CM CA-3</v>
          </cell>
          <cell r="D227" t="str">
            <v>M</v>
          </cell>
          <cell r="E227" t="str">
            <v>78,68</v>
          </cell>
        </row>
        <row r="228">
          <cell r="B228" t="str">
            <v>13270</v>
          </cell>
          <cell r="C228" t="str">
            <v>TUBO D=100 CM CA-3</v>
          </cell>
          <cell r="D228" t="str">
            <v>M</v>
          </cell>
          <cell r="E228" t="str">
            <v>107,55</v>
          </cell>
        </row>
        <row r="229">
          <cell r="B229" t="str">
            <v>13280</v>
          </cell>
          <cell r="C229" t="str">
            <v>TUBO D=120 CM CA-3</v>
          </cell>
          <cell r="D229" t="str">
            <v>M</v>
          </cell>
          <cell r="E229" t="str">
            <v>143,70</v>
          </cell>
        </row>
        <row r="230">
          <cell r="B230" t="str">
            <v>13282</v>
          </cell>
          <cell r="C230" t="str">
            <v>TUBO D=150 CM CA-3</v>
          </cell>
          <cell r="D230" t="str">
            <v>M</v>
          </cell>
          <cell r="E230" t="str">
            <v>267,18</v>
          </cell>
        </row>
        <row r="231">
          <cell r="B231" t="str">
            <v>13300</v>
          </cell>
          <cell r="C231" t="str">
            <v>CALHA D=30 CM SIMPLES</v>
          </cell>
          <cell r="D231" t="str">
            <v>M</v>
          </cell>
          <cell r="E231" t="str">
            <v>5,70</v>
          </cell>
        </row>
        <row r="232">
          <cell r="B232" t="str">
            <v>13310</v>
          </cell>
          <cell r="C232" t="str">
            <v>CALHA D=40 CM SIMPLES</v>
          </cell>
          <cell r="D232" t="str">
            <v>M</v>
          </cell>
          <cell r="E232" t="str">
            <v>8,10</v>
          </cell>
        </row>
        <row r="233">
          <cell r="B233" t="str">
            <v>13320</v>
          </cell>
          <cell r="C233" t="str">
            <v>CALHA D=60 CM SIMPLES</v>
          </cell>
          <cell r="D233" t="str">
            <v>M</v>
          </cell>
          <cell r="E233" t="str">
            <v>15,00</v>
          </cell>
        </row>
        <row r="234">
          <cell r="B234" t="str">
            <v>13360</v>
          </cell>
          <cell r="C234" t="str">
            <v>TUBO PVC P/DRENO D=100 MM</v>
          </cell>
          <cell r="D234" t="str">
            <v>M</v>
          </cell>
          <cell r="E234" t="str">
            <v>4,75</v>
          </cell>
        </row>
        <row r="235">
          <cell r="B235" t="str">
            <v>13370</v>
          </cell>
          <cell r="C235" t="str">
            <v>TUBO PVC P/DRENO D=150 MM</v>
          </cell>
          <cell r="D235" t="str">
            <v>M</v>
          </cell>
          <cell r="E235" t="str">
            <v>9,25</v>
          </cell>
        </row>
        <row r="236">
          <cell r="B236" t="str">
            <v>13380</v>
          </cell>
          <cell r="C236" t="str">
            <v>TUBO PVC RIGIDO D= 50 MM</v>
          </cell>
          <cell r="D236" t="str">
            <v>M</v>
          </cell>
          <cell r="E236" t="str">
            <v>2,54</v>
          </cell>
        </row>
        <row r="237">
          <cell r="B237" t="str">
            <v>13390</v>
          </cell>
          <cell r="C237" t="str">
            <v>TUBO PVC RIGIDO D=100 MM</v>
          </cell>
          <cell r="D237" t="str">
            <v>M</v>
          </cell>
          <cell r="E237" t="str">
            <v>3,84</v>
          </cell>
        </row>
        <row r="238">
          <cell r="B238" t="str">
            <v>13400</v>
          </cell>
          <cell r="C238" t="str">
            <v>DESMOLDANTE P/ FORMAS</v>
          </cell>
          <cell r="D238" t="str">
            <v>L</v>
          </cell>
          <cell r="E238">
            <v>2.5299999999999998</v>
          </cell>
        </row>
        <row r="239">
          <cell r="B239" t="str">
            <v>13401</v>
          </cell>
          <cell r="C239" t="str">
            <v>MADEIRA DE LEI - SERRADA</v>
          </cell>
          <cell r="D239" t="str">
            <v>M3</v>
          </cell>
          <cell r="E239" t="str">
            <v>500,00</v>
          </cell>
        </row>
        <row r="240">
          <cell r="B240" t="str">
            <v>13405</v>
          </cell>
          <cell r="C240" t="str">
            <v>MADEIRA IV SERRADA - PINUS</v>
          </cell>
          <cell r="D240" t="str">
            <v>M3</v>
          </cell>
          <cell r="E240" t="str">
            <v>200,00</v>
          </cell>
        </row>
        <row r="241">
          <cell r="B241" t="str">
            <v>13407</v>
          </cell>
          <cell r="C241" t="str">
            <v>MADEIRA SERRADA - PINHO 3A INDUSTRIAL</v>
          </cell>
          <cell r="D241" t="str">
            <v>M3</v>
          </cell>
          <cell r="E241">
            <v>230</v>
          </cell>
        </row>
        <row r="242">
          <cell r="B242" t="str">
            <v>13408</v>
          </cell>
          <cell r="C242" t="str">
            <v>MADEIRA SERRADA - ANGICO/CANAFISTULA</v>
          </cell>
          <cell r="D242" t="str">
            <v>M3</v>
          </cell>
          <cell r="E242">
            <v>200</v>
          </cell>
        </row>
        <row r="243">
          <cell r="B243" t="str">
            <v>13409</v>
          </cell>
          <cell r="C243" t="str">
            <v>ESTRONCA DE EUCALIPTO D=0,15M</v>
          </cell>
          <cell r="D243" t="str">
            <v>M</v>
          </cell>
          <cell r="E243">
            <v>3.08</v>
          </cell>
        </row>
        <row r="244">
          <cell r="B244" t="str">
            <v>13430</v>
          </cell>
          <cell r="C244" t="str">
            <v>MULTI PLATE 100 C/EPOXI 2.7MM</v>
          </cell>
          <cell r="D244" t="str">
            <v>KG</v>
          </cell>
          <cell r="E244" t="str">
            <v>3,96</v>
          </cell>
        </row>
        <row r="245">
          <cell r="B245" t="str">
            <v>13450</v>
          </cell>
          <cell r="C245" t="str">
            <v>TUNNEL LINER C/EPOXI 2.7MM</v>
          </cell>
          <cell r="D245" t="str">
            <v>KG</v>
          </cell>
          <cell r="E245" t="str">
            <v>5,82</v>
          </cell>
        </row>
        <row r="246">
          <cell r="B246" t="str">
            <v>13470</v>
          </cell>
          <cell r="C246" t="str">
            <v>CAIBROS 3X 3 - IV</v>
          </cell>
          <cell r="D246" t="str">
            <v>M</v>
          </cell>
          <cell r="E246" t="str">
            <v>1,16</v>
          </cell>
        </row>
        <row r="247">
          <cell r="B247" t="str">
            <v>13500</v>
          </cell>
          <cell r="C247" t="str">
            <v>TRAV. FIXACAO 2X 2.3/4 - LEI</v>
          </cell>
          <cell r="D247" t="str">
            <v>M</v>
          </cell>
          <cell r="E247">
            <v>2.12</v>
          </cell>
        </row>
        <row r="248">
          <cell r="B248" t="str">
            <v>13510</v>
          </cell>
          <cell r="C248" t="str">
            <v>PRANCHAO 2X 12-LEI</v>
          </cell>
          <cell r="D248" t="str">
            <v>M</v>
          </cell>
          <cell r="E248" t="str">
            <v>7,74</v>
          </cell>
        </row>
        <row r="249">
          <cell r="B249" t="str">
            <v>13520</v>
          </cell>
          <cell r="C249" t="str">
            <v>TABUA 1X 12 - LEI</v>
          </cell>
          <cell r="D249" t="str">
            <v>M2</v>
          </cell>
          <cell r="E249" t="str">
            <v>12,71</v>
          </cell>
        </row>
        <row r="250">
          <cell r="B250" t="str">
            <v>13530</v>
          </cell>
          <cell r="C250" t="str">
            <v>TRAVESSAS 1X 6 - LEI</v>
          </cell>
          <cell r="D250" t="str">
            <v>M</v>
          </cell>
          <cell r="E250" t="str">
            <v>1,96</v>
          </cell>
        </row>
        <row r="251">
          <cell r="B251" t="str">
            <v>13540</v>
          </cell>
          <cell r="C251" t="str">
            <v>TRAVESSAS 2X 6 - LEI</v>
          </cell>
          <cell r="D251" t="str">
            <v>M</v>
          </cell>
          <cell r="E251" t="str">
            <v>3,50</v>
          </cell>
        </row>
        <row r="252">
          <cell r="B252" t="str">
            <v>13550</v>
          </cell>
          <cell r="C252" t="str">
            <v>MADEIRA 2X 10 E 3X 3 - LEI</v>
          </cell>
          <cell r="D252" t="str">
            <v>M3</v>
          </cell>
          <cell r="E252" t="str">
            <v>500,00</v>
          </cell>
        </row>
        <row r="253">
          <cell r="B253" t="str">
            <v>13560</v>
          </cell>
          <cell r="C253" t="str">
            <v>MADEIRA DE LEI 3X 4</v>
          </cell>
          <cell r="D253" t="str">
            <v>M</v>
          </cell>
          <cell r="E253" t="str">
            <v>3,87</v>
          </cell>
        </row>
        <row r="254">
          <cell r="B254" t="str">
            <v>13570</v>
          </cell>
          <cell r="C254" t="str">
            <v>MADEIRA DE LEI 6X 1</v>
          </cell>
          <cell r="D254" t="str">
            <v>M</v>
          </cell>
          <cell r="E254" t="str">
            <v>1,96</v>
          </cell>
        </row>
        <row r="255">
          <cell r="B255" t="str">
            <v>13580</v>
          </cell>
          <cell r="C255" t="str">
            <v>MADEIRA DE LEI 6X 6</v>
          </cell>
          <cell r="D255" t="str">
            <v>M</v>
          </cell>
          <cell r="E255" t="str">
            <v>11,63</v>
          </cell>
        </row>
        <row r="256">
          <cell r="B256" t="str">
            <v>13590</v>
          </cell>
          <cell r="C256" t="str">
            <v>MADEIRA DE LEI 8X 3</v>
          </cell>
          <cell r="D256" t="str">
            <v>M</v>
          </cell>
          <cell r="E256" t="str">
            <v>7,74</v>
          </cell>
        </row>
        <row r="257">
          <cell r="B257" t="str">
            <v>13600</v>
          </cell>
          <cell r="C257" t="str">
            <v>MADEIRA DE LEI 8X 8</v>
          </cell>
          <cell r="D257" t="str">
            <v>M</v>
          </cell>
          <cell r="E257" t="str">
            <v>20,67</v>
          </cell>
        </row>
        <row r="258">
          <cell r="B258" t="str">
            <v>13610</v>
          </cell>
          <cell r="C258" t="str">
            <v>VIGA 4X 10X 3.00 M - LEI</v>
          </cell>
          <cell r="D258" t="str">
            <v>M</v>
          </cell>
          <cell r="E258" t="str">
            <v>12,89</v>
          </cell>
        </row>
        <row r="259">
          <cell r="B259" t="str">
            <v>13620</v>
          </cell>
          <cell r="C259" t="str">
            <v>GUIAS 1X 4-IV</v>
          </cell>
          <cell r="D259" t="str">
            <v>M</v>
          </cell>
          <cell r="E259" t="str">
            <v>0,51</v>
          </cell>
        </row>
        <row r="260">
          <cell r="B260" t="str">
            <v>13630</v>
          </cell>
          <cell r="C260" t="str">
            <v>GUIAS 1X 6-IV</v>
          </cell>
          <cell r="D260" t="str">
            <v>M</v>
          </cell>
          <cell r="E260" t="str">
            <v>0,79</v>
          </cell>
        </row>
        <row r="261">
          <cell r="B261" t="str">
            <v>13640</v>
          </cell>
          <cell r="C261" t="str">
            <v>POSTE MADEIRA 3X 3-LEI</v>
          </cell>
          <cell r="D261" t="str">
            <v>M</v>
          </cell>
          <cell r="E261">
            <v>4</v>
          </cell>
        </row>
        <row r="262">
          <cell r="B262" t="str">
            <v>13650</v>
          </cell>
          <cell r="C262" t="str">
            <v>PLACA DE COMPENSADO 18 MM</v>
          </cell>
          <cell r="D262" t="str">
            <v>M2</v>
          </cell>
          <cell r="E262" t="str">
            <v>9,42</v>
          </cell>
        </row>
        <row r="263">
          <cell r="B263" t="str">
            <v>13651</v>
          </cell>
          <cell r="C263" t="str">
            <v>CHAPA COMPENSADA PLASTIF. 17MM</v>
          </cell>
          <cell r="D263" t="str">
            <v>M2</v>
          </cell>
          <cell r="E263" t="str">
            <v>14,88</v>
          </cell>
        </row>
        <row r="264">
          <cell r="B264" t="str">
            <v>13652</v>
          </cell>
          <cell r="C264" t="str">
            <v>CHAPA DE COMPENSADO RESINADO 14MM</v>
          </cell>
          <cell r="D264" t="str">
            <v>M2</v>
          </cell>
          <cell r="E264">
            <v>6.45</v>
          </cell>
        </row>
        <row r="265">
          <cell r="B265" t="str">
            <v>13660</v>
          </cell>
          <cell r="C265" t="str">
            <v>PECA ROLICA D=15 CM</v>
          </cell>
          <cell r="D265" t="str">
            <v>M</v>
          </cell>
          <cell r="E265" t="str">
            <v>2,50</v>
          </cell>
        </row>
        <row r="266">
          <cell r="B266" t="str">
            <v>13670</v>
          </cell>
          <cell r="C266" t="str">
            <v>PECA ROLICA D=20 CM</v>
          </cell>
          <cell r="D266" t="str">
            <v>M</v>
          </cell>
          <cell r="E266" t="str">
            <v>4,00</v>
          </cell>
        </row>
        <row r="267">
          <cell r="B267" t="str">
            <v>13680</v>
          </cell>
          <cell r="C267" t="str">
            <v>PECA ROLICA D=25 CM</v>
          </cell>
          <cell r="D267" t="str">
            <v>M</v>
          </cell>
          <cell r="E267" t="str">
            <v>5,00</v>
          </cell>
        </row>
        <row r="268">
          <cell r="B268" t="str">
            <v>13690</v>
          </cell>
          <cell r="C268" t="str">
            <v>ACO CA 25</v>
          </cell>
          <cell r="D268" t="str">
            <v>KG</v>
          </cell>
          <cell r="E268" t="str">
            <v>1,37</v>
          </cell>
        </row>
        <row r="269">
          <cell r="B269" t="str">
            <v>13700</v>
          </cell>
          <cell r="C269" t="str">
            <v>ACO CA 50</v>
          </cell>
          <cell r="D269" t="str">
            <v>KG</v>
          </cell>
          <cell r="E269" t="str">
            <v>1,37</v>
          </cell>
        </row>
        <row r="270">
          <cell r="B270" t="str">
            <v>13710</v>
          </cell>
          <cell r="C270" t="str">
            <v>ACO CA 60</v>
          </cell>
          <cell r="D270" t="str">
            <v>KG</v>
          </cell>
          <cell r="E270" t="str">
            <v>1,63</v>
          </cell>
        </row>
        <row r="271">
          <cell r="B271" t="str">
            <v>13715</v>
          </cell>
          <cell r="C271" t="str">
            <v>CORDOALHA P/PROTENSÃO - AÇO CP 190 RB</v>
          </cell>
          <cell r="D271" t="str">
            <v>KG</v>
          </cell>
          <cell r="E271">
            <v>2.4500000000000002</v>
          </cell>
        </row>
        <row r="272">
          <cell r="B272" t="str">
            <v>13717</v>
          </cell>
          <cell r="C272" t="str">
            <v>BAINHA METÁLICA GALVANIZADA DN 65 MM</v>
          </cell>
          <cell r="D272" t="str">
            <v>M</v>
          </cell>
          <cell r="E272">
            <v>3.87</v>
          </cell>
        </row>
        <row r="273">
          <cell r="B273" t="str">
            <v>13718</v>
          </cell>
          <cell r="C273" t="str">
            <v>CHUMBADORES SN 1 POL</v>
          </cell>
          <cell r="D273" t="str">
            <v>M</v>
          </cell>
          <cell r="E273">
            <v>9.6999999999999993</v>
          </cell>
        </row>
        <row r="274">
          <cell r="B274" t="str">
            <v>13720</v>
          </cell>
          <cell r="C274" t="str">
            <v>ARAME RECOZIDO</v>
          </cell>
          <cell r="D274" t="str">
            <v>KG</v>
          </cell>
          <cell r="E274" t="str">
            <v>2,44</v>
          </cell>
        </row>
        <row r="275">
          <cell r="B275" t="str">
            <v>13750</v>
          </cell>
          <cell r="C275" t="str">
            <v>CAP 40</v>
          </cell>
          <cell r="D275" t="str">
            <v>T</v>
          </cell>
          <cell r="E275" t="str">
            <v>614,25</v>
          </cell>
        </row>
        <row r="276">
          <cell r="B276" t="str">
            <v>13760</v>
          </cell>
          <cell r="C276" t="str">
            <v>CAP 20</v>
          </cell>
          <cell r="D276" t="str">
            <v>T</v>
          </cell>
          <cell r="E276" t="str">
            <v>642,15</v>
          </cell>
        </row>
        <row r="277">
          <cell r="B277" t="str">
            <v>13765</v>
          </cell>
          <cell r="C277" t="str">
            <v>ASFRIDOPE</v>
          </cell>
          <cell r="D277" t="str">
            <v>T</v>
          </cell>
          <cell r="E277">
            <v>2700</v>
          </cell>
        </row>
        <row r="278">
          <cell r="B278" t="str">
            <v>13770</v>
          </cell>
          <cell r="C278" t="str">
            <v>ASFALTO DILUIDO CM 30</v>
          </cell>
          <cell r="D278" t="str">
            <v>T</v>
          </cell>
          <cell r="E278" t="str">
            <v>882,72</v>
          </cell>
        </row>
        <row r="279">
          <cell r="B279" t="str">
            <v>13780</v>
          </cell>
          <cell r="C279" t="str">
            <v>ASFALTO DILUIDO CR 250</v>
          </cell>
          <cell r="D279" t="str">
            <v>T</v>
          </cell>
          <cell r="E279" t="str">
            <v>882,72</v>
          </cell>
        </row>
        <row r="280">
          <cell r="B280" t="str">
            <v>13790</v>
          </cell>
          <cell r="C280" t="str">
            <v>EMULSAO ASFALTICA RM 1C</v>
          </cell>
          <cell r="D280" t="str">
            <v>T</v>
          </cell>
          <cell r="E280" t="str">
            <v>630,27</v>
          </cell>
        </row>
        <row r="281">
          <cell r="B281" t="str">
            <v>13800</v>
          </cell>
          <cell r="C281" t="str">
            <v>EMULSAO ASFALTICA RM 2C</v>
          </cell>
          <cell r="D281" t="str">
            <v>T</v>
          </cell>
          <cell r="E281" t="str">
            <v>653,94</v>
          </cell>
        </row>
        <row r="282">
          <cell r="B282" t="str">
            <v>13810</v>
          </cell>
          <cell r="C282" t="str">
            <v>EMULSAO ASFALTICA RR 1C</v>
          </cell>
          <cell r="D282" t="str">
            <v>T</v>
          </cell>
          <cell r="E282" t="str">
            <v>513,90</v>
          </cell>
        </row>
        <row r="283">
          <cell r="B283" t="str">
            <v>13820</v>
          </cell>
          <cell r="C283" t="str">
            <v>EMULSAO ASFALTICA RR 2C</v>
          </cell>
          <cell r="D283" t="str">
            <v>T</v>
          </cell>
          <cell r="E283" t="str">
            <v>555,12</v>
          </cell>
        </row>
        <row r="284">
          <cell r="B284" t="str">
            <v>13830</v>
          </cell>
          <cell r="C284" t="str">
            <v>EMULSAO ASFALTICA RL 1C</v>
          </cell>
          <cell r="D284" t="str">
            <v>T</v>
          </cell>
          <cell r="E284" t="str">
            <v>607,32</v>
          </cell>
        </row>
        <row r="285">
          <cell r="B285" t="str">
            <v>13840</v>
          </cell>
          <cell r="C285" t="str">
            <v>FILLER</v>
          </cell>
          <cell r="D285" t="str">
            <v>T</v>
          </cell>
          <cell r="E285" t="str">
            <v>34,00</v>
          </cell>
        </row>
        <row r="286">
          <cell r="B286" t="str">
            <v>13850</v>
          </cell>
          <cell r="C286" t="str">
            <v>CAL HIDRADATA</v>
          </cell>
          <cell r="D286" t="str">
            <v>T</v>
          </cell>
          <cell r="E286" t="str">
            <v>110,00</v>
          </cell>
        </row>
        <row r="287">
          <cell r="B287" t="str">
            <v>13860</v>
          </cell>
          <cell r="C287" t="str">
            <v>GELATINA 60% -   7/8</v>
          </cell>
          <cell r="D287" t="str">
            <v>KG</v>
          </cell>
          <cell r="E287" t="str">
            <v>4,20</v>
          </cell>
        </row>
        <row r="288">
          <cell r="B288" t="str">
            <v>13870</v>
          </cell>
          <cell r="C288" t="str">
            <v>GELATINA 60% - 1</v>
          </cell>
          <cell r="D288" t="str">
            <v>KG</v>
          </cell>
          <cell r="E288" t="str">
            <v>4,20</v>
          </cell>
        </row>
        <row r="289">
          <cell r="B289" t="str">
            <v>13880</v>
          </cell>
          <cell r="C289" t="str">
            <v>GELATINA 60% - 2.1/2</v>
          </cell>
          <cell r="D289" t="str">
            <v>KG</v>
          </cell>
          <cell r="E289" t="str">
            <v>3,50</v>
          </cell>
        </row>
        <row r="290">
          <cell r="B290" t="str">
            <v>13890</v>
          </cell>
          <cell r="C290" t="str">
            <v>GELATINA 60% - 3</v>
          </cell>
          <cell r="D290" t="str">
            <v>KG</v>
          </cell>
          <cell r="E290" t="str">
            <v>3,50</v>
          </cell>
        </row>
        <row r="291">
          <cell r="B291" t="str">
            <v>13900</v>
          </cell>
          <cell r="C291" t="str">
            <v>ESPOLETA SIMPLES</v>
          </cell>
          <cell r="D291" t="str">
            <v>UN</v>
          </cell>
          <cell r="E291">
            <v>0.71</v>
          </cell>
        </row>
        <row r="292">
          <cell r="B292" t="str">
            <v>13910</v>
          </cell>
          <cell r="C292" t="str">
            <v>ESPOLETA ELETRICA C/FIOS</v>
          </cell>
          <cell r="D292" t="str">
            <v>M</v>
          </cell>
          <cell r="E292" t="str">
            <v>9,95</v>
          </cell>
        </row>
        <row r="293">
          <cell r="B293" t="str">
            <v>13920</v>
          </cell>
          <cell r="C293" t="str">
            <v>ESTOPIM SIMPLES</v>
          </cell>
          <cell r="D293" t="str">
            <v>M</v>
          </cell>
          <cell r="E293" t="str">
            <v>0,59</v>
          </cell>
        </row>
        <row r="294">
          <cell r="B294" t="str">
            <v>13930</v>
          </cell>
          <cell r="C294" t="str">
            <v>CORDEL DETONANTE</v>
          </cell>
          <cell r="D294" t="str">
            <v>M</v>
          </cell>
          <cell r="E294" t="str">
            <v>0,50</v>
          </cell>
        </row>
        <row r="295">
          <cell r="B295" t="str">
            <v>13935</v>
          </cell>
          <cell r="C295" t="str">
            <v>RETARDADOR DE CORDEL</v>
          </cell>
          <cell r="D295" t="str">
            <v>UN</v>
          </cell>
          <cell r="E295">
            <v>6.1</v>
          </cell>
        </row>
        <row r="296">
          <cell r="B296" t="str">
            <v>13940</v>
          </cell>
          <cell r="C296" t="str">
            <v>DINAMITE</v>
          </cell>
          <cell r="D296" t="str">
            <v>KG</v>
          </cell>
          <cell r="E296">
            <v>4.3</v>
          </cell>
        </row>
        <row r="297">
          <cell r="B297" t="str">
            <v>13950</v>
          </cell>
          <cell r="C297" t="str">
            <v>TINTA OLEO</v>
          </cell>
          <cell r="D297" t="str">
            <v>L</v>
          </cell>
          <cell r="E297">
            <v>6.15</v>
          </cell>
        </row>
        <row r="298">
          <cell r="B298" t="str">
            <v>13960</v>
          </cell>
          <cell r="C298" t="str">
            <v>TINTA SINALIZ. RODOV. BRANCA</v>
          </cell>
          <cell r="D298" t="str">
            <v>L</v>
          </cell>
          <cell r="E298">
            <v>9</v>
          </cell>
        </row>
        <row r="299">
          <cell r="B299" t="str">
            <v>13961</v>
          </cell>
          <cell r="C299" t="str">
            <v>TINTA SINALIZ. RODOV. AMARELA</v>
          </cell>
          <cell r="D299" t="str">
            <v>L</v>
          </cell>
          <cell r="E299">
            <v>9</v>
          </cell>
        </row>
        <row r="300">
          <cell r="B300" t="str">
            <v>13962</v>
          </cell>
          <cell r="C300" t="str">
            <v>MICROESFERAS DE VIDRO (PREMIX)</v>
          </cell>
          <cell r="D300" t="str">
            <v>KG</v>
          </cell>
          <cell r="E300">
            <v>2.2999999999999998</v>
          </cell>
        </row>
        <row r="301">
          <cell r="B301" t="str">
            <v>13963</v>
          </cell>
          <cell r="C301" t="str">
            <v>MICROESFERAS DE VIDRO (DROPON)</v>
          </cell>
          <cell r="D301" t="str">
            <v>KG</v>
          </cell>
          <cell r="E301">
            <v>2.2999999999999998</v>
          </cell>
        </row>
        <row r="302">
          <cell r="B302" t="str">
            <v>13964</v>
          </cell>
          <cell r="C302" t="str">
            <v>SOLVENTE TINTA SINALIZ. RODOV.</v>
          </cell>
          <cell r="D302" t="str">
            <v>L</v>
          </cell>
          <cell r="E302" t="str">
            <v>2,44</v>
          </cell>
        </row>
        <row r="303">
          <cell r="B303" t="str">
            <v>13965</v>
          </cell>
          <cell r="C303" t="str">
            <v>TINTA PARA PRÉ MARCAÇÃO</v>
          </cell>
          <cell r="D303" t="str">
            <v>L</v>
          </cell>
          <cell r="E303">
            <v>5</v>
          </cell>
        </row>
        <row r="304">
          <cell r="B304" t="str">
            <v>13970</v>
          </cell>
          <cell r="C304" t="str">
            <v>ARAME FARPADO GALV. N.16</v>
          </cell>
          <cell r="D304" t="str">
            <v>M</v>
          </cell>
          <cell r="E304" t="str">
            <v>0,15</v>
          </cell>
        </row>
        <row r="305">
          <cell r="B305" t="str">
            <v>13980</v>
          </cell>
          <cell r="C305" t="str">
            <v>ARAME LISO GALVANIZADO NUM. 16</v>
          </cell>
          <cell r="D305" t="str">
            <v>KG</v>
          </cell>
          <cell r="E305" t="str">
            <v>3,40</v>
          </cell>
        </row>
        <row r="306">
          <cell r="B306" t="str">
            <v>13985</v>
          </cell>
          <cell r="C306" t="str">
            <v>ARAME LISO GALVANIZADO NUM. 10</v>
          </cell>
          <cell r="D306" t="str">
            <v>KG</v>
          </cell>
          <cell r="E306" t="str">
            <v>3,00</v>
          </cell>
        </row>
        <row r="307">
          <cell r="B307" t="str">
            <v>13990</v>
          </cell>
          <cell r="C307" t="str">
            <v>PREGOS 17 x 27</v>
          </cell>
          <cell r="D307" t="str">
            <v>KG</v>
          </cell>
          <cell r="E307" t="str">
            <v>1,92</v>
          </cell>
        </row>
        <row r="308">
          <cell r="B308" t="str">
            <v>13991</v>
          </cell>
          <cell r="C308" t="str">
            <v>PREGOS</v>
          </cell>
          <cell r="D308" t="str">
            <v>KG</v>
          </cell>
          <cell r="E308">
            <v>1.54</v>
          </cell>
        </row>
        <row r="309">
          <cell r="B309" t="str">
            <v>13995</v>
          </cell>
          <cell r="C309" t="str">
            <v>FORMAS METÁLICAS PARA NEW JERSEY</v>
          </cell>
          <cell r="D309" t="str">
            <v>M2</v>
          </cell>
          <cell r="E309">
            <v>12</v>
          </cell>
        </row>
        <row r="310">
          <cell r="B310" t="str">
            <v>14000</v>
          </cell>
          <cell r="C310" t="str">
            <v>DOBRADICAS 3"</v>
          </cell>
          <cell r="D310" t="str">
            <v>UN</v>
          </cell>
          <cell r="E310" t="str">
            <v>2,11</v>
          </cell>
        </row>
        <row r="311">
          <cell r="B311" t="str">
            <v>14010</v>
          </cell>
          <cell r="C311" t="str">
            <v>PARAFUSOS FRANCES 1/4x1.1/2" c/porca/arrula</v>
          </cell>
          <cell r="D311" t="str">
            <v>UN</v>
          </cell>
          <cell r="E311">
            <v>0.38</v>
          </cell>
        </row>
        <row r="312">
          <cell r="B312" t="str">
            <v>14020</v>
          </cell>
          <cell r="C312" t="str">
            <v>GRAMA EM LEIVA</v>
          </cell>
          <cell r="D312" t="str">
            <v>M2</v>
          </cell>
          <cell r="E312" t="str">
            <v>2,50</v>
          </cell>
        </row>
        <row r="313">
          <cell r="B313" t="str">
            <v>14025</v>
          </cell>
          <cell r="C313" t="str">
            <v>DEFENSIVO AGRICOLA</v>
          </cell>
          <cell r="D313" t="str">
            <v>L</v>
          </cell>
          <cell r="E313" t="str">
            <v>14,90</v>
          </cell>
        </row>
        <row r="314">
          <cell r="B314" t="str">
            <v>14030</v>
          </cell>
          <cell r="C314" t="str">
            <v>ADUBO QUIMICO 7-11/9</v>
          </cell>
          <cell r="D314" t="str">
            <v>KG</v>
          </cell>
          <cell r="E314" t="str">
            <v>0,53</v>
          </cell>
        </row>
        <row r="315">
          <cell r="B315" t="str">
            <v>14035</v>
          </cell>
          <cell r="C315" t="str">
            <v>ORGANO MINERAL H2</v>
          </cell>
          <cell r="D315" t="str">
            <v>KG</v>
          </cell>
          <cell r="E315" t="str">
            <v>0,27</v>
          </cell>
        </row>
        <row r="316">
          <cell r="B316" t="str">
            <v>14040</v>
          </cell>
          <cell r="C316" t="str">
            <v>SEMENTES DE GRAMINEAS AZEVEM</v>
          </cell>
          <cell r="D316" t="str">
            <v>KG</v>
          </cell>
          <cell r="E316" t="str">
            <v>1,80</v>
          </cell>
        </row>
        <row r="317">
          <cell r="B317" t="str">
            <v>14045</v>
          </cell>
          <cell r="C317" t="str">
            <v>VEGETAL DECOMPOSTO</v>
          </cell>
          <cell r="D317" t="str">
            <v>KG</v>
          </cell>
          <cell r="E317" t="str">
            <v>0,52</v>
          </cell>
        </row>
        <row r="318">
          <cell r="B318" t="str">
            <v>14047</v>
          </cell>
          <cell r="C318" t="str">
            <v>SIGUNIT</v>
          </cell>
          <cell r="D318" t="str">
            <v>KG</v>
          </cell>
          <cell r="E318">
            <v>1.45</v>
          </cell>
        </row>
        <row r="319">
          <cell r="B319" t="str">
            <v>14050</v>
          </cell>
          <cell r="C319" t="str">
            <v>CELULOSE/ACETAMULCH</v>
          </cell>
          <cell r="D319" t="str">
            <v>KG</v>
          </cell>
          <cell r="E319" t="str">
            <v>0,60</v>
          </cell>
        </row>
        <row r="320">
          <cell r="B320" t="str">
            <v>14055</v>
          </cell>
          <cell r="C320" t="str">
            <v>TURFA CALCITADA</v>
          </cell>
          <cell r="D320" t="str">
            <v>KG</v>
          </cell>
          <cell r="E320" t="str">
            <v>0,34</v>
          </cell>
        </row>
        <row r="321">
          <cell r="B321" t="str">
            <v>14060</v>
          </cell>
          <cell r="C321" t="str">
            <v>EMULSAO AEROSOL P/HIDROSSEM.</v>
          </cell>
          <cell r="D321" t="str">
            <v>L</v>
          </cell>
          <cell r="E321" t="str">
            <v>0,45</v>
          </cell>
        </row>
        <row r="322">
          <cell r="B322" t="str">
            <v>14065</v>
          </cell>
          <cell r="C322" t="str">
            <v>UREIA</v>
          </cell>
          <cell r="D322" t="str">
            <v>KG</v>
          </cell>
          <cell r="E322" t="str">
            <v>0,52</v>
          </cell>
        </row>
        <row r="323">
          <cell r="B323" t="str">
            <v>14070</v>
          </cell>
          <cell r="C323" t="str">
            <v>DEFENSAS SIMPLES C/ACESS.</v>
          </cell>
          <cell r="D323" t="str">
            <v>M</v>
          </cell>
          <cell r="E323" t="str">
            <v>48,00</v>
          </cell>
        </row>
        <row r="324">
          <cell r="B324" t="str">
            <v>14071</v>
          </cell>
          <cell r="C324" t="str">
            <v>DEFENSA DUPLA C/ ACESSÓRIOS</v>
          </cell>
          <cell r="D324" t="str">
            <v>M</v>
          </cell>
          <cell r="E324" t="str">
            <v>88,80</v>
          </cell>
        </row>
        <row r="325">
          <cell r="B325" t="str">
            <v>14075</v>
          </cell>
          <cell r="C325" t="str">
            <v>IMPERMEABILIZANTE HIDRONORTH</v>
          </cell>
          <cell r="D325" t="str">
            <v>L</v>
          </cell>
          <cell r="E325" t="str">
            <v>5,88</v>
          </cell>
        </row>
        <row r="326">
          <cell r="B326" t="str">
            <v>14080</v>
          </cell>
          <cell r="C326" t="str">
            <v>ADITIVO DE CURA CURING</v>
          </cell>
          <cell r="D326" t="str">
            <v>L</v>
          </cell>
          <cell r="E326" t="str">
            <v>2,80</v>
          </cell>
        </row>
        <row r="327">
          <cell r="B327" t="str">
            <v>14084</v>
          </cell>
          <cell r="C327" t="str">
            <v>ADITIVO PLASTIMENT PARA CONCRETO</v>
          </cell>
          <cell r="D327" t="str">
            <v>KG</v>
          </cell>
          <cell r="E327" t="str">
            <v>22,49</v>
          </cell>
        </row>
        <row r="328">
          <cell r="B328" t="str">
            <v>14085</v>
          </cell>
          <cell r="C328" t="str">
            <v>ADESIVO ESTRUTURAL MONTAPOX</v>
          </cell>
          <cell r="D328" t="str">
            <v>KG</v>
          </cell>
          <cell r="E328" t="str">
            <v>22,50</v>
          </cell>
        </row>
        <row r="329">
          <cell r="B329" t="str">
            <v>14086</v>
          </cell>
          <cell r="C329" t="str">
            <v>ADITIVO RETARD VZ</v>
          </cell>
          <cell r="D329" t="str">
            <v>KG</v>
          </cell>
          <cell r="E329" t="str">
            <v>3,68</v>
          </cell>
        </row>
        <row r="330">
          <cell r="B330" t="str">
            <v>14087</v>
          </cell>
          <cell r="C330" t="str">
            <v>ADITIVO FIXADOR BIANCO-FIX</v>
          </cell>
          <cell r="D330" t="str">
            <v>L</v>
          </cell>
          <cell r="E330" t="str">
            <v>2,85</v>
          </cell>
        </row>
        <row r="331">
          <cell r="B331" t="str">
            <v>14090</v>
          </cell>
          <cell r="C331" t="str">
            <v>ADITIVO RETARD</v>
          </cell>
          <cell r="D331" t="str">
            <v>L</v>
          </cell>
          <cell r="E331" t="str">
            <v>2,25</v>
          </cell>
        </row>
        <row r="332">
          <cell r="B332" t="str">
            <v>14100</v>
          </cell>
          <cell r="C332" t="str">
            <v>BIDIM OP20/30/40</v>
          </cell>
          <cell r="D332" t="str">
            <v>KG</v>
          </cell>
          <cell r="E332" t="str">
            <v>8,28</v>
          </cell>
        </row>
        <row r="333">
          <cell r="B333" t="str">
            <v>14101</v>
          </cell>
          <cell r="C333" t="str">
            <v>GEOGRELHA SOLDADA - MACLINK - RESIST 100 KN/M</v>
          </cell>
          <cell r="D333" t="str">
            <v>M2</v>
          </cell>
          <cell r="E333">
            <v>20.9</v>
          </cell>
        </row>
        <row r="334">
          <cell r="B334" t="str">
            <v>14102</v>
          </cell>
          <cell r="C334" t="str">
            <v>GEOGRELHA SOLDADA - MACLINK - RESIST 200 KN/M</v>
          </cell>
          <cell r="D334" t="str">
            <v>M2</v>
          </cell>
          <cell r="E334">
            <v>28.4</v>
          </cell>
        </row>
        <row r="335">
          <cell r="B335" t="str">
            <v>14103</v>
          </cell>
          <cell r="C335" t="str">
            <v>GEOGRELHA SOLDADA - MACLINK - RESIST 300 KN/M</v>
          </cell>
          <cell r="D335" t="str">
            <v>M2</v>
          </cell>
          <cell r="E335">
            <v>37.770000000000003</v>
          </cell>
        </row>
        <row r="336">
          <cell r="B336" t="str">
            <v>14104</v>
          </cell>
          <cell r="C336" t="str">
            <v>GEOGRELHA SOLDADA - MACLINK - RESIST 400 KN/M</v>
          </cell>
          <cell r="D336" t="str">
            <v>M2</v>
          </cell>
          <cell r="E336">
            <v>71.75</v>
          </cell>
        </row>
        <row r="337">
          <cell r="B337" t="str">
            <v>14105</v>
          </cell>
          <cell r="C337" t="str">
            <v>GEOGRELHA SOLDADA - MACLINK - RESIST 500 KN/M</v>
          </cell>
          <cell r="D337" t="str">
            <v>M2</v>
          </cell>
          <cell r="E337">
            <v>85</v>
          </cell>
        </row>
        <row r="338">
          <cell r="B338" t="str">
            <v>14106</v>
          </cell>
          <cell r="C338" t="str">
            <v>GEOGRELHA SOLDADA - MACLINK - RESIST 600 KN/M</v>
          </cell>
          <cell r="D338" t="str">
            <v>M2</v>
          </cell>
          <cell r="E338">
            <v>93</v>
          </cell>
        </row>
        <row r="339">
          <cell r="B339" t="str">
            <v>14107</v>
          </cell>
          <cell r="C339" t="str">
            <v>GEOGRELHA SOLDADA - MACLINK - RESIST 700 KN/M</v>
          </cell>
          <cell r="D339" t="str">
            <v>M2</v>
          </cell>
          <cell r="E339">
            <v>111</v>
          </cell>
        </row>
        <row r="340">
          <cell r="B340" t="str">
            <v>14108</v>
          </cell>
          <cell r="C340" t="str">
            <v>GEOGRELHA SOLDADA - MACLINK - RESIST 800 KN/M</v>
          </cell>
          <cell r="D340" t="str">
            <v>M2</v>
          </cell>
          <cell r="E340">
            <v>129.15</v>
          </cell>
        </row>
        <row r="341">
          <cell r="B341" t="str">
            <v>14110</v>
          </cell>
          <cell r="C341" t="str">
            <v>COLCHAO RENO PVC H=30CM</v>
          </cell>
          <cell r="D341" t="str">
            <v>M2</v>
          </cell>
          <cell r="E341">
            <v>38</v>
          </cell>
        </row>
        <row r="342">
          <cell r="B342" t="str">
            <v>14112</v>
          </cell>
          <cell r="C342" t="str">
            <v>COLCHAO RENO PVC H=23CM</v>
          </cell>
          <cell r="D342" t="str">
            <v>M2</v>
          </cell>
          <cell r="E342">
            <v>32</v>
          </cell>
        </row>
        <row r="343">
          <cell r="B343" t="str">
            <v>14114</v>
          </cell>
          <cell r="C343" t="str">
            <v>COLCHAO RENO PVC H=17CM</v>
          </cell>
          <cell r="D343" t="str">
            <v>M2</v>
          </cell>
          <cell r="E343">
            <v>25.96</v>
          </cell>
        </row>
        <row r="344">
          <cell r="B344" t="str">
            <v>14120</v>
          </cell>
          <cell r="C344" t="str">
            <v>SACOS DE POLIPROPILENO</v>
          </cell>
          <cell r="D344" t="str">
            <v>UN</v>
          </cell>
          <cell r="E344" t="str">
            <v>0,60</v>
          </cell>
        </row>
        <row r="345">
          <cell r="B345" t="str">
            <v>14130</v>
          </cell>
          <cell r="C345" t="str">
            <v>SERIE DE BROCAS 1.1/2</v>
          </cell>
          <cell r="D345" t="str">
            <v>UN</v>
          </cell>
          <cell r="E345" t="str">
            <v>3.099,00</v>
          </cell>
        </row>
        <row r="346">
          <cell r="B346" t="str">
            <v>14140</v>
          </cell>
          <cell r="C346" t="str">
            <v>BROCA INTEGRAL</v>
          </cell>
          <cell r="D346" t="str">
            <v>UN</v>
          </cell>
          <cell r="E346">
            <v>197</v>
          </cell>
        </row>
        <row r="347">
          <cell r="B347" t="str">
            <v>14180</v>
          </cell>
          <cell r="C347" t="str">
            <v>PUNHO,HASTE,LUVA E BITS</v>
          </cell>
          <cell r="D347" t="str">
            <v>UN</v>
          </cell>
          <cell r="E347" t="str">
            <v>0,48</v>
          </cell>
        </row>
        <row r="348">
          <cell r="B348" t="str">
            <v>14181</v>
          </cell>
          <cell r="C348" t="str">
            <v>PUNHO</v>
          </cell>
          <cell r="D348" t="str">
            <v>UN</v>
          </cell>
          <cell r="E348">
            <v>422</v>
          </cell>
        </row>
        <row r="349">
          <cell r="B349" t="str">
            <v>14182</v>
          </cell>
          <cell r="C349" t="str">
            <v>HASTE</v>
          </cell>
          <cell r="D349" t="str">
            <v>UN</v>
          </cell>
          <cell r="E349">
            <v>564</v>
          </cell>
        </row>
        <row r="350">
          <cell r="B350" t="str">
            <v>14183</v>
          </cell>
          <cell r="C350" t="str">
            <v>LUVA</v>
          </cell>
          <cell r="D350" t="str">
            <v>UN</v>
          </cell>
          <cell r="E350">
            <v>145</v>
          </cell>
        </row>
        <row r="351">
          <cell r="B351" t="str">
            <v>14184</v>
          </cell>
          <cell r="C351" t="str">
            <v>BITS</v>
          </cell>
          <cell r="D351" t="str">
            <v>UN</v>
          </cell>
          <cell r="E351">
            <v>570</v>
          </cell>
        </row>
        <row r="352">
          <cell r="B352" t="str">
            <v>14185</v>
          </cell>
          <cell r="C352" t="str">
            <v>GRAXA GRAFITADA</v>
          </cell>
          <cell r="D352" t="str">
            <v>KG</v>
          </cell>
          <cell r="E352">
            <v>10.3</v>
          </cell>
        </row>
        <row r="353">
          <cell r="B353" t="str">
            <v>14190</v>
          </cell>
          <cell r="C353" t="str">
            <v>CHAPA 18 ZINCADA E PRE-PINTADA</v>
          </cell>
          <cell r="D353" t="str">
            <v>M2</v>
          </cell>
          <cell r="E353">
            <v>46.08</v>
          </cell>
        </row>
        <row r="354">
          <cell r="B354" t="str">
            <v>14191</v>
          </cell>
          <cell r="C354" t="str">
            <v>CHAPA ALUMINIO P/PLACAS - 2MM</v>
          </cell>
          <cell r="D354" t="str">
            <v>M2</v>
          </cell>
          <cell r="E354">
            <v>54.85</v>
          </cell>
        </row>
        <row r="355">
          <cell r="B355" t="str">
            <v>14192</v>
          </cell>
          <cell r="C355" t="str">
            <v>ACES. PLACAS ALUM. P/PORTICOS</v>
          </cell>
          <cell r="D355" t="str">
            <v>M2</v>
          </cell>
          <cell r="E355">
            <v>109.7</v>
          </cell>
        </row>
        <row r="356">
          <cell r="B356" t="str">
            <v>14196</v>
          </cell>
          <cell r="C356" t="str">
            <v>PELIC. REFL. ESFERAS INCL. GT</v>
          </cell>
          <cell r="D356" t="str">
            <v>M2</v>
          </cell>
          <cell r="E356">
            <v>71.739999999999995</v>
          </cell>
        </row>
        <row r="357">
          <cell r="B357" t="str">
            <v>14197</v>
          </cell>
          <cell r="C357" t="str">
            <v>PELICULA VINILICA N/REFLETIVA</v>
          </cell>
          <cell r="D357" t="str">
            <v>M2</v>
          </cell>
          <cell r="E357">
            <v>39.14</v>
          </cell>
        </row>
        <row r="358">
          <cell r="B358" t="str">
            <v>14198</v>
          </cell>
          <cell r="C358" t="str">
            <v>PELIC.REFL.ESF.ENCAPSULADAS AI</v>
          </cell>
          <cell r="D358" t="str">
            <v>M2</v>
          </cell>
          <cell r="E358">
            <v>168.97</v>
          </cell>
        </row>
        <row r="359">
          <cell r="B359" t="str">
            <v>14199</v>
          </cell>
          <cell r="C359" t="str">
            <v>PELIC.REFL.LENTES PRISMAT. GD</v>
          </cell>
          <cell r="D359" t="str">
            <v>M2</v>
          </cell>
          <cell r="E359">
            <v>392.84</v>
          </cell>
        </row>
        <row r="360">
          <cell r="B360" t="str">
            <v>14200</v>
          </cell>
          <cell r="C360" t="str">
            <v>BALISADOR DE CONCRETO</v>
          </cell>
          <cell r="D360" t="str">
            <v>UN</v>
          </cell>
          <cell r="E360" t="str">
            <v>26,50</v>
          </cell>
        </row>
        <row r="361">
          <cell r="B361" t="str">
            <v>14210</v>
          </cell>
          <cell r="C361" t="str">
            <v>TACHOES MONO-REFLETIVOS</v>
          </cell>
          <cell r="D361" t="str">
            <v>UN</v>
          </cell>
          <cell r="E361">
            <v>11</v>
          </cell>
        </row>
        <row r="362">
          <cell r="B362" t="str">
            <v>14211</v>
          </cell>
          <cell r="C362" t="str">
            <v>TACHOES BI-REFLETIVOS</v>
          </cell>
          <cell r="D362" t="str">
            <v>UN</v>
          </cell>
          <cell r="E362">
            <v>12</v>
          </cell>
        </row>
        <row r="363">
          <cell r="B363" t="str">
            <v>14212</v>
          </cell>
          <cell r="C363" t="str">
            <v>TACHINHAS MONO-REFLETIVAS</v>
          </cell>
          <cell r="D363" t="str">
            <v>UN</v>
          </cell>
          <cell r="E363">
            <v>4.5999999999999996</v>
          </cell>
        </row>
        <row r="364">
          <cell r="B364" t="str">
            <v>14213</v>
          </cell>
          <cell r="C364" t="str">
            <v>TACHINHAS BI-REFLETIVAS</v>
          </cell>
          <cell r="D364" t="str">
            <v>UN</v>
          </cell>
          <cell r="E364">
            <v>5.6</v>
          </cell>
        </row>
        <row r="365">
          <cell r="B365" t="str">
            <v>14214</v>
          </cell>
          <cell r="C365" t="str">
            <v>COLA PARA TACHINHAS E TACHOES</v>
          </cell>
          <cell r="D365" t="str">
            <v>KG</v>
          </cell>
          <cell r="E365" t="str">
            <v>5,17</v>
          </cell>
        </row>
        <row r="366">
          <cell r="B366" t="str">
            <v>14215</v>
          </cell>
          <cell r="C366" t="str">
            <v>TACHAO NAO REFLETIVO</v>
          </cell>
          <cell r="D366" t="str">
            <v>UN</v>
          </cell>
          <cell r="E366">
            <v>13</v>
          </cell>
        </row>
        <row r="367">
          <cell r="B367" t="str">
            <v>14216</v>
          </cell>
          <cell r="C367" t="str">
            <v>CALOTA ESFERICA D=15CM X 4CM</v>
          </cell>
          <cell r="D367" t="str">
            <v>UN</v>
          </cell>
          <cell r="E367">
            <v>11</v>
          </cell>
        </row>
        <row r="368">
          <cell r="B368" t="str">
            <v>14220</v>
          </cell>
          <cell r="C368" t="str">
            <v>GABIAO CX.GALV.H=0.50 M</v>
          </cell>
          <cell r="D368" t="str">
            <v>M3</v>
          </cell>
          <cell r="E368" t="str">
            <v>80,30</v>
          </cell>
        </row>
        <row r="369">
          <cell r="B369" t="str">
            <v>14225</v>
          </cell>
          <cell r="C369" t="str">
            <v>GABIAO CAIXA PVC H=0.5M</v>
          </cell>
          <cell r="D369" t="str">
            <v>M3</v>
          </cell>
          <cell r="E369" t="str">
            <v>95,70</v>
          </cell>
        </row>
        <row r="370">
          <cell r="B370" t="str">
            <v>14230</v>
          </cell>
          <cell r="C370" t="str">
            <v>GABIAO CX.GALV.H=1.00 M</v>
          </cell>
          <cell r="D370" t="str">
            <v>M3</v>
          </cell>
          <cell r="E370" t="str">
            <v>57,75</v>
          </cell>
        </row>
        <row r="371">
          <cell r="B371" t="str">
            <v>14235</v>
          </cell>
          <cell r="C371" t="str">
            <v>GABIAO CAIXA PVC H=1.0M</v>
          </cell>
          <cell r="D371" t="str">
            <v>M3</v>
          </cell>
          <cell r="E371" t="str">
            <v>66,88</v>
          </cell>
        </row>
        <row r="372">
          <cell r="B372" t="str">
            <v>14250</v>
          </cell>
          <cell r="C372" t="str">
            <v>APARELHO APOIO DE NEOPRENE</v>
          </cell>
          <cell r="D372" t="str">
            <v>KG</v>
          </cell>
          <cell r="E372" t="str">
            <v>17,00</v>
          </cell>
        </row>
        <row r="373">
          <cell r="B373" t="str">
            <v>14255</v>
          </cell>
          <cell r="C373" t="str">
            <v>APARELHOS DE APOIO NEOPRENE</v>
          </cell>
          <cell r="D373" t="str">
            <v>DM</v>
          </cell>
          <cell r="E373" t="str">
            <v>30,00</v>
          </cell>
        </row>
        <row r="374">
          <cell r="B374" t="str">
            <v>14260</v>
          </cell>
          <cell r="C374" t="str">
            <v>OXIGENIO</v>
          </cell>
          <cell r="D374" t="str">
            <v>M3</v>
          </cell>
          <cell r="E374" t="str">
            <v>10,00</v>
          </cell>
        </row>
        <row r="375">
          <cell r="B375" t="str">
            <v>14270</v>
          </cell>
          <cell r="C375" t="str">
            <v>ACETILENO</v>
          </cell>
          <cell r="D375" t="str">
            <v>KG</v>
          </cell>
          <cell r="E375" t="str">
            <v>18,00</v>
          </cell>
        </row>
        <row r="376">
          <cell r="B376" t="str">
            <v>14280</v>
          </cell>
          <cell r="C376" t="str">
            <v>OXIGENIO+ACETILENO</v>
          </cell>
          <cell r="D376" t="str">
            <v>KG</v>
          </cell>
          <cell r="E376" t="str">
            <v>30,00</v>
          </cell>
        </row>
        <row r="377">
          <cell r="B377" t="str">
            <v>14290</v>
          </cell>
          <cell r="C377" t="str">
            <v>CHAPA DE ACO DE 3/8</v>
          </cell>
          <cell r="D377" t="str">
            <v>KG</v>
          </cell>
          <cell r="E377" t="str">
            <v>1,49</v>
          </cell>
        </row>
        <row r="378">
          <cell r="B378" t="str">
            <v>14300</v>
          </cell>
          <cell r="C378" t="str">
            <v>TRILHO TR 32</v>
          </cell>
          <cell r="D378" t="str">
            <v>KG</v>
          </cell>
          <cell r="E378" t="str">
            <v>0,69</v>
          </cell>
        </row>
        <row r="379">
          <cell r="B379" t="str">
            <v>14310</v>
          </cell>
          <cell r="C379" t="str">
            <v>TRILHO TR 37</v>
          </cell>
          <cell r="D379" t="str">
            <v>KG</v>
          </cell>
          <cell r="E379" t="str">
            <v>0,69</v>
          </cell>
        </row>
        <row r="380">
          <cell r="B380" t="str">
            <v>14315</v>
          </cell>
          <cell r="C380" t="str">
            <v>TRILHO TR 45</v>
          </cell>
          <cell r="D380" t="str">
            <v>KG</v>
          </cell>
          <cell r="E380">
            <v>0.69</v>
          </cell>
        </row>
        <row r="381">
          <cell r="B381" t="str">
            <v>14316</v>
          </cell>
          <cell r="C381" t="str">
            <v>PERFIL METÁLICO I 10"/12"</v>
          </cell>
          <cell r="D381" t="str">
            <v>KG</v>
          </cell>
          <cell r="E381">
            <v>1.8</v>
          </cell>
        </row>
        <row r="382">
          <cell r="B382" t="str">
            <v>14320</v>
          </cell>
          <cell r="C382" t="str">
            <v>ELETRODOS P/SOLDA</v>
          </cell>
          <cell r="D382" t="str">
            <v>KG</v>
          </cell>
          <cell r="E382" t="str">
            <v>4,41</v>
          </cell>
        </row>
        <row r="383">
          <cell r="B383" t="str">
            <v>14330</v>
          </cell>
          <cell r="C383" t="str">
            <v>PORTICO V=14,80m - A=&lt;12 m2 - 162Km/h</v>
          </cell>
          <cell r="D383" t="str">
            <v>UN</v>
          </cell>
          <cell r="E383">
            <v>10890</v>
          </cell>
        </row>
        <row r="384">
          <cell r="B384" t="str">
            <v>14333</v>
          </cell>
          <cell r="C384" t="str">
            <v>SEMI-PORTICO V=7.20M-A&lt;=6.0M2 - 162 Km/h</v>
          </cell>
          <cell r="D384" t="str">
            <v>UN</v>
          </cell>
          <cell r="E384">
            <v>6600</v>
          </cell>
        </row>
        <row r="385">
          <cell r="B385" t="str">
            <v>14500</v>
          </cell>
          <cell r="C385" t="str">
            <v>DORMENTE (1,40X0,20X0,15)</v>
          </cell>
          <cell r="D385" t="str">
            <v>UN</v>
          </cell>
          <cell r="E385">
            <v>20</v>
          </cell>
        </row>
        <row r="386">
          <cell r="B386" t="str">
            <v>15100</v>
          </cell>
          <cell r="C386" t="str">
            <v>ARMADURAS NERVURADAS E GALVANIZADAS</v>
          </cell>
          <cell r="D386" t="str">
            <v>KG</v>
          </cell>
          <cell r="E386">
            <v>4.3499999999999996</v>
          </cell>
        </row>
        <row r="387">
          <cell r="B387" t="str">
            <v>15110</v>
          </cell>
          <cell r="C387" t="str">
            <v>PARAFUSOS ESPECIAIS</v>
          </cell>
          <cell r="D387" t="str">
            <v>UN</v>
          </cell>
          <cell r="E387">
            <v>0.74</v>
          </cell>
        </row>
        <row r="388">
          <cell r="B388" t="str">
            <v>15120</v>
          </cell>
          <cell r="C388" t="str">
            <v>APOIOS DE EPDM</v>
          </cell>
          <cell r="D388" t="str">
            <v>UN</v>
          </cell>
          <cell r="E388">
            <v>2.85</v>
          </cell>
        </row>
        <row r="389">
          <cell r="B389" t="str">
            <v>15130</v>
          </cell>
          <cell r="C389" t="str">
            <v>ESPUMA DE POLIURETANO</v>
          </cell>
          <cell r="D389" t="str">
            <v>UN</v>
          </cell>
          <cell r="E389">
            <v>1</v>
          </cell>
        </row>
        <row r="390">
          <cell r="B390" t="str">
            <v>15140</v>
          </cell>
          <cell r="C390" t="str">
            <v>LIGAÇÕES GALVANIZADAS</v>
          </cell>
          <cell r="D390" t="str">
            <v>UN</v>
          </cell>
          <cell r="E390">
            <v>2.17</v>
          </cell>
        </row>
        <row r="391">
          <cell r="B391" t="str">
            <v>15200</v>
          </cell>
          <cell r="C391" t="str">
            <v>CABO DE AÇO D=4,76 MM</v>
          </cell>
          <cell r="D391" t="str">
            <v>M</v>
          </cell>
          <cell r="E391">
            <v>2.5</v>
          </cell>
        </row>
        <row r="392">
          <cell r="B392" t="str">
            <v>15210</v>
          </cell>
          <cell r="C392" t="str">
            <v>OLEO ESP. P/DESMOLDE DE FORMAS METALICAS</v>
          </cell>
          <cell r="D392" t="str">
            <v>L</v>
          </cell>
          <cell r="E392">
            <v>2</v>
          </cell>
        </row>
        <row r="393">
          <cell r="B393" t="str">
            <v>15300</v>
          </cell>
          <cell r="C393" t="str">
            <v>CUNHAS DE MADEIRA</v>
          </cell>
          <cell r="D393" t="str">
            <v>UN</v>
          </cell>
          <cell r="E393">
            <v>0.1</v>
          </cell>
        </row>
        <row r="394">
          <cell r="B394" t="str">
            <v>15310</v>
          </cell>
          <cell r="C394" t="str">
            <v>SARGENTOS</v>
          </cell>
          <cell r="D394" t="str">
            <v>UN</v>
          </cell>
          <cell r="E394">
            <v>20</v>
          </cell>
        </row>
        <row r="395">
          <cell r="B395" t="str">
            <v>15320</v>
          </cell>
          <cell r="C395" t="str">
            <v>TABUAS DE PINHO COM 30CM DE LARGURA</v>
          </cell>
          <cell r="D395" t="str">
            <v>M</v>
          </cell>
          <cell r="E395">
            <v>2.9</v>
          </cell>
        </row>
        <row r="396">
          <cell r="B396" t="str">
            <v>15330</v>
          </cell>
          <cell r="C396" t="str">
            <v>SARRAFOS DE MADEIRA COM 10CM DE LARGURA</v>
          </cell>
          <cell r="D396" t="str">
            <v>M</v>
          </cell>
          <cell r="E396">
            <v>1.6</v>
          </cell>
        </row>
        <row r="397">
          <cell r="B397" t="str">
            <v>15340</v>
          </cell>
          <cell r="C397" t="str">
            <v>ESTACAS DE MADEIRA</v>
          </cell>
          <cell r="D397" t="str">
            <v>UN</v>
          </cell>
          <cell r="E397">
            <v>0.6</v>
          </cell>
        </row>
        <row r="398">
          <cell r="B398" t="str">
            <v>16001</v>
          </cell>
          <cell r="C398" t="str">
            <v>TUBO DE CONCRETO D=50CM - CA1</v>
          </cell>
          <cell r="D398" t="str">
            <v>UN</v>
          </cell>
          <cell r="E398" t="str">
            <v>26,57</v>
          </cell>
        </row>
        <row r="399">
          <cell r="B399" t="str">
            <v>16002</v>
          </cell>
          <cell r="C399" t="str">
            <v>EMENDAS DE ESTACAS 30X30CM</v>
          </cell>
          <cell r="D399" t="str">
            <v>UN</v>
          </cell>
          <cell r="E399">
            <v>74.400000000000006</v>
          </cell>
        </row>
        <row r="400">
          <cell r="B400" t="str">
            <v>16003</v>
          </cell>
          <cell r="C400" t="str">
            <v>ANEL PARA SOLDA 30X30CM</v>
          </cell>
          <cell r="D400" t="str">
            <v>UN</v>
          </cell>
          <cell r="E400">
            <v>29.9</v>
          </cell>
        </row>
        <row r="401">
          <cell r="B401" t="str">
            <v>16004</v>
          </cell>
          <cell r="C401" t="str">
            <v>EMENDAS DE ESTACAS 26X26CM</v>
          </cell>
          <cell r="D401" t="str">
            <v>UN</v>
          </cell>
          <cell r="E401">
            <v>57.4</v>
          </cell>
        </row>
        <row r="402">
          <cell r="B402" t="str">
            <v>16005</v>
          </cell>
          <cell r="C402" t="str">
            <v>ANEL PARA SOLDA 26X26CM</v>
          </cell>
          <cell r="D402" t="str">
            <v>UN</v>
          </cell>
          <cell r="E402">
            <v>28.6</v>
          </cell>
        </row>
        <row r="403">
          <cell r="B403" t="str">
            <v>16006</v>
          </cell>
          <cell r="C403" t="str">
            <v>ESTACAS CONCR.30X30CM  (FORNECIMENTO)</v>
          </cell>
          <cell r="D403" t="str">
            <v>M</v>
          </cell>
          <cell r="E403">
            <v>43.35</v>
          </cell>
        </row>
        <row r="404">
          <cell r="B404" t="str">
            <v>16007</v>
          </cell>
          <cell r="C404" t="str">
            <v>ESTACAS CONCR.26X26CM (FORNECIMENTO)</v>
          </cell>
          <cell r="D404" t="str">
            <v>M</v>
          </cell>
          <cell r="E404">
            <v>35.049999999999997</v>
          </cell>
        </row>
        <row r="405">
          <cell r="B405" t="str">
            <v>16008</v>
          </cell>
          <cell r="C405" t="str">
            <v>TUBO PVC 75MM</v>
          </cell>
          <cell r="D405" t="str">
            <v>M</v>
          </cell>
          <cell r="E405" t="str">
            <v>3,24</v>
          </cell>
        </row>
        <row r="406">
          <cell r="B406" t="str">
            <v>16012</v>
          </cell>
          <cell r="C406" t="str">
            <v>DISCO DE VIDIA 9' P/ESMERILHADEIRA</v>
          </cell>
          <cell r="D406" t="str">
            <v>UN</v>
          </cell>
          <cell r="E406" t="str">
            <v>4,31</v>
          </cell>
        </row>
        <row r="407">
          <cell r="B407" t="str">
            <v>16024</v>
          </cell>
          <cell r="C407" t="str">
            <v>TELA DE ARAME C/FIO 14 DE 2.5</v>
          </cell>
          <cell r="D407" t="str">
            <v>M2</v>
          </cell>
          <cell r="E407" t="str">
            <v>3,28</v>
          </cell>
        </row>
        <row r="408">
          <cell r="B408" t="str">
            <v>16026</v>
          </cell>
          <cell r="C408" t="str">
            <v>MUDA DE ARVORE SELECIONADA</v>
          </cell>
          <cell r="D408" t="str">
            <v>UN</v>
          </cell>
          <cell r="E408" t="str">
            <v>2,00</v>
          </cell>
        </row>
        <row r="409">
          <cell r="B409" t="str">
            <v>16037</v>
          </cell>
          <cell r="C409" t="str">
            <v>TAMPA F. FUND. P/POCO VISITA D=60cm</v>
          </cell>
          <cell r="D409" t="str">
            <v>UN</v>
          </cell>
          <cell r="E409" t="str">
            <v>110,00</v>
          </cell>
        </row>
        <row r="410">
          <cell r="B410" t="str">
            <v>16038</v>
          </cell>
          <cell r="C410" t="str">
            <v>TRILHO TR 57</v>
          </cell>
          <cell r="D410" t="str">
            <v>KG</v>
          </cell>
          <cell r="E410" t="str">
            <v>0,69</v>
          </cell>
        </row>
        <row r="411">
          <cell r="B411" t="str">
            <v>16052</v>
          </cell>
          <cell r="C411" t="str">
            <v>MUDAS DE LIRIO AMARELO</v>
          </cell>
          <cell r="D411" t="str">
            <v>UN</v>
          </cell>
          <cell r="E411" t="str">
            <v>0,40</v>
          </cell>
        </row>
        <row r="412">
          <cell r="B412" t="str">
            <v>16054</v>
          </cell>
          <cell r="C412" t="str">
            <v>GROUT</v>
          </cell>
          <cell r="D412" t="str">
            <v>KG</v>
          </cell>
          <cell r="E412" t="str">
            <v>0,52</v>
          </cell>
        </row>
        <row r="413">
          <cell r="B413" t="str">
            <v>16057</v>
          </cell>
          <cell r="C413" t="str">
            <v>TUBO ACO GALVANIZADO DN 100mm - E=2mm</v>
          </cell>
          <cell r="D413" t="str">
            <v>M</v>
          </cell>
          <cell r="E413" t="str">
            <v>31,00</v>
          </cell>
        </row>
        <row r="414">
          <cell r="B414" t="str">
            <v>16058</v>
          </cell>
          <cell r="C414" t="str">
            <v>CHAPA DE ACO DE 3/16</v>
          </cell>
          <cell r="D414" t="str">
            <v>KG</v>
          </cell>
          <cell r="E414" t="str">
            <v>1,36</v>
          </cell>
        </row>
        <row r="415">
          <cell r="B415" t="str">
            <v>16059</v>
          </cell>
          <cell r="C415" t="str">
            <v>COLCHAO RENO PVC H=0.23M</v>
          </cell>
          <cell r="D415" t="str">
            <v>M2</v>
          </cell>
          <cell r="E415" t="str">
            <v>29,92</v>
          </cell>
        </row>
        <row r="416">
          <cell r="B416" t="str">
            <v>16060</v>
          </cell>
          <cell r="C416" t="str">
            <v>GABIAO SACO PVC DE 5.0 X 0.65M</v>
          </cell>
          <cell r="D416" t="str">
            <v>PC</v>
          </cell>
          <cell r="E416" t="str">
            <v>117,97</v>
          </cell>
        </row>
        <row r="417">
          <cell r="B417" t="str">
            <v>16061</v>
          </cell>
          <cell r="C417" t="str">
            <v>ESTACAS CONCR.23X23CM (FORNECIMENTO)</v>
          </cell>
          <cell r="D417" t="str">
            <v>M</v>
          </cell>
          <cell r="E417">
            <v>28.75</v>
          </cell>
        </row>
        <row r="418">
          <cell r="B418" t="str">
            <v>16062</v>
          </cell>
          <cell r="C418" t="str">
            <v>EMENDA DE ESTACAS 23X23CM</v>
          </cell>
          <cell r="D418" t="str">
            <v>UN</v>
          </cell>
          <cell r="E418">
            <v>46.05</v>
          </cell>
        </row>
        <row r="419">
          <cell r="B419" t="str">
            <v>16063</v>
          </cell>
          <cell r="C419" t="str">
            <v>ANEL PARA SOLDA 23X23CM</v>
          </cell>
          <cell r="D419" t="str">
            <v>UN</v>
          </cell>
          <cell r="E419">
            <v>27.6</v>
          </cell>
        </row>
        <row r="420">
          <cell r="B420" t="str">
            <v>16065</v>
          </cell>
          <cell r="C420" t="str">
            <v>EMENDA (SUPLEMENTO) ESTACA D=17CM</v>
          </cell>
          <cell r="D420" t="str">
            <v>UN</v>
          </cell>
          <cell r="E420">
            <v>12</v>
          </cell>
        </row>
        <row r="421">
          <cell r="B421" t="str">
            <v>16066</v>
          </cell>
          <cell r="C421" t="str">
            <v>ESTACA CONCRETO PRÉ MOLDADA 17 CM 21/23 TON</v>
          </cell>
          <cell r="D421" t="str">
            <v>M</v>
          </cell>
          <cell r="E421">
            <v>8</v>
          </cell>
        </row>
        <row r="422">
          <cell r="B422" t="str">
            <v>16067</v>
          </cell>
          <cell r="C422" t="str">
            <v>ESTACA CONCRETO PRÉ MOLDADA 23 CM 47/50 TON</v>
          </cell>
          <cell r="D422" t="str">
            <v>M</v>
          </cell>
          <cell r="E422">
            <v>14</v>
          </cell>
        </row>
        <row r="423">
          <cell r="B423" t="str">
            <v>16068</v>
          </cell>
          <cell r="C423" t="str">
            <v>ESTACA CONCRETO PRÉ MOLDADA 26 CM 64 TON</v>
          </cell>
          <cell r="D423" t="str">
            <v>M</v>
          </cell>
          <cell r="E423">
            <v>19</v>
          </cell>
        </row>
        <row r="424">
          <cell r="B424" t="str">
            <v>16069</v>
          </cell>
          <cell r="C424" t="str">
            <v>ESTACA CONCRETO PRÉ MOLDADA 33 CM 82 TON</v>
          </cell>
          <cell r="D424" t="str">
            <v>M</v>
          </cell>
          <cell r="E424">
            <v>36</v>
          </cell>
        </row>
        <row r="425">
          <cell r="B425" t="str">
            <v>16070</v>
          </cell>
          <cell r="C425" t="str">
            <v>ESTACA CONCRETO PRÉ MOLDADA 38 CM 100 TON</v>
          </cell>
          <cell r="D425" t="str">
            <v>M</v>
          </cell>
          <cell r="E425">
            <v>45</v>
          </cell>
        </row>
        <row r="426">
          <cell r="B426" t="str">
            <v>16072</v>
          </cell>
          <cell r="C426" t="str">
            <v>TUBO ACO GALVANIZADO DN 50mm - E=2mm</v>
          </cell>
          <cell r="D426" t="str">
            <v>M</v>
          </cell>
          <cell r="E426" t="str">
            <v>12,45</v>
          </cell>
        </row>
        <row r="427">
          <cell r="B427" t="str">
            <v>16120</v>
          </cell>
          <cell r="C427" t="str">
            <v>ESTACAS CONCR.35X35CM (FORNECIMENTO)</v>
          </cell>
          <cell r="D427" t="str">
            <v>M</v>
          </cell>
          <cell r="E427">
            <v>59</v>
          </cell>
        </row>
        <row r="428">
          <cell r="B428" t="str">
            <v>16121</v>
          </cell>
          <cell r="C428" t="str">
            <v>EMENDA DE ESTACAS 35X35CM</v>
          </cell>
          <cell r="D428" t="str">
            <v>UN</v>
          </cell>
          <cell r="E428">
            <v>101.27</v>
          </cell>
        </row>
        <row r="429">
          <cell r="B429" t="str">
            <v>16122</v>
          </cell>
          <cell r="C429" t="str">
            <v>ANEL PARA SOLDA 35X35CM</v>
          </cell>
          <cell r="D429" t="str">
            <v>UN</v>
          </cell>
          <cell r="E429">
            <v>40.700000000000003</v>
          </cell>
        </row>
        <row r="430">
          <cell r="B430" t="str">
            <v>16125</v>
          </cell>
          <cell r="C430" t="str">
            <v>MANTA PAPEL KRAFT</v>
          </cell>
          <cell r="D430" t="str">
            <v>M2</v>
          </cell>
          <cell r="E430">
            <v>0.4</v>
          </cell>
        </row>
        <row r="431">
          <cell r="B431" t="str">
            <v>16128</v>
          </cell>
          <cell r="C431" t="str">
            <v>LONA PLASTICA E = 150 MICRA</v>
          </cell>
          <cell r="D431" t="str">
            <v>M2</v>
          </cell>
          <cell r="E431" t="str">
            <v>0,40</v>
          </cell>
        </row>
        <row r="432">
          <cell r="B432" t="str">
            <v>16129</v>
          </cell>
          <cell r="C432" t="str">
            <v>SELA JUNTA DE POLIURETANO</v>
          </cell>
          <cell r="D432" t="str">
            <v>L</v>
          </cell>
          <cell r="E432" t="str">
            <v>47,87</v>
          </cell>
        </row>
        <row r="433">
          <cell r="B433" t="str">
            <v>16130</v>
          </cell>
          <cell r="C433" t="str">
            <v>ISOPOR DE ESPESSURA 10 MM</v>
          </cell>
          <cell r="D433" t="str">
            <v>M2</v>
          </cell>
          <cell r="E433" t="str">
            <v>1,75</v>
          </cell>
        </row>
        <row r="434">
          <cell r="B434" t="str">
            <v>16131</v>
          </cell>
          <cell r="C434" t="str">
            <v>PROJETO DE O.A.E.</v>
          </cell>
          <cell r="D434" t="str">
            <v>R$</v>
          </cell>
          <cell r="E434" t="str">
            <v>1,00</v>
          </cell>
        </row>
        <row r="435">
          <cell r="B435" t="str">
            <v>16148</v>
          </cell>
          <cell r="C435" t="str">
            <v>PORTA DENTE P/FRESADORA 1000C</v>
          </cell>
          <cell r="D435" t="str">
            <v>UN</v>
          </cell>
          <cell r="E435" t="str">
            <v>35,00</v>
          </cell>
        </row>
        <row r="436">
          <cell r="B436" t="str">
            <v>16149</v>
          </cell>
          <cell r="C436" t="str">
            <v>DENTE P/FRESADORA SF 1000C</v>
          </cell>
          <cell r="D436" t="str">
            <v>UN</v>
          </cell>
          <cell r="E436" t="str">
            <v>18,90</v>
          </cell>
        </row>
        <row r="437">
          <cell r="B437" t="str">
            <v>16150</v>
          </cell>
          <cell r="C437" t="str">
            <v>BROCA DE VIDIA D=12MM SDC PLUS</v>
          </cell>
          <cell r="D437" t="str">
            <v>UN</v>
          </cell>
          <cell r="E437" t="str">
            <v>6,20</v>
          </cell>
        </row>
        <row r="438">
          <cell r="B438" t="str">
            <v>16154</v>
          </cell>
          <cell r="C438" t="str">
            <v>MUDA DE ARBUSTOS</v>
          </cell>
          <cell r="D438" t="str">
            <v>UN</v>
          </cell>
          <cell r="E438" t="str">
            <v>2,50</v>
          </cell>
        </row>
        <row r="439">
          <cell r="B439" t="str">
            <v>16163</v>
          </cell>
          <cell r="C439" t="str">
            <v>EMULSAO  C/POLIMEROS</v>
          </cell>
          <cell r="D439" t="str">
            <v>L</v>
          </cell>
          <cell r="E439" t="str">
            <v>0,82</v>
          </cell>
        </row>
        <row r="440">
          <cell r="B440" t="str">
            <v>16255</v>
          </cell>
          <cell r="C440" t="str">
            <v>TUBO ACO ZINC C/COSTURA D=75MM</v>
          </cell>
          <cell r="D440" t="str">
            <v>M</v>
          </cell>
          <cell r="E440" t="str">
            <v>10,28</v>
          </cell>
        </row>
        <row r="441">
          <cell r="B441" t="str">
            <v>16257</v>
          </cell>
          <cell r="C441" t="str">
            <v>TUBO ACO ZINC C/COSTURA D=50MM</v>
          </cell>
          <cell r="D441" t="str">
            <v>M</v>
          </cell>
          <cell r="E441" t="str">
            <v>6,69</v>
          </cell>
        </row>
        <row r="442">
          <cell r="B442" t="str">
            <v>16258</v>
          </cell>
          <cell r="C442" t="str">
            <v>MATERIAL/MO P/ILUMINACAO</v>
          </cell>
          <cell r="D442" t="str">
            <v>VB</v>
          </cell>
          <cell r="E442" t="str">
            <v>1,00</v>
          </cell>
        </row>
        <row r="443">
          <cell r="B443" t="str">
            <v>16259</v>
          </cell>
          <cell r="C443" t="str">
            <v>TELA ARAME GALV. FIO 14 DE 2</v>
          </cell>
          <cell r="D443" t="str">
            <v>M2</v>
          </cell>
          <cell r="E443" t="str">
            <v>4,04</v>
          </cell>
        </row>
        <row r="444">
          <cell r="B444" t="str">
            <v>16260</v>
          </cell>
          <cell r="C444" t="str">
            <v>GRELHA FOFO 70X40 CM</v>
          </cell>
          <cell r="D444" t="str">
            <v>UN</v>
          </cell>
          <cell r="E444" t="str">
            <v>35,00</v>
          </cell>
        </row>
        <row r="445">
          <cell r="B445" t="str">
            <v>16264</v>
          </cell>
          <cell r="C445" t="str">
            <v>TUBO PVC DN=150MM ESGOTO VINIL</v>
          </cell>
          <cell r="D445" t="str">
            <v>M</v>
          </cell>
          <cell r="E445" t="str">
            <v>11,79</v>
          </cell>
        </row>
        <row r="446">
          <cell r="B446" t="str">
            <v>16265</v>
          </cell>
          <cell r="C446" t="str">
            <v>TUBO PVC DN=60MM AGUA C15 JE</v>
          </cell>
          <cell r="D446" t="str">
            <v>M</v>
          </cell>
          <cell r="E446" t="str">
            <v>3,80</v>
          </cell>
        </row>
        <row r="447">
          <cell r="B447" t="str">
            <v>16300</v>
          </cell>
          <cell r="C447" t="str">
            <v>AP. ANCORAGEM ATIVA P/CABO - 04 CABOS</v>
          </cell>
          <cell r="D447" t="str">
            <v>UN</v>
          </cell>
          <cell r="E447">
            <v>111.73</v>
          </cell>
        </row>
        <row r="448">
          <cell r="B448" t="str">
            <v>16310</v>
          </cell>
          <cell r="C448" t="str">
            <v>AP. ANCORAGEM ATIVA P/CABO - 06 CABOS</v>
          </cell>
          <cell r="D448" t="str">
            <v>UN</v>
          </cell>
          <cell r="E448">
            <v>161.62</v>
          </cell>
        </row>
        <row r="449">
          <cell r="B449" t="str">
            <v>16320</v>
          </cell>
          <cell r="C449" t="str">
            <v>AP. ANCORAGEM ATIVA P/CABO - 12 CABOS</v>
          </cell>
          <cell r="D449" t="str">
            <v>UN</v>
          </cell>
          <cell r="E449">
            <v>449.28</v>
          </cell>
        </row>
        <row r="450">
          <cell r="B450" t="str">
            <v>16330</v>
          </cell>
          <cell r="C450" t="str">
            <v>AP. ANCORAGEM ATIVA P/CABO - 19 CABOS</v>
          </cell>
          <cell r="D450" t="str">
            <v>UN</v>
          </cell>
          <cell r="E450">
            <v>851</v>
          </cell>
        </row>
        <row r="451">
          <cell r="B451" t="str">
            <v>16340</v>
          </cell>
          <cell r="C451" t="str">
            <v>AP. ANCORAGEM ATIVA P/CABO - 22 CABOS</v>
          </cell>
          <cell r="D451" t="str">
            <v>UN</v>
          </cell>
          <cell r="E451">
            <v>1063.08</v>
          </cell>
        </row>
        <row r="452">
          <cell r="B452" t="str">
            <v>16350</v>
          </cell>
          <cell r="C452" t="str">
            <v>AP. ANCORAGEM PASSIVA P/CABO - 04 CABOS</v>
          </cell>
          <cell r="D452" t="str">
            <v>UN</v>
          </cell>
          <cell r="E452">
            <v>18.62</v>
          </cell>
        </row>
        <row r="453">
          <cell r="B453" t="str">
            <v>16360</v>
          </cell>
          <cell r="C453" t="str">
            <v>AP. ANCORAGEM PASSIVA P/CABO - 06 CABOS</v>
          </cell>
          <cell r="D453" t="str">
            <v>UN</v>
          </cell>
          <cell r="E453">
            <v>26.94</v>
          </cell>
        </row>
        <row r="454">
          <cell r="B454" t="str">
            <v>16370</v>
          </cell>
          <cell r="C454" t="str">
            <v>AP. ANCORAGEM PASSIVA P/CABO - 12 CABOS</v>
          </cell>
          <cell r="D454" t="str">
            <v>UN</v>
          </cell>
          <cell r="E454">
            <v>74.88</v>
          </cell>
        </row>
        <row r="455">
          <cell r="B455" t="str">
            <v>16380</v>
          </cell>
          <cell r="C455" t="str">
            <v>AP. ANCORAGEM PASSIVA P/CABO - 19 CABOS</v>
          </cell>
          <cell r="D455" t="str">
            <v>UN</v>
          </cell>
          <cell r="E455">
            <v>141.83000000000001</v>
          </cell>
        </row>
        <row r="456">
          <cell r="B456" t="str">
            <v>17500</v>
          </cell>
          <cell r="C456" t="str">
            <v>SEM MATERIAIS</v>
          </cell>
          <cell r="D456" t="str">
            <v xml:space="preserve"> </v>
          </cell>
          <cell r="E456" t="str">
            <v>0,00</v>
          </cell>
        </row>
        <row r="457">
          <cell r="B457" t="str">
            <v>17505</v>
          </cell>
          <cell r="C457" t="str">
            <v>COROA DE WIDIA - A</v>
          </cell>
          <cell r="D457" t="str">
            <v>UN</v>
          </cell>
          <cell r="E457" t="str">
            <v>75,60</v>
          </cell>
        </row>
        <row r="458">
          <cell r="B458" t="str">
            <v>17506</v>
          </cell>
          <cell r="C458" t="str">
            <v>COROA DE WIDIA - B</v>
          </cell>
          <cell r="D458" t="str">
            <v>UN</v>
          </cell>
          <cell r="E458" t="str">
            <v>95,58</v>
          </cell>
        </row>
        <row r="459">
          <cell r="B459" t="str">
            <v>17507</v>
          </cell>
          <cell r="C459" t="str">
            <v>COROA DE WIDIA - N</v>
          </cell>
          <cell r="D459" t="str">
            <v>UN</v>
          </cell>
          <cell r="E459" t="str">
            <v>137,16</v>
          </cell>
        </row>
        <row r="460">
          <cell r="B460" t="str">
            <v>17508</v>
          </cell>
          <cell r="C460" t="str">
            <v>COROA DE WIDIA - H</v>
          </cell>
          <cell r="D460" t="str">
            <v>UN</v>
          </cell>
          <cell r="E460" t="str">
            <v>149,04</v>
          </cell>
        </row>
        <row r="461">
          <cell r="B461" t="str">
            <v>17510</v>
          </cell>
          <cell r="C461" t="str">
            <v>CALIBRADOR DE WIDIA - A</v>
          </cell>
          <cell r="D461" t="str">
            <v>UN</v>
          </cell>
          <cell r="E461" t="str">
            <v>110,00</v>
          </cell>
        </row>
        <row r="462">
          <cell r="B462" t="str">
            <v>17511</v>
          </cell>
          <cell r="C462" t="str">
            <v>CALIBRADOR DE WIDIA - B</v>
          </cell>
          <cell r="D462" t="str">
            <v>UN</v>
          </cell>
          <cell r="E462" t="str">
            <v>132,00</v>
          </cell>
        </row>
        <row r="463">
          <cell r="B463" t="str">
            <v>17512</v>
          </cell>
          <cell r="C463" t="str">
            <v>CALIBRADOR DE WIDIA - N</v>
          </cell>
          <cell r="D463" t="str">
            <v>UN</v>
          </cell>
          <cell r="E463" t="str">
            <v>147,42</v>
          </cell>
        </row>
        <row r="464">
          <cell r="B464" t="str">
            <v>17513</v>
          </cell>
          <cell r="C464" t="str">
            <v>CALIBRADOR DE WIDIA - H</v>
          </cell>
          <cell r="D464" t="str">
            <v>UN</v>
          </cell>
          <cell r="E464" t="str">
            <v>168,97</v>
          </cell>
        </row>
        <row r="465">
          <cell r="B465" t="str">
            <v>17515</v>
          </cell>
          <cell r="C465" t="str">
            <v>SAPATA DE WIDIA - A</v>
          </cell>
          <cell r="D465" t="str">
            <v>UN</v>
          </cell>
          <cell r="E465" t="str">
            <v>77,76</v>
          </cell>
        </row>
        <row r="466">
          <cell r="B466" t="str">
            <v>17516</v>
          </cell>
          <cell r="C466" t="str">
            <v>SAPATA DE WIDIA - B</v>
          </cell>
          <cell r="D466" t="str">
            <v>UN</v>
          </cell>
          <cell r="E466" t="str">
            <v>97,20</v>
          </cell>
        </row>
        <row r="467">
          <cell r="B467" t="str">
            <v>17517</v>
          </cell>
          <cell r="C467" t="str">
            <v>SAPATA DE WIDIA - N</v>
          </cell>
          <cell r="D467" t="str">
            <v>UN</v>
          </cell>
          <cell r="E467" t="str">
            <v>117,72</v>
          </cell>
        </row>
        <row r="468">
          <cell r="B468" t="str">
            <v>17518</v>
          </cell>
          <cell r="C468" t="str">
            <v>SAPATA DE WIDIA - H</v>
          </cell>
          <cell r="D468" t="str">
            <v>UN</v>
          </cell>
          <cell r="E468" t="str">
            <v>156,60</v>
          </cell>
        </row>
        <row r="469">
          <cell r="B469" t="str">
            <v>17520</v>
          </cell>
          <cell r="C469" t="str">
            <v>COROA DIAMANTADA-A - 20/30PPQ</v>
          </cell>
          <cell r="D469" t="str">
            <v>UN</v>
          </cell>
          <cell r="E469" t="str">
            <v>135,00</v>
          </cell>
        </row>
        <row r="470">
          <cell r="B470" t="str">
            <v>17521</v>
          </cell>
          <cell r="C470" t="str">
            <v>COROA DIAMANTADA-A - 40/60PPQ</v>
          </cell>
          <cell r="D470" t="str">
            <v>UN</v>
          </cell>
          <cell r="E470" t="str">
            <v>135,00</v>
          </cell>
        </row>
        <row r="471">
          <cell r="B471" t="str">
            <v>17522</v>
          </cell>
          <cell r="C471" t="str">
            <v>COROA DIAMANTADA-A - 60/80PPQ</v>
          </cell>
          <cell r="D471" t="str">
            <v>UN</v>
          </cell>
          <cell r="E471" t="str">
            <v>132,84</v>
          </cell>
        </row>
        <row r="472">
          <cell r="B472" t="str">
            <v>17525</v>
          </cell>
          <cell r="C472" t="str">
            <v>COROA DIAMANTADA-B - 20/30PPQ</v>
          </cell>
          <cell r="D472" t="str">
            <v>UN</v>
          </cell>
          <cell r="E472" t="str">
            <v>169,56</v>
          </cell>
        </row>
        <row r="473">
          <cell r="B473" t="str">
            <v>17526</v>
          </cell>
          <cell r="C473" t="str">
            <v>COROA DIAMANTADA-B - 40/60PPQ</v>
          </cell>
          <cell r="D473" t="str">
            <v>UN</v>
          </cell>
          <cell r="E473" t="str">
            <v>169,56</v>
          </cell>
        </row>
        <row r="474">
          <cell r="B474" t="str">
            <v>17527</v>
          </cell>
          <cell r="C474" t="str">
            <v>COROA DIAMANTADA-B - 60/80PPQ</v>
          </cell>
          <cell r="D474" t="str">
            <v>UN</v>
          </cell>
          <cell r="E474" t="str">
            <v>166,32</v>
          </cell>
        </row>
        <row r="475">
          <cell r="B475" t="str">
            <v>17530</v>
          </cell>
          <cell r="C475" t="str">
            <v>COROA DIAMANTADA-N - 20/30PPQ</v>
          </cell>
          <cell r="D475" t="str">
            <v>UN</v>
          </cell>
          <cell r="E475" t="str">
            <v>248,40</v>
          </cell>
        </row>
        <row r="476">
          <cell r="B476" t="str">
            <v>17531</v>
          </cell>
          <cell r="C476" t="str">
            <v>COROA DIAMANTADA-N - 40/60PPQ</v>
          </cell>
          <cell r="D476" t="str">
            <v>UN</v>
          </cell>
          <cell r="E476" t="str">
            <v>248,40</v>
          </cell>
        </row>
        <row r="477">
          <cell r="B477" t="str">
            <v>17532</v>
          </cell>
          <cell r="C477" t="str">
            <v>COROA DIAMANTADA-N - 60/80PPQ</v>
          </cell>
          <cell r="D477" t="str">
            <v>UN</v>
          </cell>
          <cell r="E477" t="str">
            <v>220,45</v>
          </cell>
        </row>
        <row r="478">
          <cell r="B478" t="str">
            <v>17535</v>
          </cell>
          <cell r="C478" t="str">
            <v>COROA DIAMANTADA-H - 20/30PPQ</v>
          </cell>
          <cell r="D478" t="str">
            <v>UN</v>
          </cell>
          <cell r="E478" t="str">
            <v>335,92</v>
          </cell>
        </row>
        <row r="479">
          <cell r="B479" t="str">
            <v>17536</v>
          </cell>
          <cell r="C479" t="str">
            <v>COROA DIAMANTADA-H - 40/60PPQ</v>
          </cell>
          <cell r="D479" t="str">
            <v>NU</v>
          </cell>
          <cell r="E479" t="str">
            <v>307,93</v>
          </cell>
        </row>
        <row r="480">
          <cell r="B480" t="str">
            <v>17537</v>
          </cell>
          <cell r="C480" t="str">
            <v>COROA DIAMANTADA-H - 60/80PPQ</v>
          </cell>
          <cell r="D480" t="str">
            <v>UN</v>
          </cell>
          <cell r="E480" t="str">
            <v>272,94</v>
          </cell>
        </row>
        <row r="481">
          <cell r="B481" t="str">
            <v>17539</v>
          </cell>
          <cell r="C481" t="str">
            <v>CALIBRADOR DIAMANTADO - A</v>
          </cell>
          <cell r="D481" t="str">
            <v>UN</v>
          </cell>
          <cell r="E481" t="str">
            <v>118,80</v>
          </cell>
        </row>
        <row r="482">
          <cell r="B482" t="str">
            <v>17540</v>
          </cell>
          <cell r="C482" t="str">
            <v>CALIBRADOR DIAMANTADO - B</v>
          </cell>
          <cell r="D482" t="str">
            <v>UN</v>
          </cell>
          <cell r="E482" t="str">
            <v>144,72</v>
          </cell>
        </row>
        <row r="483">
          <cell r="B483" t="str">
            <v>17545</v>
          </cell>
          <cell r="C483" t="str">
            <v>CALIBRADOR DIAMANTADO - N</v>
          </cell>
          <cell r="D483" t="str">
            <v>UN</v>
          </cell>
          <cell r="E483" t="str">
            <v>207,36</v>
          </cell>
        </row>
        <row r="484">
          <cell r="B484" t="str">
            <v>17550</v>
          </cell>
          <cell r="C484" t="str">
            <v>CALIBRADOR DIAMANTADO - H</v>
          </cell>
          <cell r="D484" t="str">
            <v>UN</v>
          </cell>
          <cell r="E484" t="str">
            <v>255,44</v>
          </cell>
        </row>
        <row r="485">
          <cell r="B485" t="str">
            <v>17553</v>
          </cell>
          <cell r="C485" t="str">
            <v>SAPATA DIAMANTADA - A</v>
          </cell>
          <cell r="D485" t="str">
            <v>UN</v>
          </cell>
          <cell r="E485" t="str">
            <v>122,04</v>
          </cell>
        </row>
        <row r="486">
          <cell r="B486" t="str">
            <v>17555</v>
          </cell>
          <cell r="C486" t="str">
            <v>SAPATA DIAMANTADA - B</v>
          </cell>
          <cell r="D486" t="str">
            <v>UN</v>
          </cell>
          <cell r="E486" t="str">
            <v>169,56</v>
          </cell>
        </row>
        <row r="487">
          <cell r="B487" t="str">
            <v>17560</v>
          </cell>
          <cell r="C487" t="str">
            <v>SAPATA DIAMANTADA - N</v>
          </cell>
          <cell r="D487" t="str">
            <v>UN</v>
          </cell>
          <cell r="E487" t="str">
            <v>235,44</v>
          </cell>
        </row>
        <row r="488">
          <cell r="B488" t="str">
            <v>17562</v>
          </cell>
          <cell r="C488" t="str">
            <v>SAPATA DIAMANTADA - H</v>
          </cell>
          <cell r="D488" t="str">
            <v>UN</v>
          </cell>
          <cell r="E488" t="str">
            <v>306,72</v>
          </cell>
        </row>
        <row r="489">
          <cell r="B489" t="str">
            <v>17565</v>
          </cell>
          <cell r="C489" t="str">
            <v>HASTE C/NIPLE - SONDA ROTATIVA</v>
          </cell>
          <cell r="D489" t="str">
            <v>M</v>
          </cell>
          <cell r="E489" t="str">
            <v>93,09</v>
          </cell>
        </row>
        <row r="490">
          <cell r="B490" t="str">
            <v>17570</v>
          </cell>
          <cell r="C490" t="str">
            <v>REVESTIMENTO - A</v>
          </cell>
          <cell r="D490" t="str">
            <v>M</v>
          </cell>
          <cell r="E490" t="str">
            <v>57,12</v>
          </cell>
        </row>
        <row r="491">
          <cell r="B491" t="str">
            <v>17571</v>
          </cell>
          <cell r="C491" t="str">
            <v>REVESTIMENTO - B</v>
          </cell>
          <cell r="D491" t="str">
            <v>M</v>
          </cell>
          <cell r="E491" t="str">
            <v>68,47</v>
          </cell>
        </row>
        <row r="492">
          <cell r="B492" t="str">
            <v>17572</v>
          </cell>
          <cell r="C492" t="str">
            <v>REVESTIMENTO - N</v>
          </cell>
          <cell r="D492" t="str">
            <v>M</v>
          </cell>
          <cell r="E492" t="str">
            <v>99,08</v>
          </cell>
        </row>
        <row r="493">
          <cell r="B493" t="str">
            <v>17573</v>
          </cell>
          <cell r="C493" t="str">
            <v>REVESTIMENTO - H</v>
          </cell>
          <cell r="D493" t="str">
            <v>M</v>
          </cell>
          <cell r="E493" t="str">
            <v>125,92</v>
          </cell>
        </row>
        <row r="494">
          <cell r="B494" t="str">
            <v>17575</v>
          </cell>
          <cell r="C494" t="str">
            <v>BARRILETE SIMPLES - A</v>
          </cell>
          <cell r="D494" t="str">
            <v>UN</v>
          </cell>
          <cell r="E494" t="str">
            <v>217,50</v>
          </cell>
        </row>
        <row r="495">
          <cell r="B495" t="str">
            <v>17576</v>
          </cell>
          <cell r="C495" t="str">
            <v>BARRILETE SIMPLES - B</v>
          </cell>
          <cell r="D495" t="str">
            <v>UN</v>
          </cell>
          <cell r="E495" t="str">
            <v>240,55</v>
          </cell>
        </row>
        <row r="496">
          <cell r="B496" t="str">
            <v>17577</v>
          </cell>
          <cell r="C496" t="str">
            <v>BARRILETE SIMPLES - N</v>
          </cell>
          <cell r="D496" t="str">
            <v>UN</v>
          </cell>
          <cell r="E496" t="str">
            <v>326,45</v>
          </cell>
        </row>
        <row r="497">
          <cell r="B497" t="str">
            <v>17578</v>
          </cell>
          <cell r="C497" t="str">
            <v>BARRILETE SIMPLES - H</v>
          </cell>
          <cell r="D497" t="str">
            <v>UN</v>
          </cell>
          <cell r="E497" t="str">
            <v>509,10</v>
          </cell>
        </row>
        <row r="498">
          <cell r="B498" t="str">
            <v>17580</v>
          </cell>
          <cell r="C498" t="str">
            <v>BARRILETE DUPLO MOVEL - A</v>
          </cell>
          <cell r="D498" t="str">
            <v>UN</v>
          </cell>
          <cell r="E498" t="str">
            <v>422,60</v>
          </cell>
        </row>
        <row r="499">
          <cell r="B499" t="str">
            <v>17581</v>
          </cell>
          <cell r="C499" t="str">
            <v>BARRILETE DUPLO MOVEL - B</v>
          </cell>
          <cell r="D499" t="str">
            <v>UN</v>
          </cell>
          <cell r="E499" t="str">
            <v>507,28</v>
          </cell>
        </row>
        <row r="500">
          <cell r="B500" t="str">
            <v>17582</v>
          </cell>
          <cell r="C500" t="str">
            <v>BARRILETE DUPLO MOVEL - N</v>
          </cell>
          <cell r="D500" t="str">
            <v>UN</v>
          </cell>
          <cell r="E500" t="str">
            <v>664,90</v>
          </cell>
        </row>
        <row r="501">
          <cell r="B501" t="str">
            <v>17583</v>
          </cell>
          <cell r="C501" t="str">
            <v>BARRILETE DUPLO MOVEL - H</v>
          </cell>
          <cell r="D501" t="str">
            <v>UN</v>
          </cell>
          <cell r="E501" t="str">
            <v>850,12</v>
          </cell>
        </row>
        <row r="502">
          <cell r="B502" t="str">
            <v>17585</v>
          </cell>
          <cell r="C502" t="str">
            <v>HASTE - SONDA PERCUSSAO</v>
          </cell>
          <cell r="D502" t="str">
            <v>M</v>
          </cell>
          <cell r="E502" t="str">
            <v>30,05</v>
          </cell>
        </row>
        <row r="503">
          <cell r="B503" t="str">
            <v>17586</v>
          </cell>
          <cell r="C503" t="str">
            <v>REVEST.-SONDA PERC.-21/2 X 1M</v>
          </cell>
          <cell r="D503" t="str">
            <v>M</v>
          </cell>
          <cell r="E503" t="str">
            <v>66,18</v>
          </cell>
        </row>
        <row r="504">
          <cell r="B504" t="str">
            <v>17600</v>
          </cell>
          <cell r="C504" t="str">
            <v>SACO PLASTICO DE 5 LITROS</v>
          </cell>
          <cell r="D504" t="str">
            <v>UN</v>
          </cell>
          <cell r="E504" t="str">
            <v>0,08</v>
          </cell>
        </row>
        <row r="505">
          <cell r="B505" t="str">
            <v>17601</v>
          </cell>
          <cell r="C505" t="str">
            <v>ETIQUETA DE PAPEL CARTAO</v>
          </cell>
          <cell r="D505" t="str">
            <v>UN</v>
          </cell>
          <cell r="E505" t="str">
            <v>0,01</v>
          </cell>
        </row>
        <row r="506">
          <cell r="B506" t="str">
            <v>17603</v>
          </cell>
          <cell r="C506" t="str">
            <v>TUBO DE PVC - RIGIDO SOLDAVEL (32MM)</v>
          </cell>
          <cell r="D506" t="str">
            <v>M</v>
          </cell>
          <cell r="E506">
            <v>1.19</v>
          </cell>
        </row>
        <row r="507">
          <cell r="B507" t="str">
            <v>17605</v>
          </cell>
          <cell r="C507" t="str">
            <v>TUBO DE PVC - SOLDAVEL (40MM)</v>
          </cell>
          <cell r="D507" t="str">
            <v>M</v>
          </cell>
          <cell r="E507" t="str">
            <v>1,42</v>
          </cell>
        </row>
        <row r="508">
          <cell r="B508" t="str">
            <v>17606</v>
          </cell>
          <cell r="C508" t="str">
            <v>LUVA DE PVC - SOLDAVEL (40MM)</v>
          </cell>
          <cell r="D508" t="str">
            <v>UN</v>
          </cell>
          <cell r="E508" t="str">
            <v>0,80</v>
          </cell>
        </row>
        <row r="509">
          <cell r="B509" t="str">
            <v>17607</v>
          </cell>
          <cell r="C509" t="str">
            <v>MANTA SINTETICA (BIDIM) OP-20</v>
          </cell>
          <cell r="D509" t="str">
            <v>KG</v>
          </cell>
          <cell r="E509" t="str">
            <v>8,27</v>
          </cell>
        </row>
        <row r="510">
          <cell r="B510" t="str">
            <v>17610</v>
          </cell>
          <cell r="C510" t="str">
            <v>MADEIRA LEI APLAINADA (30 X 1)</v>
          </cell>
          <cell r="D510" t="str">
            <v>M2</v>
          </cell>
          <cell r="E510" t="str">
            <v>8,33</v>
          </cell>
        </row>
        <row r="511">
          <cell r="B511" t="str">
            <v>17611</v>
          </cell>
          <cell r="C511" t="str">
            <v>MADEIRA LEI APLAINADA C/5.0CM</v>
          </cell>
          <cell r="D511" t="str">
            <v>M</v>
          </cell>
          <cell r="E511" t="str">
            <v>0,50</v>
          </cell>
        </row>
        <row r="512">
          <cell r="B512" t="str">
            <v>17615</v>
          </cell>
          <cell r="C512" t="str">
            <v>DOBRADICA DE 2" C/4 PARAFUSOS</v>
          </cell>
          <cell r="D512" t="str">
            <v>UN</v>
          </cell>
          <cell r="E512" t="str">
            <v>2,30</v>
          </cell>
        </row>
        <row r="513">
          <cell r="B513" t="str">
            <v>17616</v>
          </cell>
          <cell r="C513" t="str">
            <v>PARAFUSOS</v>
          </cell>
          <cell r="D513" t="str">
            <v>UN</v>
          </cell>
          <cell r="E513" t="str">
            <v>0,16</v>
          </cell>
        </row>
        <row r="514">
          <cell r="B514" t="str">
            <v>17617</v>
          </cell>
          <cell r="C514" t="str">
            <v>PREGO (13 X 15)</v>
          </cell>
          <cell r="D514" t="str">
            <v>KG</v>
          </cell>
          <cell r="E514" t="str">
            <v>1,92</v>
          </cell>
        </row>
        <row r="515">
          <cell r="B515" t="str">
            <v>17618</v>
          </cell>
          <cell r="C515" t="str">
            <v>ALDRAVA P/CAIXA DE SONDAGEM</v>
          </cell>
          <cell r="D515" t="str">
            <v>UN</v>
          </cell>
          <cell r="E515" t="str">
            <v>0,40</v>
          </cell>
        </row>
        <row r="516">
          <cell r="B516" t="str">
            <v>17619</v>
          </cell>
          <cell r="C516" t="str">
            <v>COLA PARA MADEIRA</v>
          </cell>
          <cell r="D516" t="str">
            <v>KG</v>
          </cell>
          <cell r="E516" t="str">
            <v>6,00</v>
          </cell>
        </row>
        <row r="517">
          <cell r="B517" t="str">
            <v>17620</v>
          </cell>
          <cell r="C517" t="str">
            <v>JIMO CUPIM</v>
          </cell>
          <cell r="D517" t="str">
            <v>L</v>
          </cell>
          <cell r="E517" t="str">
            <v>6,00</v>
          </cell>
        </row>
        <row r="518">
          <cell r="B518" t="str">
            <v>17621</v>
          </cell>
          <cell r="C518" t="str">
            <v>TINTA ESMALTE BRANCA</v>
          </cell>
          <cell r="D518" t="str">
            <v>L</v>
          </cell>
          <cell r="E518" t="str">
            <v>8,30</v>
          </cell>
        </row>
        <row r="519">
          <cell r="B519" t="str">
            <v>17625</v>
          </cell>
          <cell r="C519" t="str">
            <v>FOTOGRAFIA CAIXA TESTEMUNHO</v>
          </cell>
          <cell r="D519" t="str">
            <v>UN</v>
          </cell>
          <cell r="E519" t="str">
            <v>4,70</v>
          </cell>
        </row>
        <row r="520">
          <cell r="B520" t="str">
            <v>17626</v>
          </cell>
          <cell r="C520" t="str">
            <v>MARCO DE CONCRETO</v>
          </cell>
          <cell r="D520" t="str">
            <v>UN</v>
          </cell>
          <cell r="E520" t="str">
            <v>4,87</v>
          </cell>
        </row>
        <row r="521">
          <cell r="B521" t="str">
            <v>17700</v>
          </cell>
          <cell r="C521" t="str">
            <v>DIARIA</v>
          </cell>
          <cell r="D521" t="str">
            <v>DI</v>
          </cell>
          <cell r="E521" t="str">
            <v>33,00</v>
          </cell>
        </row>
        <row r="522">
          <cell r="B522" t="str">
            <v>18010</v>
          </cell>
          <cell r="C522" t="str">
            <v>CIMENTO</v>
          </cell>
          <cell r="D522" t="str">
            <v>KG</v>
          </cell>
          <cell r="E522" t="str">
            <v>0,26</v>
          </cell>
        </row>
        <row r="523">
          <cell r="B523" t="str">
            <v>18030</v>
          </cell>
          <cell r="C523" t="str">
            <v>LEIVA</v>
          </cell>
          <cell r="D523" t="str">
            <v>M2</v>
          </cell>
          <cell r="E523" t="str">
            <v>2,50</v>
          </cell>
        </row>
        <row r="524">
          <cell r="B524" t="str">
            <v>18031</v>
          </cell>
          <cell r="C524" t="str">
            <v>CALCÁREO DOLOMÍTICO</v>
          </cell>
          <cell r="D524" t="str">
            <v>KG</v>
          </cell>
          <cell r="E524">
            <v>0.11</v>
          </cell>
        </row>
        <row r="525">
          <cell r="B525" t="str">
            <v>18032</v>
          </cell>
          <cell r="C525" t="str">
            <v>FOSFATO DE ROCHAS</v>
          </cell>
          <cell r="D525" t="str">
            <v>KG</v>
          </cell>
          <cell r="E525">
            <v>0.8</v>
          </cell>
        </row>
        <row r="526">
          <cell r="B526" t="str">
            <v>18040</v>
          </cell>
          <cell r="C526" t="str">
            <v>TUBO D= 20 CM  -  SIMPLES</v>
          </cell>
          <cell r="D526" t="str">
            <v>M</v>
          </cell>
          <cell r="E526" t="str">
            <v>5,70</v>
          </cell>
        </row>
        <row r="527">
          <cell r="B527" t="str">
            <v>18050</v>
          </cell>
          <cell r="C527" t="str">
            <v>TUBO D= 30 CM  -  SIMPLES</v>
          </cell>
          <cell r="D527" t="str">
            <v>M</v>
          </cell>
          <cell r="E527" t="str">
            <v>7,07</v>
          </cell>
        </row>
        <row r="528">
          <cell r="B528" t="str">
            <v>18060</v>
          </cell>
          <cell r="C528" t="str">
            <v>TUBO D= 40 CM  -  SIMPLES</v>
          </cell>
          <cell r="D528" t="str">
            <v>M</v>
          </cell>
          <cell r="E528" t="str">
            <v>12,00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eor"/>
      <sheetName val="Mat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FLUXO - EXECUÇÃO PRÓPRIA"/>
      <sheetName val="CG"/>
      <sheetName val="RESUMO_AUT1"/>
      <sheetName val="QuQuant"/>
      <sheetName val="8ª MP_BR_459"/>
      <sheetName val="F. MEDIÇAO"/>
      <sheetName val="Insumos - Materiais"/>
      <sheetName val="P A T O"/>
      <sheetName val="Índices de Reajustamento"/>
      <sheetName val="Plan 2.7"/>
      <sheetName val="ORÇAMENTO"/>
      <sheetName val="Serviços"/>
      <sheetName val="lista_comp"/>
      <sheetName val="Geral"/>
      <sheetName val="P A T O 99 B"/>
      <sheetName val="Calendário"/>
      <sheetName val="Mão de Obra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 2.7"/>
      <sheetName val="FV-DNER"/>
      <sheetName val="DG"/>
      <sheetName val="Quadro Geral"/>
      <sheetName val="Teor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FLUXO - EXECUÇÃO PRÓPRIA"/>
      <sheetName val="Equipamentos"/>
      <sheetName val="Especif"/>
      <sheetName val="CG"/>
      <sheetName val="QuQuant"/>
      <sheetName val="RMLE157"/>
      <sheetName val="TCB5"/>
      <sheetName val="PQ"/>
      <sheetName val="Compactação  botafora"/>
      <sheetName val="Índices de Reajustamento"/>
      <sheetName val="CUSTO LARANJEIRAS"/>
      <sheetName val="Serviços"/>
      <sheetName val="Geral"/>
      <sheetName val="CUSTO ZONA SUL"/>
      <sheetName val="P A T O 98 D"/>
      <sheetName val="DSS_04"/>
      <sheetName val="Fresagem"/>
      <sheetName val="Meio-fio"/>
      <sheetName val="PintLigacao"/>
      <sheetName val="PMQ"/>
      <sheetName val="STC_01"/>
      <sheetName val="COMPOS1"/>
      <sheetName val="Planilha"/>
      <sheetName val="4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  <sheetName val="PROJETO"/>
      <sheetName val="CRONFISFIN_"/>
      <sheetName val="Capa Resumo"/>
      <sheetName val="Capa Anexo II"/>
      <sheetName val="Capa Anexo III"/>
      <sheetName val="Equipamentos"/>
      <sheetName val="61M-CBMI"/>
      <sheetName val="MAT-BET"/>
      <sheetName val="Especif"/>
      <sheetName val="RMLE157"/>
      <sheetName val="8ª MP_BR-459"/>
      <sheetName val="PLANILHA CONTRATUAL"/>
      <sheetName val="Dados"/>
      <sheetName val="450"/>
      <sheetName val="Plan 2.7"/>
      <sheetName val="CUSTO LARANJEIRAS"/>
      <sheetName val="CONS_CORR"/>
      <sheetName val="CG"/>
      <sheetName val="CUSTO ZONA SUL"/>
      <sheetName val="Alteração"/>
      <sheetName val="P A T O 98 D"/>
      <sheetName val="Serviços"/>
      <sheetName val="CBUQ DRENO LONGIT RECOBRIMENTO"/>
      <sheetName val="DAR-01"/>
      <sheetName val="Calendário"/>
      <sheetName val="alphaville"/>
      <sheetName val="Planilha"/>
      <sheetName val="FLUXO - EXECUÇÃO PRÓPRIA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Q"/>
      <sheetName val="CRONFISFIN_"/>
      <sheetName val="P A T O"/>
      <sheetName val="P A T O  D"/>
      <sheetName val="61M-CBMI"/>
      <sheetName val="MAT-BET"/>
      <sheetName val="8ª MP_BR-459"/>
      <sheetName val="8ª MP_BR_459"/>
      <sheetName val="Quadro de qntd"/>
      <sheetName val="CURVA ABC"/>
      <sheetName val="Cronograma FIS FINANC"/>
      <sheetName val="PONTES LICITADAS"/>
      <sheetName val="450"/>
      <sheetName val="CUSTO LARANJEIRAS"/>
      <sheetName val="lista_comp"/>
      <sheetName val="QUADRO COMPARATIVO"/>
      <sheetName val="CG"/>
      <sheetName val="Alteração"/>
      <sheetName val="Serviços"/>
      <sheetName val="QuQuant"/>
      <sheetName val="COMPOS1"/>
      <sheetName val="Teor"/>
      <sheetName val="Equipamentos"/>
      <sheetName val="alphaville"/>
      <sheetName val="PROJETO"/>
      <sheetName val="orçamento_global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"/>
      <sheetName val="Orc_Disc_Habit"/>
      <sheetName val="OrçaResHab"/>
      <sheetName val="CronogHab"/>
      <sheetName val="ORÇAurb"/>
      <sheetName val="OrçRESUMOurb"/>
      <sheetName val="CROurb"/>
      <sheetName val="CronogGlobal"/>
      <sheetName val="MEMORIA CALC. HAB."/>
      <sheetName val="DADOS DE ENTRADA"/>
      <sheetName val="PAVIMENTAÇÃO"/>
      <sheetName val="MEM.PAVIMENTAÇÃO"/>
      <sheetName val="VOLUME DE TERRAPLENAGEM"/>
      <sheetName val="PLANILHA ORÇAMENTÁRIA"/>
      <sheetName val="Drenagem "/>
      <sheetName val="Mem Drenagem "/>
      <sheetName val="DIMEN. GALERIAS"/>
      <sheetName val="Planilha SES"/>
      <sheetName val="MEMORIA REDE COL. ESG."/>
      <sheetName val="MEM. REDE COLETORA DE ESGOTO"/>
      <sheetName val="DIMENSIONAMENTO"/>
      <sheetName val="Planilha SAA"/>
      <sheetName val="Lista de Material da REDE_"/>
      <sheetName val="Rede de agua"/>
      <sheetName val="Mem. calculo"/>
      <sheetName val="Cronograma "/>
      <sheetName val="ILUMINAÇÃO"/>
      <sheetName val="EEE-01 e 02 - LINHA REC."/>
      <sheetName val="MEM. EEE-01"/>
    </sheetNames>
    <sheetDataSet>
      <sheetData sheetId="0">
        <row r="260">
          <cell r="AM260">
            <v>0</v>
          </cell>
        </row>
        <row r="261">
          <cell r="AM261">
            <v>0</v>
          </cell>
        </row>
        <row r="262">
          <cell r="AM26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CLIENTE:</v>
          </cell>
        </row>
      </sheetData>
      <sheetData sheetId="10">
        <row r="63">
          <cell r="G63">
            <v>4215.05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mat1ª_cat_(2)"/>
      <sheetName val="MEMÓRIA_A"/>
      <sheetName val="ORÇAMENTO_A"/>
      <sheetName val="ORÇAMENTO_B"/>
      <sheetName val="MEMÓRIA_B"/>
      <sheetName val="Listas"/>
      <sheetName val="B M Pl04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compos1"/>
      <sheetName val="Mão de Obra"/>
      <sheetName val="CROQUIS"/>
      <sheetName val="MB"/>
      <sheetName val="PATO"/>
      <sheetName val="TLCB5"/>
      <sheetName val="TLMR"/>
      <sheetName val="resumo transporte"/>
      <sheetName val="tabela orçamento"/>
      <sheetName val="TAB_  POÇOS DEFINITIVO _2007  c"/>
      <sheetName val="projeto"/>
      <sheetName val="Cronog Físico Finaceiro 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 t="str">
            <v/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 t="str">
            <v/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 t="str">
            <v/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 t="str">
            <v/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 t="str">
            <v/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 t="str">
            <v/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 t="str">
            <v/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 t="str">
            <v/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 t="str">
            <v/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 t="str">
            <v/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 t="str">
            <v/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 t="str">
            <v/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 t="str">
            <v/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 t="str">
            <v/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 t="str">
            <v/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 t="str">
            <v/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 t="str">
            <v/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 t="str">
            <v/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 t="str">
            <v/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 t="str">
            <v/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 t="str">
            <v/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 t="str">
            <v/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 t="str">
            <v/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Dados"/>
      <sheetName val="P A T O 99 B"/>
      <sheetName val="CRONFISFIN_"/>
      <sheetName val="P A T O"/>
      <sheetName val="Índices de Reajustamento"/>
      <sheetName val="Serviços"/>
      <sheetName val="RESUMO_AUT1"/>
      <sheetName val="P A T O  D"/>
      <sheetName val="8ª MP_BR_459"/>
      <sheetName val="MB"/>
      <sheetName val="Quadro de qntd"/>
      <sheetName val="orçamento_global"/>
      <sheetName val="PROJETO"/>
      <sheetName val="QuQuant"/>
      <sheetName val="lista_comp"/>
      <sheetName val="Geral"/>
      <sheetName val="PONTES LICITADAS"/>
      <sheetName val="Especif"/>
      <sheetName val="61M-CBMI"/>
      <sheetName val="Mat"/>
      <sheetName val="Medição (2"/>
      <sheetName val="Medição Completa"/>
      <sheetName val="CG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Mão de Obra"/>
      <sheetName val="PN (Fx 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Orçamento"/>
      <sheetName val="P A T O 98 D"/>
      <sheetName val="P A T O 99 B"/>
      <sheetName val="Plan 2.7"/>
      <sheetName val="CUSTO LARANJEIRAS"/>
      <sheetName val="TCC4"/>
      <sheetName val="TCB5"/>
      <sheetName val="Serviços"/>
      <sheetName val="RESUMO_AUT1"/>
      <sheetName val="MB"/>
      <sheetName val="BD Equip."/>
      <sheetName val="P A T O  B"/>
      <sheetName val="QuQuant"/>
      <sheetName val="PN (Fx 3)"/>
      <sheetName val="lista_comp"/>
      <sheetName val="Geral"/>
      <sheetName val="CUSTO ZONA SUL"/>
      <sheetName val="61M-CBMI"/>
      <sheetName val="MAT-BET"/>
      <sheetName val="Mat"/>
      <sheetName val="Teor"/>
      <sheetName val="PROJETO"/>
      <sheetName val="CG"/>
      <sheetName val="COMPOS1"/>
      <sheetName val="Equipamentos"/>
      <sheetName val="P A T O"/>
      <sheetName val="Índices de Reajus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98 D"/>
      <sheetName val="CUSTO LARANJEIRAS"/>
      <sheetName val="BD Equip."/>
      <sheetName val="QuQuant"/>
      <sheetName val="Equipamentos"/>
      <sheetName val="PN (Fx 3)"/>
      <sheetName val="PROJETO"/>
      <sheetName val="lista_comp"/>
      <sheetName val="Geral"/>
      <sheetName val="CUSTO ZONA SUL"/>
      <sheetName val="Alteração"/>
      <sheetName val="P A T O  D"/>
      <sheetName val="Teor"/>
      <sheetName val="Compactação  botafora"/>
      <sheetName val="Especif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RESUMO_AUT1"/>
      <sheetName val="FLUXO - EXECUÇÃO PRÓPRIA"/>
      <sheetName val="Índices de Reajustamento"/>
      <sheetName val="Plan 2.7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4">
          <cell r="Q44">
            <v>0.13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lan1"/>
      <sheetName val="Plan2"/>
      <sheetName val="Plan3"/>
      <sheetName val="CONS_CORR"/>
      <sheetName val="P A T O 98 D"/>
      <sheetName val="lista_comp"/>
      <sheetName val="8ª MP_BR_459"/>
      <sheetName val="orçamento"/>
      <sheetName val="QuQuant"/>
      <sheetName val="PROJETO"/>
      <sheetName val="QUADRO COMPARATIVO"/>
      <sheetName val="FLUXO - EXECUÇÃO PRÓPRIA"/>
      <sheetName val="Geral"/>
      <sheetName val="CUSTO ZONA SUL"/>
      <sheetName val="Alteração"/>
      <sheetName val="61M-CBMI"/>
      <sheetName val="RMLE157"/>
      <sheetName val="Serviços"/>
      <sheetName val="RESUMO_AUT1"/>
      <sheetName val="PQ"/>
      <sheetName val="450"/>
      <sheetName val="MAT-BET"/>
      <sheetName val="CG"/>
      <sheetName val="COMPOS1"/>
      <sheetName val="Plan 2.7"/>
      <sheetName val="CUSTO LARANJEIRAS"/>
      <sheetName val="TAB_  POÇOS DEFINITIVO _2007  c"/>
      <sheetName val="Teor"/>
      <sheetName val="PN (Fx 3)"/>
      <sheetName val="Mat"/>
    </sheetNames>
    <definedNames>
      <definedName name="PassaExtenso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P A T O"/>
      <sheetName val="P A T O 98 D"/>
      <sheetName val="Geral"/>
      <sheetName val="CUSTO ZONA SUL"/>
      <sheetName val="8ª MP_BR_459"/>
      <sheetName val="QuQuant"/>
      <sheetName val="Equipamentos"/>
      <sheetName val="FLUXO - EXECUÇÃO PRÓPRIA"/>
      <sheetName val="Alteração"/>
      <sheetName val="Mat"/>
      <sheetName val="8ª MP_BR-459"/>
      <sheetName val="TCC4"/>
      <sheetName val="TCB5"/>
      <sheetName val="450"/>
      <sheetName val="P A T O  D"/>
      <sheetName val="CG"/>
      <sheetName val="Serviços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RESUMO_AUT1"/>
      <sheetName val="CUSTO LARANJEI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çamento"/>
      <sheetName val="CANAA"/>
      <sheetName val="PT"/>
      <sheetName val="PROJE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 AUX 01-FERRAGENS"/>
      <sheetName val="P AUX 02-PINTURA"/>
      <sheetName val="BD Equip."/>
      <sheetName val="8ª MP_BR-459"/>
      <sheetName val="8ª MP_BR_459"/>
      <sheetName val="[CANAA.XLS][CANAA.XLS][CANAA.XL"/>
      <sheetName val="[CANAA.XLS][CANAA.XLS]\G\Users\"/>
      <sheetName val="[CANAA.XLS]\G\Users\eduardoiune"/>
      <sheetName val="C"/>
      <sheetName val="PRO-08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  <sheetName val="Teor"/>
      <sheetName val="Equipamentos"/>
      <sheetName val="[CANAA.XLS]_G_Users_eduardoiu_2"/>
      <sheetName val="CADASTRO"/>
      <sheetName val="Página 16"/>
      <sheetName val="[CANAA.XLS][CANAA.XLS]_CANAA__2"/>
      <sheetName val="_CANAA.XLS__G_Users_eduardoiune"/>
      <sheetName val="_G_Users_eduardoiunes_Documents"/>
      <sheetName val="_CANAA.XLS__CANAA.XLS__CANAA.XL"/>
      <sheetName val="_CANAA.XLS__CANAA.XLS__G_Users_"/>
      <sheetName val="CUSTO INDIRETO"/>
      <sheetName val="[CANAA.XLS][CANAA.XLS]_G_User_2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Medição (2"/>
      <sheetName val="P A T O"/>
      <sheetName val="CUSTO ZONA SUL"/>
      <sheetName val="Alteração"/>
      <sheetName val="TCB5"/>
      <sheetName val="FLUXO - EXECUÇÃO PRÓPRIA"/>
      <sheetName val="61M-CBMI"/>
      <sheetName val="Mat"/>
      <sheetName val="Resumo_%"/>
      <sheetName val="BANCO"/>
      <sheetName val="Dados"/>
      <sheetName val="orçamento_global"/>
      <sheetName val="Serviços"/>
      <sheetName val="Especif"/>
      <sheetName val="CG"/>
      <sheetName val="lista_comp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NS_CORR"/>
      <sheetName val="C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QQuant-Vol1_(2)"/>
      <sheetName val="RECOMPOSIÇÃO MAN"/>
      <sheetName val="BD Equip."/>
      <sheetName val="CAPACIDADES"/>
      <sheetName val="8ª MP_BR-459"/>
      <sheetName val="8ª MP_BR_459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[CANAA.XLS][CANAA.XLS]_G_User_2"/>
      <sheetName val="Teor"/>
      <sheetName val="Página 16"/>
      <sheetName val="RESUMO DE MEDIÇÃO"/>
      <sheetName val="C"/>
      <sheetName val="PRO-08"/>
      <sheetName val="TPU-MARÇO_2002"/>
      <sheetName val="CBUQ DRENO LONGIT RECOBRIMENTO"/>
      <sheetName val="DAR-01"/>
      <sheetName val="PQ"/>
      <sheetName val="Equipamentos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CUSTO INDIRETO"/>
      <sheetName val="BANCO"/>
      <sheetName val="F. MEDIÇAO"/>
      <sheetName val="Medição (2"/>
      <sheetName val="Alteração"/>
      <sheetName val="61M-CBMI"/>
      <sheetName val="PLANILHA CONTRATUAL"/>
      <sheetName val="TCB5"/>
      <sheetName val="Serviços"/>
      <sheetName val="Mat"/>
      <sheetName val="Dados"/>
      <sheetName val="TCC4"/>
      <sheetName val="MAT-BET"/>
      <sheetName val="CG"/>
      <sheetName val="DSS_04"/>
      <sheetName val="Fresagem"/>
      <sheetName val="Meio-fio"/>
      <sheetName val="PintLigacao"/>
      <sheetName val="PMQ"/>
      <sheetName val="STC_01"/>
      <sheetName val="P A T O"/>
      <sheetName val="lista_comp"/>
      <sheetName val="Geral"/>
      <sheetName val="Capa Resumo"/>
      <sheetName val="Capa Anexo II"/>
      <sheetName val="Capa Anexo III"/>
      <sheetName val="FLUXO - EXECUÇÃO PRÓPRIA"/>
      <sheetName val="Po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Fisico"/>
      <sheetName val="Resumo_%"/>
      <sheetName val="Relat_compras"/>
      <sheetName val="Março"/>
      <sheetName val="Abril"/>
      <sheetName val="Maio"/>
      <sheetName val="Tubos"/>
      <sheetName val="CCU"/>
      <sheetName val="ResumoBCC"/>
      <sheetName val="BSCC 2,0x2,0"/>
      <sheetName val="BSCC 2,5x2,5"/>
      <sheetName val="BDCC 2,0x2,0"/>
      <sheetName val="BDCC 3,0x3,0"/>
      <sheetName val="BTCC 2,0x2,0"/>
    </sheetNames>
    <sheetDataSet>
      <sheetData sheetId="0"/>
      <sheetData sheetId="1"/>
      <sheetData sheetId="2">
        <row r="5">
          <cell r="C5">
            <v>0</v>
          </cell>
          <cell r="D5">
            <v>1</v>
          </cell>
          <cell r="E5">
            <v>2</v>
          </cell>
          <cell r="F5">
            <v>3</v>
          </cell>
          <cell r="G5">
            <v>4</v>
          </cell>
          <cell r="H5">
            <v>5</v>
          </cell>
          <cell r="I5">
            <v>6</v>
          </cell>
          <cell r="J5">
            <v>7</v>
          </cell>
          <cell r="K5">
            <v>8</v>
          </cell>
          <cell r="L5">
            <v>9</v>
          </cell>
          <cell r="M5">
            <v>10</v>
          </cell>
          <cell r="N5">
            <v>11</v>
          </cell>
          <cell r="O5">
            <v>12</v>
          </cell>
        </row>
        <row r="6">
          <cell r="C6">
            <v>0</v>
          </cell>
          <cell r="D6" t="str">
            <v>Janeiro</v>
          </cell>
          <cell r="E6" t="str">
            <v>Fevereiro</v>
          </cell>
          <cell r="F6" t="str">
            <v>Março</v>
          </cell>
          <cell r="G6" t="str">
            <v>Abril</v>
          </cell>
          <cell r="H6" t="str">
            <v>Maio</v>
          </cell>
          <cell r="I6" t="str">
            <v>Junho</v>
          </cell>
          <cell r="J6" t="str">
            <v>Julho</v>
          </cell>
          <cell r="K6" t="str">
            <v>Agosto</v>
          </cell>
          <cell r="L6" t="str">
            <v>Setembro</v>
          </cell>
          <cell r="M6" t="str">
            <v>Outubro</v>
          </cell>
          <cell r="N6" t="str">
            <v>Novembro</v>
          </cell>
          <cell r="O6" t="str">
            <v>Dezembro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1.5429577351808856E-2</v>
          </cell>
          <cell r="H7">
            <v>6.6081917524180231E-2</v>
          </cell>
          <cell r="I7">
            <v>9.9186655742514604E-2</v>
          </cell>
          <cell r="J7">
            <v>0.10838790725230207</v>
          </cell>
          <cell r="K7">
            <v>0.10997866041613656</v>
          </cell>
          <cell r="L7">
            <v>0.15952149360665965</v>
          </cell>
          <cell r="M7">
            <v>0.20126971920420086</v>
          </cell>
          <cell r="N7">
            <v>0.15605281881665611</v>
          </cell>
          <cell r="O7">
            <v>8.4091250085540928E-2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0.33333333333333337</v>
          </cell>
          <cell r="L8">
            <v>0.33333333333333337</v>
          </cell>
          <cell r="M8">
            <v>0.33333333333333337</v>
          </cell>
          <cell r="N8">
            <v>0</v>
          </cell>
          <cell r="O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1.542957735180886E-2</v>
          </cell>
          <cell r="H9">
            <v>6.6081917524180245E-2</v>
          </cell>
          <cell r="I9">
            <v>9.9186655742514618E-2</v>
          </cell>
          <cell r="J9">
            <v>0.10838790725230209</v>
          </cell>
          <cell r="K9">
            <v>0.10997866041613659</v>
          </cell>
          <cell r="L9">
            <v>0.15952149360665968</v>
          </cell>
          <cell r="M9">
            <v>0.20126971920420092</v>
          </cell>
          <cell r="N9">
            <v>0.15605281881665614</v>
          </cell>
          <cell r="O9">
            <v>8.4091250085540942E-2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6.25E-2</v>
          </cell>
          <cell r="G10">
            <v>0.125</v>
          </cell>
          <cell r="H10">
            <v>0.125</v>
          </cell>
          <cell r="I10">
            <v>0.125</v>
          </cell>
          <cell r="J10">
            <v>0.125</v>
          </cell>
          <cell r="K10">
            <v>0.125</v>
          </cell>
          <cell r="L10">
            <v>0.125</v>
          </cell>
          <cell r="M10">
            <v>0.125</v>
          </cell>
          <cell r="N10">
            <v>6.25E-2</v>
          </cell>
          <cell r="O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0.74984806203642995</v>
          </cell>
          <cell r="O11">
            <v>0.25015193796357016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1.3288286835830723E-3</v>
          </cell>
          <cell r="G12">
            <v>6.2644780797487688E-3</v>
          </cell>
          <cell r="H12">
            <v>9.0872457218850369E-3</v>
          </cell>
          <cell r="I12">
            <v>1.0109693306994138E-2</v>
          </cell>
          <cell r="J12">
            <v>1.0559994056912655E-2</v>
          </cell>
          <cell r="K12">
            <v>1.0450509168697171E-2</v>
          </cell>
          <cell r="L12">
            <v>8.9464163697046371E-3</v>
          </cell>
          <cell r="M12">
            <v>1.0559994056912655E-2</v>
          </cell>
          <cell r="N12">
            <v>8.4983229764033687E-3</v>
          </cell>
          <cell r="O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0.17408344684471744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6.7390306301624001E-2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0.16911807086301528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6.3340732519164944E-2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7.0816266735850744E-2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0.12277682148866689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9.6482988209198012E-2</v>
          </cell>
          <cell r="M19">
            <v>0</v>
          </cell>
          <cell r="N19">
            <v>0</v>
          </cell>
          <cell r="O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6.6133754303961984E-2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9.4052130312959129E-2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1.3288286835830723E-3</v>
          </cell>
          <cell r="G22">
            <v>7.3654784381372768E-2</v>
          </cell>
          <cell r="H22">
            <v>0.24651142508576743</v>
          </cell>
          <cell r="I22">
            <v>0.25004403090586014</v>
          </cell>
          <cell r="J22">
            <v>0.19947056984954153</v>
          </cell>
          <cell r="K22">
            <v>0.10450263948165631</v>
          </cell>
          <cell r="L22">
            <v>0.10542940457890265</v>
          </cell>
          <cell r="M22">
            <v>1.0559994056912655E-2</v>
          </cell>
          <cell r="N22">
            <v>8.4983229764033687E-3</v>
          </cell>
          <cell r="O22">
            <v>0</v>
          </cell>
        </row>
      </sheetData>
      <sheetData sheetId="3"/>
      <sheetData sheetId="4">
        <row r="87">
          <cell r="B87" t="str">
            <v>Escora Madeira 6,0m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LE157"/>
      <sheetName val="Implantação"/>
      <sheetName val="Celas RF"/>
      <sheetName val="ESTUDOS E REFEITÓRIO"/>
      <sheetName val="Apoio RF"/>
      <sheetName val="Oficina e auditório"/>
      <sheetName val="Plan2"/>
      <sheetName val="Plan3"/>
      <sheetName val="QuQuant"/>
      <sheetName val="RESUMO_AUT1"/>
      <sheetName val="PROJETO"/>
      <sheetName val="Compactação  botafora"/>
      <sheetName val="61M-CBMI"/>
      <sheetName val="Mat"/>
      <sheetName val="Quadro de qntd"/>
      <sheetName val="CURVA ABC"/>
      <sheetName val="Cronograma FIS FINANC"/>
      <sheetName val="PLANILHA CONTRATUAL"/>
      <sheetName val="Planilha"/>
      <sheetName val="P A T O"/>
      <sheetName val="PQ"/>
      <sheetName val="Teor"/>
      <sheetName val="Serviços"/>
      <sheetName val="8ª MP_BR_459"/>
      <sheetName val="ORÇAMENTO"/>
      <sheetName val="PN (Fx 3)"/>
      <sheetName val="P A T O  D"/>
      <sheetName val="Especif"/>
      <sheetName val="CG"/>
      <sheetName val="Página 16"/>
      <sheetName val="Índices de Reajustamento"/>
      <sheetName val="Geral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Planilha"/>
      <sheetName val="Teor"/>
      <sheetName val="Equipamentos"/>
      <sheetName val="450"/>
      <sheetName val="PROJETO"/>
      <sheetName val="Compactação  botafora"/>
      <sheetName val="Mat"/>
      <sheetName val="Quadro de qntd"/>
      <sheetName val="CURVA ABC"/>
      <sheetName val="Cronograma FIS FINANC"/>
      <sheetName val="alphaville"/>
      <sheetName val="P A T O"/>
      <sheetName val="Índices de Reajustamento"/>
      <sheetName val="Dados"/>
      <sheetName val="PQ"/>
      <sheetName val="QuQuant"/>
      <sheetName val="TCB5"/>
      <sheetName val="Orçamento"/>
      <sheetName val="CONS_CORR"/>
      <sheetName val="Serviços"/>
      <sheetName val="RESUMO_AUT1"/>
      <sheetName val="61M-CBMI"/>
      <sheetName val="MAT-BET"/>
      <sheetName val="CG"/>
      <sheetName val="Plan 2.7"/>
      <sheetName val="CUSTO ZONA SUL"/>
      <sheetName val="Alter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CRONFISFIN_"/>
      <sheetName val="TC"/>
      <sheetName val="450"/>
      <sheetName val="Teor"/>
      <sheetName val="PROJETO"/>
      <sheetName val="P A T O  B"/>
      <sheetName val="Quadro de qntd"/>
      <sheetName val="alphaville"/>
      <sheetName val="Mão de Obra"/>
      <sheetName val="Índices de Reajustamento"/>
      <sheetName val="Plan 2.7"/>
      <sheetName val="PONTES LICITADAS"/>
      <sheetName val="PQ"/>
      <sheetName val="Dados"/>
      <sheetName val="ORÇAMENTO"/>
      <sheetName val="QuQuant"/>
      <sheetName val="PLANILHA CONTRATUAL"/>
      <sheetName val="CONS_CORR"/>
      <sheetName val="FLUXO - EXECUÇÃO PRÓPRIA"/>
      <sheetName val="TCC4"/>
      <sheetName val="TCB5"/>
      <sheetName val="P A T O  D"/>
      <sheetName val="Especif"/>
      <sheetName val="CG"/>
      <sheetName val="RESUMO_AUT1"/>
      <sheetName val="CUSTO LARANJEIRAS"/>
      <sheetName val="Alteração"/>
      <sheetName val="61M-CB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8ª MP_BR_459"/>
      <sheetName val="orçamento_global"/>
      <sheetName val="PROJETO"/>
      <sheetName val="QuQuant"/>
      <sheetName val="450"/>
      <sheetName val="PQ"/>
      <sheetName val="Equipamentos"/>
      <sheetName val="P A T O  B"/>
      <sheetName val="Mão de Obra"/>
      <sheetName val="Teor"/>
      <sheetName val="Plan 2.7"/>
      <sheetName val="CUSTO LARANJEIRAS"/>
      <sheetName val="Dados"/>
      <sheetName val="Quadro de qntd"/>
      <sheetName val="CURVA ABC"/>
      <sheetName val="Cronograma FIS FINANC"/>
      <sheetName val="QUADRO COMPARATIVO"/>
      <sheetName val="FLUXO - EXECUÇÃO PRÓPRIA"/>
      <sheetName val="TCB5"/>
      <sheetName val="RESUMO_AUT1"/>
      <sheetName val="61M-CBMI"/>
      <sheetName val="MAT-BET"/>
      <sheetName val="CG"/>
      <sheetName val="Mat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PL BR-156 AP SUL atual"/>
      <sheetName val="CUSTO"/>
      <sheetName val="MB"/>
      <sheetName val="QuQuant"/>
      <sheetName val="PN (Fx 3)"/>
      <sheetName val="orçamento_global"/>
      <sheetName val="PROJETO"/>
      <sheetName val="PQ"/>
      <sheetName val="Dados"/>
      <sheetName val="Equipamentos"/>
      <sheetName val="Teor"/>
      <sheetName val="Calendário"/>
      <sheetName val="CUSTO LARANJEIRAS"/>
      <sheetName val="ORÇAMENTO"/>
      <sheetName val="CONS_CORR"/>
      <sheetName val="Quadro de qntd"/>
      <sheetName val="QUADRO COMPARATIVO"/>
      <sheetName val="RESUMO_AUT1"/>
      <sheetName val="PLANILHA CONTRATUAL"/>
      <sheetName val="8ª MP_BR_459"/>
      <sheetName val="TCC4"/>
      <sheetName val="TCB5"/>
      <sheetName val="P A T O  D"/>
      <sheetName val="Especif"/>
      <sheetName val="Mat. Prod."/>
      <sheetName val="lista_comp"/>
      <sheetName val="Ma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BD Equip."/>
      <sheetName val="PN (Fx 3)"/>
      <sheetName val="PROJETO"/>
      <sheetName val="Dados"/>
      <sheetName val="ORÇAMENTO"/>
      <sheetName val="Equipamentos"/>
      <sheetName val="Calendário"/>
      <sheetName val="COMPOS1"/>
      <sheetName val="lista_comp"/>
      <sheetName val="CONS_CORR"/>
      <sheetName val="Planilha"/>
      <sheetName val="P A T O  B"/>
      <sheetName val="RESUMO_AUT1"/>
      <sheetName val="Quadro de qntd"/>
      <sheetName val="CURVA ABC"/>
      <sheetName val="Cronograma FIS FINANC"/>
      <sheetName val="8ª MP_BR_459"/>
      <sheetName val="Serviços"/>
      <sheetName val="61M-CBMI"/>
      <sheetName val="MAT-BET"/>
      <sheetName val="Auxiliares"/>
      <sheetName val="materiais civil"/>
      <sheetName val="mão de obra civil"/>
      <sheetName val="Geral"/>
      <sheetName val="Teor"/>
      <sheetName val="CANAA.XLS"/>
      <sheetName val="CANAA"/>
      <sheetName val="[CANAA.XLS]_G_Users_eduardoiu_2"/>
      <sheetName val="[CANAA.XLS]_G_Users_eduardoiu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PROJETO"/>
      <sheetName val="FLUXO - EXECUÇÃO PRÓPRIA"/>
      <sheetName val="PN (Fx 3)"/>
      <sheetName val="ORÇAMENTO"/>
      <sheetName val="Equipamentos"/>
      <sheetName val="COMPOS1"/>
      <sheetName val="CBUQ DRENO LONGIT RECOBRIMENTO"/>
      <sheetName val="DAR-01"/>
      <sheetName val="lista_comp"/>
      <sheetName val="Geral"/>
      <sheetName val="QUADRO COMPARATIVO"/>
      <sheetName val="CONS_CORR"/>
      <sheetName val="Teor"/>
      <sheetName val="RMLE157"/>
      <sheetName val="P A T O"/>
      <sheetName val="Quadro de qntd"/>
      <sheetName val="TCB5"/>
      <sheetName val="8ª MP_BR_459"/>
      <sheetName val="TCC4"/>
      <sheetName val="P A T O  D"/>
      <sheetName val="61M-CBMI"/>
      <sheetName val="CUSTO ZONA SUL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RESUMO_AUT1"/>
      <sheetName val="PT"/>
      <sheetName val="Mão de Obra"/>
      <sheetName val="Plan1"/>
      <sheetName val="Quadro Geral"/>
      <sheetName val="REAJU"/>
      <sheetName val="compos1"/>
      <sheetName val="alphaville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A"/>
      <sheetName val="COTAÇÕES"/>
      <sheetName val="INDICES"/>
      <sheetName val="pro-08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  <sheetName val="INSUMOS"/>
      <sheetName val="450"/>
      <sheetName val="Codes,..."/>
      <sheetName val="MTO"/>
      <sheetName val="INNER TANK"/>
      <sheetName val="IPE"/>
      <sheetName val="Sheet6"/>
      <sheetName val="TCB5"/>
      <sheetName val="sid_ni_5"/>
      <sheetName val="Fresagem e Remendos profundos"/>
      <sheetName val="Input Dados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USTO EQUIP"/>
      <sheetName val="Comp P Unit "/>
      <sheetName val="CALCULOS AUXILIARES"/>
      <sheetName val="CUSTO MATERIAL"/>
      <sheetName val="Croqui"/>
      <sheetName val="C MÃO OBRA"/>
      <sheetName val="Calendário"/>
      <sheetName val="Pontes"/>
      <sheetName val="CONS_CORR"/>
      <sheetName val="TLCB5"/>
      <sheetName val="TLMR"/>
      <sheetName val="MB"/>
      <sheetName val="CROQUIS"/>
      <sheetName val="PLMUSEU"/>
      <sheetName val="Medição (2"/>
      <sheetName val="Medição Complet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  <sheetName val="FLUXO - EXECUÇÃO PRÓPRIA"/>
      <sheetName val="PROJETO"/>
      <sheetName val="Orçamento"/>
      <sheetName val="CONS_CORR"/>
      <sheetName val="Equipamentos"/>
      <sheetName val="CBUQ DRENO LONGIT RECOBRIMENTO"/>
      <sheetName val="DAR-01"/>
      <sheetName val="Geral"/>
      <sheetName val="CUSTO ZONA SUL"/>
      <sheetName val="QUADRO COMPARATIVO"/>
      <sheetName val="RESUMO_AUT1"/>
      <sheetName val="Teor"/>
      <sheetName val="RMLE157"/>
      <sheetName val="8ª MP_BR-459"/>
      <sheetName val="Índices de Reajustamento"/>
      <sheetName val="P A T O  B"/>
      <sheetName val="PLANILHA CONTRATUAL"/>
      <sheetName val="8ª MP_BR_459"/>
      <sheetName val="Serviços"/>
      <sheetName val="61M-CBMI"/>
      <sheetName val="Alteração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LUXO - EXECUÇÃO PRÓPRIA"/>
      <sheetName val="Equipamentos"/>
      <sheetName val="QUADRO COMPARATIVO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PROJETO"/>
      <sheetName val="CUSTO ZONA SUL"/>
      <sheetName val="Alteração"/>
      <sheetName val="RESUMO_AUT1"/>
      <sheetName val="Teor"/>
      <sheetName val="8ª MP_BR-459"/>
      <sheetName val="8ª MP_BR_459"/>
      <sheetName val="Plan 2.7"/>
      <sheetName val="Quadro de qntd"/>
      <sheetName val="CURVA ABC"/>
      <sheetName val="Cronograma FIS FINANC"/>
      <sheetName val="TCB5"/>
      <sheetName val="TCC4"/>
      <sheetName val="Medição"/>
      <sheetName val="61M-CBMI"/>
      <sheetName val="Dados"/>
      <sheetName val="ORÇ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QuQuant"/>
      <sheetName val="Equipamentos"/>
      <sheetName val="FLUXO - EXECUÇÃO PRÓPRIA"/>
      <sheetName val="QUADRO COMPARATIVO"/>
      <sheetName val="RESUMO_AUT1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Serviços"/>
      <sheetName val="Planilha"/>
      <sheetName val="Alteração"/>
      <sheetName val="61M-CBMI"/>
      <sheetName val="RMLE157"/>
      <sheetName val="Calendário"/>
      <sheetName val="8ª MP_BR_459"/>
      <sheetName val="MB"/>
      <sheetName val="CUSTO LARANJEIRAS"/>
      <sheetName val="Quadro de qntd"/>
      <sheetName val="PLANILHA CONTRATUAL"/>
      <sheetName val="orçamento"/>
      <sheetName val="Medição"/>
      <sheetName val="Mat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OMPMOTSER"/>
      <sheetName val="MAT PLACA"/>
      <sheetName val="TLCB5"/>
      <sheetName val="TLMR"/>
      <sheetName val="Custo Equip"/>
      <sheetName val="SICRO"/>
      <sheetName val="precorc.xls"/>
      <sheetName val="aux"/>
      <sheetName val="Produto Novo - I"/>
      <sheetName val="Contrato Inicial"/>
      <sheetName val="MB"/>
      <sheetName val="SERVIÇOS"/>
      <sheetName val="P A T O"/>
      <sheetName val="Equipamentos"/>
      <sheetName val="RESUMO_AUT1"/>
      <sheetName val="Teor"/>
      <sheetName val="61M-CBMI"/>
      <sheetName val="Mat"/>
      <sheetName val="RMLE157"/>
      <sheetName val="MAT-BET"/>
      <sheetName val="8ª MP_BR-459"/>
      <sheetName val="DOSAGEM"/>
      <sheetName val="Calendário"/>
      <sheetName val="BD Equip."/>
      <sheetName val="P A T O  B"/>
      <sheetName val="Quadro de qntd"/>
      <sheetName val="CURVA ABC"/>
      <sheetName val="Cronograma FIS FINANC"/>
      <sheetName val="TCB5"/>
      <sheetName val="8ª MP_BR_459"/>
      <sheetName val="Medição"/>
      <sheetName val="Orçamento"/>
      <sheetName val="CONS_CORR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Planilha"/>
      <sheetName val="P A T O"/>
      <sheetName val="Índices de Reajustamento"/>
      <sheetName val="QuQuant"/>
      <sheetName val="RMLE157"/>
      <sheetName val="Serviços"/>
      <sheetName val="CG"/>
      <sheetName val="Teor"/>
      <sheetName val="Equipamentos"/>
      <sheetName val="PROJETO"/>
      <sheetName val="8ª MP_BR-459"/>
      <sheetName val="8ª MP_BR_459"/>
      <sheetName val="REPOSITÓRIOS"/>
      <sheetName val="001 -RPFO SUPRIMR"/>
      <sheetName val="2 - ORÇAMEMTO RPFO"/>
      <sheetName val="39 -quadro qtde DRENAGEM URBANA"/>
      <sheetName val="BD Equip."/>
      <sheetName val="lista_comp"/>
      <sheetName val="Quadro de qntd"/>
      <sheetName val="PLANILHA CONTRATUAL"/>
      <sheetName val="Mediçã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alphaville"/>
      <sheetName val="Índices de Reajustamento"/>
      <sheetName val="Plan 2.7"/>
      <sheetName val="P A T O"/>
      <sheetName val="RMLE157"/>
      <sheetName val="8ª MP_BR-459"/>
      <sheetName val="CG"/>
      <sheetName val="Teor"/>
      <sheetName val="PROJETO"/>
      <sheetName val="8ª MP_BR_459"/>
      <sheetName val="MB"/>
      <sheetName val="SERVIÇOS"/>
      <sheetName val="QuQuant"/>
      <sheetName val="Geral"/>
      <sheetName val="P A T O  B"/>
      <sheetName val="Quadro de qntd"/>
      <sheetName val="CURVA ABC"/>
      <sheetName val="Cronograma FIS FINANC"/>
      <sheetName val="TCB5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 t="str">
            <v>QUADRO 09</v>
          </cell>
        </row>
        <row r="6">
          <cell r="B6" t="str">
            <v>Código</v>
          </cell>
          <cell r="C6" t="str">
            <v>Categoria Profissional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alphaville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Listas"/>
      <sheetName val="B M Pl04"/>
      <sheetName val="ORÇAMENTO"/>
      <sheetName val="Plan1"/>
      <sheetName val="COTAÇÕES"/>
      <sheetName val="REAJU"/>
      <sheetName val="pro-08"/>
      <sheetName val="compos1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guarantãs"/>
      <sheetName val="Premissas MF"/>
      <sheetName val="Premissas"/>
      <sheetName val="CPU ANTT"/>
      <sheetName val="aux"/>
      <sheetName val="Serviços"/>
      <sheetName val="2.3"/>
      <sheetName val="Orçamento Global"/>
      <sheetName val="inss1"/>
      <sheetName val="Paramentros"/>
      <sheetName val="Deduc. Reaj."/>
      <sheetName val="CBUQ DRENO LONGIT RECOBRIMENTO"/>
      <sheetName val="DAR-01"/>
      <sheetName val="8ª MP_BR-459"/>
      <sheetName val="Quadro de qntd"/>
      <sheetName val="MB"/>
      <sheetName val="BD Equip.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Tabela"/>
      <sheetName val="2012"/>
      <sheetName val="2013"/>
    </sheetNames>
    <sheetDataSet>
      <sheetData sheetId="0"/>
      <sheetData sheetId="1">
        <row r="7">
          <cell r="A7">
            <v>2000.12</v>
          </cell>
          <cell r="B7">
            <v>2000</v>
          </cell>
          <cell r="C7" t="str">
            <v>Dezembro</v>
          </cell>
          <cell r="D7">
            <v>100</v>
          </cell>
          <cell r="E7">
            <v>100</v>
          </cell>
          <cell r="G7">
            <v>100</v>
          </cell>
          <cell r="H7">
            <v>100</v>
          </cell>
          <cell r="I7">
            <v>100</v>
          </cell>
          <cell r="J7">
            <v>100</v>
          </cell>
          <cell r="L7">
            <v>100</v>
          </cell>
          <cell r="M7">
            <v>100</v>
          </cell>
          <cell r="N7">
            <v>100</v>
          </cell>
          <cell r="R7">
            <v>193.97</v>
          </cell>
        </row>
        <row r="8">
          <cell r="A8">
            <v>2001.01</v>
          </cell>
          <cell r="B8">
            <v>2001</v>
          </cell>
          <cell r="C8" t="str">
            <v>Janeiro</v>
          </cell>
          <cell r="D8">
            <v>101.621</v>
          </cell>
          <cell r="E8">
            <v>101.38800000000001</v>
          </cell>
          <cell r="G8">
            <v>102.048</v>
          </cell>
          <cell r="H8">
            <v>100.39</v>
          </cell>
          <cell r="I8">
            <v>101.631</v>
          </cell>
          <cell r="J8">
            <v>100.748</v>
          </cell>
          <cell r="L8">
            <v>101.35899999999999</v>
          </cell>
          <cell r="M8">
            <v>101.355</v>
          </cell>
          <cell r="N8">
            <v>101.979</v>
          </cell>
          <cell r="R8">
            <v>194.92</v>
          </cell>
        </row>
        <row r="9">
          <cell r="A9">
            <v>2001.02</v>
          </cell>
          <cell r="B9">
            <v>2001</v>
          </cell>
          <cell r="C9" t="str">
            <v>Fevereiro</v>
          </cell>
          <cell r="D9">
            <v>101.748</v>
          </cell>
          <cell r="E9">
            <v>101.557</v>
          </cell>
          <cell r="G9">
            <v>102.083</v>
          </cell>
          <cell r="H9">
            <v>100.411</v>
          </cell>
          <cell r="I9">
            <v>101.755</v>
          </cell>
          <cell r="J9">
            <v>100.88800000000001</v>
          </cell>
          <cell r="L9">
            <v>102.089</v>
          </cell>
          <cell r="M9">
            <v>101.48</v>
          </cell>
          <cell r="N9">
            <v>101.98699999999999</v>
          </cell>
          <cell r="R9">
            <v>195.58</v>
          </cell>
        </row>
        <row r="10">
          <cell r="A10">
            <v>2001.03</v>
          </cell>
          <cell r="B10">
            <v>2001</v>
          </cell>
          <cell r="C10" t="str">
            <v>Março</v>
          </cell>
          <cell r="D10">
            <v>101.97799999999999</v>
          </cell>
          <cell r="E10">
            <v>101.81399999999999</v>
          </cell>
          <cell r="G10">
            <v>102.328</v>
          </cell>
          <cell r="H10">
            <v>100.401</v>
          </cell>
          <cell r="I10">
            <v>101.999</v>
          </cell>
          <cell r="J10">
            <v>101.771</v>
          </cell>
          <cell r="L10">
            <v>102.72499999999999</v>
          </cell>
          <cell r="M10">
            <v>101.636</v>
          </cell>
          <cell r="N10">
            <v>102.849</v>
          </cell>
          <cell r="R10">
            <v>197.15100000000001</v>
          </cell>
        </row>
        <row r="11">
          <cell r="A11">
            <v>2001.04</v>
          </cell>
          <cell r="B11">
            <v>2001</v>
          </cell>
          <cell r="C11" t="str">
            <v>Abril</v>
          </cell>
          <cell r="D11">
            <v>102.64100000000001</v>
          </cell>
          <cell r="E11">
            <v>102.07299999999999</v>
          </cell>
          <cell r="G11">
            <v>102.44799999999999</v>
          </cell>
          <cell r="H11">
            <v>100.438</v>
          </cell>
          <cell r="I11">
            <v>102.24</v>
          </cell>
          <cell r="J11">
            <v>102.072</v>
          </cell>
          <cell r="L11">
            <v>102.95099999999999</v>
          </cell>
          <cell r="M11">
            <v>101.908</v>
          </cell>
          <cell r="N11">
            <v>104.059</v>
          </cell>
          <cell r="R11">
            <v>199.374</v>
          </cell>
        </row>
        <row r="12">
          <cell r="A12">
            <v>2001.05</v>
          </cell>
          <cell r="B12">
            <v>2001</v>
          </cell>
          <cell r="C12" t="str">
            <v>Maio</v>
          </cell>
          <cell r="D12">
            <v>102.887</v>
          </cell>
          <cell r="E12">
            <v>102.61</v>
          </cell>
          <cell r="G12">
            <v>102.631</v>
          </cell>
          <cell r="H12">
            <v>100.84699999999999</v>
          </cell>
          <cell r="I12">
            <v>102.748</v>
          </cell>
          <cell r="J12">
            <v>102.206</v>
          </cell>
          <cell r="L12">
            <v>103.622</v>
          </cell>
          <cell r="M12">
            <v>102.569</v>
          </cell>
          <cell r="N12">
            <v>105.82599999999999</v>
          </cell>
          <cell r="R12">
            <v>200.251</v>
          </cell>
        </row>
        <row r="13">
          <cell r="A13">
            <v>2001.06</v>
          </cell>
          <cell r="B13">
            <v>2001</v>
          </cell>
          <cell r="C13" t="str">
            <v>Junho</v>
          </cell>
          <cell r="D13">
            <v>103.499</v>
          </cell>
          <cell r="E13">
            <v>104.051</v>
          </cell>
          <cell r="G13">
            <v>103.054</v>
          </cell>
          <cell r="H13">
            <v>102.416</v>
          </cell>
          <cell r="I13">
            <v>104.261</v>
          </cell>
          <cell r="J13">
            <v>102.48</v>
          </cell>
          <cell r="L13">
            <v>104.544</v>
          </cell>
          <cell r="M13">
            <v>104.31399999999999</v>
          </cell>
          <cell r="N13">
            <v>106.78700000000001</v>
          </cell>
          <cell r="R13">
            <v>203.167</v>
          </cell>
        </row>
        <row r="14">
          <cell r="A14">
            <v>2001.07</v>
          </cell>
          <cell r="B14">
            <v>2001</v>
          </cell>
          <cell r="C14" t="str">
            <v>Julho</v>
          </cell>
          <cell r="D14">
            <v>104.676</v>
          </cell>
          <cell r="E14">
            <v>105.672</v>
          </cell>
          <cell r="G14">
            <v>104.797</v>
          </cell>
          <cell r="H14">
            <v>103.221</v>
          </cell>
          <cell r="I14">
            <v>106.033</v>
          </cell>
          <cell r="J14">
            <v>103.021</v>
          </cell>
          <cell r="L14">
            <v>105.75</v>
          </cell>
          <cell r="M14">
            <v>106.012</v>
          </cell>
          <cell r="N14">
            <v>106.08</v>
          </cell>
          <cell r="R14">
            <v>206.45</v>
          </cell>
        </row>
        <row r="15">
          <cell r="A15">
            <v>2001.08</v>
          </cell>
          <cell r="B15">
            <v>2001</v>
          </cell>
          <cell r="C15" t="str">
            <v>Agosto</v>
          </cell>
          <cell r="D15">
            <v>105.904</v>
          </cell>
          <cell r="E15">
            <v>106.88</v>
          </cell>
          <cell r="G15">
            <v>106.34</v>
          </cell>
          <cell r="H15">
            <v>103.625</v>
          </cell>
          <cell r="I15">
            <v>107.29300000000001</v>
          </cell>
          <cell r="J15">
            <v>104.08199999999999</v>
          </cell>
          <cell r="L15">
            <v>107.952</v>
          </cell>
          <cell r="M15">
            <v>106.851</v>
          </cell>
          <cell r="N15">
            <v>111.295</v>
          </cell>
          <cell r="R15">
            <v>208.315</v>
          </cell>
        </row>
        <row r="16">
          <cell r="A16">
            <v>2001.09</v>
          </cell>
          <cell r="B16">
            <v>2001</v>
          </cell>
          <cell r="C16" t="str">
            <v>Setembro</v>
          </cell>
          <cell r="D16">
            <v>106.762</v>
          </cell>
          <cell r="E16">
            <v>108.08199999999999</v>
          </cell>
          <cell r="G16">
            <v>107.01300000000001</v>
          </cell>
          <cell r="H16">
            <v>104.206</v>
          </cell>
          <cell r="I16">
            <v>108.578</v>
          </cell>
          <cell r="J16">
            <v>104.871</v>
          </cell>
          <cell r="L16">
            <v>109.38</v>
          </cell>
          <cell r="M16">
            <v>107.896</v>
          </cell>
          <cell r="N16">
            <v>112.39</v>
          </cell>
          <cell r="R16">
            <v>209.11099999999999</v>
          </cell>
        </row>
        <row r="17">
          <cell r="A17">
            <v>2001.1</v>
          </cell>
          <cell r="B17">
            <v>2001</v>
          </cell>
          <cell r="C17" t="str">
            <v>Outubro</v>
          </cell>
          <cell r="D17">
            <v>109.053</v>
          </cell>
          <cell r="E17">
            <v>108.89</v>
          </cell>
          <cell r="G17">
            <v>108.29600000000001</v>
          </cell>
          <cell r="H17">
            <v>104.711</v>
          </cell>
          <cell r="I17">
            <v>109.616</v>
          </cell>
          <cell r="J17">
            <v>106.071</v>
          </cell>
          <cell r="L17">
            <v>110.642</v>
          </cell>
          <cell r="M17">
            <v>108.50700000000001</v>
          </cell>
          <cell r="N17">
            <v>116.042</v>
          </cell>
          <cell r="R17">
            <v>212.13499999999999</v>
          </cell>
        </row>
        <row r="18">
          <cell r="A18">
            <v>2001.11</v>
          </cell>
          <cell r="B18">
            <v>2001</v>
          </cell>
          <cell r="C18" t="str">
            <v>Novembro</v>
          </cell>
          <cell r="D18">
            <v>109.04600000000001</v>
          </cell>
          <cell r="E18">
            <v>109.69799999999999</v>
          </cell>
          <cell r="G18">
            <v>108.636</v>
          </cell>
          <cell r="H18">
            <v>105.268</v>
          </cell>
          <cell r="I18">
            <v>110.244</v>
          </cell>
          <cell r="J18">
            <v>107.813</v>
          </cell>
          <cell r="L18">
            <v>112.041</v>
          </cell>
          <cell r="M18">
            <v>109.13500000000001</v>
          </cell>
          <cell r="N18">
            <v>116.758</v>
          </cell>
          <cell r="R18">
            <v>213.756</v>
          </cell>
        </row>
        <row r="19">
          <cell r="A19">
            <v>2001.12</v>
          </cell>
          <cell r="B19">
            <v>2001</v>
          </cell>
          <cell r="C19" t="str">
            <v>Dezembro</v>
          </cell>
          <cell r="D19">
            <v>111.11199999999999</v>
          </cell>
          <cell r="E19">
            <v>110.511</v>
          </cell>
          <cell r="G19">
            <v>109.238</v>
          </cell>
          <cell r="H19">
            <v>106.04900000000001</v>
          </cell>
          <cell r="I19">
            <v>110.98699999999999</v>
          </cell>
          <cell r="J19">
            <v>108.053</v>
          </cell>
          <cell r="L19">
            <v>112.84399999999999</v>
          </cell>
          <cell r="M19">
            <v>109.821</v>
          </cell>
          <cell r="N19">
            <v>111.116</v>
          </cell>
          <cell r="R19">
            <v>214.137</v>
          </cell>
        </row>
        <row r="20">
          <cell r="A20">
            <v>2002.01</v>
          </cell>
          <cell r="B20">
            <v>2002</v>
          </cell>
          <cell r="C20" t="str">
            <v>Janeiro</v>
          </cell>
          <cell r="D20">
            <v>111.08</v>
          </cell>
          <cell r="E20">
            <v>110.977</v>
          </cell>
          <cell r="G20">
            <v>108.396</v>
          </cell>
          <cell r="H20">
            <v>106.45</v>
          </cell>
          <cell r="I20">
            <v>111.16500000000001</v>
          </cell>
          <cell r="J20">
            <v>108.357</v>
          </cell>
          <cell r="L20">
            <v>114.574</v>
          </cell>
          <cell r="M20">
            <v>110.203</v>
          </cell>
          <cell r="N20">
            <v>108.65300000000001</v>
          </cell>
          <cell r="R20">
            <v>214.535</v>
          </cell>
        </row>
        <row r="21">
          <cell r="A21">
            <v>2002.02</v>
          </cell>
          <cell r="B21">
            <v>2002</v>
          </cell>
          <cell r="C21" t="str">
            <v>Fevereiro</v>
          </cell>
          <cell r="D21">
            <v>111.044</v>
          </cell>
          <cell r="E21">
            <v>111.27800000000001</v>
          </cell>
          <cell r="G21">
            <v>108.77500000000001</v>
          </cell>
          <cell r="H21">
            <v>106.566</v>
          </cell>
          <cell r="I21">
            <v>111.57299999999999</v>
          </cell>
          <cell r="J21">
            <v>108.629</v>
          </cell>
          <cell r="L21">
            <v>115.315</v>
          </cell>
          <cell r="M21">
            <v>110.496</v>
          </cell>
          <cell r="N21">
            <v>109.34699999999999</v>
          </cell>
          <cell r="R21">
            <v>214.92699999999999</v>
          </cell>
        </row>
        <row r="22">
          <cell r="A22">
            <v>2002.03</v>
          </cell>
          <cell r="B22">
            <v>2002</v>
          </cell>
          <cell r="C22" t="str">
            <v>Março</v>
          </cell>
          <cell r="D22">
            <v>111.444</v>
          </cell>
          <cell r="E22">
            <v>111.712</v>
          </cell>
          <cell r="G22">
            <v>109.542</v>
          </cell>
          <cell r="H22">
            <v>106.836</v>
          </cell>
          <cell r="I22">
            <v>112.092</v>
          </cell>
          <cell r="J22">
            <v>109.03100000000001</v>
          </cell>
          <cell r="L22">
            <v>115.292</v>
          </cell>
          <cell r="M22">
            <v>111.126</v>
          </cell>
          <cell r="N22">
            <v>110.38800000000001</v>
          </cell>
          <cell r="R22">
            <v>215.17</v>
          </cell>
        </row>
        <row r="23">
          <cell r="A23">
            <v>2002.04</v>
          </cell>
          <cell r="B23">
            <v>2002</v>
          </cell>
          <cell r="C23" t="str">
            <v>Abril</v>
          </cell>
          <cell r="D23">
            <v>113.643</v>
          </cell>
          <cell r="E23">
            <v>113.001</v>
          </cell>
          <cell r="G23">
            <v>112.23699999999999</v>
          </cell>
          <cell r="H23">
            <v>107.321</v>
          </cell>
          <cell r="I23">
            <v>113.56699999999999</v>
          </cell>
          <cell r="J23">
            <v>108.423</v>
          </cell>
          <cell r="L23">
            <v>115.20699999999999</v>
          </cell>
          <cell r="M23">
            <v>112.361</v>
          </cell>
          <cell r="N23">
            <v>112.099</v>
          </cell>
          <cell r="R23">
            <v>216.673</v>
          </cell>
        </row>
        <row r="24">
          <cell r="A24">
            <v>2002.05</v>
          </cell>
          <cell r="B24">
            <v>2002</v>
          </cell>
          <cell r="C24" t="str">
            <v>Maio</v>
          </cell>
          <cell r="D24">
            <v>115.136</v>
          </cell>
          <cell r="E24">
            <v>114.24299999999999</v>
          </cell>
          <cell r="G24">
            <v>112.91500000000001</v>
          </cell>
          <cell r="H24">
            <v>107.82599999999999</v>
          </cell>
          <cell r="I24">
            <v>115.012</v>
          </cell>
          <cell r="J24">
            <v>108.36</v>
          </cell>
          <cell r="L24">
            <v>115.56100000000001</v>
          </cell>
          <cell r="M24">
            <v>113.997</v>
          </cell>
          <cell r="N24">
            <v>110.27</v>
          </cell>
          <cell r="R24">
            <v>219.07</v>
          </cell>
        </row>
        <row r="25">
          <cell r="A25">
            <v>2002.06</v>
          </cell>
          <cell r="B25">
            <v>2002</v>
          </cell>
          <cell r="C25" t="str">
            <v>Junho</v>
          </cell>
          <cell r="D25">
            <v>117.054</v>
          </cell>
          <cell r="E25">
            <v>115.63800000000001</v>
          </cell>
          <cell r="G25">
            <v>114.176</v>
          </cell>
          <cell r="H25">
            <v>109.601</v>
          </cell>
          <cell r="I25">
            <v>116.547</v>
          </cell>
          <cell r="J25">
            <v>109.265</v>
          </cell>
          <cell r="L25">
            <v>116.029</v>
          </cell>
          <cell r="M25">
            <v>115.575</v>
          </cell>
          <cell r="N25">
            <v>110.15900000000001</v>
          </cell>
          <cell r="R25">
            <v>222.87200000000001</v>
          </cell>
        </row>
        <row r="26">
          <cell r="A26">
            <v>2002.07</v>
          </cell>
          <cell r="B26">
            <v>2002</v>
          </cell>
          <cell r="C26" t="str">
            <v>Julho</v>
          </cell>
          <cell r="D26">
            <v>121.32899999999999</v>
          </cell>
          <cell r="E26">
            <v>116.809</v>
          </cell>
          <cell r="G26">
            <v>116.982</v>
          </cell>
          <cell r="H26">
            <v>110.21599999999999</v>
          </cell>
          <cell r="I26">
            <v>117.965</v>
          </cell>
          <cell r="J26">
            <v>109.818</v>
          </cell>
          <cell r="L26">
            <v>116.864</v>
          </cell>
          <cell r="M26">
            <v>116.887</v>
          </cell>
          <cell r="N26">
            <v>113.84699999999999</v>
          </cell>
          <cell r="R26">
            <v>227.441</v>
          </cell>
        </row>
        <row r="27">
          <cell r="A27">
            <v>2002.08</v>
          </cell>
          <cell r="B27">
            <v>2002</v>
          </cell>
          <cell r="C27" t="str">
            <v>Agosto</v>
          </cell>
          <cell r="D27">
            <v>123.119</v>
          </cell>
          <cell r="E27">
            <v>117.901</v>
          </cell>
          <cell r="G27">
            <v>118.613</v>
          </cell>
          <cell r="H27">
            <v>110.574</v>
          </cell>
          <cell r="I27">
            <v>118.96299999999999</v>
          </cell>
          <cell r="J27">
            <v>110.279</v>
          </cell>
          <cell r="L27">
            <v>118.146</v>
          </cell>
          <cell r="M27">
            <v>117.73099999999999</v>
          </cell>
          <cell r="N27">
            <v>129.102</v>
          </cell>
          <cell r="R27">
            <v>232.81800000000001</v>
          </cell>
        </row>
        <row r="28">
          <cell r="A28">
            <v>2002.09</v>
          </cell>
          <cell r="B28">
            <v>2002</v>
          </cell>
          <cell r="C28" t="str">
            <v>Setembro</v>
          </cell>
          <cell r="D28">
            <v>124.857</v>
          </cell>
          <cell r="E28">
            <v>119.194</v>
          </cell>
          <cell r="G28">
            <v>118.938</v>
          </cell>
          <cell r="H28">
            <v>111.1</v>
          </cell>
          <cell r="I28">
            <v>120.176</v>
          </cell>
          <cell r="J28">
            <v>113.506</v>
          </cell>
          <cell r="L28">
            <v>120.673</v>
          </cell>
          <cell r="M28">
            <v>118.672</v>
          </cell>
          <cell r="N28">
            <v>141.01900000000001</v>
          </cell>
          <cell r="R28">
            <v>238.97300000000001</v>
          </cell>
        </row>
        <row r="29">
          <cell r="A29">
            <v>2002.1</v>
          </cell>
          <cell r="B29">
            <v>2002</v>
          </cell>
          <cell r="C29" t="str">
            <v>Outubro</v>
          </cell>
          <cell r="D29">
            <v>127.876</v>
          </cell>
          <cell r="E29">
            <v>120.702</v>
          </cell>
          <cell r="G29">
            <v>119.57899999999999</v>
          </cell>
          <cell r="H29">
            <v>112.021</v>
          </cell>
          <cell r="I29">
            <v>121.548</v>
          </cell>
          <cell r="J29">
            <v>117.07899999999999</v>
          </cell>
          <cell r="L29">
            <v>122.71</v>
          </cell>
          <cell r="M29">
            <v>119.607</v>
          </cell>
          <cell r="N29">
            <v>157.05099999999999</v>
          </cell>
          <cell r="R29">
            <v>249.042</v>
          </cell>
        </row>
        <row r="30">
          <cell r="A30">
            <v>2002.11</v>
          </cell>
          <cell r="B30">
            <v>2002</v>
          </cell>
          <cell r="C30" t="str">
            <v>Novembro</v>
          </cell>
          <cell r="D30">
            <v>133.13900000000001</v>
          </cell>
          <cell r="E30">
            <v>125.48399999999999</v>
          </cell>
          <cell r="G30">
            <v>127.836</v>
          </cell>
          <cell r="H30">
            <v>112.708</v>
          </cell>
          <cell r="I30">
            <v>126.884</v>
          </cell>
          <cell r="J30">
            <v>122.538</v>
          </cell>
          <cell r="L30">
            <v>129.09299999999999</v>
          </cell>
          <cell r="M30">
            <v>123.604</v>
          </cell>
          <cell r="N30">
            <v>170.08199999999999</v>
          </cell>
          <cell r="R30">
            <v>263.58</v>
          </cell>
        </row>
        <row r="31">
          <cell r="A31">
            <v>2002.12</v>
          </cell>
          <cell r="B31">
            <v>2002</v>
          </cell>
          <cell r="C31" t="str">
            <v>Dezembro</v>
          </cell>
          <cell r="D31">
            <v>137.14099999999999</v>
          </cell>
          <cell r="E31">
            <v>128.96700000000001</v>
          </cell>
          <cell r="G31">
            <v>133.04300000000001</v>
          </cell>
          <cell r="H31">
            <v>113.151</v>
          </cell>
          <cell r="I31">
            <v>130.16800000000001</v>
          </cell>
          <cell r="J31">
            <v>123.679</v>
          </cell>
          <cell r="L31">
            <v>134.47499999999999</v>
          </cell>
          <cell r="M31">
            <v>125.855</v>
          </cell>
          <cell r="N31">
            <v>188.38800000000001</v>
          </cell>
          <cell r="R31">
            <v>270.69200000000001</v>
          </cell>
        </row>
        <row r="32">
          <cell r="A32">
            <v>2003.01</v>
          </cell>
          <cell r="B32">
            <v>2003</v>
          </cell>
          <cell r="C32" t="str">
            <v>Janeiro</v>
          </cell>
          <cell r="D32">
            <v>142.91499999999999</v>
          </cell>
          <cell r="E32">
            <v>132.65799999999999</v>
          </cell>
          <cell r="G32">
            <v>142.10599999999999</v>
          </cell>
          <cell r="H32">
            <v>114.105</v>
          </cell>
          <cell r="I32">
            <v>134.238</v>
          </cell>
          <cell r="J32">
            <v>126.38800000000001</v>
          </cell>
          <cell r="L32">
            <v>140.58199999999999</v>
          </cell>
          <cell r="M32">
            <v>128.708</v>
          </cell>
          <cell r="N32">
            <v>190.922</v>
          </cell>
          <cell r="R32">
            <v>276.57799999999997</v>
          </cell>
        </row>
        <row r="33">
          <cell r="A33">
            <v>2003.02</v>
          </cell>
          <cell r="B33">
            <v>2003</v>
          </cell>
          <cell r="C33" t="str">
            <v>Fevereiro</v>
          </cell>
          <cell r="D33">
            <v>144.98599999999999</v>
          </cell>
          <cell r="E33">
            <v>133.57900000000001</v>
          </cell>
          <cell r="G33">
            <v>144.49199999999999</v>
          </cell>
          <cell r="H33">
            <v>114.22799999999999</v>
          </cell>
          <cell r="I33">
            <v>134.999</v>
          </cell>
          <cell r="J33">
            <v>127.983</v>
          </cell>
          <cell r="L33">
            <v>142.923</v>
          </cell>
          <cell r="M33">
            <v>129.268</v>
          </cell>
          <cell r="N33">
            <v>179.95500000000001</v>
          </cell>
          <cell r="R33">
            <v>280.98399999999998</v>
          </cell>
        </row>
        <row r="34">
          <cell r="A34">
            <v>2003.03</v>
          </cell>
          <cell r="B34">
            <v>2003</v>
          </cell>
          <cell r="C34" t="str">
            <v>Março</v>
          </cell>
          <cell r="D34">
            <v>145.68299999999999</v>
          </cell>
          <cell r="E34">
            <v>134.28700000000001</v>
          </cell>
          <cell r="G34">
            <v>145.642</v>
          </cell>
          <cell r="H34">
            <v>115.73399999999999</v>
          </cell>
          <cell r="I34">
            <v>136.04900000000001</v>
          </cell>
          <cell r="J34">
            <v>128.27099999999999</v>
          </cell>
          <cell r="L34">
            <v>143.55500000000001</v>
          </cell>
          <cell r="M34">
            <v>130.029</v>
          </cell>
          <cell r="N34">
            <v>194.40700000000001</v>
          </cell>
          <cell r="R34">
            <v>285.64</v>
          </cell>
        </row>
        <row r="35">
          <cell r="A35">
            <v>2003.04</v>
          </cell>
          <cell r="B35">
            <v>2003</v>
          </cell>
          <cell r="C35" t="str">
            <v>Abril</v>
          </cell>
          <cell r="D35">
            <v>144.93700000000001</v>
          </cell>
          <cell r="E35">
            <v>136.12700000000001</v>
          </cell>
          <cell r="G35">
            <v>146.774</v>
          </cell>
          <cell r="H35">
            <v>116.36499999999999</v>
          </cell>
          <cell r="I35">
            <v>137.66800000000001</v>
          </cell>
          <cell r="J35">
            <v>129.63300000000001</v>
          </cell>
          <cell r="L35">
            <v>144.78800000000001</v>
          </cell>
          <cell r="M35">
            <v>131.422</v>
          </cell>
          <cell r="N35">
            <v>191.25200000000001</v>
          </cell>
          <cell r="R35">
            <v>286.815</v>
          </cell>
        </row>
        <row r="36">
          <cell r="A36">
            <v>2003.05</v>
          </cell>
          <cell r="B36">
            <v>2003</v>
          </cell>
          <cell r="C36" t="str">
            <v>Maio</v>
          </cell>
          <cell r="D36">
            <v>143.13800000000001</v>
          </cell>
          <cell r="E36">
            <v>136.375</v>
          </cell>
          <cell r="G36">
            <v>144.803</v>
          </cell>
          <cell r="H36">
            <v>117.631</v>
          </cell>
          <cell r="I36">
            <v>137.828</v>
          </cell>
          <cell r="J36">
            <v>130.06299999999999</v>
          </cell>
          <cell r="L36">
            <v>144.50399999999999</v>
          </cell>
          <cell r="M36">
            <v>131.70699999999999</v>
          </cell>
          <cell r="N36">
            <v>180.35599999999999</v>
          </cell>
          <cell r="R36">
            <v>284.89999999999998</v>
          </cell>
        </row>
        <row r="37">
          <cell r="A37">
            <v>2003.06</v>
          </cell>
          <cell r="B37">
            <v>2003</v>
          </cell>
          <cell r="C37" t="str">
            <v>Junho</v>
          </cell>
          <cell r="D37">
            <v>142.74600000000001</v>
          </cell>
          <cell r="E37">
            <v>137.102</v>
          </cell>
          <cell r="G37">
            <v>144.22999999999999</v>
          </cell>
          <cell r="H37">
            <v>119.036</v>
          </cell>
          <cell r="I37">
            <v>138.51599999999999</v>
          </cell>
          <cell r="J37">
            <v>130.25700000000001</v>
          </cell>
          <cell r="L37">
            <v>144.73099999999999</v>
          </cell>
          <cell r="M37">
            <v>132.55000000000001</v>
          </cell>
          <cell r="N37">
            <v>180.35599999999999</v>
          </cell>
          <cell r="R37">
            <v>282.91300000000001</v>
          </cell>
        </row>
        <row r="38">
          <cell r="A38">
            <v>2003.07</v>
          </cell>
          <cell r="B38">
            <v>2003</v>
          </cell>
          <cell r="C38" t="str">
            <v>Julho</v>
          </cell>
          <cell r="D38">
            <v>142.46299999999999</v>
          </cell>
          <cell r="E38">
            <v>137.47399999999999</v>
          </cell>
          <cell r="G38">
            <v>143.84800000000001</v>
          </cell>
          <cell r="H38">
            <v>119.503</v>
          </cell>
          <cell r="I38">
            <v>139.00800000000001</v>
          </cell>
          <cell r="J38">
            <v>131.40600000000001</v>
          </cell>
          <cell r="L38">
            <v>143.999</v>
          </cell>
          <cell r="M38">
            <v>133.221</v>
          </cell>
          <cell r="N38">
            <v>180.35599999999999</v>
          </cell>
          <cell r="R38">
            <v>282.34899999999999</v>
          </cell>
        </row>
        <row r="39">
          <cell r="A39">
            <v>2003.08</v>
          </cell>
          <cell r="B39">
            <v>2003</v>
          </cell>
          <cell r="C39" t="str">
            <v>Agosto</v>
          </cell>
          <cell r="D39">
            <v>144.45500000000001</v>
          </cell>
          <cell r="E39">
            <v>139.58099999999999</v>
          </cell>
          <cell r="G39">
            <v>144.69</v>
          </cell>
          <cell r="H39">
            <v>121.383</v>
          </cell>
          <cell r="I39">
            <v>141.012</v>
          </cell>
          <cell r="J39">
            <v>131.43899999999999</v>
          </cell>
          <cell r="L39">
            <v>144.471</v>
          </cell>
          <cell r="M39">
            <v>135.827</v>
          </cell>
          <cell r="N39">
            <v>178.286</v>
          </cell>
          <cell r="R39">
            <v>284.10500000000002</v>
          </cell>
        </row>
        <row r="40">
          <cell r="A40">
            <v>2003.09</v>
          </cell>
          <cell r="B40">
            <v>2003</v>
          </cell>
          <cell r="C40" t="str">
            <v>Setembro</v>
          </cell>
          <cell r="D40">
            <v>144.80000000000001</v>
          </cell>
          <cell r="E40">
            <v>140.22300000000001</v>
          </cell>
          <cell r="G40">
            <v>145.07599999999999</v>
          </cell>
          <cell r="H40">
            <v>121.952</v>
          </cell>
          <cell r="I40">
            <v>141.80600000000001</v>
          </cell>
          <cell r="J40">
            <v>131.166</v>
          </cell>
          <cell r="L40">
            <v>144.22999999999999</v>
          </cell>
          <cell r="M40">
            <v>136.631</v>
          </cell>
          <cell r="N40">
            <v>177.47499999999999</v>
          </cell>
          <cell r="R40">
            <v>287.08100000000002</v>
          </cell>
        </row>
        <row r="41">
          <cell r="A41">
            <v>2003.1</v>
          </cell>
          <cell r="B41">
            <v>2003</v>
          </cell>
          <cell r="C41" t="str">
            <v>Outubro</v>
          </cell>
          <cell r="D41">
            <v>145.12700000000001</v>
          </cell>
          <cell r="E41">
            <v>140.14400000000001</v>
          </cell>
          <cell r="G41">
            <v>144.88900000000001</v>
          </cell>
          <cell r="H41">
            <v>122.482</v>
          </cell>
          <cell r="I41">
            <v>141.834</v>
          </cell>
          <cell r="J41">
            <v>130.95099999999999</v>
          </cell>
          <cell r="L41">
            <v>144.24600000000001</v>
          </cell>
          <cell r="M41">
            <v>136.56700000000001</v>
          </cell>
          <cell r="N41">
            <v>177.47499999999999</v>
          </cell>
          <cell r="R41">
            <v>288.33699999999999</v>
          </cell>
        </row>
        <row r="42">
          <cell r="A42">
            <v>2003.11</v>
          </cell>
          <cell r="B42">
            <v>2003</v>
          </cell>
          <cell r="C42" t="str">
            <v>Novembro</v>
          </cell>
          <cell r="D42">
            <v>145.31100000000001</v>
          </cell>
          <cell r="E42">
            <v>140.447</v>
          </cell>
          <cell r="G42">
            <v>144.97999999999999</v>
          </cell>
          <cell r="H42">
            <v>122.98099999999999</v>
          </cell>
          <cell r="I42">
            <v>142.196</v>
          </cell>
          <cell r="J42">
            <v>131.33600000000001</v>
          </cell>
          <cell r="L42">
            <v>144.06100000000001</v>
          </cell>
          <cell r="M42">
            <v>136.91800000000001</v>
          </cell>
          <cell r="N42">
            <v>174.36699999999999</v>
          </cell>
          <cell r="R42">
            <v>289.71800000000002</v>
          </cell>
        </row>
        <row r="43">
          <cell r="A43">
            <v>2003.12</v>
          </cell>
          <cell r="B43">
            <v>2003</v>
          </cell>
          <cell r="C43" t="str">
            <v>Dezembro</v>
          </cell>
          <cell r="D43">
            <v>146.30500000000001</v>
          </cell>
          <cell r="E43">
            <v>141.51</v>
          </cell>
          <cell r="G43">
            <v>145.68299999999999</v>
          </cell>
          <cell r="H43">
            <v>124.039</v>
          </cell>
          <cell r="I43">
            <v>143.31100000000001</v>
          </cell>
          <cell r="J43">
            <v>133.43700000000001</v>
          </cell>
          <cell r="L43">
            <v>143.911</v>
          </cell>
          <cell r="M43">
            <v>138.33600000000001</v>
          </cell>
          <cell r="N43">
            <v>174.179</v>
          </cell>
          <cell r="R43">
            <v>291.46199999999999</v>
          </cell>
        </row>
        <row r="44">
          <cell r="A44">
            <v>2004.01</v>
          </cell>
          <cell r="B44">
            <v>2004</v>
          </cell>
          <cell r="C44" t="str">
            <v>Janeiro</v>
          </cell>
          <cell r="D44">
            <v>147.691</v>
          </cell>
          <cell r="E44">
            <v>142.61500000000001</v>
          </cell>
          <cell r="G44">
            <v>147.488</v>
          </cell>
          <cell r="H44">
            <v>125.005</v>
          </cell>
          <cell r="I44">
            <v>144.07900000000001</v>
          </cell>
          <cell r="J44">
            <v>135.78399999999999</v>
          </cell>
          <cell r="L44">
            <v>144.245</v>
          </cell>
          <cell r="M44">
            <v>138.982</v>
          </cell>
          <cell r="N44">
            <v>173.48599999999999</v>
          </cell>
          <cell r="R44">
            <v>293.79300000000001</v>
          </cell>
        </row>
        <row r="45">
          <cell r="A45">
            <v>2004.02</v>
          </cell>
          <cell r="B45">
            <v>2004</v>
          </cell>
          <cell r="C45" t="str">
            <v>Fevereiro</v>
          </cell>
          <cell r="D45">
            <v>148.78200000000001</v>
          </cell>
          <cell r="E45">
            <v>142.84700000000001</v>
          </cell>
          <cell r="G45">
            <v>147.49100000000001</v>
          </cell>
          <cell r="H45">
            <v>125.64</v>
          </cell>
          <cell r="I45">
            <v>144.559</v>
          </cell>
          <cell r="J45">
            <v>137.45599999999999</v>
          </cell>
          <cell r="L45">
            <v>144.637</v>
          </cell>
          <cell r="M45">
            <v>139.78899999999999</v>
          </cell>
          <cell r="N45">
            <v>175.28299999999999</v>
          </cell>
          <cell r="R45">
            <v>296.976</v>
          </cell>
        </row>
        <row r="46">
          <cell r="A46">
            <v>2004.03</v>
          </cell>
          <cell r="B46">
            <v>2004</v>
          </cell>
          <cell r="C46" t="str">
            <v>Março</v>
          </cell>
          <cell r="D46">
            <v>150.672</v>
          </cell>
          <cell r="E46">
            <v>144.66999999999999</v>
          </cell>
          <cell r="G46">
            <v>149.95400000000001</v>
          </cell>
          <cell r="H46">
            <v>126.151</v>
          </cell>
          <cell r="I46">
            <v>146.34700000000001</v>
          </cell>
          <cell r="J46">
            <v>140.14500000000001</v>
          </cell>
          <cell r="L46">
            <v>145.49199999999999</v>
          </cell>
          <cell r="M46">
            <v>141.215</v>
          </cell>
          <cell r="N46">
            <v>176.035</v>
          </cell>
          <cell r="R46">
            <v>299.74599999999998</v>
          </cell>
        </row>
        <row r="47">
          <cell r="A47">
            <v>2004.04</v>
          </cell>
          <cell r="B47">
            <v>2004</v>
          </cell>
          <cell r="C47" t="str">
            <v>Abril</v>
          </cell>
          <cell r="D47">
            <v>151.023</v>
          </cell>
          <cell r="E47">
            <v>146.14099999999999</v>
          </cell>
          <cell r="G47">
            <v>150.30799999999999</v>
          </cell>
          <cell r="H47">
            <v>126.476</v>
          </cell>
          <cell r="I47">
            <v>147.48099999999999</v>
          </cell>
          <cell r="J47">
            <v>141.577</v>
          </cell>
          <cell r="L47">
            <v>146.24700000000001</v>
          </cell>
          <cell r="M47">
            <v>141.81700000000001</v>
          </cell>
          <cell r="N47">
            <v>176.357</v>
          </cell>
          <cell r="R47">
            <v>303.18400000000003</v>
          </cell>
        </row>
        <row r="48">
          <cell r="A48">
            <v>2004.05</v>
          </cell>
          <cell r="B48">
            <v>2004</v>
          </cell>
          <cell r="C48" t="str">
            <v>Maio</v>
          </cell>
          <cell r="D48">
            <v>153.714</v>
          </cell>
          <cell r="E48">
            <v>148.584</v>
          </cell>
          <cell r="G48">
            <v>151.98099999999999</v>
          </cell>
          <cell r="H48">
            <v>127.416</v>
          </cell>
          <cell r="I48">
            <v>149.61099999999999</v>
          </cell>
          <cell r="J48">
            <v>142.846</v>
          </cell>
          <cell r="L48">
            <v>147.30099999999999</v>
          </cell>
          <cell r="M48">
            <v>143.655</v>
          </cell>
          <cell r="N48">
            <v>176.77799999999999</v>
          </cell>
          <cell r="R48">
            <v>307.61599999999999</v>
          </cell>
        </row>
        <row r="49">
          <cell r="A49">
            <v>2004.06</v>
          </cell>
          <cell r="B49">
            <v>2004</v>
          </cell>
          <cell r="C49" t="str">
            <v>Junho</v>
          </cell>
          <cell r="D49">
            <v>155.16499999999999</v>
          </cell>
          <cell r="E49">
            <v>149.38900000000001</v>
          </cell>
          <cell r="G49">
            <v>153.28</v>
          </cell>
          <cell r="H49">
            <v>128.07900000000001</v>
          </cell>
          <cell r="I49">
            <v>150.434</v>
          </cell>
          <cell r="J49">
            <v>143.14599999999999</v>
          </cell>
          <cell r="L49">
            <v>148.03299999999999</v>
          </cell>
          <cell r="M49">
            <v>144.29400000000001</v>
          </cell>
          <cell r="N49">
            <v>186.858</v>
          </cell>
          <cell r="R49">
            <v>311.57600000000002</v>
          </cell>
        </row>
        <row r="50">
          <cell r="A50">
            <v>2004.07</v>
          </cell>
          <cell r="B50">
            <v>2004</v>
          </cell>
          <cell r="C50" t="str">
            <v>Julho</v>
          </cell>
          <cell r="D50">
            <v>157.047</v>
          </cell>
          <cell r="E50">
            <v>152.03</v>
          </cell>
          <cell r="G50">
            <v>156.77000000000001</v>
          </cell>
          <cell r="H50">
            <v>129.202</v>
          </cell>
          <cell r="I50">
            <v>153.37899999999999</v>
          </cell>
          <cell r="J50">
            <v>145.00800000000001</v>
          </cell>
          <cell r="L50">
            <v>149.57300000000001</v>
          </cell>
          <cell r="M50">
            <v>146.64599999999999</v>
          </cell>
          <cell r="N50">
            <v>187.39099999999999</v>
          </cell>
          <cell r="R50">
            <v>315.113</v>
          </cell>
        </row>
        <row r="51">
          <cell r="A51">
            <v>2004.08</v>
          </cell>
          <cell r="B51">
            <v>2004</v>
          </cell>
          <cell r="C51" t="str">
            <v>Agosto</v>
          </cell>
          <cell r="D51">
            <v>158.19200000000001</v>
          </cell>
          <cell r="E51">
            <v>153.79499999999999</v>
          </cell>
          <cell r="G51">
            <v>158.10599999999999</v>
          </cell>
          <cell r="H51">
            <v>129.898</v>
          </cell>
          <cell r="I51">
            <v>154.899</v>
          </cell>
          <cell r="J51">
            <v>146.87</v>
          </cell>
          <cell r="L51">
            <v>150.21799999999999</v>
          </cell>
          <cell r="M51">
            <v>147.31800000000001</v>
          </cell>
          <cell r="N51">
            <v>187.899</v>
          </cell>
          <cell r="R51">
            <v>319.24400000000003</v>
          </cell>
        </row>
        <row r="52">
          <cell r="A52">
            <v>2004.09</v>
          </cell>
          <cell r="B52">
            <v>2004</v>
          </cell>
          <cell r="C52" t="str">
            <v>Setembro</v>
          </cell>
          <cell r="D52">
            <v>158.167</v>
          </cell>
          <cell r="E52">
            <v>155.12799999999999</v>
          </cell>
          <cell r="G52">
            <v>158.75399999999999</v>
          </cell>
          <cell r="H52">
            <v>130.06700000000001</v>
          </cell>
          <cell r="I52">
            <v>155.60499999999999</v>
          </cell>
          <cell r="J52">
            <v>147.59299999999999</v>
          </cell>
          <cell r="L52">
            <v>150.565</v>
          </cell>
          <cell r="M52">
            <v>147.66999999999999</v>
          </cell>
          <cell r="N52">
            <v>188.017</v>
          </cell>
          <cell r="R52">
            <v>320.78800000000001</v>
          </cell>
        </row>
        <row r="53">
          <cell r="A53">
            <v>2004.1</v>
          </cell>
          <cell r="B53">
            <v>2004</v>
          </cell>
          <cell r="C53" t="str">
            <v>Outubro</v>
          </cell>
          <cell r="D53">
            <v>159.62200000000001</v>
          </cell>
          <cell r="E53">
            <v>157.12100000000001</v>
          </cell>
          <cell r="G53">
            <v>161.44200000000001</v>
          </cell>
          <cell r="H53">
            <v>130.44499999999999</v>
          </cell>
          <cell r="I53">
            <v>157.404</v>
          </cell>
          <cell r="J53">
            <v>149.501</v>
          </cell>
          <cell r="L53">
            <v>151.89400000000001</v>
          </cell>
          <cell r="M53">
            <v>148.702</v>
          </cell>
          <cell r="N53">
            <v>187.77099999999999</v>
          </cell>
          <cell r="R53">
            <v>322.49200000000002</v>
          </cell>
        </row>
        <row r="54">
          <cell r="A54">
            <v>2004.11</v>
          </cell>
          <cell r="B54">
            <v>2004</v>
          </cell>
          <cell r="C54" t="str">
            <v>Novembro</v>
          </cell>
          <cell r="D54">
            <v>161.328</v>
          </cell>
          <cell r="E54">
            <v>158.48599999999999</v>
          </cell>
          <cell r="G54">
            <v>164.06399999999999</v>
          </cell>
          <cell r="H54">
            <v>131.04400000000001</v>
          </cell>
          <cell r="I54">
            <v>159.03200000000001</v>
          </cell>
          <cell r="J54">
            <v>152.614</v>
          </cell>
          <cell r="L54">
            <v>152.029</v>
          </cell>
          <cell r="M54">
            <v>149.86600000000001</v>
          </cell>
          <cell r="N54">
            <v>187.739</v>
          </cell>
          <cell r="R54">
            <v>325.14800000000002</v>
          </cell>
        </row>
        <row r="55">
          <cell r="A55">
            <v>2004.12</v>
          </cell>
          <cell r="B55">
            <v>2004</v>
          </cell>
          <cell r="C55" t="str">
            <v>Dezembro</v>
          </cell>
          <cell r="D55">
            <v>163.65100000000001</v>
          </cell>
          <cell r="E55">
            <v>160.15799999999999</v>
          </cell>
          <cell r="G55">
            <v>167.227</v>
          </cell>
          <cell r="H55">
            <v>131.72</v>
          </cell>
          <cell r="I55">
            <v>161.48699999999999</v>
          </cell>
          <cell r="J55">
            <v>153.11199999999999</v>
          </cell>
          <cell r="L55">
            <v>153.499</v>
          </cell>
          <cell r="M55">
            <v>151.66</v>
          </cell>
          <cell r="N55">
            <v>187.869</v>
          </cell>
          <cell r="R55">
            <v>326.83300000000003</v>
          </cell>
        </row>
        <row r="56">
          <cell r="A56">
            <v>2005.01</v>
          </cell>
          <cell r="B56">
            <v>2005</v>
          </cell>
          <cell r="C56" t="str">
            <v>Janeiro</v>
          </cell>
          <cell r="D56">
            <v>165.06</v>
          </cell>
          <cell r="E56">
            <v>161.476</v>
          </cell>
          <cell r="G56">
            <v>169.72499999999999</v>
          </cell>
          <cell r="H56">
            <v>132.32599999999999</v>
          </cell>
          <cell r="I56">
            <v>162.37700000000001</v>
          </cell>
          <cell r="J56">
            <v>156.39599999999999</v>
          </cell>
          <cell r="L56">
            <v>153.923</v>
          </cell>
          <cell r="M56">
            <v>152.42099999999999</v>
          </cell>
          <cell r="N56">
            <v>187.79900000000001</v>
          </cell>
          <cell r="R56">
            <v>327.91500000000002</v>
          </cell>
        </row>
        <row r="57">
          <cell r="A57">
            <v>2005.02</v>
          </cell>
          <cell r="B57">
            <v>2005</v>
          </cell>
          <cell r="C57" t="str">
            <v>Fevereiro</v>
          </cell>
          <cell r="D57">
            <v>165.31299999999999</v>
          </cell>
          <cell r="E57">
            <v>162.22499999999999</v>
          </cell>
          <cell r="G57">
            <v>171.25299999999999</v>
          </cell>
          <cell r="H57">
            <v>132.51400000000001</v>
          </cell>
          <cell r="I57">
            <v>162.94200000000001</v>
          </cell>
          <cell r="J57">
            <v>157.46700000000001</v>
          </cell>
          <cell r="L57">
            <v>153.40700000000001</v>
          </cell>
          <cell r="M57">
            <v>152.81399999999999</v>
          </cell>
          <cell r="N57">
            <v>187.79900000000001</v>
          </cell>
          <cell r="R57">
            <v>329.24099999999999</v>
          </cell>
        </row>
        <row r="58">
          <cell r="A58">
            <v>2005.03</v>
          </cell>
          <cell r="B58">
            <v>2005</v>
          </cell>
          <cell r="C58" t="str">
            <v>Março</v>
          </cell>
          <cell r="D58">
            <v>166.34</v>
          </cell>
          <cell r="E58">
            <v>162.19900000000001</v>
          </cell>
          <cell r="G58">
            <v>171.703</v>
          </cell>
          <cell r="H58">
            <v>132.733</v>
          </cell>
          <cell r="I58">
            <v>163.012</v>
          </cell>
          <cell r="J58">
            <v>158.71700000000001</v>
          </cell>
          <cell r="L58">
            <v>152.19</v>
          </cell>
          <cell r="M58">
            <v>152.80000000000001</v>
          </cell>
          <cell r="N58">
            <v>187.81399999999999</v>
          </cell>
          <cell r="R58">
            <v>329.24099999999999</v>
          </cell>
        </row>
        <row r="59">
          <cell r="A59">
            <v>2005.04</v>
          </cell>
          <cell r="B59">
            <v>2005</v>
          </cell>
          <cell r="C59" t="str">
            <v>Abril</v>
          </cell>
          <cell r="D59">
            <v>166.07</v>
          </cell>
          <cell r="E59">
            <v>162.184</v>
          </cell>
          <cell r="G59">
            <v>172.29</v>
          </cell>
          <cell r="H59">
            <v>132.76599999999999</v>
          </cell>
          <cell r="I59">
            <v>163.02500000000001</v>
          </cell>
          <cell r="J59">
            <v>159.834</v>
          </cell>
          <cell r="L59">
            <v>151.429</v>
          </cell>
          <cell r="M59">
            <v>152.70099999999999</v>
          </cell>
          <cell r="N59">
            <v>187.756</v>
          </cell>
          <cell r="R59">
            <v>334.17</v>
          </cell>
        </row>
        <row r="60">
          <cell r="A60">
            <v>2005.05</v>
          </cell>
          <cell r="B60">
            <v>2005</v>
          </cell>
          <cell r="C60" t="str">
            <v>Maio</v>
          </cell>
          <cell r="D60">
            <v>166.96899999999999</v>
          </cell>
          <cell r="E60">
            <v>162.69200000000001</v>
          </cell>
          <cell r="G60">
            <v>174.59</v>
          </cell>
          <cell r="H60">
            <v>133.46199999999999</v>
          </cell>
          <cell r="I60">
            <v>164.05</v>
          </cell>
          <cell r="J60">
            <v>160.822</v>
          </cell>
          <cell r="K60">
            <v>100</v>
          </cell>
          <cell r="L60">
            <v>151.196</v>
          </cell>
          <cell r="M60">
            <v>153.81100000000001</v>
          </cell>
          <cell r="N60">
            <v>187.797</v>
          </cell>
          <cell r="R60">
            <v>333.32100000000003</v>
          </cell>
        </row>
        <row r="61">
          <cell r="A61">
            <v>2005.06</v>
          </cell>
          <cell r="B61">
            <v>2005</v>
          </cell>
          <cell r="C61" t="str">
            <v>Junho</v>
          </cell>
          <cell r="D61">
            <v>168.762</v>
          </cell>
          <cell r="E61">
            <v>164.387</v>
          </cell>
          <cell r="G61">
            <v>176.15100000000001</v>
          </cell>
          <cell r="H61">
            <v>135.571</v>
          </cell>
          <cell r="I61">
            <v>166.06800000000001</v>
          </cell>
          <cell r="J61">
            <v>161.95599999999999</v>
          </cell>
          <cell r="K61">
            <v>100.113</v>
          </cell>
          <cell r="L61">
            <v>149.74600000000001</v>
          </cell>
          <cell r="M61">
            <v>156.298</v>
          </cell>
          <cell r="N61">
            <v>182.59700000000001</v>
          </cell>
          <cell r="O61">
            <v>209.05600000000001</v>
          </cell>
          <cell r="P61">
            <v>185.39400000000001</v>
          </cell>
          <cell r="Q61">
            <v>177.86500000000001</v>
          </cell>
          <cell r="R61">
            <v>331.82299999999998</v>
          </cell>
        </row>
        <row r="62">
          <cell r="A62">
            <v>2005.07</v>
          </cell>
          <cell r="B62">
            <v>2005</v>
          </cell>
          <cell r="C62" t="str">
            <v>Julho</v>
          </cell>
          <cell r="D62">
            <v>168.49199999999999</v>
          </cell>
          <cell r="E62">
            <v>165.017</v>
          </cell>
          <cell r="G62">
            <v>176.678</v>
          </cell>
          <cell r="H62">
            <v>136.715</v>
          </cell>
          <cell r="I62">
            <v>166.65799999999999</v>
          </cell>
          <cell r="J62">
            <v>163.60300000000001</v>
          </cell>
          <cell r="K62">
            <v>100.104</v>
          </cell>
          <cell r="L62">
            <v>149.548</v>
          </cell>
          <cell r="M62">
            <v>157.21899999999999</v>
          </cell>
          <cell r="N62">
            <v>182.82</v>
          </cell>
          <cell r="O62">
            <v>210.03</v>
          </cell>
          <cell r="P62">
            <v>185.761</v>
          </cell>
          <cell r="Q62">
            <v>177.90199999999999</v>
          </cell>
          <cell r="R62">
            <v>330.48399999999998</v>
          </cell>
        </row>
        <row r="63">
          <cell r="A63">
            <v>2005.08</v>
          </cell>
          <cell r="B63">
            <v>2005</v>
          </cell>
          <cell r="C63" t="str">
            <v>Agosto</v>
          </cell>
          <cell r="D63">
            <v>169.553</v>
          </cell>
          <cell r="E63">
            <v>165.101</v>
          </cell>
          <cell r="G63">
            <v>178.215</v>
          </cell>
          <cell r="H63">
            <v>137.03100000000001</v>
          </cell>
          <cell r="I63">
            <v>167.05500000000001</v>
          </cell>
          <cell r="J63">
            <v>163.286</v>
          </cell>
          <cell r="K63">
            <v>99.921999999999997</v>
          </cell>
          <cell r="L63">
            <v>148.17099999999999</v>
          </cell>
          <cell r="M63">
            <v>157.673</v>
          </cell>
          <cell r="N63">
            <v>182.92099999999999</v>
          </cell>
          <cell r="O63">
            <v>212.31899999999999</v>
          </cell>
          <cell r="P63">
            <v>185.761</v>
          </cell>
          <cell r="Q63">
            <v>177.90199999999999</v>
          </cell>
          <cell r="R63">
            <v>327.887</v>
          </cell>
        </row>
        <row r="64">
          <cell r="A64">
            <v>2005.09</v>
          </cell>
          <cell r="B64">
            <v>2005</v>
          </cell>
          <cell r="C64" t="str">
            <v>Setembro</v>
          </cell>
          <cell r="D64">
            <v>171.399</v>
          </cell>
          <cell r="E64">
            <v>166.10599999999999</v>
          </cell>
          <cell r="G64">
            <v>180.74</v>
          </cell>
          <cell r="H64">
            <v>137.30600000000001</v>
          </cell>
          <cell r="I64">
            <v>168.46799999999999</v>
          </cell>
          <cell r="J64">
            <v>164.488</v>
          </cell>
          <cell r="K64">
            <v>99.594999999999999</v>
          </cell>
          <cell r="L64">
            <v>148.41300000000001</v>
          </cell>
          <cell r="M64">
            <v>158.476</v>
          </cell>
          <cell r="N64">
            <v>182.67599999999999</v>
          </cell>
          <cell r="O64">
            <v>212.31899999999999</v>
          </cell>
          <cell r="P64">
            <v>185.19800000000001</v>
          </cell>
          <cell r="Q64">
            <v>177.90199999999999</v>
          </cell>
          <cell r="R64">
            <v>327.45400000000001</v>
          </cell>
        </row>
        <row r="65">
          <cell r="A65">
            <v>2005.1</v>
          </cell>
          <cell r="B65">
            <v>2005</v>
          </cell>
          <cell r="C65" t="str">
            <v>Outubro</v>
          </cell>
          <cell r="D65">
            <v>173.98699999999999</v>
          </cell>
          <cell r="E65">
            <v>167.59800000000001</v>
          </cell>
          <cell r="G65">
            <v>184.572</v>
          </cell>
          <cell r="H65">
            <v>137.64400000000001</v>
          </cell>
          <cell r="I65">
            <v>170.535</v>
          </cell>
          <cell r="J65">
            <v>164.072</v>
          </cell>
          <cell r="K65">
            <v>99.596999999999994</v>
          </cell>
          <cell r="L65">
            <v>148.50800000000001</v>
          </cell>
          <cell r="M65">
            <v>159.63800000000001</v>
          </cell>
          <cell r="N65">
            <v>182.67599999999999</v>
          </cell>
          <cell r="O65">
            <v>212.31899999999999</v>
          </cell>
          <cell r="P65">
            <v>185.19800000000001</v>
          </cell>
          <cell r="Q65">
            <v>177.90199999999999</v>
          </cell>
          <cell r="R65">
            <v>329.529</v>
          </cell>
        </row>
        <row r="66">
          <cell r="A66">
            <v>2005.11</v>
          </cell>
          <cell r="B66">
            <v>2005</v>
          </cell>
          <cell r="C66" t="str">
            <v>Novembro</v>
          </cell>
          <cell r="D66">
            <v>173.703</v>
          </cell>
          <cell r="E66">
            <v>167.53399999999999</v>
          </cell>
          <cell r="G66">
            <v>185.25299999999999</v>
          </cell>
          <cell r="H66">
            <v>137.74299999999999</v>
          </cell>
          <cell r="I66">
            <v>170.70400000000001</v>
          </cell>
          <cell r="J66">
            <v>164.589</v>
          </cell>
          <cell r="K66">
            <v>99.292000000000002</v>
          </cell>
          <cell r="L66">
            <v>148.79499999999999</v>
          </cell>
          <cell r="M66">
            <v>159.80199999999999</v>
          </cell>
          <cell r="N66">
            <v>184.80600000000001</v>
          </cell>
          <cell r="O66">
            <v>219.221</v>
          </cell>
          <cell r="P66">
            <v>187.10599999999999</v>
          </cell>
          <cell r="Q66">
            <v>179.81399999999999</v>
          </cell>
          <cell r="R66">
            <v>330.61900000000003</v>
          </cell>
        </row>
        <row r="67">
          <cell r="A67">
            <v>2005.12</v>
          </cell>
          <cell r="B67">
            <v>2005</v>
          </cell>
          <cell r="C67" t="str">
            <v>Dezembro</v>
          </cell>
          <cell r="D67">
            <v>174.358</v>
          </cell>
          <cell r="E67">
            <v>168.03700000000001</v>
          </cell>
          <cell r="G67">
            <v>185.67699999999999</v>
          </cell>
          <cell r="H67">
            <v>138.68</v>
          </cell>
          <cell r="I67">
            <v>171.226</v>
          </cell>
          <cell r="J67">
            <v>164.846</v>
          </cell>
          <cell r="K67">
            <v>99.17</v>
          </cell>
          <cell r="L67">
            <v>147.63999999999999</v>
          </cell>
          <cell r="M67">
            <v>160.483</v>
          </cell>
          <cell r="N67">
            <v>184.81899999999999</v>
          </cell>
          <cell r="O67">
            <v>219.624</v>
          </cell>
          <cell r="P67">
            <v>187.08699999999999</v>
          </cell>
          <cell r="Q67">
            <v>179.82300000000001</v>
          </cell>
          <cell r="R67">
            <v>330.83499999999998</v>
          </cell>
        </row>
        <row r="68">
          <cell r="A68">
            <v>2006.01</v>
          </cell>
          <cell r="B68">
            <v>2006</v>
          </cell>
          <cell r="C68" t="str">
            <v>Janeiro</v>
          </cell>
          <cell r="D68">
            <v>175.54900000000001</v>
          </cell>
          <cell r="E68">
            <v>168.42099999999999</v>
          </cell>
          <cell r="G68">
            <v>186.56899999999999</v>
          </cell>
          <cell r="H68">
            <v>138.83600000000001</v>
          </cell>
          <cell r="I68">
            <v>171.77600000000001</v>
          </cell>
          <cell r="J68">
            <v>165.535</v>
          </cell>
          <cell r="K68">
            <v>99.849000000000004</v>
          </cell>
          <cell r="L68">
            <v>147.934</v>
          </cell>
          <cell r="M68">
            <v>161.13</v>
          </cell>
          <cell r="N68">
            <v>189.08199999999999</v>
          </cell>
          <cell r="O68">
            <v>225.25800000000001</v>
          </cell>
          <cell r="P68">
            <v>192.85</v>
          </cell>
          <cell r="Q68">
            <v>182.68100000000001</v>
          </cell>
          <cell r="R68">
            <v>332.22199999999998</v>
          </cell>
        </row>
        <row r="69">
          <cell r="A69">
            <v>2006.02</v>
          </cell>
          <cell r="B69">
            <v>2006</v>
          </cell>
          <cell r="C69" t="str">
            <v>Fevereiro</v>
          </cell>
          <cell r="D69">
            <v>176.72499999999999</v>
          </cell>
          <cell r="E69">
            <v>168.68700000000001</v>
          </cell>
          <cell r="G69">
            <v>187.251</v>
          </cell>
          <cell r="H69">
            <v>139.10599999999999</v>
          </cell>
          <cell r="I69">
            <v>172.279</v>
          </cell>
          <cell r="J69">
            <v>166.76400000000001</v>
          </cell>
          <cell r="K69">
            <v>99.915000000000006</v>
          </cell>
          <cell r="L69">
            <v>149.23699999999999</v>
          </cell>
          <cell r="M69">
            <v>161.441</v>
          </cell>
          <cell r="N69">
            <v>192.624</v>
          </cell>
          <cell r="O69">
            <v>227.94399999999999</v>
          </cell>
          <cell r="P69">
            <v>194.89400000000001</v>
          </cell>
          <cell r="Q69">
            <v>187.54599999999999</v>
          </cell>
          <cell r="R69">
            <v>333.03</v>
          </cell>
        </row>
        <row r="70">
          <cell r="A70">
            <v>2006.03</v>
          </cell>
          <cell r="B70">
            <v>2006</v>
          </cell>
          <cell r="C70" t="str">
            <v>Março</v>
          </cell>
          <cell r="D70">
            <v>177.09299999999999</v>
          </cell>
          <cell r="E70">
            <v>168.50800000000001</v>
          </cell>
          <cell r="G70">
            <v>187.822</v>
          </cell>
          <cell r="H70">
            <v>139.006</v>
          </cell>
          <cell r="I70">
            <v>172.01</v>
          </cell>
          <cell r="J70">
            <v>165.864</v>
          </cell>
          <cell r="K70">
            <v>99.787000000000006</v>
          </cell>
          <cell r="L70">
            <v>148.929</v>
          </cell>
          <cell r="M70">
            <v>161.83000000000001</v>
          </cell>
          <cell r="N70">
            <v>192.16800000000001</v>
          </cell>
          <cell r="O70">
            <v>227.55500000000001</v>
          </cell>
          <cell r="P70">
            <v>194.25700000000001</v>
          </cell>
          <cell r="Q70">
            <v>187.23500000000001</v>
          </cell>
          <cell r="R70">
            <v>331.53100000000001</v>
          </cell>
        </row>
        <row r="71">
          <cell r="A71">
            <v>2006.04</v>
          </cell>
          <cell r="B71">
            <v>2006</v>
          </cell>
          <cell r="C71" t="str">
            <v>Abril</v>
          </cell>
          <cell r="D71">
            <v>177.536</v>
          </cell>
          <cell r="E71">
            <v>168.76499999999999</v>
          </cell>
          <cell r="G71">
            <v>188.24</v>
          </cell>
          <cell r="H71">
            <v>139.215</v>
          </cell>
          <cell r="I71">
            <v>172.27500000000001</v>
          </cell>
          <cell r="J71">
            <v>166.179</v>
          </cell>
          <cell r="K71">
            <v>100.346</v>
          </cell>
          <cell r="L71">
            <v>149.02099999999999</v>
          </cell>
          <cell r="M71">
            <v>162.21799999999999</v>
          </cell>
          <cell r="N71">
            <v>201.517</v>
          </cell>
          <cell r="O71">
            <v>240.59200000000001</v>
          </cell>
          <cell r="P71">
            <v>198.68100000000001</v>
          </cell>
          <cell r="Q71">
            <v>200.381</v>
          </cell>
          <cell r="R71">
            <v>331.60700000000003</v>
          </cell>
        </row>
        <row r="72">
          <cell r="A72">
            <v>2006.05</v>
          </cell>
          <cell r="B72">
            <v>2006</v>
          </cell>
          <cell r="C72" t="str">
            <v>Maio</v>
          </cell>
          <cell r="D72">
            <v>178.64699999999999</v>
          </cell>
          <cell r="E72">
            <v>169.88300000000001</v>
          </cell>
          <cell r="G72">
            <v>189.31100000000001</v>
          </cell>
          <cell r="H72">
            <v>139.86000000000001</v>
          </cell>
          <cell r="I72">
            <v>173.374</v>
          </cell>
          <cell r="J72">
            <v>167.79499999999999</v>
          </cell>
          <cell r="K72">
            <v>101.218</v>
          </cell>
          <cell r="L72">
            <v>149.565</v>
          </cell>
          <cell r="M72">
            <v>163.56100000000001</v>
          </cell>
          <cell r="N72">
            <v>205.95</v>
          </cell>
          <cell r="O72">
            <v>244.31100000000001</v>
          </cell>
          <cell r="P72">
            <v>203.38499999999999</v>
          </cell>
          <cell r="Q72">
            <v>204.63200000000001</v>
          </cell>
          <cell r="R72">
            <v>332.851</v>
          </cell>
        </row>
        <row r="73">
          <cell r="A73">
            <v>2006.06</v>
          </cell>
          <cell r="B73">
            <v>2006</v>
          </cell>
          <cell r="C73" t="str">
            <v>Junho</v>
          </cell>
          <cell r="D73">
            <v>179.48</v>
          </cell>
          <cell r="E73">
            <v>170.40899999999999</v>
          </cell>
          <cell r="G73">
            <v>190.17500000000001</v>
          </cell>
          <cell r="H73">
            <v>140.54900000000001</v>
          </cell>
          <cell r="I73">
            <v>174.03200000000001</v>
          </cell>
          <cell r="J73">
            <v>167.99199999999999</v>
          </cell>
          <cell r="K73">
            <v>101.527</v>
          </cell>
          <cell r="L73">
            <v>149.446</v>
          </cell>
          <cell r="M73">
            <v>164.197</v>
          </cell>
          <cell r="N73">
            <v>214.989</v>
          </cell>
          <cell r="O73">
            <v>255.435</v>
          </cell>
          <cell r="P73">
            <v>211.69399999999999</v>
          </cell>
          <cell r="Q73">
            <v>214.096</v>
          </cell>
          <cell r="R73">
            <v>335.06700000000001</v>
          </cell>
        </row>
        <row r="74">
          <cell r="A74">
            <v>2006.07</v>
          </cell>
          <cell r="B74">
            <v>2006</v>
          </cell>
          <cell r="C74" t="str">
            <v>Julho</v>
          </cell>
          <cell r="D74">
            <v>179.816</v>
          </cell>
          <cell r="E74">
            <v>171.22200000000001</v>
          </cell>
          <cell r="G74">
            <v>190.255</v>
          </cell>
          <cell r="H74">
            <v>141.124</v>
          </cell>
          <cell r="I74">
            <v>174.77699999999999</v>
          </cell>
          <cell r="J74">
            <v>168.86600000000001</v>
          </cell>
          <cell r="K74">
            <v>101.887</v>
          </cell>
          <cell r="L74">
            <v>149.56700000000001</v>
          </cell>
          <cell r="M74">
            <v>165.44900000000001</v>
          </cell>
          <cell r="N74">
            <v>215.964</v>
          </cell>
          <cell r="O74">
            <v>257.30700000000002</v>
          </cell>
          <cell r="P74">
            <v>213.28899999999999</v>
          </cell>
          <cell r="Q74">
            <v>214.482</v>
          </cell>
          <cell r="R74">
            <v>335.637</v>
          </cell>
          <cell r="W74">
            <v>473.50299999999999</v>
          </cell>
        </row>
        <row r="75">
          <cell r="A75">
            <v>2006.08</v>
          </cell>
          <cell r="B75">
            <v>2006</v>
          </cell>
          <cell r="C75" t="str">
            <v>Agosto</v>
          </cell>
          <cell r="D75">
            <v>179.83799999999999</v>
          </cell>
          <cell r="E75">
            <v>171.459</v>
          </cell>
          <cell r="G75">
            <v>190.36199999999999</v>
          </cell>
          <cell r="H75">
            <v>141.774</v>
          </cell>
          <cell r="I75">
            <v>175.02199999999999</v>
          </cell>
          <cell r="J75">
            <v>168.11500000000001</v>
          </cell>
          <cell r="K75">
            <v>102.486</v>
          </cell>
          <cell r="L75">
            <v>149.977</v>
          </cell>
          <cell r="M75">
            <v>165.79499999999999</v>
          </cell>
          <cell r="N75">
            <v>216.214</v>
          </cell>
          <cell r="O75">
            <v>258.68700000000001</v>
          </cell>
          <cell r="P75">
            <v>213.28899999999999</v>
          </cell>
          <cell r="Q75">
            <v>214.83699999999999</v>
          </cell>
          <cell r="R75">
            <v>337.01100000000002</v>
          </cell>
          <cell r="W75">
            <v>474.24599999999998</v>
          </cell>
        </row>
        <row r="76">
          <cell r="A76">
            <v>2006.09</v>
          </cell>
          <cell r="B76">
            <v>2006</v>
          </cell>
          <cell r="C76" t="str">
            <v>Setembro</v>
          </cell>
          <cell r="D76">
            <v>180.01499999999999</v>
          </cell>
          <cell r="E76">
            <v>171.52500000000001</v>
          </cell>
          <cell r="G76">
            <v>190.398</v>
          </cell>
          <cell r="H76">
            <v>141.828</v>
          </cell>
          <cell r="I76">
            <v>175.078</v>
          </cell>
          <cell r="J76">
            <v>169.22499999999999</v>
          </cell>
          <cell r="K76">
            <v>103.039</v>
          </cell>
          <cell r="L76">
            <v>150.102</v>
          </cell>
          <cell r="M76">
            <v>165.83600000000001</v>
          </cell>
          <cell r="N76">
            <v>219.089</v>
          </cell>
          <cell r="O76">
            <v>258.68700000000001</v>
          </cell>
          <cell r="P76">
            <v>213.28899999999999</v>
          </cell>
          <cell r="Q76">
            <v>220.34100000000001</v>
          </cell>
          <cell r="R76">
            <v>337.81700000000001</v>
          </cell>
          <cell r="W76">
            <v>472.86399999999998</v>
          </cell>
        </row>
        <row r="77">
          <cell r="A77">
            <v>2006.1</v>
          </cell>
          <cell r="B77">
            <v>2006</v>
          </cell>
          <cell r="C77" t="str">
            <v>Outubro</v>
          </cell>
          <cell r="D77">
            <v>180.18799999999999</v>
          </cell>
          <cell r="E77">
            <v>171.71600000000001</v>
          </cell>
          <cell r="G77">
            <v>190.59100000000001</v>
          </cell>
          <cell r="H77">
            <v>142.07599999999999</v>
          </cell>
          <cell r="I77">
            <v>175.28399999999999</v>
          </cell>
          <cell r="J77">
            <v>170.749</v>
          </cell>
          <cell r="K77">
            <v>103.172</v>
          </cell>
          <cell r="L77">
            <v>150.149</v>
          </cell>
          <cell r="M77">
            <v>166.03100000000001</v>
          </cell>
          <cell r="N77">
            <v>219.09</v>
          </cell>
          <cell r="O77">
            <v>258.68700000000001</v>
          </cell>
          <cell r="P77">
            <v>213.28899999999999</v>
          </cell>
          <cell r="Q77">
            <v>220.34399999999999</v>
          </cell>
          <cell r="R77">
            <v>340.541</v>
          </cell>
          <cell r="W77">
            <v>471.51100000000002</v>
          </cell>
        </row>
        <row r="78">
          <cell r="A78">
            <v>2006.11</v>
          </cell>
          <cell r="B78">
            <v>2006</v>
          </cell>
          <cell r="C78" t="str">
            <v>Novembro</v>
          </cell>
          <cell r="D78">
            <v>180.84399999999999</v>
          </cell>
          <cell r="E78">
            <v>172.45</v>
          </cell>
          <cell r="G78">
            <v>191.22800000000001</v>
          </cell>
          <cell r="H78">
            <v>143.274</v>
          </cell>
          <cell r="I78">
            <v>175.999</v>
          </cell>
          <cell r="J78">
            <v>171.279</v>
          </cell>
          <cell r="K78">
            <v>103.664</v>
          </cell>
          <cell r="L78">
            <v>150.197</v>
          </cell>
          <cell r="M78">
            <v>166.96600000000001</v>
          </cell>
          <cell r="N78">
            <v>219.03700000000001</v>
          </cell>
          <cell r="O78">
            <v>257.505</v>
          </cell>
          <cell r="P78">
            <v>213.28899999999999</v>
          </cell>
          <cell r="Q78">
            <v>220.34200000000001</v>
          </cell>
          <cell r="R78">
            <v>342.48200000000003</v>
          </cell>
          <cell r="W78">
            <v>471.20699999999999</v>
          </cell>
        </row>
        <row r="79">
          <cell r="A79">
            <v>2006.12</v>
          </cell>
          <cell r="B79">
            <v>2006</v>
          </cell>
          <cell r="C79" t="str">
            <v>Dezembro</v>
          </cell>
          <cell r="D79">
            <v>180.86799999999999</v>
          </cell>
          <cell r="E79">
            <v>172.65899999999999</v>
          </cell>
          <cell r="G79">
            <v>191.387</v>
          </cell>
          <cell r="H79">
            <v>143.61099999999999</v>
          </cell>
          <cell r="I79">
            <v>176.27199999999999</v>
          </cell>
          <cell r="J79">
            <v>171.577</v>
          </cell>
          <cell r="K79">
            <v>104.005</v>
          </cell>
          <cell r="L79">
            <v>150.029</v>
          </cell>
          <cell r="M79">
            <v>167.34299999999999</v>
          </cell>
          <cell r="N79">
            <v>231.76300000000001</v>
          </cell>
          <cell r="O79">
            <v>255.43600000000001</v>
          </cell>
          <cell r="P79">
            <v>221.255</v>
          </cell>
          <cell r="Q79">
            <v>238.28899999999999</v>
          </cell>
          <cell r="R79">
            <v>343.38400000000001</v>
          </cell>
          <cell r="W79">
            <v>472.21</v>
          </cell>
        </row>
        <row r="80">
          <cell r="A80">
            <v>2007.01</v>
          </cell>
          <cell r="B80">
            <v>2007</v>
          </cell>
          <cell r="C80" t="str">
            <v>Janeiro</v>
          </cell>
          <cell r="D80">
            <v>181.89500000000001</v>
          </cell>
          <cell r="E80">
            <v>173.15899999999999</v>
          </cell>
          <cell r="G80">
            <v>193.232</v>
          </cell>
          <cell r="H80">
            <v>143.72200000000001</v>
          </cell>
          <cell r="I80">
            <v>176.98099999999999</v>
          </cell>
          <cell r="J80">
            <v>172.59299999999999</v>
          </cell>
          <cell r="K80">
            <v>104.80800000000001</v>
          </cell>
          <cell r="L80">
            <v>150.74299999999999</v>
          </cell>
          <cell r="M80">
            <v>168.02199999999999</v>
          </cell>
          <cell r="N80">
            <v>241.28299999999999</v>
          </cell>
          <cell r="O80">
            <v>264.00099999999998</v>
          </cell>
          <cell r="P80">
            <v>224.88</v>
          </cell>
          <cell r="Q80">
            <v>252.79400000000001</v>
          </cell>
          <cell r="R80">
            <v>344.85</v>
          </cell>
          <cell r="W80">
            <v>476.72</v>
          </cell>
        </row>
        <row r="81">
          <cell r="A81">
            <v>2007.02</v>
          </cell>
          <cell r="B81">
            <v>2007</v>
          </cell>
          <cell r="C81" t="str">
            <v>Fevereiro</v>
          </cell>
          <cell r="D81">
            <v>182.21</v>
          </cell>
          <cell r="E81">
            <v>173.43799999999999</v>
          </cell>
          <cell r="G81">
            <v>193.62100000000001</v>
          </cell>
          <cell r="H81">
            <v>143.77099999999999</v>
          </cell>
          <cell r="I81">
            <v>177.22300000000001</v>
          </cell>
          <cell r="J81">
            <v>172.92400000000001</v>
          </cell>
          <cell r="K81">
            <v>105.08199999999999</v>
          </cell>
          <cell r="L81">
            <v>151.161</v>
          </cell>
          <cell r="M81">
            <v>168.24600000000001</v>
          </cell>
          <cell r="N81">
            <v>241.392</v>
          </cell>
          <cell r="O81">
            <v>265.21899999999999</v>
          </cell>
          <cell r="P81">
            <v>224.90600000000001</v>
          </cell>
          <cell r="Q81">
            <v>252.87700000000001</v>
          </cell>
          <cell r="R81">
            <v>345.65199999999999</v>
          </cell>
          <cell r="W81">
            <v>480.46800000000002</v>
          </cell>
        </row>
        <row r="82">
          <cell r="A82">
            <v>2007.03</v>
          </cell>
          <cell r="B82">
            <v>2007</v>
          </cell>
          <cell r="C82" t="str">
            <v>Março</v>
          </cell>
          <cell r="D82">
            <v>182.21600000000001</v>
          </cell>
          <cell r="E82">
            <v>173.51400000000001</v>
          </cell>
          <cell r="G82">
            <v>193.666</v>
          </cell>
          <cell r="H82">
            <v>144.05699999999999</v>
          </cell>
          <cell r="I82">
            <v>177.44399999999999</v>
          </cell>
          <cell r="J82">
            <v>173.417</v>
          </cell>
          <cell r="K82">
            <v>105.24299999999999</v>
          </cell>
          <cell r="L82">
            <v>151.113</v>
          </cell>
          <cell r="M82">
            <v>168.39</v>
          </cell>
          <cell r="N82">
            <v>241.446</v>
          </cell>
          <cell r="O82">
            <v>265.82</v>
          </cell>
          <cell r="P82">
            <v>224.94499999999999</v>
          </cell>
          <cell r="Q82">
            <v>252.89500000000001</v>
          </cell>
          <cell r="R82">
            <v>346.40699999999998</v>
          </cell>
          <cell r="W82">
            <v>482.90199999999999</v>
          </cell>
        </row>
        <row r="83">
          <cell r="A83">
            <v>2007.04</v>
          </cell>
          <cell r="B83">
            <v>2007</v>
          </cell>
          <cell r="C83" t="str">
            <v>Abril</v>
          </cell>
          <cell r="D83">
            <v>182.38300000000001</v>
          </cell>
          <cell r="E83">
            <v>173.93100000000001</v>
          </cell>
          <cell r="G83">
            <v>195.309</v>
          </cell>
          <cell r="H83">
            <v>144.22900000000001</v>
          </cell>
          <cell r="I83">
            <v>178.01300000000001</v>
          </cell>
          <cell r="J83">
            <v>173.48</v>
          </cell>
          <cell r="K83">
            <v>105.97199999999999</v>
          </cell>
          <cell r="L83">
            <v>151.24600000000001</v>
          </cell>
          <cell r="M83">
            <v>168.739</v>
          </cell>
          <cell r="N83">
            <v>242.22499999999999</v>
          </cell>
          <cell r="O83">
            <v>266.18099999999998</v>
          </cell>
          <cell r="P83">
            <v>225.143</v>
          </cell>
          <cell r="Q83">
            <v>254.191</v>
          </cell>
          <cell r="R83">
            <v>346.87799999999999</v>
          </cell>
          <cell r="W83">
            <v>484.39</v>
          </cell>
        </row>
        <row r="84">
          <cell r="A84">
            <v>2007.05</v>
          </cell>
          <cell r="B84">
            <v>2007</v>
          </cell>
          <cell r="C84" t="str">
            <v>Maio</v>
          </cell>
          <cell r="D84">
            <v>182.90899999999999</v>
          </cell>
          <cell r="E84">
            <v>175.244</v>
          </cell>
          <cell r="G84">
            <v>195.78700000000001</v>
          </cell>
          <cell r="H84">
            <v>145.22499999999999</v>
          </cell>
          <cell r="I84">
            <v>179.386</v>
          </cell>
          <cell r="J84">
            <v>173.846</v>
          </cell>
          <cell r="K84">
            <v>106.997</v>
          </cell>
          <cell r="L84">
            <v>151.81100000000001</v>
          </cell>
          <cell r="M84">
            <v>170.53100000000001</v>
          </cell>
          <cell r="N84">
            <v>242.30099999999999</v>
          </cell>
          <cell r="O84">
            <v>266.36399999999998</v>
          </cell>
          <cell r="P84">
            <v>225.28200000000001</v>
          </cell>
          <cell r="Q84">
            <v>254.208</v>
          </cell>
          <cell r="R84">
            <v>347.42099999999999</v>
          </cell>
          <cell r="W84">
            <v>488.83100000000002</v>
          </cell>
        </row>
        <row r="85">
          <cell r="A85">
            <v>2007.06</v>
          </cell>
          <cell r="B85">
            <v>2007</v>
          </cell>
          <cell r="C85" t="str">
            <v>Junho</v>
          </cell>
          <cell r="D85">
            <v>183.01900000000001</v>
          </cell>
          <cell r="E85">
            <v>175.999</v>
          </cell>
          <cell r="G85">
            <v>196.19900000000001</v>
          </cell>
          <cell r="H85">
            <v>146.15799999999999</v>
          </cell>
          <cell r="I85">
            <v>180.02</v>
          </cell>
          <cell r="J85">
            <v>173.976</v>
          </cell>
          <cell r="K85">
            <v>107.779</v>
          </cell>
          <cell r="L85">
            <v>152.18600000000001</v>
          </cell>
          <cell r="M85">
            <v>171.29300000000001</v>
          </cell>
          <cell r="N85">
            <v>241.86</v>
          </cell>
          <cell r="O85">
            <v>267.21699999999998</v>
          </cell>
          <cell r="P85">
            <v>224.929</v>
          </cell>
          <cell r="Q85">
            <v>253.583</v>
          </cell>
          <cell r="R85">
            <v>348.32799999999997</v>
          </cell>
          <cell r="W85">
            <v>487.91899999999998</v>
          </cell>
        </row>
        <row r="86">
          <cell r="A86">
            <v>2007.07</v>
          </cell>
          <cell r="B86">
            <v>2007</v>
          </cell>
          <cell r="C86" t="str">
            <v>Julho</v>
          </cell>
          <cell r="D86">
            <v>183.09</v>
          </cell>
          <cell r="E86">
            <v>176.83099999999999</v>
          </cell>
          <cell r="G86">
            <v>196.53700000000001</v>
          </cell>
          <cell r="H86">
            <v>146.864</v>
          </cell>
          <cell r="I86">
            <v>180.6</v>
          </cell>
          <cell r="J86">
            <v>174.80500000000001</v>
          </cell>
          <cell r="K86">
            <v>108.009</v>
          </cell>
          <cell r="L86">
            <v>152.69999999999999</v>
          </cell>
          <cell r="M86">
            <v>172.054</v>
          </cell>
          <cell r="N86">
            <v>241.86</v>
          </cell>
          <cell r="O86">
            <v>267.21699999999998</v>
          </cell>
          <cell r="P86">
            <v>224.929</v>
          </cell>
          <cell r="Q86">
            <v>253.583</v>
          </cell>
          <cell r="R86">
            <v>349.62799999999999</v>
          </cell>
          <cell r="W86">
            <v>485.58699999999999</v>
          </cell>
        </row>
        <row r="87">
          <cell r="A87">
            <v>2007.08</v>
          </cell>
          <cell r="B87">
            <v>2007</v>
          </cell>
          <cell r="C87" t="str">
            <v>Agosto</v>
          </cell>
          <cell r="D87">
            <v>183.8</v>
          </cell>
          <cell r="E87">
            <v>177.143</v>
          </cell>
          <cell r="G87">
            <v>196.64599999999999</v>
          </cell>
          <cell r="H87">
            <v>146.93199999999999</v>
          </cell>
          <cell r="I87">
            <v>180.63800000000001</v>
          </cell>
          <cell r="J87">
            <v>174.91800000000001</v>
          </cell>
          <cell r="K87">
            <v>107.895</v>
          </cell>
          <cell r="L87">
            <v>153.79599999999999</v>
          </cell>
          <cell r="M87">
            <v>172.30799999999999</v>
          </cell>
          <cell r="N87">
            <v>241.72499999999999</v>
          </cell>
          <cell r="O87">
            <v>267.262</v>
          </cell>
          <cell r="P87">
            <v>224.929</v>
          </cell>
          <cell r="Q87">
            <v>253.321</v>
          </cell>
          <cell r="R87">
            <v>354.495</v>
          </cell>
          <cell r="W87">
            <v>488.21499999999997</v>
          </cell>
        </row>
        <row r="88">
          <cell r="A88">
            <v>2007.09</v>
          </cell>
          <cell r="B88">
            <v>2007</v>
          </cell>
          <cell r="C88" t="str">
            <v>Setembro</v>
          </cell>
          <cell r="D88">
            <v>184.15799999999999</v>
          </cell>
          <cell r="E88">
            <v>178.21199999999999</v>
          </cell>
          <cell r="G88">
            <v>197.881</v>
          </cell>
          <cell r="H88">
            <v>147.18700000000001</v>
          </cell>
          <cell r="I88">
            <v>181.66399999999999</v>
          </cell>
          <cell r="J88">
            <v>175.23500000000001</v>
          </cell>
          <cell r="K88">
            <v>108.86</v>
          </cell>
          <cell r="L88">
            <v>156.41999999999999</v>
          </cell>
          <cell r="M88">
            <v>173.262</v>
          </cell>
          <cell r="N88">
            <v>241.72499999999999</v>
          </cell>
          <cell r="O88">
            <v>267.262</v>
          </cell>
          <cell r="P88">
            <v>224.929</v>
          </cell>
          <cell r="Q88">
            <v>253.321</v>
          </cell>
          <cell r="R88">
            <v>358.63299999999998</v>
          </cell>
          <cell r="W88">
            <v>490.12099999999998</v>
          </cell>
        </row>
        <row r="89">
          <cell r="A89">
            <v>2007.1</v>
          </cell>
          <cell r="B89">
            <v>2007</v>
          </cell>
          <cell r="C89" t="str">
            <v>Outubro</v>
          </cell>
          <cell r="D89">
            <v>183.42599999999999</v>
          </cell>
          <cell r="E89">
            <v>179.255</v>
          </cell>
          <cell r="G89">
            <v>197.637</v>
          </cell>
          <cell r="H89">
            <v>147.43</v>
          </cell>
          <cell r="I89">
            <v>182.25899999999999</v>
          </cell>
          <cell r="J89">
            <v>175.64699999999999</v>
          </cell>
          <cell r="K89">
            <v>109.032</v>
          </cell>
          <cell r="L89">
            <v>161.626</v>
          </cell>
          <cell r="M89">
            <v>174.07400000000001</v>
          </cell>
          <cell r="N89">
            <v>241.72499999999999</v>
          </cell>
          <cell r="O89">
            <v>267.262</v>
          </cell>
          <cell r="P89">
            <v>224.929</v>
          </cell>
          <cell r="Q89">
            <v>253.321</v>
          </cell>
          <cell r="R89">
            <v>361.30799999999999</v>
          </cell>
          <cell r="W89">
            <v>489.91899999999998</v>
          </cell>
        </row>
        <row r="90">
          <cell r="A90">
            <v>2007.11</v>
          </cell>
          <cell r="B90">
            <v>2007</v>
          </cell>
          <cell r="C90" t="str">
            <v>Novembro</v>
          </cell>
          <cell r="D90">
            <v>183.559</v>
          </cell>
          <cell r="E90">
            <v>180.08099999999999</v>
          </cell>
          <cell r="G90">
            <v>197.995</v>
          </cell>
          <cell r="H90">
            <v>147.52600000000001</v>
          </cell>
          <cell r="I90">
            <v>182.87700000000001</v>
          </cell>
          <cell r="J90">
            <v>175.26900000000001</v>
          </cell>
          <cell r="K90">
            <v>109.508</v>
          </cell>
          <cell r="L90">
            <v>165.185</v>
          </cell>
          <cell r="M90">
            <v>174.81399999999999</v>
          </cell>
          <cell r="N90">
            <v>243.459</v>
          </cell>
          <cell r="O90">
            <v>269.76100000000002</v>
          </cell>
          <cell r="P90">
            <v>228.27600000000001</v>
          </cell>
          <cell r="Q90">
            <v>253.65299999999999</v>
          </cell>
          <cell r="R90">
            <v>365.1</v>
          </cell>
          <cell r="W90">
            <v>487.916</v>
          </cell>
        </row>
        <row r="91">
          <cell r="A91">
            <v>2007.12</v>
          </cell>
          <cell r="B91">
            <v>2007</v>
          </cell>
          <cell r="C91" t="str">
            <v>Dezembro</v>
          </cell>
          <cell r="D91">
            <v>184.125</v>
          </cell>
          <cell r="E91">
            <v>180.70500000000001</v>
          </cell>
          <cell r="G91">
            <v>198.61699999999999</v>
          </cell>
          <cell r="H91">
            <v>148.03299999999999</v>
          </cell>
          <cell r="I91">
            <v>183.58199999999999</v>
          </cell>
          <cell r="J91">
            <v>175.63800000000001</v>
          </cell>
          <cell r="K91">
            <v>109.624</v>
          </cell>
          <cell r="L91">
            <v>165.41900000000001</v>
          </cell>
          <cell r="M91">
            <v>175.49799999999999</v>
          </cell>
          <cell r="N91">
            <v>244.465</v>
          </cell>
          <cell r="O91">
            <v>270.34399999999999</v>
          </cell>
          <cell r="P91">
            <v>227.76599999999999</v>
          </cell>
          <cell r="Q91">
            <v>255.952</v>
          </cell>
          <cell r="R91">
            <v>370.48500000000001</v>
          </cell>
          <cell r="W91">
            <v>487.904</v>
          </cell>
        </row>
        <row r="92">
          <cell r="A92">
            <v>2008.01</v>
          </cell>
          <cell r="B92">
            <v>2008</v>
          </cell>
          <cell r="C92" t="str">
            <v>Janeiro</v>
          </cell>
          <cell r="D92">
            <v>185.8</v>
          </cell>
          <cell r="E92">
            <v>180.99199999999999</v>
          </cell>
          <cell r="G92">
            <v>199.988</v>
          </cell>
          <cell r="H92">
            <v>148.45099999999999</v>
          </cell>
          <cell r="I92">
            <v>184.02799999999999</v>
          </cell>
          <cell r="J92">
            <v>178.29599999999999</v>
          </cell>
          <cell r="K92">
            <v>110.422</v>
          </cell>
          <cell r="L92">
            <v>164.91800000000001</v>
          </cell>
          <cell r="M92">
            <v>175.63</v>
          </cell>
          <cell r="N92">
            <v>254.42</v>
          </cell>
          <cell r="O92">
            <v>282.59899999999999</v>
          </cell>
          <cell r="P92">
            <v>230.22200000000001</v>
          </cell>
          <cell r="Q92">
            <v>271.95299999999997</v>
          </cell>
          <cell r="R92">
            <v>374.13900000000001</v>
          </cell>
          <cell r="W92">
            <v>492.47300000000001</v>
          </cell>
        </row>
        <row r="93">
          <cell r="A93">
            <v>2008.02</v>
          </cell>
          <cell r="B93">
            <v>2008</v>
          </cell>
          <cell r="C93" t="str">
            <v>Fevereiro</v>
          </cell>
          <cell r="D93">
            <v>185.74299999999999</v>
          </cell>
          <cell r="E93">
            <v>181.56800000000001</v>
          </cell>
          <cell r="G93">
            <v>199.477</v>
          </cell>
          <cell r="H93">
            <v>148.126</v>
          </cell>
          <cell r="I93">
            <v>184.428</v>
          </cell>
          <cell r="J93">
            <v>178.14099999999999</v>
          </cell>
          <cell r="K93">
            <v>110.215</v>
          </cell>
          <cell r="L93">
            <v>165.114</v>
          </cell>
          <cell r="M93">
            <v>175.768</v>
          </cell>
          <cell r="N93">
            <v>255.28200000000001</v>
          </cell>
          <cell r="O93">
            <v>283.58600000000001</v>
          </cell>
          <cell r="P93">
            <v>231.881</v>
          </cell>
          <cell r="Q93">
            <v>272.11500000000001</v>
          </cell>
          <cell r="R93">
            <v>375.55799999999999</v>
          </cell>
          <cell r="W93">
            <v>498.834</v>
          </cell>
        </row>
        <row r="94">
          <cell r="A94">
            <v>2008.03</v>
          </cell>
          <cell r="B94">
            <v>2008</v>
          </cell>
          <cell r="C94" t="str">
            <v>março</v>
          </cell>
          <cell r="D94">
            <v>185.59100000000001</v>
          </cell>
          <cell r="E94">
            <v>182.34399999999999</v>
          </cell>
          <cell r="G94">
            <v>199.572</v>
          </cell>
          <cell r="H94">
            <v>148.27099999999999</v>
          </cell>
          <cell r="I94">
            <v>185.196</v>
          </cell>
          <cell r="J94">
            <v>178.27099999999999</v>
          </cell>
          <cell r="K94">
            <v>111.006</v>
          </cell>
          <cell r="L94">
            <v>165.54300000000001</v>
          </cell>
          <cell r="M94">
            <v>176.215</v>
          </cell>
          <cell r="N94">
            <v>255.26</v>
          </cell>
          <cell r="O94">
            <v>283.08999999999997</v>
          </cell>
          <cell r="P94">
            <v>231.881</v>
          </cell>
          <cell r="Q94">
            <v>272.11500000000001</v>
          </cell>
          <cell r="R94">
            <v>378.19400000000002</v>
          </cell>
          <cell r="W94">
            <v>509.678</v>
          </cell>
        </row>
        <row r="95">
          <cell r="A95">
            <v>2008.04</v>
          </cell>
          <cell r="B95">
            <v>2008</v>
          </cell>
          <cell r="C95" t="str">
            <v>Abril</v>
          </cell>
          <cell r="D95">
            <v>186.51499999999999</v>
          </cell>
          <cell r="E95">
            <v>183.32599999999999</v>
          </cell>
          <cell r="G95">
            <v>201.13499999999999</v>
          </cell>
          <cell r="H95">
            <v>148.452</v>
          </cell>
          <cell r="I95">
            <v>186.22200000000001</v>
          </cell>
          <cell r="J95">
            <v>178.62</v>
          </cell>
          <cell r="K95">
            <v>111.81699999999999</v>
          </cell>
          <cell r="L95">
            <v>166.761</v>
          </cell>
          <cell r="M95">
            <v>177.21100000000001</v>
          </cell>
          <cell r="N95">
            <v>256.565</v>
          </cell>
          <cell r="O95">
            <v>287.43099999999998</v>
          </cell>
          <cell r="P95">
            <v>234.221</v>
          </cell>
          <cell r="Q95">
            <v>272.28500000000003</v>
          </cell>
          <cell r="R95">
            <v>382.41399999999999</v>
          </cell>
          <cell r="W95">
            <v>527.70799999999997</v>
          </cell>
        </row>
        <row r="96">
          <cell r="A96">
            <v>2008.05</v>
          </cell>
          <cell r="B96">
            <v>2008</v>
          </cell>
          <cell r="C96" t="str">
            <v>Maio</v>
          </cell>
          <cell r="D96">
            <v>189.71700000000001</v>
          </cell>
          <cell r="E96">
            <v>186.87899999999999</v>
          </cell>
          <cell r="G96">
            <v>207.386</v>
          </cell>
          <cell r="H96">
            <v>149.167</v>
          </cell>
          <cell r="I96">
            <v>190.375</v>
          </cell>
          <cell r="J96">
            <v>179.727</v>
          </cell>
          <cell r="K96">
            <v>113.62</v>
          </cell>
          <cell r="L96">
            <v>170.947</v>
          </cell>
          <cell r="M96">
            <v>180.45099999999999</v>
          </cell>
          <cell r="N96">
            <v>256.565</v>
          </cell>
          <cell r="O96">
            <v>287.43099999999998</v>
          </cell>
          <cell r="P96">
            <v>234.221</v>
          </cell>
          <cell r="Q96">
            <v>272.28500000000003</v>
          </cell>
          <cell r="R96">
            <v>389.58499999999998</v>
          </cell>
          <cell r="W96">
            <v>556.99900000000002</v>
          </cell>
        </row>
        <row r="97">
          <cell r="A97">
            <v>2008.06</v>
          </cell>
          <cell r="B97">
            <v>2008</v>
          </cell>
          <cell r="C97" t="str">
            <v>Junho</v>
          </cell>
          <cell r="D97">
            <v>191.429</v>
          </cell>
          <cell r="E97">
            <v>190.17</v>
          </cell>
          <cell r="G97">
            <v>209.559</v>
          </cell>
          <cell r="H97">
            <v>151.51300000000001</v>
          </cell>
          <cell r="I97">
            <v>193.60300000000001</v>
          </cell>
          <cell r="J97">
            <v>181.49799999999999</v>
          </cell>
          <cell r="K97">
            <v>115.977</v>
          </cell>
          <cell r="L97">
            <v>173.66900000000001</v>
          </cell>
          <cell r="M97">
            <v>183.578</v>
          </cell>
          <cell r="N97">
            <v>256.565</v>
          </cell>
          <cell r="O97">
            <v>287.43099999999998</v>
          </cell>
          <cell r="P97">
            <v>234.221</v>
          </cell>
          <cell r="Q97">
            <v>272.28500000000003</v>
          </cell>
          <cell r="R97">
            <v>396.95400000000001</v>
          </cell>
          <cell r="W97">
            <v>595.322</v>
          </cell>
        </row>
        <row r="98">
          <cell r="A98">
            <v>2008.07</v>
          </cell>
          <cell r="B98">
            <v>2008</v>
          </cell>
          <cell r="C98" t="str">
            <v>Julho</v>
          </cell>
          <cell r="D98">
            <v>193.691</v>
          </cell>
          <cell r="E98">
            <v>194.874</v>
          </cell>
          <cell r="G98">
            <v>214.09800000000001</v>
          </cell>
          <cell r="H98">
            <v>152.41800000000001</v>
          </cell>
          <cell r="I98">
            <v>197.404</v>
          </cell>
          <cell r="J98">
            <v>184.012</v>
          </cell>
          <cell r="K98">
            <v>118.29</v>
          </cell>
          <cell r="L98">
            <v>176.69200000000001</v>
          </cell>
          <cell r="M98">
            <v>186.49799999999999</v>
          </cell>
          <cell r="N98">
            <v>255.53200000000001</v>
          </cell>
          <cell r="O98">
            <v>286.80700000000002</v>
          </cell>
          <cell r="P98">
            <v>234.399</v>
          </cell>
          <cell r="Q98">
            <v>270.18400000000003</v>
          </cell>
          <cell r="R98">
            <v>401.40600000000001</v>
          </cell>
          <cell r="W98">
            <v>617.52200000000005</v>
          </cell>
        </row>
        <row r="99">
          <cell r="A99">
            <v>2008.08</v>
          </cell>
          <cell r="B99">
            <v>2008</v>
          </cell>
          <cell r="C99" t="str">
            <v>Agosto</v>
          </cell>
          <cell r="D99">
            <v>194.63</v>
          </cell>
          <cell r="E99">
            <v>198.58</v>
          </cell>
          <cell r="G99">
            <v>217.321</v>
          </cell>
          <cell r="H99">
            <v>153.066</v>
          </cell>
          <cell r="I99">
            <v>200.12</v>
          </cell>
          <cell r="J99">
            <v>185.042</v>
          </cell>
          <cell r="K99">
            <v>121.89100000000001</v>
          </cell>
          <cell r="L99">
            <v>182.29599999999999</v>
          </cell>
          <cell r="M99">
            <v>188.47300000000001</v>
          </cell>
          <cell r="N99">
            <v>263.149</v>
          </cell>
          <cell r="O99">
            <v>301.096</v>
          </cell>
          <cell r="P99">
            <v>240.03700000000001</v>
          </cell>
          <cell r="Q99">
            <v>278.88499999999999</v>
          </cell>
          <cell r="R99">
            <v>399.87</v>
          </cell>
          <cell r="W99">
            <v>653.63699999999994</v>
          </cell>
        </row>
        <row r="100">
          <cell r="A100">
            <v>2008.09</v>
          </cell>
          <cell r="B100">
            <v>2008</v>
          </cell>
          <cell r="C100" t="str">
            <v>Setembro</v>
          </cell>
          <cell r="D100">
            <v>196.898</v>
          </cell>
          <cell r="E100">
            <v>201.071</v>
          </cell>
          <cell r="G100">
            <v>219.17500000000001</v>
          </cell>
          <cell r="H100">
            <v>153.81200000000001</v>
          </cell>
          <cell r="I100">
            <v>202.34</v>
          </cell>
          <cell r="J100">
            <v>187.667</v>
          </cell>
          <cell r="K100">
            <v>124.268</v>
          </cell>
          <cell r="L100">
            <v>187.607</v>
          </cell>
          <cell r="M100">
            <v>190.01400000000001</v>
          </cell>
          <cell r="N100">
            <v>273.74299999999999</v>
          </cell>
          <cell r="O100">
            <v>309.58300000000003</v>
          </cell>
          <cell r="P100">
            <v>252.09299999999999</v>
          </cell>
          <cell r="Q100">
            <v>288.464</v>
          </cell>
          <cell r="R100">
            <v>401.327</v>
          </cell>
          <cell r="W100">
            <v>653.47199999999998</v>
          </cell>
        </row>
        <row r="101">
          <cell r="A101">
            <v>2008.1</v>
          </cell>
          <cell r="B101">
            <v>2008</v>
          </cell>
          <cell r="C101" t="str">
            <v>Outubro</v>
          </cell>
          <cell r="D101">
            <v>197.506</v>
          </cell>
          <cell r="E101">
            <v>202.80799999999999</v>
          </cell>
          <cell r="G101">
            <v>220.08199999999999</v>
          </cell>
          <cell r="H101">
            <v>153.767</v>
          </cell>
          <cell r="I101">
            <v>203.887</v>
          </cell>
          <cell r="J101">
            <v>190.40299999999999</v>
          </cell>
          <cell r="K101">
            <v>124.705</v>
          </cell>
          <cell r="L101">
            <v>192.875</v>
          </cell>
          <cell r="M101">
            <v>191.43199999999999</v>
          </cell>
          <cell r="N101">
            <v>274.101</v>
          </cell>
          <cell r="O101">
            <v>306.67399999999998</v>
          </cell>
          <cell r="P101">
            <v>250.67599999999999</v>
          </cell>
          <cell r="Q101">
            <v>290.572</v>
          </cell>
          <cell r="R101">
            <v>405.70699999999999</v>
          </cell>
          <cell r="W101">
            <v>641.26199999999994</v>
          </cell>
        </row>
        <row r="102">
          <cell r="A102">
            <v>2008.11</v>
          </cell>
          <cell r="B102">
            <v>2008</v>
          </cell>
          <cell r="C102" t="str">
            <v>Novembro</v>
          </cell>
          <cell r="D102">
            <v>199.37</v>
          </cell>
          <cell r="E102">
            <v>203.27500000000001</v>
          </cell>
          <cell r="G102">
            <v>223.97300000000001</v>
          </cell>
          <cell r="H102">
            <v>154.51900000000001</v>
          </cell>
          <cell r="I102">
            <v>204.459</v>
          </cell>
          <cell r="J102">
            <v>192.67599999999999</v>
          </cell>
          <cell r="K102">
            <v>128.196</v>
          </cell>
          <cell r="L102">
            <v>193.46100000000001</v>
          </cell>
          <cell r="M102">
            <v>192.023</v>
          </cell>
          <cell r="N102">
            <v>270.05500000000001</v>
          </cell>
          <cell r="O102">
            <v>306.67399999999998</v>
          </cell>
          <cell r="P102">
            <v>250.67599999999999</v>
          </cell>
          <cell r="Q102">
            <v>282.83499999999998</v>
          </cell>
          <cell r="R102">
            <v>405.98200000000003</v>
          </cell>
          <cell r="W102">
            <v>637.96</v>
          </cell>
        </row>
        <row r="103">
          <cell r="A103">
            <v>2008.12</v>
          </cell>
          <cell r="B103">
            <v>2008</v>
          </cell>
          <cell r="C103" t="str">
            <v>Dezembro</v>
          </cell>
          <cell r="D103">
            <v>201.48599999999999</v>
          </cell>
          <cell r="E103">
            <v>204.75700000000001</v>
          </cell>
          <cell r="G103">
            <v>224.898</v>
          </cell>
          <cell r="H103">
            <v>155.82300000000001</v>
          </cell>
          <cell r="I103">
            <v>205.78299999999999</v>
          </cell>
          <cell r="J103">
            <v>197.46600000000001</v>
          </cell>
          <cell r="K103">
            <v>129.893</v>
          </cell>
          <cell r="L103">
            <v>193.19800000000001</v>
          </cell>
          <cell r="M103">
            <v>193.95400000000001</v>
          </cell>
          <cell r="N103">
            <v>268.666</v>
          </cell>
          <cell r="O103">
            <v>306.67399999999998</v>
          </cell>
          <cell r="P103">
            <v>250.67599999999999</v>
          </cell>
          <cell r="Q103">
            <v>280.15800000000002</v>
          </cell>
          <cell r="R103">
            <v>404.185</v>
          </cell>
          <cell r="W103">
            <v>634.91099999999994</v>
          </cell>
        </row>
        <row r="104">
          <cell r="A104">
            <v>2009.01</v>
          </cell>
          <cell r="B104">
            <v>2009</v>
          </cell>
          <cell r="C104" t="str">
            <v>Janeiro</v>
          </cell>
          <cell r="D104">
            <v>201.953</v>
          </cell>
          <cell r="E104">
            <v>204.77699999999999</v>
          </cell>
          <cell r="G104">
            <v>224.886</v>
          </cell>
          <cell r="H104">
            <v>156.197</v>
          </cell>
          <cell r="I104">
            <v>206.214</v>
          </cell>
          <cell r="J104">
            <v>199.215</v>
          </cell>
          <cell r="K104">
            <v>131.173</v>
          </cell>
          <cell r="L104">
            <v>194.10599999999999</v>
          </cell>
          <cell r="M104">
            <v>193.91499999999999</v>
          </cell>
          <cell r="N104">
            <v>286.44499999999999</v>
          </cell>
          <cell r="O104">
            <v>298.238</v>
          </cell>
          <cell r="P104">
            <v>242.51499999999999</v>
          </cell>
          <cell r="Q104">
            <v>321.70999999999998</v>
          </cell>
          <cell r="R104">
            <v>404.24400000000003</v>
          </cell>
          <cell r="W104">
            <v>631.71500000000003</v>
          </cell>
        </row>
        <row r="105">
          <cell r="A105">
            <v>2009.02</v>
          </cell>
          <cell r="B105">
            <v>2009</v>
          </cell>
          <cell r="C105" t="str">
            <v>Fevereiro</v>
          </cell>
          <cell r="D105">
            <v>201.506</v>
          </cell>
          <cell r="E105">
            <v>203.9</v>
          </cell>
          <cell r="G105">
            <v>223.941</v>
          </cell>
          <cell r="H105">
            <v>156.22499999999999</v>
          </cell>
          <cell r="I105">
            <v>205.619</v>
          </cell>
          <cell r="J105">
            <v>199.21199999999999</v>
          </cell>
          <cell r="K105">
            <v>127.476</v>
          </cell>
          <cell r="L105">
            <v>192.77199999999999</v>
          </cell>
          <cell r="M105">
            <v>193.85599999999999</v>
          </cell>
          <cell r="N105">
            <v>286.47199999999998</v>
          </cell>
          <cell r="O105">
            <v>298.238</v>
          </cell>
          <cell r="P105">
            <v>242.51499999999999</v>
          </cell>
          <cell r="Q105">
            <v>321.76100000000002</v>
          </cell>
          <cell r="R105">
            <v>403.73700000000002</v>
          </cell>
          <cell r="W105">
            <v>623.86699999999996</v>
          </cell>
        </row>
        <row r="106">
          <cell r="A106">
            <v>2009.03</v>
          </cell>
          <cell r="B106">
            <v>2009</v>
          </cell>
          <cell r="C106" t="str">
            <v>Março</v>
          </cell>
          <cell r="D106">
            <v>201.45500000000001</v>
          </cell>
          <cell r="E106">
            <v>203.245</v>
          </cell>
          <cell r="G106">
            <v>223.86799999999999</v>
          </cell>
          <cell r="H106">
            <v>156.43600000000001</v>
          </cell>
          <cell r="I106">
            <v>205.678</v>
          </cell>
          <cell r="J106">
            <v>199.01599999999999</v>
          </cell>
          <cell r="K106">
            <v>126.407</v>
          </cell>
          <cell r="L106">
            <v>192.214</v>
          </cell>
          <cell r="M106">
            <v>194.35</v>
          </cell>
          <cell r="N106">
            <v>261.75900000000001</v>
          </cell>
          <cell r="O106">
            <v>297.666</v>
          </cell>
          <cell r="P106">
            <v>241.959</v>
          </cell>
          <cell r="Q106">
            <v>274.94600000000003</v>
          </cell>
          <cell r="R106">
            <v>400.35300000000001</v>
          </cell>
          <cell r="W106">
            <v>596.85900000000004</v>
          </cell>
        </row>
        <row r="107">
          <cell r="A107">
            <v>2009.04</v>
          </cell>
          <cell r="B107">
            <v>2009</v>
          </cell>
          <cell r="C107" t="str">
            <v>Abril</v>
          </cell>
          <cell r="D107">
            <v>201.96799999999999</v>
          </cell>
          <cell r="E107">
            <v>202.09399999999999</v>
          </cell>
          <cell r="G107">
            <v>223.02500000000001</v>
          </cell>
          <cell r="H107">
            <v>156.41399999999999</v>
          </cell>
          <cell r="I107">
            <v>204.95599999999999</v>
          </cell>
          <cell r="J107">
            <v>198.977</v>
          </cell>
          <cell r="K107">
            <v>124.96299999999999</v>
          </cell>
          <cell r="L107">
            <v>188.22300000000001</v>
          </cell>
          <cell r="M107">
            <v>193.90299999999999</v>
          </cell>
          <cell r="N107">
            <v>259.40499999999997</v>
          </cell>
          <cell r="O107">
            <v>296.75799999999998</v>
          </cell>
          <cell r="P107">
            <v>240.131</v>
          </cell>
          <cell r="Q107">
            <v>272.01400000000001</v>
          </cell>
          <cell r="R107">
            <v>400.53</v>
          </cell>
          <cell r="W107">
            <v>583.36</v>
          </cell>
        </row>
        <row r="108">
          <cell r="A108">
            <v>2009.05</v>
          </cell>
          <cell r="B108">
            <v>2009</v>
          </cell>
          <cell r="C108" t="str">
            <v>Maio</v>
          </cell>
          <cell r="D108">
            <v>200.92</v>
          </cell>
          <cell r="E108">
            <v>202.00700000000001</v>
          </cell>
          <cell r="G108">
            <v>223.31700000000001</v>
          </cell>
          <cell r="H108">
            <v>157.30000000000001</v>
          </cell>
          <cell r="I108">
            <v>204.923</v>
          </cell>
          <cell r="J108">
            <v>198.333</v>
          </cell>
          <cell r="K108">
            <v>123.79</v>
          </cell>
          <cell r="L108">
            <v>186.99100000000001</v>
          </cell>
          <cell r="M108">
            <v>194.22200000000001</v>
          </cell>
          <cell r="N108">
            <v>259.40499999999997</v>
          </cell>
          <cell r="O108">
            <v>296.75799999999998</v>
          </cell>
          <cell r="P108">
            <v>240.131</v>
          </cell>
          <cell r="Q108">
            <v>272.01400000000001</v>
          </cell>
          <cell r="R108">
            <v>401.23200000000003</v>
          </cell>
          <cell r="W108">
            <v>573.27200000000005</v>
          </cell>
        </row>
        <row r="109">
          <cell r="A109">
            <v>2009.06</v>
          </cell>
          <cell r="B109">
            <v>2009</v>
          </cell>
          <cell r="C109" t="str">
            <v>Junho</v>
          </cell>
          <cell r="D109">
            <v>199.255</v>
          </cell>
          <cell r="E109">
            <v>201.65600000000001</v>
          </cell>
          <cell r="G109">
            <v>222.54400000000001</v>
          </cell>
          <cell r="H109">
            <v>158.32300000000001</v>
          </cell>
          <cell r="I109">
            <v>204.43</v>
          </cell>
          <cell r="J109">
            <v>199.26599999999999</v>
          </cell>
          <cell r="K109">
            <v>121.73099999999999</v>
          </cell>
          <cell r="L109">
            <v>186.46199999999999</v>
          </cell>
          <cell r="M109">
            <v>194.21100000000001</v>
          </cell>
          <cell r="N109">
            <v>253.393</v>
          </cell>
          <cell r="O109">
            <v>297.74099999999999</v>
          </cell>
          <cell r="P109">
            <v>242.41800000000001</v>
          </cell>
          <cell r="Q109">
            <v>258.47399999999999</v>
          </cell>
          <cell r="R109">
            <v>399.96600000000001</v>
          </cell>
          <cell r="W109">
            <v>566.82399999999996</v>
          </cell>
        </row>
        <row r="110">
          <cell r="A110">
            <v>2009.07</v>
          </cell>
          <cell r="B110">
            <v>2009</v>
          </cell>
          <cell r="C110" t="str">
            <v>Julho</v>
          </cell>
          <cell r="D110">
            <v>198.13200000000001</v>
          </cell>
          <cell r="E110">
            <v>201.25700000000001</v>
          </cell>
          <cell r="G110">
            <v>221.28899999999999</v>
          </cell>
          <cell r="H110">
            <v>159.40199999999999</v>
          </cell>
          <cell r="I110">
            <v>203.86099999999999</v>
          </cell>
          <cell r="J110">
            <v>196.73099999999999</v>
          </cell>
          <cell r="K110">
            <v>119.218</v>
          </cell>
          <cell r="L110">
            <v>186.38800000000001</v>
          </cell>
          <cell r="M110">
            <v>194.63300000000001</v>
          </cell>
          <cell r="N110">
            <v>252.405</v>
          </cell>
          <cell r="O110">
            <v>295.988</v>
          </cell>
          <cell r="P110">
            <v>241.67699999999999</v>
          </cell>
          <cell r="Q110">
            <v>257.34699999999998</v>
          </cell>
          <cell r="R110">
            <v>397.39299999999997</v>
          </cell>
        </row>
        <row r="111">
          <cell r="A111">
            <v>2009.08</v>
          </cell>
          <cell r="B111">
            <v>2009</v>
          </cell>
          <cell r="C111" t="str">
            <v>Agosto</v>
          </cell>
          <cell r="D111">
            <v>196.554</v>
          </cell>
          <cell r="E111">
            <v>201.57900000000001</v>
          </cell>
          <cell r="G111">
            <v>220.31399999999999</v>
          </cell>
          <cell r="H111">
            <v>160.547</v>
          </cell>
          <cell r="I111">
            <v>203.79400000000001</v>
          </cell>
          <cell r="J111">
            <v>195.33099999999999</v>
          </cell>
          <cell r="K111">
            <v>118.616</v>
          </cell>
          <cell r="L111">
            <v>186.036</v>
          </cell>
          <cell r="M111">
            <v>195.11699999999999</v>
          </cell>
          <cell r="N111">
            <v>250.56700000000001</v>
          </cell>
          <cell r="O111">
            <v>294.12</v>
          </cell>
          <cell r="P111">
            <v>234.62700000000001</v>
          </cell>
          <cell r="Q111">
            <v>259.94799999999998</v>
          </cell>
          <cell r="R111">
            <v>397.75799999999998</v>
          </cell>
        </row>
        <row r="112">
          <cell r="A112">
            <v>2009.09</v>
          </cell>
          <cell r="B112">
            <v>2009</v>
          </cell>
          <cell r="C112" t="str">
            <v>Setembro</v>
          </cell>
          <cell r="D112">
            <v>195.87700000000001</v>
          </cell>
          <cell r="E112">
            <v>201.98400000000001</v>
          </cell>
          <cell r="G112">
            <v>220.41399999999999</v>
          </cell>
          <cell r="H112">
            <v>161.251</v>
          </cell>
          <cell r="I112">
            <v>204.285</v>
          </cell>
          <cell r="J112">
            <v>195.46</v>
          </cell>
          <cell r="K112">
            <v>119.57599999999999</v>
          </cell>
          <cell r="L112">
            <v>186.084</v>
          </cell>
          <cell r="M112">
            <v>195.79499999999999</v>
          </cell>
          <cell r="N112">
            <v>251.93600000000001</v>
          </cell>
          <cell r="O112">
            <v>295.53399999999999</v>
          </cell>
          <cell r="P112">
            <v>237.92099999999999</v>
          </cell>
          <cell r="Q112">
            <v>259.67399999999998</v>
          </cell>
          <cell r="R112">
            <v>398.738</v>
          </cell>
        </row>
        <row r="113">
          <cell r="A113">
            <v>2009.1</v>
          </cell>
          <cell r="B113">
            <v>2009</v>
          </cell>
          <cell r="C113" t="str">
            <v>Outubro</v>
          </cell>
          <cell r="D113">
            <v>195.36699999999999</v>
          </cell>
          <cell r="E113">
            <v>203.02600000000001</v>
          </cell>
          <cell r="G113">
            <v>220.77</v>
          </cell>
          <cell r="H113">
            <v>161.642</v>
          </cell>
          <cell r="I113">
            <v>204.99299999999999</v>
          </cell>
          <cell r="J113">
            <v>195.79599999999999</v>
          </cell>
          <cell r="K113">
            <v>119.626</v>
          </cell>
          <cell r="L113">
            <v>185.994</v>
          </cell>
          <cell r="M113">
            <v>196.465</v>
          </cell>
          <cell r="N113">
            <v>251.744</v>
          </cell>
          <cell r="O113">
            <v>295.38799999999998</v>
          </cell>
          <cell r="P113">
            <v>237.774</v>
          </cell>
          <cell r="Q113">
            <v>259.44</v>
          </cell>
          <cell r="R113">
            <v>398.57499999999999</v>
          </cell>
        </row>
        <row r="114">
          <cell r="A114">
            <v>2009.11</v>
          </cell>
          <cell r="B114">
            <v>2009</v>
          </cell>
          <cell r="C114" t="str">
            <v>Novembro</v>
          </cell>
          <cell r="D114">
            <v>195.761</v>
          </cell>
          <cell r="E114">
            <v>203.441</v>
          </cell>
          <cell r="G114">
            <v>221.42500000000001</v>
          </cell>
          <cell r="H114">
            <v>162.24100000000001</v>
          </cell>
          <cell r="I114">
            <v>205.59100000000001</v>
          </cell>
          <cell r="J114">
            <v>195.98699999999999</v>
          </cell>
          <cell r="K114">
            <v>120.05500000000001</v>
          </cell>
          <cell r="L114">
            <v>186.458</v>
          </cell>
          <cell r="M114">
            <v>197.13300000000001</v>
          </cell>
          <cell r="N114">
            <v>251.38399999999999</v>
          </cell>
          <cell r="O114">
            <v>295.10199999999998</v>
          </cell>
          <cell r="P114">
            <v>237.476</v>
          </cell>
          <cell r="Q114">
            <v>259.02100000000002</v>
          </cell>
          <cell r="R114">
            <v>398.85700000000003</v>
          </cell>
        </row>
        <row r="115">
          <cell r="A115">
            <v>2009.12</v>
          </cell>
          <cell r="B115">
            <v>2009</v>
          </cell>
          <cell r="C115" t="str">
            <v>Dezembro</v>
          </cell>
          <cell r="D115">
            <v>195.72200000000001</v>
          </cell>
          <cell r="E115">
            <v>203.4</v>
          </cell>
          <cell r="G115">
            <v>221.434</v>
          </cell>
          <cell r="H115">
            <v>162.446</v>
          </cell>
          <cell r="I115">
            <v>205.376</v>
          </cell>
          <cell r="J115">
            <v>196.28800000000001</v>
          </cell>
          <cell r="K115">
            <v>120.20399999999999</v>
          </cell>
          <cell r="L115">
            <v>186.47499999999999</v>
          </cell>
          <cell r="M115">
            <v>197.261</v>
          </cell>
          <cell r="N115">
            <v>251.96899999999999</v>
          </cell>
          <cell r="O115">
            <v>296.43299999999999</v>
          </cell>
          <cell r="P115">
            <v>239.05199999999999</v>
          </cell>
          <cell r="Q115">
            <v>258.702</v>
          </cell>
          <cell r="R115">
            <v>398.40699999999998</v>
          </cell>
        </row>
        <row r="116">
          <cell r="A116">
            <v>2010.01</v>
          </cell>
          <cell r="B116">
            <v>2010</v>
          </cell>
          <cell r="C116" t="str">
            <v>Janeiro</v>
          </cell>
          <cell r="D116">
            <v>196.70099999999999</v>
          </cell>
          <cell r="E116">
            <v>203.71299999999999</v>
          </cell>
          <cell r="F116">
            <v>193.61</v>
          </cell>
          <cell r="G116">
            <v>222.27199999999999</v>
          </cell>
          <cell r="H116">
            <v>162.648</v>
          </cell>
          <cell r="I116">
            <v>205.751</v>
          </cell>
          <cell r="J116">
            <v>196.267</v>
          </cell>
          <cell r="K116">
            <v>120.245</v>
          </cell>
          <cell r="L116">
            <v>186.75200000000001</v>
          </cell>
          <cell r="M116">
            <v>197.93899999999999</v>
          </cell>
          <cell r="N116">
            <v>251.83099999999999</v>
          </cell>
          <cell r="O116">
            <v>296.27100000000002</v>
          </cell>
          <cell r="P116">
            <v>238.92599999999999</v>
          </cell>
          <cell r="Q116">
            <v>258.55500000000001</v>
          </cell>
          <cell r="R116">
            <v>402.42500000000001</v>
          </cell>
          <cell r="S116">
            <v>423.74</v>
          </cell>
          <cell r="T116">
            <v>562.49400000000003</v>
          </cell>
          <cell r="U116">
            <v>117.233</v>
          </cell>
          <cell r="V116">
            <v>282.995</v>
          </cell>
          <cell r="W116">
            <v>0</v>
          </cell>
        </row>
        <row r="117">
          <cell r="A117">
            <v>2010.02</v>
          </cell>
          <cell r="B117">
            <v>2010</v>
          </cell>
          <cell r="C117" t="str">
            <v>Fevereiro</v>
          </cell>
          <cell r="D117">
            <v>197.93600000000001</v>
          </cell>
          <cell r="E117">
            <v>204.90600000000001</v>
          </cell>
          <cell r="F117">
            <v>194.80699999999999</v>
          </cell>
          <cell r="G117">
            <v>223.21600000000001</v>
          </cell>
          <cell r="H117">
            <v>163.10900000000001</v>
          </cell>
          <cell r="I117">
            <v>206.73500000000001</v>
          </cell>
          <cell r="J117">
            <v>197.33</v>
          </cell>
          <cell r="K117">
            <v>120.45699999999999</v>
          </cell>
          <cell r="L117">
            <v>187.39500000000001</v>
          </cell>
          <cell r="M117">
            <v>199.482</v>
          </cell>
          <cell r="N117">
            <v>251.70099999999999</v>
          </cell>
          <cell r="O117">
            <v>296.12</v>
          </cell>
          <cell r="P117">
            <v>238.79900000000001</v>
          </cell>
          <cell r="Q117">
            <v>258.42399999999998</v>
          </cell>
          <cell r="R117">
            <v>406.82600000000002</v>
          </cell>
          <cell r="S117">
            <v>425.26799999999997</v>
          </cell>
          <cell r="T117">
            <v>565.51700000000005</v>
          </cell>
          <cell r="U117">
            <v>117.203</v>
          </cell>
          <cell r="V117">
            <v>283.04700000000003</v>
          </cell>
          <cell r="W117">
            <v>0</v>
          </cell>
        </row>
        <row r="118">
          <cell r="A118">
            <v>2010.03</v>
          </cell>
          <cell r="B118">
            <v>2010</v>
          </cell>
          <cell r="C118" t="str">
            <v>Março</v>
          </cell>
          <cell r="D118">
            <v>198.625</v>
          </cell>
          <cell r="E118">
            <v>204.92400000000001</v>
          </cell>
          <cell r="F118">
            <v>195.023</v>
          </cell>
          <cell r="G118">
            <v>223.43</v>
          </cell>
          <cell r="H118">
            <v>163.452</v>
          </cell>
          <cell r="I118">
            <v>206.93199999999999</v>
          </cell>
          <cell r="J118">
            <v>198.89400000000001</v>
          </cell>
          <cell r="K118">
            <v>120.438</v>
          </cell>
          <cell r="L118">
            <v>188.125</v>
          </cell>
          <cell r="M118">
            <v>199.57599999999999</v>
          </cell>
          <cell r="N118">
            <v>256.61099999999999</v>
          </cell>
          <cell r="O118">
            <v>297.12700000000001</v>
          </cell>
          <cell r="P118">
            <v>250.191</v>
          </cell>
          <cell r="Q118">
            <v>258.37200000000001</v>
          </cell>
          <cell r="R118">
            <v>409.399</v>
          </cell>
          <cell r="S118">
            <v>428.476</v>
          </cell>
          <cell r="T118">
            <v>563.40599999999995</v>
          </cell>
          <cell r="U118">
            <v>117.575</v>
          </cell>
          <cell r="V118">
            <v>283.39</v>
          </cell>
          <cell r="W118">
            <v>0</v>
          </cell>
        </row>
        <row r="119">
          <cell r="A119">
            <v>2010.04</v>
          </cell>
          <cell r="B119">
            <v>2010</v>
          </cell>
          <cell r="C119" t="str">
            <v>Abril</v>
          </cell>
          <cell r="D119">
            <v>198.74299999999999</v>
          </cell>
          <cell r="E119">
            <v>205.48599999999999</v>
          </cell>
          <cell r="F119">
            <v>195.83600000000001</v>
          </cell>
          <cell r="G119">
            <v>223.953</v>
          </cell>
          <cell r="H119">
            <v>164.34299999999999</v>
          </cell>
          <cell r="I119">
            <v>207.53899999999999</v>
          </cell>
          <cell r="J119">
            <v>199.53299999999999</v>
          </cell>
          <cell r="K119">
            <v>121.895</v>
          </cell>
          <cell r="L119">
            <v>189.053</v>
          </cell>
          <cell r="M119">
            <v>200.10499999999999</v>
          </cell>
          <cell r="N119">
            <v>256.64</v>
          </cell>
          <cell r="O119">
            <v>297.464</v>
          </cell>
          <cell r="P119">
            <v>250.059</v>
          </cell>
          <cell r="Q119">
            <v>258.50299999999999</v>
          </cell>
          <cell r="R119">
            <v>412.34100000000001</v>
          </cell>
          <cell r="S119">
            <v>432.07900000000001</v>
          </cell>
          <cell r="T119">
            <v>556.06899999999996</v>
          </cell>
          <cell r="U119">
            <v>120.247</v>
          </cell>
          <cell r="V119">
            <v>283.5</v>
          </cell>
          <cell r="W119">
            <v>0</v>
          </cell>
        </row>
        <row r="120">
          <cell r="A120">
            <v>2010.05</v>
          </cell>
          <cell r="B120">
            <v>2010</v>
          </cell>
          <cell r="C120" t="str">
            <v>Maio</v>
          </cell>
          <cell r="D120">
            <v>199.85499999999999</v>
          </cell>
          <cell r="E120">
            <v>206.697</v>
          </cell>
          <cell r="F120">
            <v>197.36799999999999</v>
          </cell>
          <cell r="G120">
            <v>224.65600000000001</v>
          </cell>
          <cell r="H120">
            <v>165.03200000000001</v>
          </cell>
          <cell r="I120">
            <v>208.727</v>
          </cell>
          <cell r="J120">
            <v>199.6</v>
          </cell>
          <cell r="K120">
            <v>122.492</v>
          </cell>
          <cell r="L120">
            <v>191.05199999999999</v>
          </cell>
          <cell r="M120">
            <v>201.67699999999999</v>
          </cell>
          <cell r="N120">
            <v>256.60500000000002</v>
          </cell>
          <cell r="O120">
            <v>297.464</v>
          </cell>
          <cell r="P120">
            <v>250.059</v>
          </cell>
          <cell r="Q120">
            <v>258.43599999999998</v>
          </cell>
          <cell r="R120">
            <v>418.81099999999998</v>
          </cell>
          <cell r="S120">
            <v>439.91399999999999</v>
          </cell>
          <cell r="T120">
            <v>553.18700000000001</v>
          </cell>
          <cell r="U120">
            <v>123.682</v>
          </cell>
          <cell r="V120">
            <v>283.97899999999998</v>
          </cell>
          <cell r="W120">
            <v>0</v>
          </cell>
        </row>
        <row r="121">
          <cell r="A121">
            <v>2010.06</v>
          </cell>
          <cell r="B121">
            <v>2010</v>
          </cell>
          <cell r="C121" t="str">
            <v>Junho</v>
          </cell>
          <cell r="D121">
            <v>200.66800000000001</v>
          </cell>
          <cell r="E121">
            <v>208.82300000000001</v>
          </cell>
          <cell r="F121">
            <v>199.172</v>
          </cell>
          <cell r="G121">
            <v>225.761</v>
          </cell>
          <cell r="H121">
            <v>167.005</v>
          </cell>
          <cell r="I121">
            <v>211.06700000000001</v>
          </cell>
          <cell r="J121">
            <v>201.24700000000001</v>
          </cell>
          <cell r="K121">
            <v>123.173</v>
          </cell>
          <cell r="L121">
            <v>193.25299999999999</v>
          </cell>
          <cell r="M121">
            <v>203.756</v>
          </cell>
          <cell r="N121">
            <v>256.79000000000002</v>
          </cell>
          <cell r="O121">
            <v>297.858</v>
          </cell>
          <cell r="P121">
            <v>250.441</v>
          </cell>
          <cell r="Q121">
            <v>258.43599999999998</v>
          </cell>
          <cell r="R121">
            <v>420.24099999999999</v>
          </cell>
          <cell r="S121">
            <v>444.71800000000002</v>
          </cell>
          <cell r="T121">
            <v>568.42399999999998</v>
          </cell>
          <cell r="U121">
            <v>125.571</v>
          </cell>
          <cell r="V121">
            <v>284.99599999999998</v>
          </cell>
          <cell r="W121">
            <v>0</v>
          </cell>
        </row>
        <row r="122">
          <cell r="A122">
            <v>2010.07</v>
          </cell>
          <cell r="B122">
            <v>2010</v>
          </cell>
          <cell r="C122" t="str">
            <v>Julho</v>
          </cell>
          <cell r="D122">
            <v>201.114</v>
          </cell>
          <cell r="E122">
            <v>210.81</v>
          </cell>
          <cell r="F122">
            <v>201.37299999999999</v>
          </cell>
          <cell r="G122">
            <v>226.84700000000001</v>
          </cell>
          <cell r="H122">
            <v>168.82400000000001</v>
          </cell>
          <cell r="I122">
            <v>212.952</v>
          </cell>
          <cell r="J122">
            <v>200.88900000000001</v>
          </cell>
          <cell r="K122">
            <v>123.328</v>
          </cell>
          <cell r="L122">
            <v>194.55699999999999</v>
          </cell>
          <cell r="M122">
            <v>206.17400000000001</v>
          </cell>
          <cell r="N122">
            <v>256.79000000000002</v>
          </cell>
          <cell r="O122">
            <v>297.858</v>
          </cell>
          <cell r="P122">
            <v>250.441</v>
          </cell>
          <cell r="Q122">
            <v>258.43599999999998</v>
          </cell>
          <cell r="R122">
            <v>421.154</v>
          </cell>
          <cell r="S122">
            <v>446.68799999999999</v>
          </cell>
          <cell r="T122">
            <v>575.44899999999996</v>
          </cell>
          <cell r="U122">
            <v>126.149</v>
          </cell>
          <cell r="V122">
            <v>285.29599999999999</v>
          </cell>
          <cell r="W122">
            <v>0</v>
          </cell>
        </row>
        <row r="123">
          <cell r="A123">
            <v>2010.08</v>
          </cell>
          <cell r="B123">
            <v>2010</v>
          </cell>
          <cell r="C123" t="str">
            <v>Agosto</v>
          </cell>
          <cell r="D123">
            <v>201.57300000000001</v>
          </cell>
          <cell r="E123">
            <v>211.51900000000001</v>
          </cell>
          <cell r="F123">
            <v>202.274</v>
          </cell>
          <cell r="G123">
            <v>227.33199999999999</v>
          </cell>
          <cell r="H123">
            <v>170.32300000000001</v>
          </cell>
          <cell r="I123">
            <v>213.62100000000001</v>
          </cell>
          <cell r="J123">
            <v>206.29599999999999</v>
          </cell>
          <cell r="K123">
            <v>122.76600000000001</v>
          </cell>
          <cell r="L123">
            <v>195.05799999999999</v>
          </cell>
          <cell r="M123">
            <v>207.47300000000001</v>
          </cell>
          <cell r="N123">
            <v>256.94</v>
          </cell>
          <cell r="O123">
            <v>298.01799999999997</v>
          </cell>
          <cell r="P123">
            <v>250.57599999999999</v>
          </cell>
          <cell r="Q123">
            <v>258.59699999999998</v>
          </cell>
          <cell r="R123">
            <v>425.78800000000001</v>
          </cell>
          <cell r="S123">
            <v>447.29599999999999</v>
          </cell>
          <cell r="T123">
            <v>571.78700000000003</v>
          </cell>
          <cell r="U123">
            <v>125.66800000000001</v>
          </cell>
          <cell r="V123">
            <v>285.851</v>
          </cell>
          <cell r="W123">
            <v>0</v>
          </cell>
        </row>
        <row r="124">
          <cell r="A124">
            <v>2010.09</v>
          </cell>
          <cell r="B124">
            <v>2010</v>
          </cell>
          <cell r="C124" t="str">
            <v>Setembro</v>
          </cell>
          <cell r="D124">
            <v>202.584</v>
          </cell>
          <cell r="E124">
            <v>211.91900000000001</v>
          </cell>
          <cell r="F124">
            <v>203.53299999999999</v>
          </cell>
          <cell r="G124">
            <v>228.702</v>
          </cell>
          <cell r="H124">
            <v>169.357</v>
          </cell>
          <cell r="I124">
            <v>214.50399999999999</v>
          </cell>
          <cell r="J124">
            <v>206.285</v>
          </cell>
          <cell r="K124">
            <v>121.423</v>
          </cell>
          <cell r="L124">
            <v>195.94900000000001</v>
          </cell>
          <cell r="M124">
            <v>208.83099999999999</v>
          </cell>
          <cell r="N124">
            <v>257.02100000000002</v>
          </cell>
          <cell r="O124">
            <v>299.24599999999998</v>
          </cell>
          <cell r="P124">
            <v>250.57599999999999</v>
          </cell>
          <cell r="Q124">
            <v>258.64800000000002</v>
          </cell>
          <cell r="R124">
            <v>430.45299999999997</v>
          </cell>
          <cell r="S124">
            <v>448.22199999999998</v>
          </cell>
          <cell r="T124">
            <v>567.10299999999995</v>
          </cell>
          <cell r="U124">
            <v>122.553</v>
          </cell>
          <cell r="V124">
            <v>285.38400000000001</v>
          </cell>
          <cell r="W124">
            <v>0</v>
          </cell>
        </row>
        <row r="125">
          <cell r="A125">
            <v>2010.1</v>
          </cell>
          <cell r="B125">
            <v>2010</v>
          </cell>
          <cell r="C125" t="str">
            <v>Outubro</v>
          </cell>
          <cell r="D125">
            <v>202.38900000000001</v>
          </cell>
          <cell r="E125">
            <v>211.86099999999999</v>
          </cell>
          <cell r="F125">
            <v>204.10499999999999</v>
          </cell>
          <cell r="G125">
            <v>229.36099999999999</v>
          </cell>
          <cell r="H125">
            <v>169.72200000000001</v>
          </cell>
          <cell r="I125">
            <v>214.33500000000001</v>
          </cell>
          <cell r="J125">
            <v>206.24799999999999</v>
          </cell>
          <cell r="K125">
            <v>121.351</v>
          </cell>
          <cell r="L125">
            <v>196.94800000000001</v>
          </cell>
          <cell r="M125">
            <v>209.119</v>
          </cell>
          <cell r="N125">
            <v>257.37799999999999</v>
          </cell>
          <cell r="O125">
            <v>298.67700000000002</v>
          </cell>
          <cell r="P125">
            <v>251.65600000000001</v>
          </cell>
          <cell r="Q125">
            <v>258.476</v>
          </cell>
          <cell r="R125">
            <v>434.88200000000001</v>
          </cell>
          <cell r="S125">
            <v>449.10300000000001</v>
          </cell>
          <cell r="T125">
            <v>550.19899999999996</v>
          </cell>
          <cell r="U125">
            <v>120.696</v>
          </cell>
          <cell r="V125">
            <v>284.68799999999999</v>
          </cell>
          <cell r="W125">
            <v>0</v>
          </cell>
        </row>
        <row r="126">
          <cell r="A126">
            <v>2010.11</v>
          </cell>
          <cell r="B126">
            <v>2010</v>
          </cell>
          <cell r="C126" t="str">
            <v>Novembro</v>
          </cell>
          <cell r="D126">
            <v>202.84899999999999</v>
          </cell>
          <cell r="E126">
            <v>211.60300000000001</v>
          </cell>
          <cell r="F126">
            <v>204.50700000000001</v>
          </cell>
          <cell r="G126">
            <v>229.464</v>
          </cell>
          <cell r="H126">
            <v>170.166</v>
          </cell>
          <cell r="I126">
            <v>214.16399999999999</v>
          </cell>
          <cell r="J126">
            <v>206.38399999999999</v>
          </cell>
          <cell r="K126">
            <v>120.998</v>
          </cell>
          <cell r="L126">
            <v>196.47300000000001</v>
          </cell>
          <cell r="M126">
            <v>209.571</v>
          </cell>
          <cell r="N126">
            <v>258.23099999999999</v>
          </cell>
          <cell r="O126">
            <v>298.86700000000002</v>
          </cell>
          <cell r="P126">
            <v>252.71899999999999</v>
          </cell>
          <cell r="Q126">
            <v>259.20400000000001</v>
          </cell>
          <cell r="R126">
            <v>441.75400000000002</v>
          </cell>
          <cell r="S126">
            <v>450.76299999999998</v>
          </cell>
          <cell r="T126">
            <v>538.495</v>
          </cell>
          <cell r="U126">
            <v>119.24</v>
          </cell>
          <cell r="V126">
            <v>284.41000000000003</v>
          </cell>
          <cell r="W126">
            <v>0</v>
          </cell>
        </row>
        <row r="127">
          <cell r="A127">
            <v>2010.12</v>
          </cell>
          <cell r="B127">
            <v>2010</v>
          </cell>
          <cell r="C127" t="str">
            <v>Dezembro</v>
          </cell>
          <cell r="D127">
            <v>203.102</v>
          </cell>
          <cell r="E127">
            <v>211.71</v>
          </cell>
          <cell r="F127">
            <v>204.96600000000001</v>
          </cell>
          <cell r="G127">
            <v>230.03100000000001</v>
          </cell>
          <cell r="H127">
            <v>170.44</v>
          </cell>
          <cell r="I127">
            <v>214.35400000000001</v>
          </cell>
          <cell r="J127">
            <v>206.46700000000001</v>
          </cell>
          <cell r="K127">
            <v>120.955</v>
          </cell>
          <cell r="L127">
            <v>196.98400000000001</v>
          </cell>
          <cell r="M127">
            <v>210.02600000000001</v>
          </cell>
          <cell r="N127">
            <v>258.67599999999999</v>
          </cell>
          <cell r="O127">
            <v>298.91399999999999</v>
          </cell>
          <cell r="P127">
            <v>253.72399999999999</v>
          </cell>
          <cell r="Q127">
            <v>259.20600000000002</v>
          </cell>
          <cell r="R127">
            <v>443.42700000000002</v>
          </cell>
          <cell r="S127">
            <v>453.76600000000002</v>
          </cell>
          <cell r="T127">
            <v>528.03200000000004</v>
          </cell>
          <cell r="U127">
            <v>117.467</v>
          </cell>
          <cell r="V127">
            <v>283.31299999999999</v>
          </cell>
          <cell r="W127">
            <v>0</v>
          </cell>
        </row>
        <row r="128">
          <cell r="A128">
            <v>2011.01</v>
          </cell>
          <cell r="B128">
            <v>2011</v>
          </cell>
          <cell r="C128" t="str">
            <v>Janeiro</v>
          </cell>
          <cell r="D128">
            <v>203.31299999999999</v>
          </cell>
          <cell r="E128">
            <v>212.17</v>
          </cell>
          <cell r="F128">
            <v>205.48400000000001</v>
          </cell>
          <cell r="G128">
            <v>231.428</v>
          </cell>
          <cell r="H128">
            <v>170.65</v>
          </cell>
          <cell r="I128">
            <v>214.78899999999999</v>
          </cell>
          <cell r="J128">
            <v>206.78399999999999</v>
          </cell>
          <cell r="K128">
            <v>121.253</v>
          </cell>
          <cell r="L128">
            <v>196.88399999999999</v>
          </cell>
          <cell r="M128">
            <v>210.33099999999999</v>
          </cell>
          <cell r="N128">
            <v>258.67599999999999</v>
          </cell>
          <cell r="O128">
            <v>298.91399999999999</v>
          </cell>
          <cell r="P128">
            <v>253.72399999999999</v>
          </cell>
          <cell r="Q128">
            <v>259.20600000000002</v>
          </cell>
          <cell r="R128">
            <v>447.76400000000001</v>
          </cell>
          <cell r="S128">
            <v>455.61900000000003</v>
          </cell>
          <cell r="T128">
            <v>521.69000000000005</v>
          </cell>
          <cell r="U128">
            <v>115.11</v>
          </cell>
          <cell r="V128">
            <v>283.37099999999998</v>
          </cell>
          <cell r="W128">
            <v>0</v>
          </cell>
        </row>
        <row r="129">
          <cell r="A129">
            <v>2011.02</v>
          </cell>
          <cell r="B129">
            <v>2011</v>
          </cell>
          <cell r="C129" t="str">
            <v>Fevereiro</v>
          </cell>
          <cell r="D129">
            <v>203.917</v>
          </cell>
          <cell r="E129">
            <v>212.44499999999999</v>
          </cell>
          <cell r="F129">
            <v>205.74799999999999</v>
          </cell>
          <cell r="G129">
            <v>232.88900000000001</v>
          </cell>
          <cell r="H129">
            <v>170.83699999999999</v>
          </cell>
          <cell r="I129">
            <v>215.26599999999999</v>
          </cell>
          <cell r="J129">
            <v>207.32499999999999</v>
          </cell>
          <cell r="K129">
            <v>122.43</v>
          </cell>
          <cell r="L129">
            <v>197.245</v>
          </cell>
          <cell r="M129">
            <v>210.649</v>
          </cell>
          <cell r="N129">
            <v>258.702</v>
          </cell>
          <cell r="O129">
            <v>298.91399999999999</v>
          </cell>
          <cell r="P129">
            <v>253.72399999999999</v>
          </cell>
          <cell r="Q129">
            <v>259.255</v>
          </cell>
          <cell r="R129">
            <v>452.04700000000003</v>
          </cell>
          <cell r="S129">
            <v>456.91699999999997</v>
          </cell>
          <cell r="T129">
            <v>528.95899999999995</v>
          </cell>
          <cell r="U129">
            <v>114.465</v>
          </cell>
          <cell r="V129">
            <v>283.10700000000003</v>
          </cell>
        </row>
        <row r="130">
          <cell r="A130">
            <v>2011.03</v>
          </cell>
          <cell r="B130">
            <v>2011</v>
          </cell>
          <cell r="C130" t="str">
            <v>Março</v>
          </cell>
          <cell r="D130">
            <v>204.429</v>
          </cell>
          <cell r="E130">
            <v>213.27199999999999</v>
          </cell>
          <cell r="F130">
            <v>206.274</v>
          </cell>
          <cell r="G130">
            <v>234.00399999999999</v>
          </cell>
          <cell r="H130">
            <v>171.14599999999999</v>
          </cell>
          <cell r="I130">
            <v>216.15899999999999</v>
          </cell>
          <cell r="J130">
            <v>207.489</v>
          </cell>
          <cell r="K130">
            <v>123.587</v>
          </cell>
          <cell r="L130">
            <v>197.59</v>
          </cell>
          <cell r="M130">
            <v>211.24</v>
          </cell>
          <cell r="N130">
            <v>258.35000000000002</v>
          </cell>
          <cell r="O130">
            <v>298.91699999999997</v>
          </cell>
          <cell r="P130">
            <v>252.922</v>
          </cell>
          <cell r="Q130">
            <v>259.255</v>
          </cell>
          <cell r="R130">
            <v>454.80500000000001</v>
          </cell>
          <cell r="S130">
            <v>458.887</v>
          </cell>
          <cell r="T130">
            <v>542.29899999999998</v>
          </cell>
          <cell r="U130">
            <v>112.398</v>
          </cell>
          <cell r="V130">
            <v>283.29700000000003</v>
          </cell>
          <cell r="W130">
            <v>0</v>
          </cell>
        </row>
        <row r="131">
          <cell r="A131">
            <v>2011.04</v>
          </cell>
          <cell r="B131">
            <v>2011</v>
          </cell>
          <cell r="C131" t="str">
            <v>Abril</v>
          </cell>
          <cell r="D131">
            <v>204.70699999999999</v>
          </cell>
          <cell r="E131">
            <v>213.86600000000001</v>
          </cell>
          <cell r="F131">
            <v>206.869</v>
          </cell>
          <cell r="G131">
            <v>234.56100000000001</v>
          </cell>
          <cell r="H131">
            <v>171.82</v>
          </cell>
          <cell r="I131">
            <v>216.71799999999999</v>
          </cell>
          <cell r="J131">
            <v>207.661</v>
          </cell>
          <cell r="K131">
            <v>123.678</v>
          </cell>
          <cell r="L131">
            <v>198.642</v>
          </cell>
          <cell r="M131">
            <v>211.77099999999999</v>
          </cell>
          <cell r="N131">
            <v>258.971</v>
          </cell>
          <cell r="O131">
            <v>299.67099999999999</v>
          </cell>
          <cell r="P131">
            <v>253.38900000000001</v>
          </cell>
          <cell r="Q131">
            <v>259.99799999999999</v>
          </cell>
          <cell r="R131">
            <v>457.05900000000003</v>
          </cell>
          <cell r="S131">
            <v>463.76600000000002</v>
          </cell>
          <cell r="T131">
            <v>544.43299999999999</v>
          </cell>
          <cell r="U131">
            <v>111.84</v>
          </cell>
          <cell r="V131">
            <v>283.637</v>
          </cell>
          <cell r="W131">
            <v>0</v>
          </cell>
        </row>
        <row r="132">
          <cell r="A132">
            <v>2011.05</v>
          </cell>
          <cell r="B132">
            <v>2011</v>
          </cell>
          <cell r="C132" t="str">
            <v>Maio</v>
          </cell>
          <cell r="D132">
            <v>206.006</v>
          </cell>
          <cell r="E132">
            <v>215.47</v>
          </cell>
          <cell r="F132">
            <v>208.804</v>
          </cell>
          <cell r="G132">
            <v>235.167</v>
          </cell>
          <cell r="H132">
            <v>173.40799999999999</v>
          </cell>
          <cell r="I132">
            <v>218.33799999999999</v>
          </cell>
          <cell r="J132">
            <v>210.429</v>
          </cell>
          <cell r="K132">
            <v>124.14</v>
          </cell>
          <cell r="L132">
            <v>200.20500000000001</v>
          </cell>
          <cell r="M132">
            <v>214.131</v>
          </cell>
          <cell r="N132">
            <v>258.19400000000002</v>
          </cell>
          <cell r="O132">
            <v>299.82799999999997</v>
          </cell>
          <cell r="P132">
            <v>255.33699999999999</v>
          </cell>
          <cell r="Q132">
            <v>256.92899999999997</v>
          </cell>
          <cell r="R132">
            <v>457.09</v>
          </cell>
          <cell r="S132">
            <v>477.40499999999997</v>
          </cell>
          <cell r="T132">
            <v>544.09</v>
          </cell>
          <cell r="U132">
            <v>113.089</v>
          </cell>
          <cell r="V132">
            <v>283.23500000000001</v>
          </cell>
          <cell r="W132">
            <v>0</v>
          </cell>
        </row>
        <row r="133">
          <cell r="A133">
            <v>2011.06</v>
          </cell>
          <cell r="B133">
            <v>2011</v>
          </cell>
          <cell r="C133" t="str">
            <v>Junho</v>
          </cell>
          <cell r="D133">
            <v>206.25899999999999</v>
          </cell>
          <cell r="E133">
            <v>216.904</v>
          </cell>
          <cell r="F133">
            <v>210.56700000000001</v>
          </cell>
          <cell r="G133">
            <v>235.22200000000001</v>
          </cell>
          <cell r="H133">
            <v>175.232</v>
          </cell>
          <cell r="I133">
            <v>219.923</v>
          </cell>
          <cell r="J133">
            <v>211.14400000000001</v>
          </cell>
          <cell r="K133">
            <v>125.129</v>
          </cell>
          <cell r="L133">
            <v>201.33099999999999</v>
          </cell>
          <cell r="M133">
            <v>216.04</v>
          </cell>
          <cell r="N133">
            <v>258.13499999999999</v>
          </cell>
          <cell r="O133">
            <v>298.71899999999999</v>
          </cell>
          <cell r="P133">
            <v>255.68899999999999</v>
          </cell>
          <cell r="Q133">
            <v>256.62099999999998</v>
          </cell>
          <cell r="R133">
            <v>456.49</v>
          </cell>
          <cell r="S133">
            <v>479.18299999999999</v>
          </cell>
          <cell r="T133">
            <v>544.524</v>
          </cell>
          <cell r="U133">
            <v>113.965</v>
          </cell>
          <cell r="V133">
            <v>283.512</v>
          </cell>
          <cell r="W133">
            <v>0</v>
          </cell>
        </row>
        <row r="134">
          <cell r="A134">
            <v>2011.07</v>
          </cell>
          <cell r="B134">
            <v>2011</v>
          </cell>
          <cell r="C134" t="str">
            <v>Julho</v>
          </cell>
          <cell r="D134">
            <v>207.19800000000001</v>
          </cell>
          <cell r="E134">
            <v>217.87200000000001</v>
          </cell>
          <cell r="F134">
            <v>211.816</v>
          </cell>
          <cell r="G134">
            <v>236.10300000000001</v>
          </cell>
          <cell r="H134">
            <v>175.40899999999999</v>
          </cell>
          <cell r="I134">
            <v>221.04400000000001</v>
          </cell>
          <cell r="J134">
            <v>211.30099999999999</v>
          </cell>
          <cell r="K134">
            <v>124.73699999999999</v>
          </cell>
          <cell r="L134">
            <v>202.33</v>
          </cell>
          <cell r="M134">
            <v>217.11600000000001</v>
          </cell>
          <cell r="N134">
            <v>258.13499999999999</v>
          </cell>
          <cell r="O134">
            <v>298.71899999999999</v>
          </cell>
          <cell r="P134">
            <v>255.68899999999999</v>
          </cell>
          <cell r="Q134">
            <v>256.62099999999998</v>
          </cell>
          <cell r="R134">
            <v>456.25799999999998</v>
          </cell>
          <cell r="S134">
            <v>481.33</v>
          </cell>
          <cell r="T134">
            <v>542.774</v>
          </cell>
          <cell r="U134">
            <v>112.505</v>
          </cell>
          <cell r="V134">
            <v>283.51</v>
          </cell>
          <cell r="W134">
            <v>0</v>
          </cell>
        </row>
        <row r="135">
          <cell r="A135">
            <v>2011.08</v>
          </cell>
          <cell r="B135">
            <v>2011</v>
          </cell>
          <cell r="C135" t="str">
            <v>Agosto</v>
          </cell>
          <cell r="D135">
            <v>207.357</v>
          </cell>
          <cell r="E135">
            <v>217.47300000000001</v>
          </cell>
          <cell r="F135">
            <v>211.64099999999999</v>
          </cell>
          <cell r="G135">
            <v>235.83500000000001</v>
          </cell>
          <cell r="H135">
            <v>176.167</v>
          </cell>
          <cell r="I135">
            <v>220.65</v>
          </cell>
          <cell r="J135">
            <v>211.71600000000001</v>
          </cell>
          <cell r="K135">
            <v>123.85599999999999</v>
          </cell>
          <cell r="L135">
            <v>202.43600000000001</v>
          </cell>
          <cell r="M135">
            <v>217.11500000000001</v>
          </cell>
          <cell r="N135">
            <v>258.48899999999998</v>
          </cell>
          <cell r="O135">
            <v>298.71899999999999</v>
          </cell>
          <cell r="P135">
            <v>255.68899999999999</v>
          </cell>
          <cell r="Q135">
            <v>257.274</v>
          </cell>
          <cell r="R135">
            <v>459.05500000000001</v>
          </cell>
          <cell r="S135">
            <v>481.96600000000001</v>
          </cell>
          <cell r="T135">
            <v>537.80200000000002</v>
          </cell>
          <cell r="U135">
            <v>111.777</v>
          </cell>
          <cell r="V135">
            <v>284.02</v>
          </cell>
          <cell r="W135">
            <v>0</v>
          </cell>
        </row>
        <row r="136">
          <cell r="A136">
            <v>2011.09</v>
          </cell>
          <cell r="B136">
            <v>2011</v>
          </cell>
          <cell r="C136" t="str">
            <v>Setembro</v>
          </cell>
          <cell r="D136">
            <v>209.01499999999999</v>
          </cell>
          <cell r="E136">
            <v>218.78800000000001</v>
          </cell>
          <cell r="F136">
            <v>212.93100000000001</v>
          </cell>
          <cell r="G136">
            <v>236.548</v>
          </cell>
          <cell r="H136">
            <v>177.232</v>
          </cell>
          <cell r="I136">
            <v>221.798</v>
          </cell>
          <cell r="J136">
            <v>211.74799999999999</v>
          </cell>
          <cell r="K136">
            <v>124.404</v>
          </cell>
          <cell r="L136">
            <v>202.94300000000001</v>
          </cell>
          <cell r="M136">
            <v>218.239</v>
          </cell>
          <cell r="N136">
            <v>259.51799999999997</v>
          </cell>
          <cell r="O136">
            <v>298.92500000000001</v>
          </cell>
          <cell r="P136">
            <v>255.25299999999999</v>
          </cell>
          <cell r="Q136">
            <v>259.59800000000001</v>
          </cell>
          <cell r="R136">
            <v>462.50900000000001</v>
          </cell>
          <cell r="S136">
            <v>482.65800000000002</v>
          </cell>
          <cell r="T136">
            <v>538.40499999999997</v>
          </cell>
          <cell r="U136">
            <v>110.053</v>
          </cell>
          <cell r="V136">
            <v>283.66699999999997</v>
          </cell>
          <cell r="W136">
            <v>0</v>
          </cell>
        </row>
        <row r="137">
          <cell r="A137">
            <v>2011.1</v>
          </cell>
          <cell r="B137">
            <v>2011</v>
          </cell>
          <cell r="C137" t="str">
            <v>Outubro</v>
          </cell>
          <cell r="D137">
            <v>209.30500000000001</v>
          </cell>
          <cell r="E137">
            <v>219.06100000000001</v>
          </cell>
          <cell r="F137">
            <v>213.08199999999999</v>
          </cell>
          <cell r="G137">
            <v>236.869</v>
          </cell>
          <cell r="H137">
            <v>177.50399999999999</v>
          </cell>
          <cell r="I137">
            <v>221.911</v>
          </cell>
          <cell r="J137">
            <v>212.262</v>
          </cell>
          <cell r="K137">
            <v>124.307</v>
          </cell>
          <cell r="L137">
            <v>203.55799999999999</v>
          </cell>
          <cell r="M137">
            <v>218.38300000000001</v>
          </cell>
          <cell r="N137">
            <v>260.09399999999999</v>
          </cell>
          <cell r="O137">
            <v>300.06099999999998</v>
          </cell>
          <cell r="P137">
            <v>256.45499999999998</v>
          </cell>
          <cell r="Q137">
            <v>259.59800000000001</v>
          </cell>
          <cell r="R137">
            <v>464.34899999999999</v>
          </cell>
          <cell r="S137">
            <v>483.75799999999998</v>
          </cell>
          <cell r="T137">
            <v>541.83100000000002</v>
          </cell>
          <cell r="U137">
            <v>110.337</v>
          </cell>
          <cell r="V137">
            <v>283.54399999999998</v>
          </cell>
          <cell r="W137">
            <v>0</v>
          </cell>
        </row>
        <row r="138">
          <cell r="A138">
            <v>2011.11</v>
          </cell>
          <cell r="B138">
            <v>2011</v>
          </cell>
          <cell r="C138" t="str">
            <v>Novembro</v>
          </cell>
          <cell r="D138">
            <v>210.02</v>
          </cell>
          <cell r="E138">
            <v>219.85300000000001</v>
          </cell>
          <cell r="F138">
            <v>213.77699999999999</v>
          </cell>
          <cell r="G138">
            <v>234.059</v>
          </cell>
          <cell r="H138">
            <v>178.04</v>
          </cell>
          <cell r="I138">
            <v>222.761</v>
          </cell>
          <cell r="J138">
            <v>212.803</v>
          </cell>
          <cell r="K138">
            <v>124.64700000000001</v>
          </cell>
          <cell r="L138">
            <v>202.76499999999999</v>
          </cell>
          <cell r="M138">
            <v>219.61</v>
          </cell>
          <cell r="N138">
            <v>259.548</v>
          </cell>
          <cell r="O138">
            <v>292.84199999999998</v>
          </cell>
          <cell r="P138">
            <v>256.10000000000002</v>
          </cell>
          <cell r="Q138">
            <v>259.459</v>
          </cell>
          <cell r="R138">
            <v>466.33100000000002</v>
          </cell>
          <cell r="S138">
            <v>487.221</v>
          </cell>
          <cell r="T138">
            <v>542.09</v>
          </cell>
          <cell r="U138">
            <v>110.255</v>
          </cell>
          <cell r="V138">
            <v>283.50400000000002</v>
          </cell>
          <cell r="W138">
            <v>0</v>
          </cell>
        </row>
        <row r="139">
          <cell r="A139">
            <v>2011.12</v>
          </cell>
          <cell r="B139">
            <v>2011</v>
          </cell>
          <cell r="C139" t="str">
            <v>Dezembro</v>
          </cell>
          <cell r="D139">
            <v>210.39599999999999</v>
          </cell>
          <cell r="E139">
            <v>219.9</v>
          </cell>
          <cell r="F139">
            <v>213.858</v>
          </cell>
          <cell r="G139">
            <v>234.29900000000001</v>
          </cell>
          <cell r="H139">
            <v>178.012</v>
          </cell>
          <cell r="I139">
            <v>222.87299999999999</v>
          </cell>
          <cell r="J139">
            <v>214.15799999999999</v>
          </cell>
          <cell r="K139">
            <v>124.547</v>
          </cell>
          <cell r="L139">
            <v>202.72800000000001</v>
          </cell>
          <cell r="M139">
            <v>219.7</v>
          </cell>
          <cell r="N139">
            <v>260.07600000000002</v>
          </cell>
          <cell r="O139">
            <v>299.66699999999997</v>
          </cell>
          <cell r="P139">
            <v>255.78200000000001</v>
          </cell>
          <cell r="Q139">
            <v>260.13900000000001</v>
          </cell>
          <cell r="R139">
            <v>465.58600000000001</v>
          </cell>
          <cell r="S139">
            <v>487.74900000000002</v>
          </cell>
          <cell r="T139">
            <v>539.90099999999995</v>
          </cell>
          <cell r="U139">
            <v>110.42400000000001</v>
          </cell>
          <cell r="V139">
            <v>282.35399999999998</v>
          </cell>
          <cell r="W139">
            <v>0</v>
          </cell>
        </row>
        <row r="140">
          <cell r="A140">
            <v>2012.01</v>
          </cell>
          <cell r="B140">
            <v>2012</v>
          </cell>
          <cell r="C140" t="str">
            <v>Janeiro</v>
          </cell>
          <cell r="D140">
            <v>210.84200000000001</v>
          </cell>
          <cell r="E140">
            <v>220.274</v>
          </cell>
          <cell r="F140">
            <v>220.274</v>
          </cell>
          <cell r="G140">
            <v>234.93199999999999</v>
          </cell>
          <cell r="H140">
            <v>178.82900000000001</v>
          </cell>
          <cell r="I140">
            <v>223.37899999999999</v>
          </cell>
          <cell r="J140">
            <v>220.54900000000001</v>
          </cell>
          <cell r="K140">
            <v>124.453</v>
          </cell>
          <cell r="L140">
            <v>203.18700000000001</v>
          </cell>
          <cell r="M140">
            <v>220.07</v>
          </cell>
          <cell r="N140">
            <v>261.89600000000002</v>
          </cell>
          <cell r="O140">
            <v>299.916</v>
          </cell>
          <cell r="P140">
            <v>257.69799999999998</v>
          </cell>
          <cell r="Q140">
            <v>262</v>
          </cell>
          <cell r="R140">
            <v>466.97899999999998</v>
          </cell>
          <cell r="S140">
            <v>492.10599999999999</v>
          </cell>
          <cell r="T140">
            <v>543.01700000000005</v>
          </cell>
          <cell r="U140">
            <v>110.542</v>
          </cell>
          <cell r="V140">
            <v>282.44</v>
          </cell>
          <cell r="W140">
            <v>0</v>
          </cell>
        </row>
        <row r="141">
          <cell r="A141">
            <v>2012.02</v>
          </cell>
          <cell r="B141">
            <v>2012</v>
          </cell>
          <cell r="C141" t="str">
            <v>Fevereiro</v>
          </cell>
          <cell r="D141">
            <v>209.92</v>
          </cell>
          <cell r="E141">
            <v>220.49799999999999</v>
          </cell>
          <cell r="F141">
            <v>220.49799999999999</v>
          </cell>
          <cell r="G141">
            <v>234.36799999999999</v>
          </cell>
          <cell r="H141">
            <v>178.45599999999999</v>
          </cell>
          <cell r="I141">
            <v>223.44300000000001</v>
          </cell>
          <cell r="J141">
            <v>220.74199999999999</v>
          </cell>
          <cell r="K141">
            <v>124.628</v>
          </cell>
          <cell r="L141">
            <v>203.667</v>
          </cell>
          <cell r="M141">
            <v>220.32499999999999</v>
          </cell>
          <cell r="N141">
            <v>261.91899999999998</v>
          </cell>
          <cell r="O141">
            <v>299.93599999999998</v>
          </cell>
          <cell r="P141">
            <v>257.69799999999998</v>
          </cell>
          <cell r="Q141">
            <v>262.04199999999997</v>
          </cell>
          <cell r="R141">
            <v>467.30799999999999</v>
          </cell>
          <cell r="S141">
            <v>493.584</v>
          </cell>
          <cell r="T141">
            <v>551.80899999999997</v>
          </cell>
          <cell r="U141">
            <v>109.73099999999999</v>
          </cell>
          <cell r="V141">
            <v>282.04000000000002</v>
          </cell>
          <cell r="W141">
            <v>0</v>
          </cell>
        </row>
        <row r="142">
          <cell r="A142">
            <v>2012.03</v>
          </cell>
          <cell r="B142">
            <v>2012</v>
          </cell>
          <cell r="C142" t="str">
            <v>Março</v>
          </cell>
          <cell r="D142">
            <v>210.65199999999999</v>
          </cell>
          <cell r="E142">
            <v>220.70099999999999</v>
          </cell>
          <cell r="F142">
            <v>220.70099999999999</v>
          </cell>
          <cell r="G142">
            <v>234.65600000000001</v>
          </cell>
          <cell r="H142">
            <v>178.73</v>
          </cell>
          <cell r="I142">
            <v>223.85599999999999</v>
          </cell>
          <cell r="J142">
            <v>220.21100000000001</v>
          </cell>
          <cell r="K142">
            <v>124.89</v>
          </cell>
          <cell r="L142">
            <v>203.89500000000001</v>
          </cell>
          <cell r="M142">
            <v>220.57300000000001</v>
          </cell>
          <cell r="N142">
            <v>261.98700000000002</v>
          </cell>
          <cell r="O142">
            <v>299.93599999999998</v>
          </cell>
          <cell r="P142">
            <v>257.69799999999998</v>
          </cell>
          <cell r="Q142">
            <v>262.17599999999999</v>
          </cell>
          <cell r="R142">
            <v>469.91</v>
          </cell>
          <cell r="S142">
            <v>496.07900000000001</v>
          </cell>
          <cell r="T142">
            <v>558.40599999999995</v>
          </cell>
          <cell r="U142">
            <v>110.276</v>
          </cell>
          <cell r="V142">
            <v>282.70299999999997</v>
          </cell>
          <cell r="W142">
            <v>0</v>
          </cell>
        </row>
        <row r="143">
          <cell r="A143">
            <v>2012.04</v>
          </cell>
          <cell r="B143">
            <v>2012</v>
          </cell>
          <cell r="C143" t="str">
            <v>Abril</v>
          </cell>
          <cell r="D143">
            <v>212.00299999999999</v>
          </cell>
          <cell r="E143">
            <v>222.00899999999999</v>
          </cell>
          <cell r="F143">
            <v>222.00899999999999</v>
          </cell>
          <cell r="G143">
            <v>235.03100000000001</v>
          </cell>
          <cell r="H143">
            <v>178.98699999999999</v>
          </cell>
          <cell r="I143">
            <v>224.786</v>
          </cell>
          <cell r="J143">
            <v>224.82</v>
          </cell>
          <cell r="K143">
            <v>124.949</v>
          </cell>
          <cell r="L143">
            <v>204.99</v>
          </cell>
          <cell r="M143">
            <v>221.364</v>
          </cell>
          <cell r="N143">
            <v>262.298</v>
          </cell>
          <cell r="O143">
            <v>299.952</v>
          </cell>
          <cell r="P143">
            <v>258.63</v>
          </cell>
          <cell r="Q143">
            <v>261.98599999999999</v>
          </cell>
          <cell r="R143">
            <v>474.68299999999999</v>
          </cell>
          <cell r="S143">
            <v>499.791</v>
          </cell>
          <cell r="T143">
            <v>560.45500000000004</v>
          </cell>
          <cell r="U143">
            <v>110.334</v>
          </cell>
          <cell r="V143">
            <v>282.79300000000001</v>
          </cell>
          <cell r="W143">
            <v>0</v>
          </cell>
        </row>
        <row r="144">
          <cell r="A144">
            <v>2012.05</v>
          </cell>
          <cell r="B144">
            <v>2012</v>
          </cell>
          <cell r="C144" t="str">
            <v>Maio</v>
          </cell>
          <cell r="D144">
            <v>213.82599999999999</v>
          </cell>
          <cell r="E144">
            <v>224.11699999999999</v>
          </cell>
          <cell r="F144">
            <v>224.11699999999999</v>
          </cell>
          <cell r="G144">
            <v>235.184</v>
          </cell>
          <cell r="H144">
            <v>180.119</v>
          </cell>
          <cell r="I144">
            <v>227.19900000000001</v>
          </cell>
          <cell r="J144">
            <v>225.46700000000001</v>
          </cell>
          <cell r="K144">
            <v>124.899</v>
          </cell>
          <cell r="L144">
            <v>205.56100000000001</v>
          </cell>
          <cell r="M144">
            <v>223.69900000000001</v>
          </cell>
          <cell r="N144">
            <v>265.154</v>
          </cell>
          <cell r="O144">
            <v>299.952</v>
          </cell>
          <cell r="P144">
            <v>258.63</v>
          </cell>
          <cell r="Q144">
            <v>267.46499999999997</v>
          </cell>
          <cell r="R144">
            <v>479.01900000000001</v>
          </cell>
          <cell r="S144">
            <v>509.18400000000003</v>
          </cell>
          <cell r="T144">
            <v>558.86900000000003</v>
          </cell>
          <cell r="U144">
            <v>109.666</v>
          </cell>
          <cell r="V144">
            <v>282.64400000000001</v>
          </cell>
          <cell r="W144">
            <v>0</v>
          </cell>
        </row>
        <row r="145">
          <cell r="A145">
            <v>2012.06</v>
          </cell>
          <cell r="B145">
            <v>2012</v>
          </cell>
          <cell r="C145" t="str">
            <v>Junho</v>
          </cell>
          <cell r="D145">
            <v>215.24299999999999</v>
          </cell>
          <cell r="E145">
            <v>224.89</v>
          </cell>
          <cell r="F145">
            <v>224.89</v>
          </cell>
          <cell r="G145">
            <v>234.84200000000001</v>
          </cell>
          <cell r="H145">
            <v>181.55799999999999</v>
          </cell>
          <cell r="I145">
            <v>228.024</v>
          </cell>
          <cell r="J145">
            <v>224.42500000000001</v>
          </cell>
          <cell r="K145">
            <v>125.691</v>
          </cell>
          <cell r="L145">
            <v>205.703</v>
          </cell>
          <cell r="M145">
            <v>224.607</v>
          </cell>
          <cell r="N145">
            <v>264.99799999999999</v>
          </cell>
          <cell r="O145">
            <v>299.952</v>
          </cell>
          <cell r="P145">
            <v>258.63</v>
          </cell>
          <cell r="Q145">
            <v>267.16800000000001</v>
          </cell>
          <cell r="R145">
            <v>482.31099999999998</v>
          </cell>
          <cell r="S145">
            <v>512.90300000000002</v>
          </cell>
          <cell r="T145">
            <v>565.36300000000006</v>
          </cell>
          <cell r="U145">
            <v>110.639</v>
          </cell>
          <cell r="V145">
            <v>282.87</v>
          </cell>
          <cell r="W145">
            <v>0</v>
          </cell>
        </row>
        <row r="146">
          <cell r="A146">
            <v>2012.07</v>
          </cell>
          <cell r="B146">
            <v>2012</v>
          </cell>
          <cell r="C146" t="str">
            <v>Julho</v>
          </cell>
          <cell r="D146">
            <v>217.29300000000001</v>
          </cell>
          <cell r="E146">
            <v>227.90899999999999</v>
          </cell>
          <cell r="F146">
            <v>227.90899999999999</v>
          </cell>
          <cell r="G146">
            <v>239.489</v>
          </cell>
          <cell r="H146">
            <v>184.512</v>
          </cell>
          <cell r="I146">
            <v>231.16</v>
          </cell>
          <cell r="J146">
            <v>224.286</v>
          </cell>
          <cell r="K146">
            <v>126.65600000000001</v>
          </cell>
          <cell r="L146">
            <v>207.48699999999999</v>
          </cell>
          <cell r="M146">
            <v>227.971</v>
          </cell>
          <cell r="N146">
            <v>265.27800000000002</v>
          </cell>
          <cell r="O146">
            <v>299.952</v>
          </cell>
          <cell r="P146">
            <v>258.63</v>
          </cell>
          <cell r="Q146">
            <v>267.70499999999998</v>
          </cell>
          <cell r="R146">
            <v>489.62099999999998</v>
          </cell>
          <cell r="S146">
            <v>516.31799999999998</v>
          </cell>
          <cell r="T146">
            <v>587.54100000000005</v>
          </cell>
          <cell r="U146">
            <v>112.306</v>
          </cell>
          <cell r="V146">
            <v>282.47500000000002</v>
          </cell>
          <cell r="W146">
            <v>0</v>
          </cell>
        </row>
        <row r="147">
          <cell r="A147">
            <v>2012.08</v>
          </cell>
          <cell r="B147">
            <v>2012</v>
          </cell>
          <cell r="C147" t="str">
            <v>Agosto</v>
          </cell>
          <cell r="D147">
            <v>218.524</v>
          </cell>
          <cell r="E147">
            <v>229.137</v>
          </cell>
          <cell r="F147">
            <v>229.137</v>
          </cell>
          <cell r="G147">
            <v>242.261</v>
          </cell>
          <cell r="H147">
            <v>184.67500000000001</v>
          </cell>
          <cell r="I147">
            <v>232.53</v>
          </cell>
          <cell r="J147">
            <v>224.78200000000001</v>
          </cell>
          <cell r="K147">
            <v>126.589</v>
          </cell>
          <cell r="L147">
            <v>208.45400000000001</v>
          </cell>
          <cell r="M147">
            <v>229.17699999999999</v>
          </cell>
          <cell r="N147">
            <v>263.47199999999998</v>
          </cell>
          <cell r="O147">
            <v>300.04700000000003</v>
          </cell>
          <cell r="P147">
            <v>258.16300000000001</v>
          </cell>
          <cell r="Q147">
            <v>264.60000000000002</v>
          </cell>
          <cell r="R147">
            <v>495.94900000000001</v>
          </cell>
          <cell r="S147">
            <v>517.65700000000004</v>
          </cell>
          <cell r="T147">
            <v>591.226</v>
          </cell>
          <cell r="U147">
            <v>112.742</v>
          </cell>
          <cell r="V147">
            <v>283.11</v>
          </cell>
          <cell r="W147">
            <v>0</v>
          </cell>
        </row>
        <row r="148">
          <cell r="A148">
            <v>2012.09</v>
          </cell>
          <cell r="B148">
            <v>2012</v>
          </cell>
          <cell r="C148" t="str">
            <v>Setembro</v>
          </cell>
          <cell r="D148">
            <v>219.02</v>
          </cell>
          <cell r="E148">
            <v>229.54499999999999</v>
          </cell>
          <cell r="F148">
            <v>229.54499999999999</v>
          </cell>
          <cell r="G148">
            <v>242.76900000000001</v>
          </cell>
          <cell r="H148">
            <v>184.971</v>
          </cell>
          <cell r="I148">
            <v>233.131</v>
          </cell>
          <cell r="J148">
            <v>225.392</v>
          </cell>
          <cell r="K148">
            <v>127.211</v>
          </cell>
          <cell r="L148">
            <v>209.28100000000001</v>
          </cell>
          <cell r="M148">
            <v>229.99600000000001</v>
          </cell>
          <cell r="N148">
            <v>263.47199999999998</v>
          </cell>
          <cell r="O148">
            <v>300.04700000000003</v>
          </cell>
          <cell r="P148">
            <v>258.16300000000001</v>
          </cell>
          <cell r="Q148">
            <v>264.60000000000002</v>
          </cell>
          <cell r="R148">
            <v>500.31400000000002</v>
          </cell>
          <cell r="S148">
            <v>518.81600000000003</v>
          </cell>
          <cell r="T148">
            <v>592.15</v>
          </cell>
          <cell r="U148">
            <v>112.309</v>
          </cell>
          <cell r="V148">
            <v>282.88</v>
          </cell>
          <cell r="W148">
            <v>0</v>
          </cell>
        </row>
        <row r="149">
          <cell r="A149">
            <v>2012.1</v>
          </cell>
          <cell r="B149">
            <v>2012</v>
          </cell>
          <cell r="C149" t="str">
            <v>Outubro</v>
          </cell>
          <cell r="D149">
            <v>219.66399999999999</v>
          </cell>
          <cell r="E149">
            <v>229.767</v>
          </cell>
          <cell r="F149">
            <v>229.767</v>
          </cell>
          <cell r="G149">
            <v>242.636</v>
          </cell>
          <cell r="H149">
            <v>184.59200000000001</v>
          </cell>
          <cell r="I149">
            <v>233.25399999999999</v>
          </cell>
          <cell r="J149">
            <v>225.57300000000001</v>
          </cell>
          <cell r="K149">
            <v>126.92</v>
          </cell>
          <cell r="L149">
            <v>209.49</v>
          </cell>
          <cell r="M149">
            <v>230.15600000000001</v>
          </cell>
          <cell r="N149">
            <v>269.78100000000001</v>
          </cell>
          <cell r="O149">
            <v>304.46199999999999</v>
          </cell>
          <cell r="P149">
            <v>260.95</v>
          </cell>
          <cell r="Q149">
            <v>274.00700000000001</v>
          </cell>
          <cell r="R149">
            <v>498.73899999999998</v>
          </cell>
          <cell r="S149">
            <v>519.90700000000004</v>
          </cell>
          <cell r="T149">
            <v>592.298</v>
          </cell>
          <cell r="U149">
            <v>112.992</v>
          </cell>
          <cell r="V149">
            <v>284.26299999999998</v>
          </cell>
          <cell r="W149">
            <v>0</v>
          </cell>
        </row>
        <row r="150">
          <cell r="A150">
            <v>2012.11</v>
          </cell>
          <cell r="B150">
            <v>2012</v>
          </cell>
          <cell r="C150" t="str">
            <v>Novembro</v>
          </cell>
          <cell r="D150">
            <v>220.31</v>
          </cell>
          <cell r="E150">
            <v>230.041</v>
          </cell>
          <cell r="F150">
            <v>230.041</v>
          </cell>
          <cell r="G150">
            <v>243.41800000000001</v>
          </cell>
          <cell r="H150">
            <v>184.67099999999999</v>
          </cell>
          <cell r="I150">
            <v>233.60900000000001</v>
          </cell>
          <cell r="J150">
            <v>226.16900000000001</v>
          </cell>
          <cell r="K150">
            <v>127.089</v>
          </cell>
          <cell r="L150">
            <v>209.52500000000001</v>
          </cell>
          <cell r="M150">
            <v>230.459</v>
          </cell>
          <cell r="N150">
            <v>266.44299999999998</v>
          </cell>
          <cell r="O150">
            <v>303.50599999999997</v>
          </cell>
          <cell r="P150">
            <v>259.63499999999999</v>
          </cell>
          <cell r="Q150">
            <v>268.73899999999998</v>
          </cell>
          <cell r="R150">
            <v>499.98899999999998</v>
          </cell>
          <cell r="S150">
            <v>521.63800000000003</v>
          </cell>
          <cell r="T150">
            <v>591.73400000000004</v>
          </cell>
          <cell r="U150">
            <v>113.205</v>
          </cell>
          <cell r="V150">
            <v>284.233</v>
          </cell>
          <cell r="W150">
            <v>0</v>
          </cell>
        </row>
        <row r="151">
          <cell r="A151">
            <v>2012.12</v>
          </cell>
          <cell r="B151">
            <v>2012</v>
          </cell>
          <cell r="C151" t="str">
            <v>Dezembro</v>
          </cell>
          <cell r="D151">
            <v>221.327</v>
          </cell>
          <cell r="E151">
            <v>230.423</v>
          </cell>
          <cell r="F151">
            <v>230.423</v>
          </cell>
          <cell r="G151">
            <v>244.89400000000001</v>
          </cell>
          <cell r="H151">
            <v>185.184</v>
          </cell>
          <cell r="I151">
            <v>234.011</v>
          </cell>
          <cell r="J151">
            <v>226.268</v>
          </cell>
          <cell r="K151">
            <v>127.2</v>
          </cell>
          <cell r="L151">
            <v>209.68600000000001</v>
          </cell>
          <cell r="M151">
            <v>230.595</v>
          </cell>
          <cell r="N151">
            <v>266.50299999999999</v>
          </cell>
          <cell r="O151">
            <v>303.50599999999997</v>
          </cell>
          <cell r="P151">
            <v>259.63499999999999</v>
          </cell>
          <cell r="Q151">
            <v>268.85500000000002</v>
          </cell>
          <cell r="R151">
            <v>503.28300000000002</v>
          </cell>
          <cell r="S151">
            <v>522.47400000000005</v>
          </cell>
          <cell r="T151">
            <v>591.66399999999999</v>
          </cell>
          <cell r="U151">
            <v>113.19799999999999</v>
          </cell>
          <cell r="V151">
            <v>284.036</v>
          </cell>
          <cell r="W151">
            <v>0</v>
          </cell>
        </row>
        <row r="152">
          <cell r="A152">
            <v>2013.01</v>
          </cell>
          <cell r="B152">
            <v>2013</v>
          </cell>
          <cell r="C152" t="str">
            <v>Janeiro</v>
          </cell>
          <cell r="D152">
            <v>222.60400000000001</v>
          </cell>
          <cell r="E152">
            <v>231.36500000000001</v>
          </cell>
          <cell r="F152">
            <v>231.36500000000001</v>
          </cell>
          <cell r="G152">
            <v>246.191</v>
          </cell>
          <cell r="H152">
            <v>185.32499999999999</v>
          </cell>
          <cell r="I152">
            <v>235.35400000000001</v>
          </cell>
          <cell r="J152">
            <v>227.37100000000001</v>
          </cell>
          <cell r="K152">
            <v>127.846</v>
          </cell>
          <cell r="L152">
            <v>210.178</v>
          </cell>
          <cell r="M152">
            <v>231.309</v>
          </cell>
          <cell r="N152">
            <v>269.87099999999998</v>
          </cell>
          <cell r="O152">
            <v>304.46199999999999</v>
          </cell>
          <cell r="P152">
            <v>261.36900000000003</v>
          </cell>
          <cell r="Q152">
            <v>273.82799999999997</v>
          </cell>
          <cell r="R152">
            <v>504.83</v>
          </cell>
          <cell r="S152">
            <v>525.85</v>
          </cell>
          <cell r="T152">
            <v>591.84900000000005</v>
          </cell>
          <cell r="U152">
            <v>114.31</v>
          </cell>
          <cell r="V152">
            <v>285.05099999999999</v>
          </cell>
          <cell r="W152">
            <v>0</v>
          </cell>
        </row>
        <row r="153">
          <cell r="A153">
            <v>2013.02</v>
          </cell>
          <cell r="B153">
            <v>2013</v>
          </cell>
          <cell r="C153" t="str">
            <v>Fevereiro</v>
          </cell>
          <cell r="D153">
            <v>225.732</v>
          </cell>
          <cell r="E153">
            <v>232.79400000000001</v>
          </cell>
          <cell r="F153">
            <v>232.79400000000001</v>
          </cell>
          <cell r="G153">
            <v>250.42599999999999</v>
          </cell>
          <cell r="H153">
            <v>185.47399999999999</v>
          </cell>
          <cell r="I153">
            <v>237.27699999999999</v>
          </cell>
          <cell r="J153">
            <v>221.99600000000001</v>
          </cell>
          <cell r="K153">
            <v>128.46100000000001</v>
          </cell>
          <cell r="L153">
            <v>210.90799999999999</v>
          </cell>
          <cell r="M153">
            <v>232.38200000000001</v>
          </cell>
          <cell r="N153">
            <v>266.82400000000001</v>
          </cell>
          <cell r="O153">
            <v>303.50599999999997</v>
          </cell>
          <cell r="P153">
            <v>260.05399999999997</v>
          </cell>
          <cell r="Q153">
            <v>269.12099999999998</v>
          </cell>
          <cell r="R153">
            <v>505.83199999999999</v>
          </cell>
          <cell r="S153">
            <v>529.029</v>
          </cell>
          <cell r="T153">
            <v>590.83100000000002</v>
          </cell>
          <cell r="U153">
            <v>114.739</v>
          </cell>
          <cell r="V153">
            <v>285.33300000000003</v>
          </cell>
          <cell r="W153">
            <v>0</v>
          </cell>
        </row>
        <row r="154">
          <cell r="A154">
            <v>2013.03</v>
          </cell>
          <cell r="B154">
            <v>2013</v>
          </cell>
          <cell r="C154" t="str">
            <v>Março</v>
          </cell>
          <cell r="D154">
            <v>227.13200000000001</v>
          </cell>
          <cell r="E154">
            <v>233.87899999999999</v>
          </cell>
          <cell r="F154">
            <v>233.87899999999999</v>
          </cell>
          <cell r="G154">
            <v>252.535</v>
          </cell>
          <cell r="H154">
            <v>185.97399999999999</v>
          </cell>
          <cell r="I154">
            <v>238.583</v>
          </cell>
          <cell r="J154">
            <v>222.20699999999999</v>
          </cell>
          <cell r="K154">
            <v>129.904</v>
          </cell>
          <cell r="L154">
            <v>212.01300000000001</v>
          </cell>
          <cell r="M154">
            <v>233.12299999999999</v>
          </cell>
          <cell r="N154">
            <v>267.476</v>
          </cell>
          <cell r="O154">
            <v>303.928</v>
          </cell>
          <cell r="P154">
            <v>260.05399999999997</v>
          </cell>
          <cell r="Q154">
            <v>270.31400000000002</v>
          </cell>
          <cell r="R154">
            <v>507.375</v>
          </cell>
          <cell r="S154">
            <v>531.69100000000003</v>
          </cell>
          <cell r="T154">
            <v>597.97900000000004</v>
          </cell>
          <cell r="U154">
            <v>115.392</v>
          </cell>
          <cell r="V154">
            <v>284.94499999999999</v>
          </cell>
          <cell r="W154">
            <v>0</v>
          </cell>
        </row>
        <row r="155">
          <cell r="A155">
            <v>2013.04</v>
          </cell>
          <cell r="B155">
            <v>2013</v>
          </cell>
          <cell r="C155" t="str">
            <v>Abril</v>
          </cell>
          <cell r="D155">
            <v>228.40199999999999</v>
          </cell>
          <cell r="E155">
            <v>235.142</v>
          </cell>
          <cell r="F155">
            <v>235.142</v>
          </cell>
          <cell r="G155">
            <v>254.14599999999999</v>
          </cell>
          <cell r="H155">
            <v>186.15700000000001</v>
          </cell>
          <cell r="I155">
            <v>240.006</v>
          </cell>
          <cell r="J155">
            <v>222.94399999999999</v>
          </cell>
          <cell r="K155">
            <v>132.18299999999999</v>
          </cell>
          <cell r="L155">
            <v>213.512</v>
          </cell>
          <cell r="M155">
            <v>234.38399999999999</v>
          </cell>
          <cell r="N155">
            <v>271.00200000000001</v>
          </cell>
          <cell r="O155">
            <v>304.88400000000001</v>
          </cell>
          <cell r="P155">
            <v>261.38299999999998</v>
          </cell>
          <cell r="Q155">
            <v>275.93299999999999</v>
          </cell>
          <cell r="R155">
            <v>507.08699999999999</v>
          </cell>
          <cell r="S155">
            <v>535.601</v>
          </cell>
          <cell r="T155">
            <v>602.73800000000006</v>
          </cell>
          <cell r="U155">
            <v>116.94799999999999</v>
          </cell>
          <cell r="V155">
            <v>284.71899999999999</v>
          </cell>
          <cell r="W155">
            <v>0</v>
          </cell>
        </row>
        <row r="156">
          <cell r="A156">
            <v>2013.05</v>
          </cell>
          <cell r="B156">
            <v>2013</v>
          </cell>
          <cell r="C156" t="str">
            <v>Maio</v>
          </cell>
          <cell r="D156">
            <v>229.035</v>
          </cell>
          <cell r="E156">
            <v>236.58199999999999</v>
          </cell>
          <cell r="F156">
            <v>236.58199999999999</v>
          </cell>
          <cell r="G156">
            <v>254.63800000000001</v>
          </cell>
          <cell r="H156">
            <v>186.46700000000001</v>
          </cell>
          <cell r="I156">
            <v>241.304</v>
          </cell>
          <cell r="J156">
            <v>228.643</v>
          </cell>
          <cell r="K156">
            <v>132.374</v>
          </cell>
          <cell r="L156">
            <v>215.11500000000001</v>
          </cell>
          <cell r="M156">
            <v>235.50899999999999</v>
          </cell>
          <cell r="N156">
            <v>270.68799999999999</v>
          </cell>
          <cell r="O156">
            <v>304.46199999999999</v>
          </cell>
          <cell r="P156">
            <v>261.38299999999998</v>
          </cell>
          <cell r="Q156">
            <v>275.37700000000001</v>
          </cell>
          <cell r="R156">
            <v>508.71499999999997</v>
          </cell>
          <cell r="S156">
            <v>547.65499999999997</v>
          </cell>
          <cell r="T156">
            <v>623.46699999999998</v>
          </cell>
          <cell r="U156">
            <v>117.907</v>
          </cell>
          <cell r="V156">
            <v>284.47300000000001</v>
          </cell>
          <cell r="W156">
            <v>0</v>
          </cell>
        </row>
        <row r="157">
          <cell r="A157">
            <v>2013.06</v>
          </cell>
          <cell r="B157">
            <v>2013</v>
          </cell>
          <cell r="C157" t="str">
            <v>Junho</v>
          </cell>
        </row>
        <row r="158">
          <cell r="A158">
            <v>2013.07</v>
          </cell>
          <cell r="B158">
            <v>2013</v>
          </cell>
          <cell r="C158" t="str">
            <v>Julho</v>
          </cell>
        </row>
        <row r="159">
          <cell r="A159">
            <v>2013.08</v>
          </cell>
          <cell r="B159">
            <v>2013</v>
          </cell>
          <cell r="C159" t="str">
            <v>Agosto</v>
          </cell>
        </row>
        <row r="160">
          <cell r="A160">
            <v>2013.09</v>
          </cell>
          <cell r="B160">
            <v>2013</v>
          </cell>
          <cell r="C160" t="str">
            <v>Setembro</v>
          </cell>
        </row>
        <row r="161">
          <cell r="A161">
            <v>2013.1</v>
          </cell>
          <cell r="B161">
            <v>2013</v>
          </cell>
          <cell r="C161" t="str">
            <v>Outubro</v>
          </cell>
        </row>
        <row r="162">
          <cell r="A162">
            <v>2013.11</v>
          </cell>
          <cell r="B162">
            <v>2013</v>
          </cell>
          <cell r="C162" t="str">
            <v>Novembro</v>
          </cell>
        </row>
        <row r="163">
          <cell r="A163">
            <v>2013.12</v>
          </cell>
          <cell r="B163">
            <v>2013</v>
          </cell>
          <cell r="C163" t="str">
            <v>Dezembro</v>
          </cell>
        </row>
      </sheetData>
      <sheetData sheetId="2"/>
      <sheetData sheetId="3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ntrada"/>
      <sheetName val="Calendário"/>
      <sheetName val="Prod 1S"/>
      <sheetName val="Prod 2S"/>
      <sheetName val="Prod 3S"/>
      <sheetName val="Prod 4S"/>
      <sheetName val="RESUMO TOTAL"/>
      <sheetName val="Composição"/>
      <sheetName val="Contrato"/>
      <sheetName val="Solução Medição"/>
      <sheetName val="MEDIÇÃO"/>
      <sheetName val="Resumo Produção"/>
      <sheetName val="Produção"/>
      <sheetName val="Correção de Defeito"/>
      <sheetName val="Correção de Defeito Demol Mec"/>
      <sheetName val="QUÍMICAS"/>
      <sheetName val="TB P KM"/>
      <sheetName val="Recomp Guarda Corpo"/>
      <sheetName val="Concreto-Forma-Brita-Aço"/>
      <sheetName val="Renov Sinal Vert"/>
      <sheetName val="Recompos Mec aterro"/>
      <sheetName val="Enrocam Pedra Jogada"/>
      <sheetName val="Sarjeta"/>
      <sheetName val="Sarjeta Geral  (2)"/>
      <sheetName val="Tapa Buraco - Deni"/>
      <sheetName val="Recomposição de Placa - Deni"/>
      <sheetName val="Limpeza de Placa - Deni"/>
      <sheetName val="Abertura de Vala de Drenagem"/>
      <sheetName val="Limpeza de Pista,Faixa - Deni"/>
      <sheetName val="Correção de Defeitos"/>
      <sheetName val="Brita Graduada"/>
      <sheetName val="Roçada Manual - Valdomiro"/>
      <sheetName val="Área Gramada - Valdomiro"/>
      <sheetName val="Corte de Tocos - Valdomiro"/>
      <sheetName val="Limpeza de Sar. e MF - Valdomir"/>
      <sheetName val="Limpeza Mecanizada"/>
      <sheetName val="Teor"/>
      <sheetName val="Equipamentos"/>
      <sheetName val="Plan 2.7"/>
      <sheetName val="CUSTO LARANJEIRAS"/>
      <sheetName val="Índices de Reajustamento"/>
      <sheetName val="8ª MP_BR_459"/>
      <sheetName val="MB"/>
      <sheetName val="Especif"/>
      <sheetName val="61M-CBMI"/>
      <sheetName val="MAT-BET"/>
      <sheetName val="CG"/>
      <sheetName val="PROJETO"/>
      <sheetName val="PQ"/>
      <sheetName val="Mão de Obra"/>
      <sheetName val="BD Equip."/>
      <sheetName val="QuQuant"/>
      <sheetName val="CBUQ DRENO LONGIT RECOBRIMENTO"/>
      <sheetName val="DAR-01"/>
      <sheetName val="CUSTO ZONA SUL"/>
      <sheetName val="PONTES LICITADAS"/>
      <sheetName val="P A T O  B"/>
      <sheetName val="Quadro de qntd"/>
      <sheetName val="CURVA ABC"/>
      <sheetName val="Cronograma FIS FINANC"/>
      <sheetName val="BANCO"/>
      <sheetName val="Dados"/>
      <sheetName val="RESUMO_AUT1"/>
    </sheetNames>
    <sheetDataSet>
      <sheetData sheetId="0"/>
      <sheetData sheetId="1">
        <row r="15">
          <cell r="A15">
            <v>39539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CUSTO LARANJEIRAS"/>
      <sheetName val="Plan 2.7"/>
      <sheetName val="MB"/>
      <sheetName val="BD Equip."/>
      <sheetName val="61M-CBMI"/>
      <sheetName val="MAT-BET"/>
      <sheetName val="P A T O  D"/>
      <sheetName val="Especif"/>
      <sheetName val="DOSAGEM"/>
      <sheetName val="PQ"/>
      <sheetName val="Teor"/>
      <sheetName val="Equipamentos"/>
      <sheetName val="QuQuant"/>
      <sheetName val="Alteração"/>
      <sheetName val="Quadro de qntd"/>
      <sheetName val="BANCO"/>
      <sheetName val="ORÇAMENTO"/>
      <sheetName val="RMLE15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+R ACUMULNO MES agosto"/>
      <sheetName val="SEMANA 01 A 06-08 PI+R"/>
      <sheetName val="PAULIFRESA"/>
      <sheetName val="DSS-04 LONGITUDINAL"/>
      <sheetName val="FRESAGEM DRENO LONGITUDINAL"/>
      <sheetName val="PINTURA LIGAÇÃO DRENO CBUQ LONG"/>
      <sheetName val="CBUQ DRENO LONGITUDINAL2"/>
      <sheetName val="PINT LIG DRENO CBUQ RECOBRIMENT"/>
      <sheetName val="CBUQ DRENO LONGIT RECOBRIMENTO"/>
      <sheetName val="PINTURA LIGAÇÃO DRENO PMQ LONGI"/>
      <sheetName val="PMQ DRENO LONGITUDINAL"/>
      <sheetName val="DSS-04 LATERAIS SEM RECOBRIMENT"/>
      <sheetName val="DSS-04 TRANSVERSAL"/>
      <sheetName val="FRESAGEM DRENO TRANSVERSAL"/>
      <sheetName val="PINTURA LIGAÇ DRENO CBUQ TRANSV"/>
      <sheetName val="CBUQ DRENO TRNSVERSAL "/>
      <sheetName val="PMQ DRENO TRNSVERSAL"/>
      <sheetName val="FRESAGEM PISTA"/>
      <sheetName val="PINTURA LIGAÇÃO PISTA PMQ RR-1C"/>
      <sheetName val="PMQ PISTA "/>
      <sheetName val="PINTURA LIGAÇÃO PISTA CBU RR-1C"/>
      <sheetName val="CBUQ PISTA"/>
      <sheetName val="RESUMO GERAL RECUPERAÇÃO"/>
      <sheetName val="FRESAGEM ACOSTAMENTO RECUPERAÇÃ"/>
      <sheetName val="PINT LIGAÇÃO ACOST RECUPERA PMQ"/>
      <sheetName val="PMQ ACOSTAMENTO RECUPERAÇÃO"/>
      <sheetName val="PINT LIGAÇÃO ACOST RECUPRA CBUQ"/>
      <sheetName val="CBUQ ACOSTAMENTO RECUPERAÇÃO"/>
      <sheetName val="PINTURA LIGAÇÃO ACOSTAMENT PMQ"/>
      <sheetName val="PMQ ACOSTAMENTO"/>
      <sheetName val="PINTURA LIGAÇÃO ACOSTAMENT CBUQ"/>
      <sheetName val="CBUQ ACOSTAMENTO"/>
      <sheetName val="PINT LIGA TAPA B ACOST PIST PMQ"/>
      <sheetName val="PINT LIGA TAPA B PIST ACOS CBUQ"/>
      <sheetName val="CBUQ TapaBuracos ACOSTAMENTO"/>
      <sheetName val="CBUQ Tapa Buracos pista"/>
      <sheetName val="PMQ Tapa Buracos pista ACOST"/>
      <sheetName val="TABELA ESPESSURA MÉDIA FRESAGEM"/>
      <sheetName val="DAR-01"/>
      <sheetName val="EDA-01"/>
      <sheetName val="BSD-03"/>
      <sheetName val="VPC-04 "/>
      <sheetName val="LARGURA FRESAGEM PISTA E ACOSTA"/>
      <sheetName val="LARGURA acost e 3ª faixa"/>
      <sheetName val="COMPOS1"/>
      <sheetName val="lista_comp"/>
      <sheetName val="CUSTO LARANJEIRAS"/>
      <sheetName val="BD Equip."/>
      <sheetName val="QuQuant"/>
      <sheetName val="P A T O  D"/>
      <sheetName val="Serviços"/>
      <sheetName val="RESUMO_AUT1"/>
      <sheetName val="61M-CBMI"/>
      <sheetName val="MAT-BET"/>
      <sheetName val="REPOSITÓRIOS"/>
      <sheetName val="DADOS"/>
      <sheetName val="ORÇAMENTO"/>
      <sheetName val="Calendário"/>
      <sheetName val="DSS_04"/>
      <sheetName val="Fresagem"/>
      <sheetName val="Meio-fio"/>
      <sheetName val="PintLigacao"/>
      <sheetName val="PMQ"/>
      <sheetName val="STC_01"/>
      <sheetName val="DOSAGEM"/>
      <sheetName val="PROJETO"/>
      <sheetName val="quadro de qtde DRENAGEM URBANA"/>
      <sheetName val="001 -RPFO SUPRIMR"/>
      <sheetName val="2 - ORÇAMEMTO RPFO"/>
      <sheetName val="39 -quadro qtde DRENAGEM URBANA"/>
      <sheetName val="Equipamentos"/>
      <sheetName val="P A T O  B"/>
      <sheetName val="BANCO"/>
      <sheetName val="RMLE157"/>
      <sheetName val="8ª MP_BR-45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BUQ DRENO LONGIT RECOBRIMENTO"/>
      <sheetName val="DAR-01"/>
      <sheetName val="lista_comp"/>
      <sheetName val="Geral"/>
      <sheetName val="Serviços"/>
      <sheetName val="RESUMO_AUT1"/>
      <sheetName val="TCC4"/>
      <sheetName val="TCB5"/>
      <sheetName val="P A T O  D"/>
      <sheetName val="ORÇAMENTO"/>
      <sheetName val="COMPOS1"/>
      <sheetName val="1ExecuçServiços"/>
      <sheetName val="REPOSITÓRIOS"/>
      <sheetName val="DADOS"/>
      <sheetName val="PROJETO"/>
      <sheetName val="Planilha"/>
      <sheetName val="Mat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CONS_CORR"/>
      <sheetName val="8ª MP_BR-459"/>
      <sheetName val="8ª MP_BR_45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otação das revisões"/>
      <sheetName val="Saldos"/>
      <sheetName val="Base"/>
      <sheetName val="Fresagem"/>
      <sheetName val="imprimacao"/>
      <sheetName val="CBUQ"/>
      <sheetName val="PintLigacao"/>
      <sheetName val="DSS_04"/>
      <sheetName val="PMQ"/>
      <sheetName val="Regular"/>
      <sheetName val="RMatBetum"/>
      <sheetName val="RMatGranu"/>
      <sheetName val="SubBase"/>
      <sheetName val="DISCIP"/>
      <sheetName val="BSD-03"/>
      <sheetName val="DAR-01"/>
      <sheetName val="EDA-01"/>
      <sheetName val="VPC-04"/>
      <sheetName val="Meio-fio"/>
      <sheetName val="STC_01"/>
      <sheetName val="Cerca"/>
      <sheetName val="sinHor"/>
      <sheetName val="CBUQ_Pintura-TapaBuracos"/>
      <sheetName val="RecomDispDren"/>
      <sheetName val="QuQuant"/>
      <sheetName val="Geral"/>
      <sheetName val="CUSTO ZONA SUL"/>
      <sheetName val="lista_comp"/>
      <sheetName val="TCC4"/>
      <sheetName val="TCB5"/>
      <sheetName val="orçamento"/>
      <sheetName val="Serviços"/>
      <sheetName val="RESUMO_AUT1"/>
      <sheetName val="CBUQ DRENO LONGIT RECOBRIMENTO"/>
      <sheetName val="CONS_CORR"/>
      <sheetName val="PROJETO"/>
      <sheetName val="Dados"/>
      <sheetName val="Planilha"/>
      <sheetName val="alphaville"/>
      <sheetName val="Teor"/>
      <sheetName val="Equipamentos"/>
      <sheetName val="COMPOS1"/>
      <sheetName val="8ª MP_BR_459"/>
      <sheetName val="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  <sheetName val="DSS_04"/>
      <sheetName val="Fresagem"/>
      <sheetName val="Meio-fio"/>
      <sheetName val="PintLigacao"/>
      <sheetName val="PMQ"/>
      <sheetName val="STC_01"/>
      <sheetName val="CUSTO ZONA SUL"/>
      <sheetName val="Alteração"/>
      <sheetName val="Geral"/>
      <sheetName val="QuQuant"/>
      <sheetName val="orçamento"/>
      <sheetName val="8ª MP_BR_459"/>
      <sheetName val="TCC4"/>
      <sheetName val="TCB5"/>
      <sheetName val="CONS_CORR"/>
      <sheetName val="PROJETO"/>
      <sheetName val="Planilha"/>
      <sheetName val="61M-CBMI"/>
      <sheetName val="MAT-BET"/>
      <sheetName val="CBUQ DRENO LONGIT RECOBRIMENTO"/>
      <sheetName val="DAR-01"/>
      <sheetName val="alphaville"/>
      <sheetName val="Mão de Obra"/>
      <sheetName val="PONTES LICITADAS"/>
      <sheetName val="Equipamentos"/>
      <sheetName val="Original"/>
      <sheetName val="QUADRO COMPARATIVO"/>
      <sheetName val="MB"/>
      <sheetName val="BD Equip.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3.7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0.46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8.1199999999999992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0.13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0.09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0.9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89.27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29.73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26.76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129.41999999999999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DSS_04"/>
      <sheetName val="Fresagem"/>
      <sheetName val="Meio-fio"/>
      <sheetName val="PintLigacao"/>
      <sheetName val="PMQ"/>
      <sheetName val="STC_01"/>
      <sheetName val="Alteração"/>
      <sheetName val="61M-CBMI"/>
      <sheetName val="CUSTO ZONA SUL"/>
      <sheetName val="QuQuant"/>
      <sheetName val="PROJETO"/>
      <sheetName val="8ª MP_BR_459"/>
      <sheetName val="orçamento"/>
      <sheetName val="QUADRO COMPARATIVO"/>
      <sheetName val="Planilha"/>
      <sheetName val="alphaville"/>
      <sheetName val="P A T O  D"/>
      <sheetName val="Mão de Obra"/>
      <sheetName val="PQ"/>
      <sheetName val="001 -RPFO SUPRIMR"/>
      <sheetName val="2 - ORÇAMEMTO RPFO"/>
      <sheetName val="39 -quadro qtde DRENAGEM URBANA"/>
      <sheetName val="RMLE157"/>
      <sheetName val="RESUMO_AUT1"/>
      <sheetName val="BD Equip.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S 02 900 00"/>
      <sheetName val="2 S 02 110 00"/>
      <sheetName val="2 S 02 200 00"/>
      <sheetName val="2 S 02 241 01"/>
      <sheetName val="2 S 02 300 00"/>
      <sheetName val="2 S 02 540 01"/>
      <sheetName val="CG"/>
      <sheetName val="Qd DNIT"/>
      <sheetName val="DNIT A3"/>
      <sheetName val="R DNIT"/>
      <sheetName val="CRON-FF"/>
      <sheetName val="CRON-FF (2)"/>
      <sheetName val="1LT"/>
      <sheetName val="2LP"/>
      <sheetName val="3LD"/>
      <sheetName val="4LOAC"/>
      <sheetName val="5LMA"/>
      <sheetName val="6SINA"/>
      <sheetName val="7OC"/>
      <sheetName val="8DU"/>
      <sheetName val="9OAE"/>
      <sheetName val="LG"/>
      <sheetName val="VPA"/>
      <sheetName val="VPC"/>
      <sheetName val="DPS LE"/>
      <sheetName val="DPS LD"/>
      <sheetName val="ST"/>
      <sheetName val=" MFC"/>
      <sheetName val=" DA"/>
      <sheetName val="TSS(D) "/>
      <sheetName val="CD"/>
      <sheetName val="DEFENSA"/>
      <sheetName val="Hn"/>
      <sheetName val="DNIT-1996"/>
      <sheetName val="DNIT-TECNAPAV"/>
      <sheetName val="ISCp"/>
      <sheetName val="BD"/>
      <sheetName val="Serviços"/>
      <sheetName val="61M-CBMI"/>
      <sheetName val="Mat"/>
      <sheetName val="Alteração"/>
      <sheetName val="PROJETO"/>
      <sheetName val="Planilha"/>
      <sheetName val="8ª MP_BR_459"/>
      <sheetName val="TCB5"/>
      <sheetName val="1ExecuçServiços"/>
      <sheetName val="QUADRO COMPARATIVO"/>
      <sheetName val="RESUMO_AUT1"/>
      <sheetName val="QuQuant"/>
      <sheetName val="Teor"/>
      <sheetName val="Equipamentos"/>
      <sheetName val="alphaville"/>
      <sheetName val="Mão de Obra"/>
      <sheetName val="TCC4"/>
      <sheetName val="DSS_04"/>
      <sheetName val="Fresagem"/>
      <sheetName val="Meio-fio"/>
      <sheetName val="PintLigacao"/>
      <sheetName val="PMQ"/>
      <sheetName val="STC_01"/>
      <sheetName val="Calendário"/>
      <sheetName val="Dados"/>
      <sheetName val="quadro de qtde DRENAGEM URBANA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CONSTRUÇÃO RODOVIÁRIA</v>
          </cell>
        </row>
        <row r="4">
          <cell r="B4" t="str">
            <v xml:space="preserve">REFORÇO DO SUBLEITO </v>
          </cell>
        </row>
        <row r="5">
          <cell r="B5" t="str">
            <v xml:space="preserve">REGULARIZAÇÃO DO SUBLEITO </v>
          </cell>
        </row>
        <row r="6">
          <cell r="B6" t="str">
            <v xml:space="preserve">REGUL. SUBLEITO C/ FRES. CORTE CONTR.AUTOM. GREIDE </v>
          </cell>
        </row>
        <row r="7">
          <cell r="B7" t="str">
            <v xml:space="preserve">SUB-BASE SOLO ESTABILIZADO GRANUL. S/ MISTURA </v>
          </cell>
        </row>
        <row r="8">
          <cell r="B8" t="str">
            <v xml:space="preserve">BASE SOLO ESTABILIZADO GRANUL. S/ MISTURA </v>
          </cell>
        </row>
        <row r="9">
          <cell r="B9" t="str">
            <v xml:space="preserve">SUB-BASE ESTAB. GRANUL. C/ MISTURA SOLO NA PISTA </v>
          </cell>
        </row>
        <row r="10">
          <cell r="B10" t="str">
            <v xml:space="preserve">SUB-BASE ESTAB. GRANUL. C/ MIST. SOLO-AREIA PISTA </v>
          </cell>
        </row>
        <row r="11">
          <cell r="B11" t="str">
            <v xml:space="preserve">BASE ESTAB.GRANUL.C/ MIST.SOLO - AREIA NA PISTA </v>
          </cell>
        </row>
        <row r="12">
          <cell r="B12" t="str">
            <v xml:space="preserve">BASE ESTAB.GRANUL.C/ MISTURA SOLO - BRITA </v>
          </cell>
        </row>
        <row r="13">
          <cell r="B13" t="str">
            <v xml:space="preserve">BASE DE BRITA GRADUADA </v>
          </cell>
        </row>
        <row r="14">
          <cell r="B14" t="str">
            <v>BASE BRITA GRAD. C/ DIST. AGREG. CONTR. DE GREIDE</v>
          </cell>
        </row>
        <row r="15">
          <cell r="B15" t="str">
            <v xml:space="preserve">BASE DE MACADAME HIDRÁULICO </v>
          </cell>
        </row>
        <row r="16">
          <cell r="B16" t="str">
            <v>BASE DE SOLO CIMENTO C/ MISTURA NA PISTA</v>
          </cell>
        </row>
        <row r="17">
          <cell r="B17" t="str">
            <v>SUB-BASE DE SOLO MELHOR. C/ CIMENTO MIST. EM USINA</v>
          </cell>
        </row>
        <row r="18">
          <cell r="B18" t="str">
            <v>IMPRIMAÇÃO</v>
          </cell>
        </row>
        <row r="19">
          <cell r="B19" t="str">
            <v xml:space="preserve">PINTURA DE LIGAÇÃO </v>
          </cell>
        </row>
        <row r="20">
          <cell r="B20" t="str">
            <v>TRATAMENTO SUPERFICIAL SIMPLES C/ CAP</v>
          </cell>
        </row>
        <row r="21">
          <cell r="B21" t="str">
            <v>TRATAMENTO SUPERFICIAL SIMPLES C/ EMULSÃO</v>
          </cell>
        </row>
        <row r="22">
          <cell r="B22" t="str">
            <v xml:space="preserve">TRATAMENTO SUPERFICIAL SIMPLES C/ BANHO DILUÍDO </v>
          </cell>
        </row>
        <row r="23">
          <cell r="B23" t="str">
            <v>TRATAMENTO SUPERFICIAL DUPLO C/ CAP</v>
          </cell>
        </row>
        <row r="24">
          <cell r="B24" t="str">
            <v>TRATAMENTO SUPERFICIAL DUPLO C/ EMULSÃO</v>
          </cell>
        </row>
        <row r="25">
          <cell r="B25" t="str">
            <v xml:space="preserve">TRATAMENTO SUPERFICIAL DUPLO C/ BANHO DILUÍDO </v>
          </cell>
        </row>
        <row r="26">
          <cell r="B26" t="str">
            <v>TRATAMENTO SUPERFICIAL TRIPLO C/ CAP</v>
          </cell>
        </row>
        <row r="27">
          <cell r="B27" t="str">
            <v>TRATAMENTO SUPERFICIAL TRIPLO C/ EMULSÃO</v>
          </cell>
        </row>
        <row r="28">
          <cell r="B28" t="str">
            <v xml:space="preserve">TRATAMENTO SUPERFICIAL TRIPLO C/ BANHO DILUÍDO </v>
          </cell>
        </row>
        <row r="29">
          <cell r="B29" t="str">
            <v xml:space="preserve">PRÉ-MISTURADO A FRIO </v>
          </cell>
        </row>
        <row r="30">
          <cell r="B30" t="str">
            <v xml:space="preserve">MACADAME BETUMINOSO POR PENETRAÇÃO </v>
          </cell>
        </row>
        <row r="31">
          <cell r="B31" t="str">
            <v xml:space="preserve">AREIA-ASFALTO A QUENTE </v>
          </cell>
        </row>
        <row r="32">
          <cell r="B32" t="str">
            <v>CONC. BETUMINOSO USINADO A QUENTE - CAPA ROLAMENTO FX "B/C"</v>
          </cell>
        </row>
        <row r="33">
          <cell r="B33" t="str">
            <v>CONCRETO BETUMINOSO USINADO A QUENTE - "BINDER" FX "A"</v>
          </cell>
        </row>
        <row r="34">
          <cell r="B34" t="str">
            <v xml:space="preserve">SUB-BASE DE CONCRETO ROLADO </v>
          </cell>
        </row>
        <row r="35">
          <cell r="B35" t="str">
            <v xml:space="preserve">SUB-BASE DE CONCRETO DE CIMENTO PORTLAND </v>
          </cell>
        </row>
        <row r="36">
          <cell r="B36" t="str">
            <v xml:space="preserve">CONCRETO DE CIMENTO PORTLAND COM FÔRMA DESLIZANTE </v>
          </cell>
        </row>
        <row r="37">
          <cell r="B37" t="str">
            <v xml:space="preserve">CONCRETO CIMENTO PORTLAND C/ EQUIP. PEQUENO PORTE </v>
          </cell>
        </row>
        <row r="38">
          <cell r="B38" t="str">
            <v xml:space="preserve">EXECUÇÃO PAVIM. C/ PEÇAS PRÉ-MOLDADAS CONCR. </v>
          </cell>
        </row>
        <row r="39">
          <cell r="B39" t="str">
            <v>LIMPEZA E ENCHIMENTO DE JUNTA DE PAVIMENTO DE CONC</v>
          </cell>
        </row>
        <row r="40">
          <cell r="B40" t="str">
            <v>CONSERVAÇÃO RODOVIÁRIA</v>
          </cell>
        </row>
        <row r="41">
          <cell r="B41" t="str">
            <v xml:space="preserve"> ESCAVAÇÃO E CARGA MAT. JAZIDA (CONSV)</v>
          </cell>
        </row>
        <row r="42">
          <cell r="B42" t="str">
            <v xml:space="preserve"> RECOMPOSIÇÃO DE REVESTIMENTO PRIMÁRIO</v>
          </cell>
        </row>
        <row r="43">
          <cell r="B43" t="str">
            <v xml:space="preserve"> REGULARIZAÇÃO MECÂNICA DA FAIXA DE DOMÍNIO</v>
          </cell>
        </row>
        <row r="44">
          <cell r="B44" t="str">
            <v xml:space="preserve"> SOLO P/ BASE DE REMENDO PROFUNDO</v>
          </cell>
        </row>
        <row r="45">
          <cell r="B45" t="str">
            <v xml:space="preserve"> RECOMPOSIÇÃO DE CAMADA GRANULAR DO PAVIMENTO</v>
          </cell>
        </row>
        <row r="46">
          <cell r="B46" t="str">
            <v xml:space="preserve"> SOLO BRITA P/ BASE DE REM. PROFUNDO</v>
          </cell>
        </row>
        <row r="47">
          <cell r="B47" t="str">
            <v xml:space="preserve"> BRITA PARA BASE DE REMENDO PROFUNDO</v>
          </cell>
        </row>
        <row r="48">
          <cell r="B48" t="str">
            <v xml:space="preserve"> SOLO MELHORADO C/ CIMENTO P/ BASE REM. PROFUNDO</v>
          </cell>
        </row>
        <row r="49">
          <cell r="B49" t="str">
            <v xml:space="preserve"> IMPRIMAÇÃO</v>
          </cell>
        </row>
        <row r="50">
          <cell r="B50" t="str">
            <v xml:space="preserve"> PINTURA DE LIGAÇÃO</v>
          </cell>
        </row>
        <row r="51">
          <cell r="B51" t="str">
            <v xml:space="preserve"> CAPA SELANTE COM PEDRISCO</v>
          </cell>
        </row>
        <row r="52">
          <cell r="B52" t="str">
            <v xml:space="preserve"> CAPA SELANTE COM AREIA</v>
          </cell>
        </row>
        <row r="53">
          <cell r="B53" t="str">
            <v xml:space="preserve"> TRATAMENTO SUPERFICIAL SIMPLES COM CAP</v>
          </cell>
        </row>
        <row r="54">
          <cell r="B54" t="str">
            <v xml:space="preserve"> TRATAMENTO SUPERFICIAL SIMPLES COM EMULSÃO</v>
          </cell>
        </row>
        <row r="55">
          <cell r="B55" t="str">
            <v xml:space="preserve"> TRATAMENTO SUPERFICIAL SIMPLES C/ BANHO DILUÍDO</v>
          </cell>
        </row>
        <row r="56">
          <cell r="B56" t="str">
            <v xml:space="preserve"> TRATAMENTO SUPERFICIAL DUPLO C/ CAP</v>
          </cell>
        </row>
        <row r="57">
          <cell r="B57" t="str">
            <v xml:space="preserve"> TRATAMENTO SUPERFICIAL DUPLO COM EMULSÃO</v>
          </cell>
        </row>
        <row r="58">
          <cell r="B58" t="str">
            <v xml:space="preserve"> TRATAMENTO SUPERFICIAL DUPLO COM BANHO DILUÍDO</v>
          </cell>
        </row>
        <row r="59">
          <cell r="B59" t="str">
            <v xml:space="preserve"> TRATAMENTO SUPERFICIAL TRIPLO COM C.A.P.</v>
          </cell>
        </row>
        <row r="60">
          <cell r="B60" t="str">
            <v xml:space="preserve"> TRATAMENTO SUPERFICIAL TRIPLO COM EMULSÃO</v>
          </cell>
        </row>
        <row r="61">
          <cell r="B61" t="str">
            <v xml:space="preserve"> TRATAMENTO SUPERFICIAL TRIPLO COM BANHO DILUÍDO</v>
          </cell>
        </row>
        <row r="62">
          <cell r="B62" t="str">
            <v xml:space="preserve"> LAMA ASFÁLTICA FINA (GRANULOMETRIAS I E II )</v>
          </cell>
        </row>
        <row r="63">
          <cell r="B63" t="str">
            <v xml:space="preserve"> LAMA ASFÁLTICA GROSSA (GRANULOMETRIAS III E IV)</v>
          </cell>
        </row>
        <row r="64">
          <cell r="B64" t="str">
            <v xml:space="preserve"> MISTURA AREIA-ASFALTO EM BETONEIRA</v>
          </cell>
        </row>
        <row r="65">
          <cell r="B65" t="str">
            <v xml:space="preserve"> MISTURA AREIA-ASFALTO USINADA A FRIO</v>
          </cell>
        </row>
        <row r="66">
          <cell r="B66" t="str">
            <v xml:space="preserve"> REC.DO REV. COM AREIA ASFALTO A FRIO</v>
          </cell>
        </row>
        <row r="67">
          <cell r="B67" t="str">
            <v xml:space="preserve"> MISTURA AREIA-ASFALTO USINADA A QUENTE</v>
          </cell>
        </row>
        <row r="68">
          <cell r="B68" t="str">
            <v xml:space="preserve"> REC. DO REV. COM AREIA ASFALTO A QUENTE</v>
          </cell>
        </row>
        <row r="69">
          <cell r="B69" t="str">
            <v xml:space="preserve"> MISTURA BETUMINOSA EM BETONEIRA</v>
          </cell>
        </row>
        <row r="70">
          <cell r="B70" t="str">
            <v xml:space="preserve"> MISTURA BETUMINOSA USINADA A FRIO</v>
          </cell>
        </row>
        <row r="71">
          <cell r="B71" t="str">
            <v xml:space="preserve"> REC.DO REV. COM MISTURA BETUMINOSA A FRIO</v>
          </cell>
        </row>
        <row r="72">
          <cell r="B72" t="str">
            <v xml:space="preserve"> MISTURA BETUMINOSA USINADA A QUENTE</v>
          </cell>
        </row>
        <row r="73">
          <cell r="B73" t="str">
            <v xml:space="preserve"> REC.DO REV.COM MISTURA BETUMINOSA A QUENTE</v>
          </cell>
        </row>
        <row r="74">
          <cell r="B74" t="str">
            <v xml:space="preserve"> RECOMPOSIÇÃO DE PLACA DE CONCRETO</v>
          </cell>
        </row>
        <row r="75">
          <cell r="B75" t="str">
            <v xml:space="preserve"> REMOÇÃO MECANIZADA DE REVESTIMENTO BETUMINOSO</v>
          </cell>
        </row>
        <row r="76">
          <cell r="B76" t="str">
            <v xml:space="preserve"> REMOÇÃO MANUAL DE REVESTIMENTO BETUMINOSO</v>
          </cell>
        </row>
        <row r="77">
          <cell r="B77" t="str">
            <v xml:space="preserve"> REMOÇÃO MECANIZADA DA CAMADA GRANULAR DO PAVIMENTO</v>
          </cell>
        </row>
        <row r="78">
          <cell r="B78" t="str">
            <v xml:space="preserve"> REMOÇÃO MANUAL DA CAMADA GRANULAR DO PAVIMENTO</v>
          </cell>
        </row>
        <row r="79">
          <cell r="B79" t="str">
            <v xml:space="preserve"> PENEIRAMENTO</v>
          </cell>
        </row>
        <row r="80">
          <cell r="B80" t="str">
            <v xml:space="preserve"> RECONFORMAÇÃO DA PLATAFORMA</v>
          </cell>
        </row>
        <row r="81">
          <cell r="B81" t="str">
            <v xml:space="preserve"> TAPA BURACO</v>
          </cell>
        </row>
        <row r="82">
          <cell r="B82" t="str">
            <v xml:space="preserve"> REMENDO PROFUNDO COM DEMOLIÇÃO MANUAL</v>
          </cell>
        </row>
        <row r="83">
          <cell r="B83" t="str">
            <v xml:space="preserve"> REMENDO PROFUNDO COM DEMOLIÇÃO MECANIZADA</v>
          </cell>
        </row>
        <row r="84">
          <cell r="B84" t="str">
            <v xml:space="preserve"> LIMPEZA ENCH. JUNTAS PAV. CONCR. A QUENTE (CONSV)</v>
          </cell>
        </row>
        <row r="85">
          <cell r="B85" t="str">
            <v xml:space="preserve"> LIMPEZA ENCH. JUNTAS PAV. CONCR. A FRIO (CONSV)</v>
          </cell>
        </row>
        <row r="86">
          <cell r="B86" t="str">
            <v xml:space="preserve"> SELAGEM DE TRINCA</v>
          </cell>
        </row>
        <row r="87">
          <cell r="B87" t="str">
            <v xml:space="preserve"> COMBATE À EXSUDAÇÃO COM AREIA</v>
          </cell>
        </row>
        <row r="88">
          <cell r="B88" t="str">
            <v xml:space="preserve"> COMBATE À EXSUDAÇÃO COM PEDRISCO</v>
          </cell>
        </row>
        <row r="89">
          <cell r="B89" t="str">
            <v xml:space="preserve"> CORREÇÃO DE DEFEITOS COM MISTURA BETUMINOSA</v>
          </cell>
        </row>
        <row r="90">
          <cell r="B90" t="str">
            <v xml:space="preserve"> CORREÇÃO DE DEFEITOS POR FRESAGEM DESCONTÍNUA</v>
          </cell>
        </row>
        <row r="91">
          <cell r="B91" t="str">
            <v xml:space="preserve"> CORREÇÃO DE DEFEITOS POR PENETRAÇÃO</v>
          </cell>
        </row>
        <row r="92">
          <cell r="B92" t="str">
            <v>RESTAURAÇÃO RODOVIÁRIA</v>
          </cell>
        </row>
        <row r="93">
          <cell r="B93" t="str">
            <v xml:space="preserve"> CONC. BETUMIN.USINADO A QUENTE - CAPA DE ROLAMENTO - FAIXA "C" COM POLÍMERO</v>
          </cell>
        </row>
        <row r="94">
          <cell r="B94" t="str">
            <v xml:space="preserve"> TRATAMENTO SUPERFICIAL DUPLO C/ EMULSÃO ADITIVADA COM POLÍMERO (RR-2C)</v>
          </cell>
        </row>
        <row r="95">
          <cell r="B95" t="str">
            <v xml:space="preserve"> REFORÇO DO SUBLEITO</v>
          </cell>
        </row>
        <row r="96">
          <cell r="B96" t="str">
            <v xml:space="preserve"> REGULARIZAÇÃO DO SUBLEITO</v>
          </cell>
        </row>
        <row r="97">
          <cell r="B97" t="str">
            <v xml:space="preserve"> REGUL. SUBLEITO C/ FRESA. CORTE CONTR. AUT. GREIDE</v>
          </cell>
        </row>
        <row r="98">
          <cell r="B98" t="str">
            <v xml:space="preserve"> SUB-BASE SOLO ESTABILIZADO GRANUL. S/ MISTURA</v>
          </cell>
        </row>
        <row r="99">
          <cell r="B99" t="str">
            <v xml:space="preserve"> BASE SOLO ESTABILIZADO GRANUL. S/ MISTURA</v>
          </cell>
        </row>
        <row r="100">
          <cell r="B100" t="str">
            <v xml:space="preserve"> RECOMPOSIÇÃO CAMADA DE BASE S/ ADIÇÃO DE MATERIAL</v>
          </cell>
        </row>
        <row r="101">
          <cell r="B101" t="str">
            <v xml:space="preserve"> SUB-BASE ESTABILIZ. GRANUL. C/ MIST. SOLO NA PISTA</v>
          </cell>
        </row>
        <row r="102">
          <cell r="B102" t="str">
            <v xml:space="preserve"> SUB-BASE ESTAB. GRANUL.C/MIST. SOLO-AREIA NA PISTA</v>
          </cell>
        </row>
        <row r="103">
          <cell r="B103" t="str">
            <v xml:space="preserve"> BASE ESTABILIZ.GRANUL.C/ MIST. SOLO AREIA NA PISTA</v>
          </cell>
        </row>
        <row r="104">
          <cell r="B104" t="str">
            <v xml:space="preserve"> BASE ESTABILIZADA GRANUL. C/ MISTURA SOLO-BRITA</v>
          </cell>
        </row>
        <row r="105">
          <cell r="B105" t="str">
            <v xml:space="preserve"> BASE DE BRITA GRADUADA</v>
          </cell>
        </row>
        <row r="106">
          <cell r="B106" t="str">
            <v xml:space="preserve"> BASE BRITA GRAD.C/DISTR.AGREG. CONTR. AUTOM.GREIDE</v>
          </cell>
        </row>
        <row r="107">
          <cell r="B107" t="str">
            <v xml:space="preserve"> BASE DE MACADAME HIDRAÚLICO</v>
          </cell>
        </row>
        <row r="108">
          <cell r="B108" t="str">
            <v xml:space="preserve"> RECOMPOSIÇÃO CAMADA DE BASE C/ ADIÇÃO DE CIMENTO</v>
          </cell>
        </row>
        <row r="109">
          <cell r="B109" t="str">
            <v xml:space="preserve"> BASE DE SOLO CIMENTO COM MISTURA EM USINA</v>
          </cell>
        </row>
        <row r="110">
          <cell r="B110" t="str">
            <v xml:space="preserve"> SUB-BASE SOLO MELHORADO C/CIMENTO C/MIST. EM USINA</v>
          </cell>
        </row>
        <row r="111">
          <cell r="B111" t="str">
            <v xml:space="preserve"> RECOMP. BASE C/ DEMOL. DO REV. E INCORP. À BASE</v>
          </cell>
        </row>
        <row r="112">
          <cell r="B112" t="str">
            <v xml:space="preserve"> IMPRIMAÇÃO</v>
          </cell>
        </row>
        <row r="113">
          <cell r="B113" t="str">
            <v xml:space="preserve"> PINTURA DE LIGAÇÃO</v>
          </cell>
        </row>
        <row r="114">
          <cell r="B114" t="str">
            <v xml:space="preserve"> TRATAMENTO SUPERFICIAL SIMPLES C/ CAP</v>
          </cell>
        </row>
        <row r="115">
          <cell r="B115" t="str">
            <v xml:space="preserve"> TRATAMENTO SUPERFICIAL SIMPLES C/ EMULSÃO</v>
          </cell>
        </row>
        <row r="116">
          <cell r="B116" t="str">
            <v xml:space="preserve"> TRATAMENTO SUPERFICIAL SIMPLES C/ BANHO DILUÍDO</v>
          </cell>
        </row>
        <row r="117">
          <cell r="B117" t="str">
            <v xml:space="preserve"> TRATAMENTO SUPERFICIAL DUPLO C/ CAP</v>
          </cell>
        </row>
        <row r="118">
          <cell r="B118" t="str">
            <v xml:space="preserve"> TRATAMENTO SUPERFICIAL DUPLO C/ EMULSÃO</v>
          </cell>
        </row>
        <row r="119">
          <cell r="B119" t="str">
            <v xml:space="preserve"> TRATAMENTO SUPERFICIAL DUPLO C/ BANHO DILUÍDO</v>
          </cell>
        </row>
        <row r="120">
          <cell r="B120" t="str">
            <v xml:space="preserve"> TRATAMENTO SUPERFICIAL TRIPLO C/ CAP</v>
          </cell>
        </row>
        <row r="121">
          <cell r="B121" t="str">
            <v xml:space="preserve"> TRATAMENTO SUPERFICIAL TRIPLO C/ EMULSÃO</v>
          </cell>
        </row>
        <row r="122">
          <cell r="B122" t="str">
            <v xml:space="preserve"> TRATAMENTO SUPERFICIAL TRIPLO C/ BANHO DILUÍDO</v>
          </cell>
        </row>
        <row r="123">
          <cell r="B123" t="str">
            <v xml:space="preserve"> MICRO-REVESTIMENTO A FRIO - MICROFLEX 0,8CM</v>
          </cell>
        </row>
        <row r="124">
          <cell r="B124" t="str">
            <v xml:space="preserve"> MICRO-REVESTIMENTO A FRIO - MICROFLEX 1,5 CM</v>
          </cell>
        </row>
        <row r="125">
          <cell r="B125" t="str">
            <v xml:space="preserve"> MICRO-REVESTIMENTO A FRIO - MICROFLEX 2,0 CM</v>
          </cell>
        </row>
        <row r="126">
          <cell r="B126" t="str">
            <v xml:space="preserve"> MICRO-REVESTIMENTO A FRIO - MICROFLEX - 2,5 CM</v>
          </cell>
        </row>
        <row r="127">
          <cell r="B127" t="str">
            <v xml:space="preserve"> LAMA ASFÁLTICA FINA (GRANULOMETRIAS I E II)</v>
          </cell>
        </row>
        <row r="128">
          <cell r="B128" t="str">
            <v xml:space="preserve"> LAMA ASFÁLTICA GROSSA (GRANULOMETRIAS III E IV)</v>
          </cell>
        </row>
        <row r="129">
          <cell r="B129" t="str">
            <v xml:space="preserve"> PRÉ-MISTURADO A FRIO</v>
          </cell>
        </row>
        <row r="130">
          <cell r="B130" t="str">
            <v xml:space="preserve"> MACADAME BETUMINOSO POR PENETRAÇÃO</v>
          </cell>
        </row>
        <row r="131">
          <cell r="B131" t="str">
            <v xml:space="preserve"> AREIA-ASFALTO A QUENTE</v>
          </cell>
        </row>
        <row r="132">
          <cell r="B132" t="str">
            <v xml:space="preserve"> CONC. BETUMIN.USINADO A QUENTE - CAPA DE ROLAMENTO</v>
          </cell>
        </row>
        <row r="133">
          <cell r="B133" t="str">
            <v xml:space="preserve"> CONCRETO BETUMINOSO USINADO A QUENTE - BINDER</v>
          </cell>
        </row>
        <row r="134">
          <cell r="B134" t="str">
            <v xml:space="preserve"> CBUQ RECICLADO A QUENTE NO LOCAL</v>
          </cell>
        </row>
        <row r="135">
          <cell r="B135" t="str">
            <v xml:space="preserve"> CBUQ RECICLADO EM USINA FIXA</v>
          </cell>
        </row>
        <row r="136">
          <cell r="B136" t="str">
            <v xml:space="preserve"> MANTA SINTÉT. P/ RECAP.ASFÁL.- FORNEC. E APLICAÇÃO</v>
          </cell>
        </row>
        <row r="137">
          <cell r="B137" t="str">
            <v xml:space="preserve"> CONCRETO CIMENTO PORTLAND C/ EQUIP. PEQUENO PORTE</v>
          </cell>
        </row>
        <row r="138">
          <cell r="B138" t="str">
            <v xml:space="preserve"> LIMPEZA E ENCHIMENTO DE JUNTA DE PAVIMENTO DE CONC</v>
          </cell>
        </row>
        <row r="139">
          <cell r="B139" t="str">
            <v xml:space="preserve"> REMOÇÃO MECANIZADA DE REVESTIMENTO BETUMINOSO</v>
          </cell>
        </row>
        <row r="140">
          <cell r="B140" t="str">
            <v xml:space="preserve"> REMOÇÃO MANUAL DE REVESTIMENTO BETUMINOSO</v>
          </cell>
        </row>
        <row r="141">
          <cell r="B141" t="str">
            <v xml:space="preserve"> REMOÇÃO MECANIZADA DA CAMADA GRANULAR PAVIMENTO</v>
          </cell>
        </row>
        <row r="142">
          <cell r="B142" t="str">
            <v xml:space="preserve"> REMOÇÃO MANUAL DA CAMADA GRANULAR DO PAVIMENTO</v>
          </cell>
        </row>
        <row r="143">
          <cell r="B143" t="str">
            <v xml:space="preserve"> REMOÇÃO MECANIZADA MATERIAL DE BAIXA CAPAC.SUPORTE</v>
          </cell>
        </row>
        <row r="144">
          <cell r="B144" t="str">
            <v xml:space="preserve"> REMOÇÃO MANUAL DE MATERIAL DE BAIXA CAPAC.SUPORTE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310"/>
      <sheetName val="40335"/>
      <sheetName val="40375"/>
      <sheetName val="40380"/>
      <sheetName val="40609"/>
      <sheetName val="40611"/>
      <sheetName val="CG"/>
      <sheetName val="R DNIT"/>
      <sheetName val="1LT"/>
      <sheetName val="2LP"/>
      <sheetName val="3CONS"/>
      <sheetName val="4LD"/>
      <sheetName val="5OC"/>
      <sheetName val="4LOAC"/>
      <sheetName val="5SD"/>
      <sheetName val="6CR"/>
      <sheetName val="9OAE"/>
      <sheetName val="LG"/>
      <sheetName val="PE-Qd 13 (1)"/>
      <sheetName val="PE-Qd 04"/>
      <sheetName val="PE-Qd 16"/>
      <sheetName val="PE-Qd 01 (1)"/>
      <sheetName val="QQ"/>
      <sheetName val="QQ-AGETOP"/>
      <sheetName val="3 S 02 540 01"/>
      <sheetName val="40316"/>
      <sheetName val="Qd DNIT"/>
      <sheetName val="Terraplenagem e pavimentação"/>
      <sheetName val="OAE"/>
      <sheetName val="Resumo Sinalização"/>
      <sheetName val="Mat"/>
      <sheetName val="Teor"/>
      <sheetName val="PROJETO"/>
      <sheetName val="61M-CBMI"/>
      <sheetName val="Planilha"/>
      <sheetName val="alphaville"/>
      <sheetName val="TCB5"/>
      <sheetName val="PLANILHA CONTRATUAL"/>
      <sheetName val="8ª MP_BR_459"/>
      <sheetName val="Dados"/>
      <sheetName val="RESUMO_AUT1"/>
      <sheetName val="QuQuant"/>
      <sheetName val="Serviços"/>
      <sheetName val="Equipamentos"/>
      <sheetName val="Mão de Obra"/>
      <sheetName val="1ExecuçServiços"/>
      <sheetName val="Calendário"/>
      <sheetName val="COMPOS1"/>
      <sheetName val="ORÇAMENTO"/>
      <sheetName val="Geral"/>
      <sheetName val="RMLE157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 t="str">
            <v xml:space="preserve"> REGULARIZAÇÃO E COMPACTAÇÃO DO SUB-LEITO  </v>
          </cell>
        </row>
        <row r="5">
          <cell r="B5" t="str">
            <v xml:space="preserve"> ESCAVAÇÃO E CARGA MAT. DE JAZIDA  </v>
          </cell>
        </row>
        <row r="6">
          <cell r="B6" t="str">
            <v xml:space="preserve"> ESCAVAÇÃO E CARGA MAT. DE JAZIDA-COM INDENIZAÇÃO  </v>
          </cell>
        </row>
        <row r="7">
          <cell r="B7" t="str">
            <v xml:space="preserve"> REMOÇÃO DE PAV. ASFÁLTICA ( EXCETO TRANSPORTE)  </v>
          </cell>
        </row>
        <row r="8">
          <cell r="B8" t="str">
            <v xml:space="preserve"> FRESAGEM DESCONTÍNUA À FRIO  </v>
          </cell>
        </row>
        <row r="9">
          <cell r="B9" t="str">
            <v xml:space="preserve"> FRESAGEM CONTÍNUA Á FRIO  </v>
          </cell>
        </row>
        <row r="10">
          <cell r="B10" t="str">
            <v xml:space="preserve"> ESTABILIZAÇÃO GRANULOMÉTRICA DE SOLO ARENOSO FINO  </v>
          </cell>
        </row>
        <row r="11">
          <cell r="B11" t="str">
            <v xml:space="preserve"> ESTABILIZAÇÃO GRANULOMÉTRICA SEM MISTURA (100% P.N.)  </v>
          </cell>
        </row>
        <row r="12">
          <cell r="B12" t="str">
            <v xml:space="preserve"> ESTABILIZAÇÃO GRANULOMÉTRICA SEM MISTURA (100% P.I.)  </v>
          </cell>
        </row>
        <row r="13">
          <cell r="B13" t="str">
            <v xml:space="preserve"> ESTABILIZAÇÃO GRANULOMÉTRICA SEM MISTURA (100% P.M.)  </v>
          </cell>
        </row>
        <row r="14">
          <cell r="B14" t="str">
            <v xml:space="preserve"> ESTABILIZAÇÃO BRITA GRADUADA-USINA (BP)  </v>
          </cell>
        </row>
        <row r="15">
          <cell r="B15" t="str">
            <v xml:space="preserve"> ESTAB. SOLO CIMENTO 2% PESO - PISTA  </v>
          </cell>
        </row>
        <row r="16">
          <cell r="B16" t="str">
            <v xml:space="preserve"> ESTABILIZAÇÃO SOLO-CIMENTO 3%PESO-PISTA  </v>
          </cell>
        </row>
        <row r="17">
          <cell r="B17" t="str">
            <v xml:space="preserve"> ESTABILIZAÇÃO SOLO-CIMENTO 4%PESO-PISTA  </v>
          </cell>
        </row>
        <row r="18">
          <cell r="B18" t="str">
            <v xml:space="preserve"> ESTABILIZAÇÃO DE SOLO-CIMENTO 6% PESO-USINA  </v>
          </cell>
        </row>
        <row r="19">
          <cell r="B19" t="str">
            <v xml:space="preserve"> IMPRIMAÇÃO  </v>
          </cell>
        </row>
        <row r="20">
          <cell r="B20" t="str">
            <v xml:space="preserve"> PINTURA DE LIGAÇÃO  </v>
          </cell>
        </row>
        <row r="21">
          <cell r="B21" t="str">
            <v xml:space="preserve"> PRÉ - MISTURADO A FRIO - PMF (BP)  </v>
          </cell>
        </row>
        <row r="22">
          <cell r="B22" t="str">
            <v xml:space="preserve"> CONCRETO BETUMINOSO USINADO À QUENTE-CBUQ (BP/AP)  </v>
          </cell>
        </row>
        <row r="23">
          <cell r="B23" t="str">
            <v xml:space="preserve"> CONCRETO BETUMINOSO USINADO À QUENTE-CBUQ (BC/AC)  </v>
          </cell>
        </row>
        <row r="24">
          <cell r="B24" t="str">
            <v xml:space="preserve"> ESTAB. SOLO AREIA 20% PESO - USINA (AP)  </v>
          </cell>
        </row>
        <row r="25">
          <cell r="B25" t="str">
            <v xml:space="preserve"> ESTAB. SOLO AREIA 20% PESO - USINA (AC)  </v>
          </cell>
        </row>
        <row r="26">
          <cell r="B26" t="str">
            <v xml:space="preserve"> ESTAB. SOLO BRITA 50% PESO - USINA (BP)  </v>
          </cell>
        </row>
        <row r="27">
          <cell r="B27" t="str">
            <v xml:space="preserve"> ESTAB. SOLO BRITA 50% PESO - USINA (BC)  </v>
          </cell>
        </row>
        <row r="28">
          <cell r="B28" t="str">
            <v xml:space="preserve"> ESTABILIZAÇÃO BRITA GRADUADA-USINA (BC)  </v>
          </cell>
        </row>
        <row r="29">
          <cell r="B29" t="str">
            <v xml:space="preserve"> TRATAMENTO SUPERFICIAL SIMPLES (BP)  </v>
          </cell>
        </row>
        <row r="30">
          <cell r="B30" t="str">
            <v xml:space="preserve"> TRATAMENTO SUPERFICIAL DUPLO (BP)  </v>
          </cell>
        </row>
        <row r="31">
          <cell r="B31" t="str">
            <v xml:space="preserve"> TRATAMENTO SUPERFICIAL SIMPLES (BC)  </v>
          </cell>
        </row>
        <row r="32">
          <cell r="B32" t="str">
            <v xml:space="preserve"> TRATAMENTO SUPERFICIAL DUPLO (BC)  </v>
          </cell>
        </row>
        <row r="33">
          <cell r="B33" t="str">
            <v xml:space="preserve"> CAPA SELANTE C/ PÓ DE PEDRA (BP)  </v>
          </cell>
        </row>
        <row r="34">
          <cell r="B34" t="str">
            <v xml:space="preserve"> CAPA SELANTE C/ PÓ DE PEDRA (BC)  </v>
          </cell>
        </row>
        <row r="35">
          <cell r="B35" t="str">
            <v xml:space="preserve"> MICRORREVESTIMENTO À FRIO - 0,8cm C/ COMPACTAÇÃO (BP)  </v>
          </cell>
        </row>
        <row r="36">
          <cell r="B36" t="str">
            <v xml:space="preserve"> MICRORREVESTIMENTO À FRIO - 0,8cm S/ COMPACTAÇÃO (BP)  </v>
          </cell>
        </row>
        <row r="37">
          <cell r="B37" t="str">
            <v xml:space="preserve"> MICRORREVESTIMENTO À FRIO - 1,0cm C/ COMPACTAÇÃO (BP)  </v>
          </cell>
        </row>
        <row r="38">
          <cell r="B38" t="str">
            <v xml:space="preserve"> MICRORREVESTIMENTO À FRIO - 1,0cm S/ COMPACTAÇÃO (BP)  </v>
          </cell>
        </row>
        <row r="39">
          <cell r="B39" t="str">
            <v xml:space="preserve"> MICRORREVESTIMENTO À FRIO - 0,8cm C/ COMPACTAÇÃO (BC)  </v>
          </cell>
        </row>
        <row r="40">
          <cell r="B40" t="str">
            <v xml:space="preserve"> MICRORREVESTIMENTO À FRIO - 0,8cm S/ COMPACTAÇÃO (BC)  </v>
          </cell>
        </row>
        <row r="41">
          <cell r="B41" t="str">
            <v xml:space="preserve"> MICRORREVESTIMENTO À FRIO - 1,0cm C/ COMPACTAÇÃO (BC)  </v>
          </cell>
        </row>
        <row r="42">
          <cell r="B42" t="str">
            <v xml:space="preserve"> MICRORREVESTIMENTO À FRIO - 1,0cm S/ COMPACTAÇÃO (BC)  </v>
          </cell>
        </row>
        <row r="43">
          <cell r="B43" t="str">
            <v xml:space="preserve"> PRÉ - MISTURADO A FRIO - PMF (BC)  </v>
          </cell>
        </row>
        <row r="44">
          <cell r="B44" t="str">
            <v xml:space="preserve"> LAMA ASFÁLTICA FINA (BP/AP)  </v>
          </cell>
        </row>
        <row r="45">
          <cell r="B45" t="str">
            <v xml:space="preserve"> LAMA ASFÁLTICA GROSSA (BP/AP)  </v>
          </cell>
        </row>
        <row r="46">
          <cell r="B46" t="str">
            <v xml:space="preserve"> LAMA ASFÁLTICA FINA (BC/AC)  </v>
          </cell>
        </row>
        <row r="47">
          <cell r="B47" t="str">
            <v xml:space="preserve"> LAMA ASFÁLTICA GROSSA (BC/AC)  </v>
          </cell>
        </row>
        <row r="48">
          <cell r="B48" t="str">
            <v xml:space="preserve"> LAMA ASFÁLTICA FINA COM POLIMERO (AP/BP)  </v>
          </cell>
        </row>
        <row r="49">
          <cell r="B49" t="str">
            <v xml:space="preserve"> LAMA ASFÁLTICA FINA COM POLIMERO (AC/BC)  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erviços"/>
      <sheetName val="Especif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plan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[61MCBMI.DNIT.XLS]61M_CBMI_MA_2"/>
      <sheetName val="[61MCBMI.DNIT.XLS]61M-CBMI:MAT-"/>
      <sheetName val="[61MCBMI.DNIT.XLS][61MCBMI.DNIT"/>
      <sheetName val="Custo Equip"/>
      <sheetName val="SICRO"/>
      <sheetName val="Produto 09"/>
      <sheetName val="Produto 10"/>
      <sheetName val="Produto 01"/>
      <sheetName val="Prod. 03A CREMA-CIB"/>
      <sheetName val="DEQ"/>
      <sheetName val="PT"/>
      <sheetName val="SERVIÇOS digitado"/>
      <sheetName val="icatu"/>
      <sheetName val="EQUIPO1"/>
      <sheetName val="8ª mp_br-459"/>
      <sheetName val="projeto"/>
      <sheetName val="A"/>
      <sheetName val="Vínculos (Não Mexer)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BANCO"/>
      <sheetName val="Anual"/>
      <sheetName val="equip auxili"/>
      <sheetName val="INDIRETOS"/>
      <sheetName val="veiculos"/>
      <sheetName val="comp p unit "/>
      <sheetName val="Percentual"/>
      <sheetName val="Recuperação da Pista"/>
      <sheetName val="INVENTÁRIO"/>
      <sheetName val="COMPOSIÇÕES"/>
      <sheetName val="TAB CONSULT"/>
      <sheetName val="vistem"/>
      <sheetName val="10-12. "/>
      <sheetName val="plmuseu"/>
      <sheetName val="eaigesen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ro-08"/>
      <sheetName val="Preços_BSTC"/>
      <sheetName val="#REF"/>
      <sheetName val="RESUMO-DVOP"/>
      <sheetName val="Tabela mês"/>
      <sheetName val="REAJU"/>
      <sheetName val="Material"/>
      <sheetName val="pato"/>
      <sheetName val="CUSTO HORÁRIO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mo"/>
      <sheetName val="P1Q2"/>
      <sheetName val="PQ"/>
      <sheetName val="Teor"/>
      <sheetName val="Equipamentos"/>
      <sheetName val="Quadro de qntd"/>
      <sheetName val="CURVA ABC"/>
      <sheetName val="Cronograma FIS FINANC"/>
      <sheetName val="PLANILHA CONTRATUAL"/>
      <sheetName val="P A T O  D"/>
      <sheetName val="RMLE157"/>
      <sheetName val="CG"/>
      <sheetName val="TCB5"/>
      <sheetName val="8ª MP_BR_459"/>
      <sheetName val="CBUQ DRENO LONGIT RECOBRIMENTO"/>
      <sheetName val="DAR-01"/>
      <sheetName val="QuQuant"/>
      <sheetName val="CUSTO MATERIAL"/>
      <sheetName val="CALCULOS AUXILIARES"/>
      <sheetName val="Instalação"/>
      <sheetName val="P A T O"/>
      <sheetName val="A.2- RESUMO"/>
    </sheetNames>
    <sheetDataSet>
      <sheetData sheetId="0"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61M-CBMI"/>
      <sheetName val="MAT-BET"/>
      <sheetName val="PQ"/>
      <sheetName val="Dados"/>
      <sheetName val="PROJETO"/>
      <sheetName val="Calendário"/>
      <sheetName val="COMPOS1"/>
      <sheetName val="Quadro de qntd"/>
      <sheetName val="P A T O  B"/>
      <sheetName val="CURVA ABC"/>
      <sheetName val="Cronograma FIS FINANC"/>
      <sheetName val="TCC4"/>
      <sheetName val="TCB5"/>
      <sheetName val="8ª MP_BR-459"/>
      <sheetName val="8ª MP_BR_459"/>
      <sheetName val="Especif"/>
      <sheetName val="DOSAGEM"/>
      <sheetName val="CBUQ DRENO LONGIT RECOBRIMENTO"/>
      <sheetName val="DAR-01"/>
      <sheetName val="PLANILHA ATUALIZADA"/>
      <sheetName val="61M-CBMI:MAT-BET"/>
      <sheetName val="MEDIÇÃO RESUMO"/>
      <sheetName val="QuQuant"/>
      <sheetName val="DSS_04"/>
      <sheetName val="Fresagem"/>
      <sheetName val="Meio-fio"/>
      <sheetName val="PintLigacao"/>
      <sheetName val="PMQ"/>
      <sheetName val="STC_01"/>
      <sheetName val="QUADRO COMPARATIVO"/>
      <sheetName val="quadro de qtde DRENAGEM URBANA"/>
      <sheetName val="Planejamento"/>
      <sheetName val="MB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Serviços"/>
      <sheetName val="Especif"/>
      <sheetName val="P A T O  D"/>
      <sheetName val="Dados"/>
      <sheetName val="ORÇAMENTO"/>
      <sheetName val="PQ"/>
      <sheetName val="COMPOS1"/>
      <sheetName val="CBUQ DRENO LONGIT RECOBRIMENTO"/>
      <sheetName val="DAR-01"/>
      <sheetName val="P A T O  B"/>
      <sheetName val="Equipamentos"/>
      <sheetName val="Quadro de qntd"/>
      <sheetName val="8ª MP_BR_459"/>
      <sheetName val="MB"/>
      <sheetName val="61M-CBMI"/>
      <sheetName val="MAT-BET"/>
      <sheetName val="REPOSITÓRIOS"/>
      <sheetName val="QuQuant"/>
      <sheetName val="TCC4"/>
      <sheetName val="TCB5"/>
      <sheetName val="DSS_04"/>
      <sheetName val="Fresagem"/>
      <sheetName val="Meio-fio"/>
      <sheetName val="PintLigacao"/>
      <sheetName val="PMQ"/>
      <sheetName val="STC_01"/>
      <sheetName val="P A T O 99 B"/>
      <sheetName val="BD Equip."/>
      <sheetName val="Planilha"/>
      <sheetName val="alphaville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RESUMO_AUT1"/>
      <sheetName val="Dados"/>
      <sheetName val="CBUQ DRENO LONGIT RECOBRIMENTO"/>
      <sheetName val="DAR-01"/>
      <sheetName val="QuQuant"/>
      <sheetName val="Equipamentos"/>
      <sheetName val="P A T O  B"/>
      <sheetName val="8ª MP_BR_459"/>
      <sheetName val="MB"/>
      <sheetName val="BD Equip."/>
      <sheetName val="P A T O  D"/>
      <sheetName val="DSS_04"/>
      <sheetName val="Fresagem"/>
      <sheetName val="Meio-fio"/>
      <sheetName val="PintLigacao"/>
      <sheetName val="PMQ"/>
      <sheetName val="STC_01"/>
      <sheetName val="P A T O 99 B"/>
      <sheetName val="alphaville"/>
      <sheetName val="Mão de Obra"/>
    </sheetNames>
    <sheetDataSet>
      <sheetData sheetId="0"/>
      <sheetData sheetId="1"/>
      <sheetData sheetId="2" refreshError="1">
        <row r="79">
          <cell r="I79">
            <v>612786.40800000005</v>
          </cell>
        </row>
      </sheetData>
      <sheetData sheetId="3"/>
      <sheetData sheetId="4" refreshError="1">
        <row r="30">
          <cell r="I30">
            <v>1155.568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"/>
      <sheetName val="Quadro de Quantidades"/>
      <sheetName val="orçamento"/>
      <sheetName val="Mobil"/>
      <sheetName val="Acamp"/>
      <sheetName val="Resumo Quadros"/>
      <sheetName val="Cronograma FIS FINANC"/>
      <sheetName val="TCC4"/>
      <sheetName val="TCB5"/>
      <sheetName val="CONS_CORR"/>
      <sheetName val="QuQuant"/>
      <sheetName val="DSS_04"/>
      <sheetName val="Fresagem"/>
      <sheetName val="Meio-fio"/>
      <sheetName val="PintLigacao"/>
      <sheetName val="PMQ"/>
      <sheetName val="STC_01"/>
      <sheetName val="Equipamentos"/>
      <sheetName val="BD Equip."/>
      <sheetName val="Serviços"/>
      <sheetName val="RESUMO_AUT1"/>
      <sheetName val="CBUQ DRENO LONGIT RECOBRIMENTO"/>
      <sheetName val="DAR-01"/>
      <sheetName val="8ª MP_BR_459"/>
      <sheetName val="CG"/>
      <sheetName val="RMLE157"/>
      <sheetName val="Teor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orçamento"/>
      <sheetName val="CONS_CORR"/>
      <sheetName val="DSS_04"/>
      <sheetName val="Fresagem"/>
      <sheetName val="Meio-fio"/>
      <sheetName val="PintLigacao"/>
      <sheetName val="PMQ"/>
      <sheetName val="STC_01"/>
      <sheetName val="Serviços"/>
      <sheetName val="Equipamentos"/>
      <sheetName val="PROJETO"/>
      <sheetName val="PLANILHA ATUALIZADA"/>
      <sheetName val="QuQuant"/>
      <sheetName val="TCC4"/>
      <sheetName val="TCB5"/>
      <sheetName val="Cotações"/>
      <sheetName val="CG"/>
      <sheetName val="8ª MP_BR-459"/>
      <sheetName val="market"/>
      <sheetName val="Teor"/>
      <sheetName val="Calendári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QUADRO COMPARATIVO"/>
      <sheetName val="CONS_CORR"/>
      <sheetName val="Serviços"/>
      <sheetName val="Equipamentos"/>
      <sheetName val="RESUMO_AUT1"/>
      <sheetName val="QuQuant"/>
      <sheetName val="orçamento"/>
      <sheetName val="DSS_04"/>
      <sheetName val="Fresagem"/>
      <sheetName val="Meio-fio"/>
      <sheetName val="PintLigacao"/>
      <sheetName val="PMQ"/>
      <sheetName val="STC_01"/>
      <sheetName val="CG"/>
      <sheetName val="PLANILHA ATUALIZADA"/>
      <sheetName val="Stock Chart"/>
      <sheetName val="Calendário"/>
      <sheetName val="COMP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8ª MP_BR_459"/>
      <sheetName val="QUADRO COMPARATIVO"/>
      <sheetName val="RESUMO_AUT1"/>
      <sheetName val="QuQuant"/>
      <sheetName val="CG"/>
      <sheetName val="Equipamentos"/>
      <sheetName val="P A T O  B"/>
      <sheetName val="1ExecuçServiços"/>
      <sheetName val="Especif"/>
      <sheetName val="61M-CBMI"/>
      <sheetName val="MAT-BET"/>
      <sheetName val="MB"/>
      <sheetName val="Indice Precos Mes"/>
      <sheetName val="PROJETO"/>
      <sheetName val="COMPOS1"/>
      <sheetName val="CBUQ DRENO LONGIT RECOBRIMENTO"/>
      <sheetName val="DAR-01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TCB5"/>
      <sheetName val="RESUMO_AUT1"/>
      <sheetName val="QuQuant"/>
      <sheetName val="QUADRO COMPARATIVO"/>
      <sheetName val="CG"/>
      <sheetName val="Calendário"/>
      <sheetName val="Equipamentos"/>
      <sheetName val="PROJETO"/>
      <sheetName val="8ª MP_BR_459"/>
      <sheetName val="Dados"/>
      <sheetName val="P A T O  B"/>
      <sheetName val="61M-CBMI"/>
      <sheetName val="MAT-BET"/>
      <sheetName val="P A T O  D"/>
      <sheetName val="BD Equip."/>
      <sheetName val="Planilha"/>
      <sheetName val="CBUQ DRENO LONGIT RECOBRIMENTO"/>
      <sheetName val="DAR-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  <sheetName val="PLANILHA CONTRATUAL"/>
    </sheetNames>
    <sheetDataSet>
      <sheetData sheetId="0"/>
      <sheetData sheetId="1" refreshError="1">
        <row r="60">
          <cell r="J60">
            <v>8068152.96</v>
          </cell>
        </row>
      </sheetData>
      <sheetData sheetId="2"/>
      <sheetData sheetId="3"/>
      <sheetData sheetId="4" refreshError="1">
        <row r="48">
          <cell r="M48">
            <v>8068152.96</v>
          </cell>
        </row>
      </sheetData>
      <sheetData sheetId="5"/>
      <sheetData sheetId="6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orçamento"/>
      <sheetName val="Cronograma FIS FINANC"/>
      <sheetName val="Quadro de qntd"/>
      <sheetName val="CURVA ABC"/>
    </sheetNames>
    <sheetDataSet>
      <sheetData sheetId="0"/>
      <sheetData sheetId="1"/>
      <sheetData sheetId="2" refreshError="1">
        <row r="61">
          <cell r="J61">
            <v>5338671.330000001</v>
          </cell>
        </row>
      </sheetData>
      <sheetData sheetId="3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Quadro de qntd"/>
      <sheetName val="8ª MP_BR-459"/>
      <sheetName val="8ª MP_BR_459"/>
      <sheetName val="RMLE157"/>
      <sheetName val="Serviços"/>
      <sheetName val="RESUMO_AUT1"/>
      <sheetName val="TCC4"/>
      <sheetName val="TCB5"/>
      <sheetName val="PROJETO"/>
      <sheetName val="Equipamentos"/>
      <sheetName val="alphaville"/>
      <sheetName val="Mão de Obra"/>
      <sheetName val="CURVA ABC"/>
      <sheetName val="Cronograma FIS FINANC"/>
      <sheetName val="61M-CBMI"/>
      <sheetName val="MAT-BET"/>
      <sheetName val="P A T O  D"/>
      <sheetName val="orçamento"/>
      <sheetName val="QuQuant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Te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 B"/>
      <sheetName val="8ª MP_BR_459"/>
      <sheetName val="MB"/>
      <sheetName val="8ª MP_BR-459"/>
      <sheetName val="TCC4"/>
      <sheetName val="TCB5"/>
      <sheetName val="orçamento"/>
      <sheetName val="COMPOS1"/>
      <sheetName val="Mão de Obra"/>
      <sheetName val="Quadro de qntd"/>
      <sheetName val="P A T O  D"/>
      <sheetName val="Serviços"/>
      <sheetName val="RESUMO_AUT1"/>
      <sheetName val="QuQuant"/>
      <sheetName val="61M-CBMI"/>
      <sheetName val="Calendário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D 06"/>
      <sheetName val="QD 08"/>
      <sheetName val="MANUT E CONS"/>
      <sheetName val="INSTALAÇÃO DE CANT"/>
      <sheetName val="MOBILIZAÇÃO"/>
      <sheetName val="QUADRO10"/>
      <sheetName val="QD 07"/>
      <sheetName val="AUX"/>
      <sheetName val="QD 09"/>
      <sheetName val="CRONOGRAMA 1"/>
      <sheetName val="CRONOGRAMA 2"/>
      <sheetName val="Eqp"/>
      <sheetName val="MO"/>
      <sheetName val="Mat"/>
      <sheetName val="PROJETO"/>
      <sheetName val="Especif"/>
      <sheetName val="Equipamentos"/>
    </sheetNames>
    <sheetDataSet>
      <sheetData sheetId="0">
        <row r="19">
          <cell r="D19">
            <v>66775119.635517992</v>
          </cell>
        </row>
      </sheetData>
      <sheetData sheetId="1">
        <row r="7">
          <cell r="D7" t="str">
            <v>MELHORIA: IMPLANTAÇÃO DE  TERCEIRAS FAIXAS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MB"/>
      <sheetName val="BD Equip."/>
      <sheetName val="8ª MP_BR_459"/>
      <sheetName val="orçamento"/>
      <sheetName val="Quantidades e Preços - Lote 01"/>
      <sheetName val="Calendário"/>
      <sheetName val="Teor"/>
      <sheetName val="P A T O  B"/>
      <sheetName val="Serviços"/>
      <sheetName val="RESUMO_AUT1"/>
      <sheetName val="TCC4"/>
      <sheetName val="TCB5"/>
      <sheetName val="PROJETO"/>
      <sheetName val="61M-CBMI"/>
      <sheetName val="COMPOS1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"/>
      <sheetName val="PlanContrato"/>
      <sheetName val="Especif"/>
      <sheetName val="Calculo (2)"/>
      <sheetName val="PP"/>
      <sheetName val="Teor"/>
      <sheetName val="Equipamentos"/>
      <sheetName val="DRANPX14"/>
      <sheetName val="QuQuant"/>
      <sheetName val="alphaville"/>
      <sheetName val="BD Equip."/>
      <sheetName val="MB"/>
      <sheetName val="8ª MP_BR_459"/>
      <sheetName val="TCB5"/>
      <sheetName val="C_U"/>
      <sheetName val="Planejamento"/>
      <sheetName val="Vínculos (Não Mexer)"/>
      <sheetName val="Vínculos"/>
      <sheetName val="Calendário"/>
      <sheetName val="COMPOS1"/>
      <sheetName val="TCC4"/>
      <sheetName val="orçamento"/>
      <sheetName val="Planilha"/>
      <sheetName val="Pontes"/>
      <sheetName val="CBUQ DRENO LONGIT RECOBRIMENTO"/>
      <sheetName val="DAR-01"/>
      <sheetName val="CG"/>
    </sheetNames>
    <sheetDataSet>
      <sheetData sheetId="0"/>
      <sheetData sheetId="1"/>
      <sheetData sheetId="2"/>
      <sheetData sheetId="3">
        <row r="26">
          <cell r="A26" t="str">
            <v>CBUQ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Equipamentos"/>
      <sheetName val="QuQuant"/>
      <sheetName val="Quadro de qntd"/>
      <sheetName val="CURVA ABC"/>
      <sheetName val="Cronograma FIS FINANC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CBUQ DRENO LONGIT RECOBRIMENTO"/>
      <sheetName val="DAR-01"/>
      <sheetName val="RESUMO_AUT1"/>
      <sheetName val="8ª MP_BR_459"/>
      <sheetName val="TCB5"/>
      <sheetName val="PLANILHA CONTRATUAL"/>
      <sheetName val="Teor"/>
      <sheetName val="ce"/>
      <sheetName val="DSS_04"/>
      <sheetName val="Fresagem"/>
      <sheetName val="Meio-fio"/>
      <sheetName val="PintLigacao"/>
      <sheetName val="PMQ"/>
      <sheetName val="STC_01"/>
      <sheetName val="61M-CBMI"/>
      <sheetName val="MAT-BET"/>
      <sheetName val="P A T O  D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IL "/>
      <sheetName val="FORTALEZA"/>
      <sheetName val="KAPIVARI"/>
      <sheetName val="IPORA"/>
      <sheetName val="SETA"/>
      <sheetName val="SBT"/>
      <sheetName val="ZONAS"/>
      <sheetName val="MIX BRASIL-FORT-KAPIVARI"/>
      <sheetName val="MIX BRASIL-FORT-IPORA"/>
    </sheetNames>
    <sheetDataSet>
      <sheetData sheetId="0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4.3899999999999997</v>
          </cell>
        </row>
        <row r="11">
          <cell r="D11">
            <v>4.43</v>
          </cell>
        </row>
        <row r="12">
          <cell r="D12">
            <v>5.44</v>
          </cell>
        </row>
        <row r="13">
          <cell r="D13">
            <v>84.48</v>
          </cell>
        </row>
        <row r="14">
          <cell r="D14">
            <v>88.97</v>
          </cell>
        </row>
      </sheetData>
      <sheetData sheetId="1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14.94</v>
          </cell>
        </row>
        <row r="11">
          <cell r="D11">
            <v>50.16</v>
          </cell>
        </row>
        <row r="12">
          <cell r="D12">
            <v>75.900000000000006</v>
          </cell>
        </row>
        <row r="13">
          <cell r="D13">
            <v>84.81</v>
          </cell>
        </row>
        <row r="14">
          <cell r="D14">
            <v>92</v>
          </cell>
        </row>
      </sheetData>
      <sheetData sheetId="2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7.3500000000000005</v>
          </cell>
        </row>
        <row r="11">
          <cell r="D11">
            <v>27.566666666666666</v>
          </cell>
        </row>
        <row r="12">
          <cell r="D12">
            <v>49.723333333333329</v>
          </cell>
        </row>
        <row r="13">
          <cell r="D13">
            <v>70.484999999999999</v>
          </cell>
        </row>
        <row r="14">
          <cell r="D14">
            <v>91.24666666666667</v>
          </cell>
        </row>
      </sheetData>
      <sheetData sheetId="3"/>
      <sheetData sheetId="4"/>
      <sheetData sheetId="5"/>
      <sheetData sheetId="6">
        <row r="3"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E4">
            <v>0</v>
          </cell>
          <cell r="F4">
            <v>0</v>
          </cell>
          <cell r="G4">
            <v>0</v>
          </cell>
          <cell r="H4">
            <v>7</v>
          </cell>
        </row>
        <row r="5">
          <cell r="E5">
            <v>0</v>
          </cell>
          <cell r="F5">
            <v>0</v>
          </cell>
          <cell r="G5">
            <v>5</v>
          </cell>
          <cell r="H5">
            <v>10</v>
          </cell>
        </row>
        <row r="6">
          <cell r="E6">
            <v>0</v>
          </cell>
          <cell r="F6">
            <v>10</v>
          </cell>
          <cell r="G6">
            <v>20</v>
          </cell>
          <cell r="H6">
            <v>25</v>
          </cell>
        </row>
        <row r="7">
          <cell r="E7">
            <v>5</v>
          </cell>
          <cell r="F7">
            <v>20</v>
          </cell>
          <cell r="G7">
            <v>30</v>
          </cell>
          <cell r="H7">
            <v>50</v>
          </cell>
        </row>
        <row r="8">
          <cell r="E8">
            <v>15</v>
          </cell>
          <cell r="F8">
            <v>35</v>
          </cell>
          <cell r="G8">
            <v>55</v>
          </cell>
          <cell r="H8">
            <v>70</v>
          </cell>
        </row>
        <row r="9">
          <cell r="E9">
            <v>50</v>
          </cell>
          <cell r="F9">
            <v>65</v>
          </cell>
          <cell r="G9">
            <v>85</v>
          </cell>
          <cell r="H9">
            <v>95</v>
          </cell>
        </row>
        <row r="10">
          <cell r="E10">
            <v>85</v>
          </cell>
          <cell r="F10">
            <v>90</v>
          </cell>
          <cell r="G10">
            <v>95</v>
          </cell>
          <cell r="H10">
            <v>100</v>
          </cell>
        </row>
      </sheetData>
      <sheetData sheetId="7"/>
      <sheetData sheetId="8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ados"/>
      <sheetName val="Impressão"/>
      <sheetName val="Orçamento"/>
      <sheetName val="1 OAC Impressão"/>
      <sheetName val="DRENOS"/>
      <sheetName val="2 OAC ESCAV. E REATERRO"/>
      <sheetName val="VPA"/>
      <sheetName val="3 OAC REMOÇAO E DEMOLIÇÃO"/>
      <sheetName val="Consumos Drenagem (2)"/>
      <sheetName val="Transp. Dre Rodovia"/>
      <sheetName val="Quant. Dre Rodovia"/>
      <sheetName val="MFC"/>
      <sheetName val="NS LAGOA 1"/>
      <sheetName val="GAP _A"/>
      <sheetName val="BOCA DE LOBO"/>
      <sheetName val="NOTAS DE SERVIÇO"/>
      <sheetName val="Consumos Drenagem"/>
      <sheetName val="Transp. Dre LAGOA"/>
      <sheetName val="Quant. Dre Lagoa e Acesso"/>
      <sheetName val="SERVIÇOS RODOVIA"/>
      <sheetName val="SERVIÇOS LAGOAS"/>
    </sheetNames>
    <sheetDataSet>
      <sheetData sheetId="0">
        <row r="3">
          <cell r="A3" t="str">
            <v>1+5,93</v>
          </cell>
          <cell r="C3" t="str">
            <v>E</v>
          </cell>
          <cell r="G3">
            <v>0</v>
          </cell>
          <cell r="O3" t="str">
            <v/>
          </cell>
          <cell r="Y3" t="str">
            <v/>
          </cell>
          <cell r="Z3" t="str">
            <v/>
          </cell>
          <cell r="AA3" t="str">
            <v/>
          </cell>
        </row>
        <row r="4">
          <cell r="A4" t="str">
            <v>1+6,32</v>
          </cell>
          <cell r="C4" t="str">
            <v>E</v>
          </cell>
          <cell r="G4">
            <v>0</v>
          </cell>
          <cell r="O4" t="str">
            <v/>
          </cell>
          <cell r="Y4" t="str">
            <v/>
          </cell>
          <cell r="Z4" t="str">
            <v/>
          </cell>
          <cell r="AA4" t="str">
            <v/>
          </cell>
        </row>
        <row r="5">
          <cell r="A5" t="str">
            <v>7+8,20</v>
          </cell>
          <cell r="C5" t="str">
            <v>E</v>
          </cell>
          <cell r="G5">
            <v>0</v>
          </cell>
          <cell r="O5" t="str">
            <v/>
          </cell>
          <cell r="Y5" t="str">
            <v/>
          </cell>
          <cell r="Z5" t="str">
            <v/>
          </cell>
          <cell r="AA5" t="str">
            <v/>
          </cell>
        </row>
        <row r="6">
          <cell r="A6" t="str">
            <v>61+9,43</v>
          </cell>
          <cell r="C6" t="str">
            <v>E</v>
          </cell>
          <cell r="G6">
            <v>0</v>
          </cell>
          <cell r="O6" t="str">
            <v/>
          </cell>
          <cell r="Y6" t="str">
            <v/>
          </cell>
          <cell r="Z6" t="str">
            <v/>
          </cell>
          <cell r="AA6" t="str">
            <v/>
          </cell>
        </row>
        <row r="7">
          <cell r="A7" t="str">
            <v>123+12,70</v>
          </cell>
          <cell r="C7" t="str">
            <v>E</v>
          </cell>
          <cell r="G7">
            <v>0</v>
          </cell>
          <cell r="N7" t="str">
            <v/>
          </cell>
          <cell r="O7" t="str">
            <v/>
          </cell>
          <cell r="Y7" t="str">
            <v/>
          </cell>
          <cell r="Z7" t="str">
            <v/>
          </cell>
          <cell r="AA7" t="str">
            <v/>
          </cell>
        </row>
        <row r="8">
          <cell r="A8" t="str">
            <v>128+6,00</v>
          </cell>
          <cell r="C8" t="str">
            <v>E</v>
          </cell>
          <cell r="G8">
            <v>0</v>
          </cell>
          <cell r="Y8" t="str">
            <v/>
          </cell>
          <cell r="Z8" t="str">
            <v/>
          </cell>
          <cell r="AA8" t="str">
            <v/>
          </cell>
        </row>
        <row r="9">
          <cell r="A9" t="str">
            <v>1+6,22</v>
          </cell>
          <cell r="C9" t="str">
            <v>D</v>
          </cell>
          <cell r="G9">
            <v>0</v>
          </cell>
          <cell r="O9" t="str">
            <v/>
          </cell>
          <cell r="Y9" t="str">
            <v/>
          </cell>
          <cell r="Z9" t="str">
            <v/>
          </cell>
          <cell r="AA9" t="str">
            <v/>
          </cell>
        </row>
        <row r="10">
          <cell r="A10" t="str">
            <v>34+5,98</v>
          </cell>
          <cell r="B10">
            <v>1</v>
          </cell>
          <cell r="C10" t="str">
            <v>E</v>
          </cell>
          <cell r="D10">
            <v>824.899</v>
          </cell>
          <cell r="E10">
            <v>1.75</v>
          </cell>
          <cell r="F10">
            <v>0.73</v>
          </cell>
          <cell r="G10">
            <v>0</v>
          </cell>
          <cell r="O10" t="str">
            <v>BSTC Ø 1,00</v>
          </cell>
          <cell r="Y10">
            <v>17</v>
          </cell>
          <cell r="Z10">
            <v>0</v>
          </cell>
          <cell r="AA10">
            <v>17</v>
          </cell>
        </row>
        <row r="11">
          <cell r="A11" t="str">
            <v>51+15,69</v>
          </cell>
          <cell r="C11" t="str">
            <v>E</v>
          </cell>
          <cell r="G11">
            <v>0</v>
          </cell>
          <cell r="Y11" t="str">
            <v/>
          </cell>
          <cell r="Z11" t="str">
            <v/>
          </cell>
          <cell r="AA11" t="str">
            <v/>
          </cell>
        </row>
        <row r="12">
          <cell r="A12" t="str">
            <v>1+6,70</v>
          </cell>
          <cell r="C12" t="str">
            <v>D</v>
          </cell>
          <cell r="G12">
            <v>0</v>
          </cell>
          <cell r="O12" t="str">
            <v/>
          </cell>
          <cell r="Y12" t="str">
            <v/>
          </cell>
          <cell r="Z12" t="str">
            <v/>
          </cell>
          <cell r="AA12" t="str">
            <v/>
          </cell>
        </row>
        <row r="13">
          <cell r="A13" t="str">
            <v>1+6,19</v>
          </cell>
          <cell r="C13" t="str">
            <v>D</v>
          </cell>
          <cell r="G13">
            <v>0</v>
          </cell>
          <cell r="O13" t="str">
            <v/>
          </cell>
          <cell r="Y13" t="str">
            <v/>
          </cell>
          <cell r="Z13" t="str">
            <v/>
          </cell>
          <cell r="AA13" t="str">
            <v/>
          </cell>
        </row>
        <row r="14">
          <cell r="A14" t="str">
            <v>19+10,79</v>
          </cell>
          <cell r="C14" t="str">
            <v>E</v>
          </cell>
          <cell r="G14">
            <v>0</v>
          </cell>
          <cell r="N14" t="str">
            <v/>
          </cell>
          <cell r="O14" t="str">
            <v/>
          </cell>
          <cell r="Y14" t="str">
            <v/>
          </cell>
          <cell r="Z14" t="str">
            <v/>
          </cell>
          <cell r="AA14" t="str">
            <v/>
          </cell>
        </row>
        <row r="15">
          <cell r="A15" t="str">
            <v>27+12,38</v>
          </cell>
          <cell r="C15" t="str">
            <v>E</v>
          </cell>
          <cell r="G15">
            <v>0</v>
          </cell>
          <cell r="N15" t="str">
            <v/>
          </cell>
          <cell r="O15" t="str">
            <v/>
          </cell>
          <cell r="Y15" t="str">
            <v/>
          </cell>
          <cell r="Z15" t="str">
            <v/>
          </cell>
          <cell r="AA15" t="str">
            <v/>
          </cell>
        </row>
        <row r="17">
          <cell r="N17" t="str">
            <v/>
          </cell>
        </row>
        <row r="22">
          <cell r="N22" t="str">
            <v/>
          </cell>
          <cell r="O22" t="str">
            <v/>
          </cell>
          <cell r="Y22" t="str">
            <v/>
          </cell>
          <cell r="Z22" t="str">
            <v/>
          </cell>
          <cell r="AA22" t="str">
            <v/>
          </cell>
        </row>
        <row r="23">
          <cell r="N23" t="str">
            <v/>
          </cell>
          <cell r="O23" t="str">
            <v/>
          </cell>
          <cell r="Y23" t="str">
            <v/>
          </cell>
          <cell r="Z23" t="str">
            <v/>
          </cell>
          <cell r="AA23" t="str">
            <v/>
          </cell>
        </row>
        <row r="24">
          <cell r="N24" t="str">
            <v/>
          </cell>
          <cell r="O24" t="str">
            <v/>
          </cell>
          <cell r="Y24" t="str">
            <v/>
          </cell>
          <cell r="Z24" t="str">
            <v/>
          </cell>
          <cell r="AA24" t="str">
            <v/>
          </cell>
        </row>
        <row r="25">
          <cell r="N25" t="str">
            <v/>
          </cell>
          <cell r="O25" t="str">
            <v/>
          </cell>
          <cell r="Y25" t="str">
            <v/>
          </cell>
          <cell r="Z25" t="str">
            <v/>
          </cell>
          <cell r="AA25" t="str">
            <v/>
          </cell>
        </row>
        <row r="26">
          <cell r="N26" t="str">
            <v/>
          </cell>
          <cell r="O26" t="str">
            <v/>
          </cell>
          <cell r="Y26" t="str">
            <v/>
          </cell>
          <cell r="Z26" t="str">
            <v/>
          </cell>
          <cell r="AA26" t="str">
            <v/>
          </cell>
        </row>
        <row r="27">
          <cell r="N27" t="str">
            <v/>
          </cell>
          <cell r="O27" t="str">
            <v/>
          </cell>
          <cell r="Y27" t="str">
            <v/>
          </cell>
          <cell r="Z27" t="str">
            <v/>
          </cell>
          <cell r="AA27" t="str">
            <v/>
          </cell>
        </row>
        <row r="28">
          <cell r="N28" t="str">
            <v/>
          </cell>
          <cell r="O28" t="str">
            <v/>
          </cell>
          <cell r="Y28" t="str">
            <v/>
          </cell>
          <cell r="Z28" t="str">
            <v/>
          </cell>
          <cell r="AA28" t="str">
            <v/>
          </cell>
        </row>
        <row r="29">
          <cell r="N29" t="str">
            <v/>
          </cell>
          <cell r="O29" t="str">
            <v/>
          </cell>
          <cell r="Y29" t="str">
            <v/>
          </cell>
          <cell r="Z29" t="str">
            <v/>
          </cell>
          <cell r="AA29" t="str">
            <v/>
          </cell>
        </row>
        <row r="30">
          <cell r="N30" t="str">
            <v/>
          </cell>
          <cell r="Y30" t="str">
            <v/>
          </cell>
          <cell r="Z30" t="str">
            <v/>
          </cell>
          <cell r="AA30" t="str">
            <v/>
          </cell>
        </row>
        <row r="31">
          <cell r="N31" t="str">
            <v/>
          </cell>
          <cell r="Y31" t="str">
            <v/>
          </cell>
          <cell r="Z31" t="str">
            <v/>
          </cell>
          <cell r="AA31" t="str">
            <v/>
          </cell>
        </row>
        <row r="32">
          <cell r="N32" t="str">
            <v/>
          </cell>
          <cell r="Y32" t="str">
            <v/>
          </cell>
          <cell r="Z32" t="str">
            <v/>
          </cell>
          <cell r="AA32" t="str">
            <v/>
          </cell>
        </row>
        <row r="33">
          <cell r="N33" t="str">
            <v/>
          </cell>
          <cell r="Y33" t="str">
            <v/>
          </cell>
          <cell r="Z33" t="str">
            <v/>
          </cell>
          <cell r="AA33" t="str">
            <v/>
          </cell>
        </row>
        <row r="34">
          <cell r="N34" t="str">
            <v/>
          </cell>
          <cell r="Y34" t="str">
            <v/>
          </cell>
          <cell r="Z34" t="str">
            <v/>
          </cell>
          <cell r="AA34" t="str">
            <v/>
          </cell>
        </row>
        <row r="35">
          <cell r="N35" t="str">
            <v/>
          </cell>
          <cell r="Y35" t="str">
            <v/>
          </cell>
          <cell r="Z35" t="str">
            <v/>
          </cell>
          <cell r="AA35" t="str">
            <v/>
          </cell>
        </row>
        <row r="36">
          <cell r="N36" t="str">
            <v/>
          </cell>
          <cell r="Y36" t="str">
            <v/>
          </cell>
          <cell r="Z36" t="str">
            <v/>
          </cell>
          <cell r="AA36" t="str">
            <v/>
          </cell>
        </row>
        <row r="37">
          <cell r="N37" t="str">
            <v/>
          </cell>
          <cell r="Y37" t="str">
            <v/>
          </cell>
          <cell r="Z37" t="str">
            <v/>
          </cell>
          <cell r="AA37" t="str">
            <v/>
          </cell>
        </row>
        <row r="38">
          <cell r="N38" t="str">
            <v/>
          </cell>
          <cell r="Y38" t="str">
            <v/>
          </cell>
          <cell r="Z38" t="str">
            <v/>
          </cell>
          <cell r="AA38" t="str">
            <v/>
          </cell>
        </row>
        <row r="39">
          <cell r="N39" t="str">
            <v/>
          </cell>
          <cell r="Y39" t="str">
            <v/>
          </cell>
          <cell r="Z39" t="str">
            <v/>
          </cell>
          <cell r="AA39" t="str">
            <v/>
          </cell>
        </row>
        <row r="40">
          <cell r="N40" t="str">
            <v/>
          </cell>
          <cell r="Y40" t="str">
            <v/>
          </cell>
          <cell r="Z40" t="str">
            <v/>
          </cell>
          <cell r="AA40" t="str">
            <v/>
          </cell>
        </row>
        <row r="41">
          <cell r="N41" t="str">
            <v/>
          </cell>
          <cell r="Y41" t="str">
            <v/>
          </cell>
          <cell r="Z41" t="str">
            <v/>
          </cell>
          <cell r="AA41" t="str">
            <v/>
          </cell>
        </row>
        <row r="42">
          <cell r="N42" t="str">
            <v/>
          </cell>
          <cell r="O42" t="str">
            <v/>
          </cell>
          <cell r="Y42" t="str">
            <v/>
          </cell>
          <cell r="Z42" t="str">
            <v/>
          </cell>
          <cell r="AA42" t="str">
            <v/>
          </cell>
        </row>
        <row r="43">
          <cell r="N43" t="str">
            <v/>
          </cell>
          <cell r="O43" t="str">
            <v/>
          </cell>
          <cell r="Y43" t="str">
            <v/>
          </cell>
          <cell r="Z43" t="str">
            <v/>
          </cell>
          <cell r="AA43" t="str">
            <v/>
          </cell>
        </row>
        <row r="44">
          <cell r="N44" t="str">
            <v/>
          </cell>
          <cell r="O44" t="str">
            <v/>
          </cell>
          <cell r="Y44" t="str">
            <v/>
          </cell>
          <cell r="Z44" t="str">
            <v/>
          </cell>
          <cell r="AA44" t="str">
            <v/>
          </cell>
        </row>
        <row r="45">
          <cell r="N45" t="str">
            <v/>
          </cell>
          <cell r="O45" t="str">
            <v/>
          </cell>
          <cell r="Y45" t="str">
            <v/>
          </cell>
          <cell r="Z45" t="str">
            <v/>
          </cell>
          <cell r="AA45" t="str">
            <v/>
          </cell>
        </row>
        <row r="46">
          <cell r="N46" t="str">
            <v/>
          </cell>
          <cell r="O46" t="str">
            <v/>
          </cell>
          <cell r="Y46" t="str">
            <v/>
          </cell>
          <cell r="Z46" t="str">
            <v/>
          </cell>
          <cell r="AA46" t="str">
            <v/>
          </cell>
        </row>
        <row r="47">
          <cell r="N47" t="str">
            <v/>
          </cell>
          <cell r="O47" t="str">
            <v/>
          </cell>
          <cell r="Y47" t="str">
            <v/>
          </cell>
          <cell r="Z47" t="str">
            <v/>
          </cell>
          <cell r="AA47" t="str">
            <v/>
          </cell>
        </row>
        <row r="48">
          <cell r="N48" t="str">
            <v/>
          </cell>
          <cell r="O48" t="str">
            <v/>
          </cell>
          <cell r="Y48" t="str">
            <v/>
          </cell>
          <cell r="Z48" t="str">
            <v/>
          </cell>
          <cell r="AA48" t="str">
            <v/>
          </cell>
        </row>
        <row r="49">
          <cell r="N49" t="str">
            <v/>
          </cell>
          <cell r="O49" t="str">
            <v/>
          </cell>
          <cell r="Y49" t="str">
            <v/>
          </cell>
          <cell r="Z49" t="str">
            <v/>
          </cell>
          <cell r="AA49" t="str">
            <v/>
          </cell>
        </row>
        <row r="50">
          <cell r="N50" t="str">
            <v/>
          </cell>
          <cell r="O50" t="str">
            <v/>
          </cell>
          <cell r="Y50" t="str">
            <v/>
          </cell>
          <cell r="Z50" t="str">
            <v/>
          </cell>
          <cell r="AA50" t="str">
            <v/>
          </cell>
        </row>
        <row r="51">
          <cell r="N51" t="str">
            <v/>
          </cell>
          <cell r="O51" t="str">
            <v/>
          </cell>
          <cell r="Y51" t="str">
            <v/>
          </cell>
          <cell r="Z51" t="str">
            <v/>
          </cell>
          <cell r="AA51" t="str">
            <v/>
          </cell>
        </row>
        <row r="52">
          <cell r="N52" t="str">
            <v/>
          </cell>
          <cell r="O52" t="str">
            <v/>
          </cell>
          <cell r="Y52" t="str">
            <v/>
          </cell>
          <cell r="Z52" t="str">
            <v/>
          </cell>
          <cell r="AA52" t="str">
            <v/>
          </cell>
        </row>
        <row r="53">
          <cell r="N53" t="str">
            <v/>
          </cell>
          <cell r="O53" t="str">
            <v/>
          </cell>
          <cell r="Y53" t="str">
            <v/>
          </cell>
          <cell r="Z53" t="str">
            <v/>
          </cell>
          <cell r="AA53" t="str">
            <v/>
          </cell>
        </row>
        <row r="54">
          <cell r="N54" t="str">
            <v/>
          </cell>
          <cell r="O54" t="str">
            <v/>
          </cell>
          <cell r="Y54" t="str">
            <v/>
          </cell>
          <cell r="Z54" t="str">
            <v/>
          </cell>
          <cell r="AA54" t="str">
            <v/>
          </cell>
        </row>
        <row r="55">
          <cell r="N55" t="str">
            <v/>
          </cell>
          <cell r="O55" t="str">
            <v/>
          </cell>
          <cell r="Y55" t="str">
            <v/>
          </cell>
          <cell r="Z55" t="str">
            <v/>
          </cell>
          <cell r="AA55" t="str">
            <v/>
          </cell>
        </row>
        <row r="56">
          <cell r="N56" t="str">
            <v/>
          </cell>
        </row>
        <row r="57">
          <cell r="N57" t="str">
            <v/>
          </cell>
          <cell r="O57" t="str">
            <v/>
          </cell>
          <cell r="Y57" t="str">
            <v/>
          </cell>
          <cell r="Z57" t="str">
            <v/>
          </cell>
          <cell r="AA57" t="str">
            <v/>
          </cell>
        </row>
        <row r="58">
          <cell r="N58" t="str">
            <v/>
          </cell>
          <cell r="O58" t="str">
            <v/>
          </cell>
          <cell r="Y58" t="str">
            <v/>
          </cell>
          <cell r="Z58" t="str">
            <v/>
          </cell>
          <cell r="AA58" t="str">
            <v/>
          </cell>
        </row>
        <row r="59">
          <cell r="N59" t="str">
            <v/>
          </cell>
          <cell r="O59" t="str">
            <v/>
          </cell>
          <cell r="Y59" t="str">
            <v/>
          </cell>
          <cell r="Z59" t="str">
            <v/>
          </cell>
          <cell r="AA59" t="str">
            <v/>
          </cell>
        </row>
        <row r="60">
          <cell r="N60" t="str">
            <v/>
          </cell>
          <cell r="O60" t="str">
            <v/>
          </cell>
          <cell r="Y60" t="str">
            <v/>
          </cell>
          <cell r="Z60" t="str">
            <v/>
          </cell>
          <cell r="AA60" t="str">
            <v/>
          </cell>
        </row>
        <row r="61">
          <cell r="N61" t="str">
            <v/>
          </cell>
          <cell r="O61" t="str">
            <v/>
          </cell>
          <cell r="Y61" t="str">
            <v/>
          </cell>
          <cell r="Z61" t="str">
            <v/>
          </cell>
          <cell r="AA61" t="str">
            <v/>
          </cell>
        </row>
        <row r="62">
          <cell r="N62" t="str">
            <v/>
          </cell>
          <cell r="O62" t="str">
            <v/>
          </cell>
          <cell r="Y62" t="str">
            <v/>
          </cell>
          <cell r="Z62" t="str">
            <v/>
          </cell>
          <cell r="AA62" t="str">
            <v/>
          </cell>
        </row>
        <row r="63">
          <cell r="N63" t="str">
            <v/>
          </cell>
          <cell r="O63" t="str">
            <v/>
          </cell>
          <cell r="Y63" t="str">
            <v/>
          </cell>
          <cell r="Z63" t="str">
            <v/>
          </cell>
          <cell r="AA63" t="str">
            <v/>
          </cell>
        </row>
        <row r="64">
          <cell r="N64" t="str">
            <v/>
          </cell>
          <cell r="O64" t="str">
            <v/>
          </cell>
          <cell r="Y64" t="str">
            <v/>
          </cell>
          <cell r="Z64" t="str">
            <v/>
          </cell>
          <cell r="AA64" t="str">
            <v/>
          </cell>
        </row>
        <row r="65">
          <cell r="N65" t="str">
            <v/>
          </cell>
          <cell r="O65" t="str">
            <v/>
          </cell>
          <cell r="Y65" t="str">
            <v/>
          </cell>
          <cell r="Z65" t="str">
            <v/>
          </cell>
          <cell r="AA65" t="str">
            <v/>
          </cell>
        </row>
        <row r="66">
          <cell r="N66" t="str">
            <v/>
          </cell>
          <cell r="O66" t="str">
            <v/>
          </cell>
          <cell r="Y66" t="str">
            <v/>
          </cell>
          <cell r="Z66" t="str">
            <v/>
          </cell>
          <cell r="AA66" t="str">
            <v/>
          </cell>
        </row>
        <row r="67">
          <cell r="N67" t="str">
            <v/>
          </cell>
          <cell r="O67" t="str">
            <v/>
          </cell>
          <cell r="Y67" t="str">
            <v/>
          </cell>
          <cell r="Z67" t="str">
            <v/>
          </cell>
          <cell r="AA67" t="str">
            <v/>
          </cell>
        </row>
        <row r="68">
          <cell r="N68" t="str">
            <v/>
          </cell>
          <cell r="O68" t="str">
            <v/>
          </cell>
          <cell r="Y68" t="str">
            <v/>
          </cell>
          <cell r="Z68" t="str">
            <v/>
          </cell>
          <cell r="AA68" t="str">
            <v/>
          </cell>
        </row>
        <row r="69">
          <cell r="N69" t="str">
            <v/>
          </cell>
          <cell r="O69" t="str">
            <v/>
          </cell>
          <cell r="Y69" t="str">
            <v/>
          </cell>
          <cell r="Z69" t="str">
            <v/>
          </cell>
          <cell r="AA69" t="str">
            <v/>
          </cell>
        </row>
        <row r="70">
          <cell r="N70" t="str">
            <v/>
          </cell>
          <cell r="O70" t="str">
            <v/>
          </cell>
          <cell r="Y70" t="str">
            <v/>
          </cell>
          <cell r="Z70" t="str">
            <v/>
          </cell>
          <cell r="AA70" t="str">
            <v/>
          </cell>
        </row>
        <row r="71">
          <cell r="N71" t="str">
            <v/>
          </cell>
          <cell r="O71" t="str">
            <v/>
          </cell>
          <cell r="Y71" t="str">
            <v/>
          </cell>
          <cell r="Z71" t="str">
            <v/>
          </cell>
          <cell r="AA71" t="str">
            <v/>
          </cell>
        </row>
        <row r="72">
          <cell r="N72" t="str">
            <v/>
          </cell>
          <cell r="O72" t="str">
            <v/>
          </cell>
          <cell r="Y72" t="str">
            <v/>
          </cell>
          <cell r="Z72" t="str">
            <v/>
          </cell>
          <cell r="AA72" t="str">
            <v/>
          </cell>
        </row>
        <row r="73">
          <cell r="N73" t="str">
            <v/>
          </cell>
          <cell r="O73" t="str">
            <v/>
          </cell>
          <cell r="Y73" t="str">
            <v/>
          </cell>
          <cell r="Z73" t="str">
            <v/>
          </cell>
          <cell r="AA73" t="str">
            <v/>
          </cell>
        </row>
        <row r="74">
          <cell r="N74" t="str">
            <v/>
          </cell>
          <cell r="O74" t="str">
            <v/>
          </cell>
          <cell r="Y74" t="str">
            <v/>
          </cell>
          <cell r="Z74" t="str">
            <v/>
          </cell>
          <cell r="AA74" t="str">
            <v/>
          </cell>
        </row>
        <row r="75">
          <cell r="N75" t="str">
            <v/>
          </cell>
          <cell r="O75" t="str">
            <v/>
          </cell>
          <cell r="Y75" t="str">
            <v/>
          </cell>
          <cell r="Z75" t="str">
            <v/>
          </cell>
          <cell r="AA75" t="str">
            <v/>
          </cell>
        </row>
        <row r="76">
          <cell r="N76" t="str">
            <v/>
          </cell>
          <cell r="O76" t="str">
            <v/>
          </cell>
          <cell r="Y76" t="str">
            <v/>
          </cell>
          <cell r="Z76" t="str">
            <v/>
          </cell>
          <cell r="AA76" t="str">
            <v/>
          </cell>
        </row>
        <row r="77">
          <cell r="N77" t="str">
            <v/>
          </cell>
          <cell r="O77" t="str">
            <v/>
          </cell>
          <cell r="Y77" t="str">
            <v/>
          </cell>
          <cell r="Z77" t="str">
            <v/>
          </cell>
          <cell r="AA77" t="str">
            <v/>
          </cell>
        </row>
        <row r="78">
          <cell r="N78" t="str">
            <v/>
          </cell>
          <cell r="O78" t="str">
            <v/>
          </cell>
          <cell r="Y78" t="str">
            <v/>
          </cell>
          <cell r="Z78" t="str">
            <v/>
          </cell>
          <cell r="AA78" t="str">
            <v/>
          </cell>
        </row>
        <row r="79">
          <cell r="N79" t="str">
            <v/>
          </cell>
          <cell r="O79" t="str">
            <v/>
          </cell>
          <cell r="Y79" t="str">
            <v/>
          </cell>
          <cell r="Z79" t="str">
            <v/>
          </cell>
          <cell r="AA79" t="str">
            <v/>
          </cell>
        </row>
        <row r="80">
          <cell r="N80" t="str">
            <v/>
          </cell>
          <cell r="O80" t="str">
            <v/>
          </cell>
          <cell r="Y80" t="str">
            <v/>
          </cell>
          <cell r="Z80" t="str">
            <v/>
          </cell>
          <cell r="AA80" t="str">
            <v/>
          </cell>
        </row>
        <row r="81">
          <cell r="N81" t="str">
            <v/>
          </cell>
          <cell r="O81" t="str">
            <v/>
          </cell>
          <cell r="Y81" t="str">
            <v/>
          </cell>
          <cell r="Z81" t="str">
            <v/>
          </cell>
          <cell r="AA81" t="str">
            <v/>
          </cell>
        </row>
        <row r="82">
          <cell r="N82" t="str">
            <v/>
          </cell>
          <cell r="O82" t="str">
            <v/>
          </cell>
          <cell r="Y82" t="str">
            <v/>
          </cell>
          <cell r="Z82" t="str">
            <v/>
          </cell>
          <cell r="AA82" t="str">
            <v/>
          </cell>
        </row>
        <row r="83">
          <cell r="N83" t="str">
            <v/>
          </cell>
          <cell r="O83" t="str">
            <v/>
          </cell>
          <cell r="Y83" t="str">
            <v/>
          </cell>
          <cell r="Z83" t="str">
            <v/>
          </cell>
          <cell r="AA83" t="str">
            <v/>
          </cell>
        </row>
        <row r="84">
          <cell r="N84" t="str">
            <v/>
          </cell>
          <cell r="O84" t="str">
            <v/>
          </cell>
          <cell r="Y84" t="str">
            <v/>
          </cell>
          <cell r="Z84" t="str">
            <v/>
          </cell>
          <cell r="AA84" t="str">
            <v/>
          </cell>
        </row>
        <row r="85">
          <cell r="N85" t="str">
            <v/>
          </cell>
          <cell r="O85" t="str">
            <v/>
          </cell>
          <cell r="Y85" t="str">
            <v/>
          </cell>
          <cell r="Z85" t="str">
            <v/>
          </cell>
          <cell r="AA85" t="str">
            <v/>
          </cell>
        </row>
        <row r="86">
          <cell r="N86" t="str">
            <v/>
          </cell>
          <cell r="O86" t="str">
            <v/>
          </cell>
          <cell r="Y86" t="str">
            <v/>
          </cell>
          <cell r="Z86" t="str">
            <v/>
          </cell>
          <cell r="AA86" t="str">
            <v/>
          </cell>
        </row>
        <row r="87">
          <cell r="N87" t="str">
            <v/>
          </cell>
          <cell r="O87" t="str">
            <v/>
          </cell>
          <cell r="Y87" t="str">
            <v/>
          </cell>
          <cell r="Z87" t="str">
            <v/>
          </cell>
          <cell r="AA87" t="str">
            <v/>
          </cell>
        </row>
        <row r="88">
          <cell r="N88" t="str">
            <v/>
          </cell>
          <cell r="O88" t="str">
            <v/>
          </cell>
          <cell r="Y88" t="str">
            <v/>
          </cell>
          <cell r="Z88" t="str">
            <v/>
          </cell>
          <cell r="AA88" t="str">
            <v/>
          </cell>
        </row>
        <row r="89">
          <cell r="N89" t="str">
            <v/>
          </cell>
          <cell r="O89" t="str">
            <v/>
          </cell>
          <cell r="Y89" t="str">
            <v/>
          </cell>
          <cell r="Z89" t="str">
            <v/>
          </cell>
          <cell r="AA89" t="str">
            <v/>
          </cell>
        </row>
        <row r="90">
          <cell r="N90" t="str">
            <v/>
          </cell>
          <cell r="O90" t="str">
            <v/>
          </cell>
          <cell r="Y90" t="str">
            <v/>
          </cell>
          <cell r="Z90" t="str">
            <v/>
          </cell>
          <cell r="AA90" t="str">
            <v/>
          </cell>
        </row>
        <row r="91">
          <cell r="N91" t="str">
            <v/>
          </cell>
          <cell r="O91" t="str">
            <v/>
          </cell>
          <cell r="Y91" t="str">
            <v/>
          </cell>
          <cell r="Z91" t="str">
            <v/>
          </cell>
          <cell r="AA91" t="str">
            <v/>
          </cell>
        </row>
        <row r="92">
          <cell r="N92" t="str">
            <v/>
          </cell>
          <cell r="O92" t="str">
            <v/>
          </cell>
          <cell r="Y92" t="str">
            <v/>
          </cell>
          <cell r="Z92" t="str">
            <v/>
          </cell>
          <cell r="AA92" t="str">
            <v/>
          </cell>
        </row>
        <row r="93">
          <cell r="N93" t="str">
            <v/>
          </cell>
          <cell r="O93" t="str">
            <v/>
          </cell>
          <cell r="Y93" t="str">
            <v/>
          </cell>
          <cell r="Z93" t="str">
            <v/>
          </cell>
          <cell r="AA93" t="str">
            <v/>
          </cell>
        </row>
        <row r="94">
          <cell r="N94" t="str">
            <v/>
          </cell>
        </row>
        <row r="95">
          <cell r="N95" t="str">
            <v/>
          </cell>
        </row>
        <row r="96">
          <cell r="N96" t="str">
            <v/>
          </cell>
        </row>
        <row r="97">
          <cell r="N97" t="str">
            <v/>
          </cell>
        </row>
        <row r="98">
          <cell r="N98" t="str">
            <v/>
          </cell>
        </row>
        <row r="99">
          <cell r="N99" t="str">
            <v/>
          </cell>
        </row>
        <row r="100">
          <cell r="N100" t="str">
            <v/>
          </cell>
        </row>
        <row r="101">
          <cell r="N101" t="str">
            <v/>
          </cell>
        </row>
        <row r="102">
          <cell r="N102" t="str">
            <v/>
          </cell>
        </row>
        <row r="103">
          <cell r="N103" t="str">
            <v/>
          </cell>
        </row>
      </sheetData>
      <sheetData sheetId="1" refreshError="1"/>
      <sheetData sheetId="2">
        <row r="32">
          <cell r="B32" t="str">
            <v>1-TOTAL DE CORPO BSTC D=1,00m AC/BC/PC = 17,00 m</v>
          </cell>
        </row>
        <row r="33">
          <cell r="B33" t="str">
            <v>2-TOTAL DE BOCA BSTC D=1,00m - NORMAL AC/BC/PC = 0,00 und</v>
          </cell>
        </row>
        <row r="37">
          <cell r="B37" t="str">
            <v>3-TOTAL DE CORPO BTTC D=1,20m = 0,00 m</v>
          </cell>
        </row>
        <row r="38">
          <cell r="B38" t="str">
            <v>4-TOTAL DE BOCA BTTC D=1,20m - NORMAL = 0,00 und</v>
          </cell>
        </row>
        <row r="42">
          <cell r="B42" t="str">
            <v>5-TOTAL DE CORPO BTTC D=1,50m = 0,00 m</v>
          </cell>
        </row>
        <row r="43">
          <cell r="B43" t="str">
            <v>6-TOTAL DE BOCA BTTC D=1,50m - NORMAL = 0,00 und</v>
          </cell>
        </row>
        <row r="49">
          <cell r="B49" t="str">
            <v>7-TOTAL DE DISSIPADOR DE ENERGIA - DEB 05 AC/BC/PC = 0,00 und</v>
          </cell>
        </row>
        <row r="50">
          <cell r="B50" t="str">
            <v>8-TOTAL DE DISSIPADOR DE ENERGIA - DEB 12 AC/BC/PC = 0,00 und</v>
          </cell>
        </row>
        <row r="51">
          <cell r="B51" t="str">
            <v>9-TOTAL DE DISSIPADOR DE ENERGIA - DEB 13 AC/BC/PC = 0,00 und</v>
          </cell>
        </row>
      </sheetData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ados"/>
      <sheetName val="Impressão"/>
      <sheetName val="Orçamento"/>
      <sheetName val="PG_Tubular"/>
      <sheetName val="SECOES_LAND"/>
    </sheetNames>
    <sheetDataSet>
      <sheetData sheetId="0">
        <row r="53">
          <cell r="M53" t="str">
            <v/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EB33-6E0E-4C19-914E-56D39BB2ADE0}">
  <sheetPr>
    <tabColor rgb="FFFFFF00"/>
  </sheetPr>
  <dimension ref="A1:I294"/>
  <sheetViews>
    <sheetView zoomScale="115" zoomScaleNormal="115" workbookViewId="0">
      <selection activeCell="F13" sqref="F13"/>
    </sheetView>
  </sheetViews>
  <sheetFormatPr defaultRowHeight="15"/>
  <cols>
    <col min="1" max="1" width="10" style="118" customWidth="1"/>
    <col min="2" max="2" width="50.5703125" customWidth="1"/>
    <col min="3" max="3" width="11.85546875" style="149" customWidth="1"/>
    <col min="4" max="4" width="12" style="149" customWidth="1"/>
    <col min="5" max="5" width="14" bestFit="1" customWidth="1"/>
  </cols>
  <sheetData>
    <row r="1" spans="1:6" ht="30.75" customHeight="1">
      <c r="A1" s="154" t="s">
        <v>88</v>
      </c>
      <c r="B1" s="155" t="s">
        <v>89</v>
      </c>
      <c r="C1" s="156" t="s">
        <v>90</v>
      </c>
      <c r="D1" s="156" t="s">
        <v>91</v>
      </c>
    </row>
    <row r="2" spans="1:6">
      <c r="A2" s="469" t="s">
        <v>242</v>
      </c>
      <c r="B2" s="468"/>
      <c r="C2" s="468"/>
      <c r="D2" s="468"/>
    </row>
    <row r="3" spans="1:6" s="148" customFormat="1" ht="27">
      <c r="A3" s="313" t="str">
        <f>'Quant. Pav Rodovia'!A2</f>
        <v>COMP</v>
      </c>
      <c r="B3" s="314" t="str">
        <f>'Quant. Pav Rodovia'!B2</f>
        <v>PAVIMENTO DE CONCRETO - AREIA E BRITA COMERCIAIS (INCLUSO: VIBROACABADORA E MÁQUINA TEXTURIZADORA E APLICADORA DE CURA QUÍMICA EM PAVIMENTO DE CONCRETO)</v>
      </c>
      <c r="C3" s="315" t="str">
        <f>'Quant. Pav Rodovia'!C2</f>
        <v>m³</v>
      </c>
      <c r="D3" s="150">
        <f>'Quant. Pav Rodovia'!D2</f>
        <v>7809.4</v>
      </c>
      <c r="F3"/>
    </row>
    <row r="4" spans="1:6" s="120" customFormat="1" ht="18.75" customHeight="1">
      <c r="A4" s="313">
        <v>40436</v>
      </c>
      <c r="B4" s="314" t="s">
        <v>368</v>
      </c>
      <c r="C4" s="315" t="str">
        <f>'Quant. Pav Rodovia'!C3</f>
        <v xml:space="preserve">m3km  </v>
      </c>
      <c r="D4" s="150">
        <f>'Quant. Pav Rodovia'!D3</f>
        <v>14413.806570049999</v>
      </c>
      <c r="F4"/>
    </row>
    <row r="5" spans="1:6" ht="21" customHeight="1">
      <c r="A5" s="313">
        <f>'Quant. Pav Rodovia'!A4</f>
        <v>4011536</v>
      </c>
      <c r="B5" s="314" t="str">
        <f>'Quant. Pav Rodovia'!B4</f>
        <v>MEMBRANA PLÁSTICA ISOLANTE E IMPERMEABILIZANTE COM ESPESSURA DE 0,2 MM - FORNECIMENTO E INSTALAÇÃO</v>
      </c>
      <c r="C5" s="315" t="str">
        <f>'Quant. Pav Rodovia'!C4</f>
        <v>m²</v>
      </c>
      <c r="D5" s="150">
        <f>'Quant. Pav Rodovia'!D4</f>
        <v>39047.031000000003</v>
      </c>
    </row>
    <row r="6" spans="1:6" s="120" customFormat="1" ht="21" customHeight="1">
      <c r="A6" s="313">
        <f>'Quant. Pav Rodovia'!A5</f>
        <v>40380</v>
      </c>
      <c r="B6" s="314" t="str">
        <f>'Quant. Pav Rodovia'!B5</f>
        <v>IMPRIMAÇÃO</v>
      </c>
      <c r="C6" s="315" t="str">
        <f>'Quant. Pav Rodovia'!C5</f>
        <v xml:space="preserve">m2    </v>
      </c>
      <c r="D6" s="150">
        <f>'Quant. Pav Rodovia'!D5</f>
        <v>17974.556000000004</v>
      </c>
    </row>
    <row r="7" spans="1:6" s="120" customFormat="1" ht="18.75" customHeight="1">
      <c r="A7" s="313">
        <f>'Quant. Pav Rodovia'!A6</f>
        <v>40435</v>
      </c>
      <c r="B7" s="314" t="str">
        <f>'Quant. Pav Rodovia'!B6</f>
        <v>TRANSPORTE LOCAL DE MATERIAL BETUMINOSO</v>
      </c>
      <c r="C7" s="315" t="str">
        <f>'Quant. Pav Rodovia'!C6</f>
        <v xml:space="preserve">TKM   </v>
      </c>
      <c r="D7" s="150">
        <f>'Quant. Pav Rodovia'!D6</f>
        <v>32.751472041223003</v>
      </c>
    </row>
    <row r="8" spans="1:6" s="120" customFormat="1" ht="21" customHeight="1">
      <c r="A8" s="313">
        <f>'Quant. Pav Rodovia'!A7</f>
        <v>40617</v>
      </c>
      <c r="B8" s="314" t="str">
        <f>'Quant. Pav Rodovia'!B7</f>
        <v>ESTABILIZAÇÃO BRITA GRADUADA TRATADA COM CIMENTO (BGTC) - USINA</v>
      </c>
      <c r="C8" s="315" t="str">
        <f>'Quant. Pav Rodovia'!C7</f>
        <v xml:space="preserve">m3    </v>
      </c>
      <c r="D8" s="150">
        <f>'Quant. Pav Rodovia'!D7</f>
        <v>295.91525999999999</v>
      </c>
    </row>
    <row r="9" spans="1:6" s="120" customFormat="1" ht="21" customHeight="1">
      <c r="A9" s="313" t="str">
        <f>'Quant. Pav Rodovia'!A8</f>
        <v>COMP</v>
      </c>
      <c r="B9" s="314" t="str">
        <f>'Quant. Pav Rodovia'!B8</f>
        <v>ESTABILIZAÇÃO 50% FRESAGEM + 50% BRITA GRADUADA TRATADA COM CIMENTO (BGTC) - USINA</v>
      </c>
      <c r="C9" s="315" t="str">
        <f>'Quant. Pav Rodovia'!C8</f>
        <v xml:space="preserve">m3    </v>
      </c>
      <c r="D9" s="150">
        <f>'Quant. Pav Rodovia'!D8</f>
        <v>1841.5646999999999</v>
      </c>
    </row>
    <row r="10" spans="1:6" s="120" customFormat="1" ht="21" customHeight="1">
      <c r="A10" s="313">
        <f>'Quant. Pav Rodovia'!A9</f>
        <v>40325</v>
      </c>
      <c r="B10" s="314" t="str">
        <f>'Quant. Pav Rodovia'!B9</f>
        <v>TRANSPORTE DA MISTURA</v>
      </c>
      <c r="C10" s="315" t="str">
        <f>'Quant. Pav Rodovia'!C9</f>
        <v xml:space="preserve">m3km  </v>
      </c>
      <c r="D10" s="150">
        <f>'Quant. Pav Rodovia'!D9</f>
        <v>5920.4945943381281</v>
      </c>
    </row>
    <row r="11" spans="1:6" ht="21" customHeight="1">
      <c r="A11" s="313">
        <f>'Quant. Pav Rodovia'!A10</f>
        <v>40470</v>
      </c>
      <c r="B11" s="314" t="str">
        <f>'Quant. Pav Rodovia'!B10</f>
        <v>FRESAGEM CONTÍNUA Á FRIO</v>
      </c>
      <c r="C11" s="315" t="str">
        <f>'Quant. Pav Rodovia'!C10</f>
        <v xml:space="preserve">m3    </v>
      </c>
      <c r="D11" s="150">
        <f>'Quant. Pav Rodovia'!D10</f>
        <v>920.80400000000009</v>
      </c>
    </row>
    <row r="12" spans="1:6" s="120" customFormat="1" ht="21" customHeight="1">
      <c r="A12" s="313">
        <f>'Quant. Pav Rodovia'!A11</f>
        <v>40430</v>
      </c>
      <c r="B12" s="314" t="str">
        <f>'Quant. Pav Rodovia'!B11</f>
        <v>TRANSPORTE DE PAVIMENTO REMOVIDO</v>
      </c>
      <c r="C12" s="315" t="str">
        <f>'Quant. Pav Rodovia'!C11</f>
        <v xml:space="preserve">m3km  </v>
      </c>
      <c r="D12" s="150">
        <f>'Quant. Pav Rodovia'!D11</f>
        <v>2270.5195520408001</v>
      </c>
    </row>
    <row r="13" spans="1:6" s="120" customFormat="1" ht="21" customHeight="1">
      <c r="A13" s="313">
        <f>'Quant. Pav Rodovia'!A12</f>
        <v>40310</v>
      </c>
      <c r="B13" s="314" t="str">
        <f>'Quant. Pav Rodovia'!B12</f>
        <v>REGULARIZAÇÃO E COMPACTAÇÃO DO SUBLEITO</v>
      </c>
      <c r="C13" s="315" t="str">
        <f>'Quant. Pav Rodovia'!C12</f>
        <v xml:space="preserve">m2    </v>
      </c>
      <c r="D13" s="150">
        <f>'Quant. Pav Rodovia'!D12</f>
        <v>16227.598000000002</v>
      </c>
    </row>
    <row r="14" spans="1:6" s="120" customFormat="1" ht="21" customHeight="1">
      <c r="A14" s="313">
        <f>'Quant. Pav Rodovia'!A13</f>
        <v>40455</v>
      </c>
      <c r="B14" s="314" t="str">
        <f>'Quant. Pav Rodovia'!B13</f>
        <v>TRANSPORTE COMERCIAL DE AGREGADOS</v>
      </c>
      <c r="C14" s="315" t="str">
        <f>'Quant. Pav Rodovia'!C13</f>
        <v xml:space="preserve">m3km  </v>
      </c>
      <c r="D14" s="150">
        <f>'Quant. Pav Rodovia'!D13</f>
        <v>490401.25796925835</v>
      </c>
    </row>
    <row r="15" spans="1:6" s="120" customFormat="1" ht="18.75" customHeight="1">
      <c r="A15" s="313">
        <f>'Quant. Pav Rodovia'!A14</f>
        <v>40450</v>
      </c>
      <c r="B15" s="314" t="str">
        <f>'Quant. Pav Rodovia'!B14</f>
        <v>TRANSPORTE COMERCIAL DE CIMENTO / CAL / FILLER</v>
      </c>
      <c r="C15" s="315" t="str">
        <f>'Quant. Pav Rodovia'!C14</f>
        <v xml:space="preserve">TKM   </v>
      </c>
      <c r="D15" s="150">
        <f>'Quant. Pav Rodovia'!D14</f>
        <v>533722.38748892734</v>
      </c>
    </row>
    <row r="16" spans="1:6" s="120" customFormat="1" ht="18.75" customHeight="1">
      <c r="A16" s="313">
        <f>'Quant. Pav Rodovia'!A15</f>
        <v>40485</v>
      </c>
      <c r="B16" s="314" t="str">
        <f>'Quant. Pav Rodovia'!B15</f>
        <v>FORNECIMENTO DE EMULSÃO ASFÁLTICA PARA IMPRIMAÇÃO - EAI</v>
      </c>
      <c r="C16" s="315" t="str">
        <f>'Quant. Pav Rodovia'!C15</f>
        <v xml:space="preserve">t     </v>
      </c>
      <c r="D16" s="150">
        <f>'Quant. Pav Rodovia'!D15</f>
        <v>23.366922800000005</v>
      </c>
    </row>
    <row r="17" spans="1:8" s="120" customFormat="1" ht="18.75" customHeight="1">
      <c r="A17" s="313">
        <f>'Quant. Pav Rodovia'!A16</f>
        <v>40530</v>
      </c>
      <c r="B17" s="314" t="str">
        <f>'Quant. Pav Rodovia'!B16</f>
        <v>TRANSPORTE COMERCIAL DE MATERIAL BETUMINOSO</v>
      </c>
      <c r="C17" s="315" t="str">
        <f>'Quant. Pav Rodovia'!C16</f>
        <v xml:space="preserve">tkm   </v>
      </c>
      <c r="D17" s="150">
        <f>'Quant. Pav Rodovia'!D16</f>
        <v>5765.5545316720018</v>
      </c>
    </row>
    <row r="18" spans="1:8" s="152" customFormat="1" ht="18.75" customHeight="1">
      <c r="A18" s="313">
        <f>'Quant. Pav Rodovia'!A17</f>
        <v>40451</v>
      </c>
      <c r="B18" s="314" t="str">
        <f>'Quant. Pav Rodovia'!B17</f>
        <v>TRANSPORTE COMERCIAL DE MATERIAL BÁSICO</v>
      </c>
      <c r="C18" s="315" t="str">
        <f>'Quant. Pav Rodovia'!C17</f>
        <v xml:space="preserve">tkm   </v>
      </c>
      <c r="D18" s="150">
        <f>'Quant. Pav Rodovia'!D17</f>
        <v>20399.360014941602</v>
      </c>
    </row>
    <row r="19" spans="1:8" s="152" customFormat="1" ht="18.75" customHeight="1">
      <c r="A19" s="313" t="str">
        <f>'Quant. Pav Rodovia'!A18</f>
        <v xml:space="preserve">47050 </v>
      </c>
      <c r="B19" s="314" t="str">
        <f>'Quant. Pav Rodovia'!B18</f>
        <v>TRANSPORTE LOCAL DE MATERIAL BÁSICO</v>
      </c>
      <c r="C19" s="315" t="str">
        <f>'Quant. Pav Rodovia'!C18</f>
        <v xml:space="preserve">tkm   </v>
      </c>
      <c r="D19" s="150">
        <f>'Quant. Pav Rodovia'!D18</f>
        <v>163.1471137755569</v>
      </c>
    </row>
    <row r="20" spans="1:8" ht="18">
      <c r="A20" s="313">
        <f>'Quant. Pav Rodovia'!A19</f>
        <v>4011537</v>
      </c>
      <c r="B20" s="314" t="str">
        <f>'Quant. Pav Rodovia'!B19</f>
        <v>SERRAGEM DE JUNTAS EM PAVIMENTO DE CONCRETO, LIMPEZA E ENCHIMENTO COM SELANTE A FRIO</v>
      </c>
      <c r="C20" s="315" t="str">
        <f>'Quant. Pav Rodovia'!C19</f>
        <v>m</v>
      </c>
      <c r="D20" s="150">
        <f>'Quant. Pav Rodovia'!D19</f>
        <v>19679.64</v>
      </c>
      <c r="E20" s="159"/>
    </row>
    <row r="21" spans="1:8" s="120" customFormat="1" ht="18.75" customHeight="1">
      <c r="A21" s="313" t="str">
        <f>'Quant. Pav Rodovia'!A20</f>
        <v>507225DERPR</v>
      </c>
      <c r="B21" s="314" t="str">
        <f>'Quant. Pav Rodovia'!B20</f>
        <v>FORNECIMENTO E COLOCAÇÃO DE AÇO CA-50 PARA BARRAS DE TRANSFERÊNCIA Ø= 25 mm</v>
      </c>
      <c r="C21" s="315" t="str">
        <f>'Quant. Pav Rodovia'!C20</f>
        <v>kg</v>
      </c>
      <c r="D21" s="150">
        <f>'Quant. Pav Rodovia'!D20</f>
        <v>48029.725620000005</v>
      </c>
      <c r="E21" s="159"/>
      <c r="F21"/>
      <c r="G21"/>
      <c r="H21"/>
    </row>
    <row r="22" spans="1:8" s="120" customFormat="1" ht="18.75" customHeight="1">
      <c r="A22" s="313" t="str">
        <f>'Quant. Pav Rodovia'!A21</f>
        <v>507210DERPR</v>
      </c>
      <c r="B22" s="314" t="str">
        <f>'Quant. Pav Rodovia'!B21</f>
        <v>FORNECIMENTO E COLOCAÇÃO DE AÇO CA-50 PARA BARRAS DE LIGAÇÃO</v>
      </c>
      <c r="C22" s="315" t="str">
        <f>'Quant. Pav Rodovia'!C21</f>
        <v>kg</v>
      </c>
      <c r="D22" s="150">
        <f>'Quant. Pav Rodovia'!D21</f>
        <v>5621.1897000000008</v>
      </c>
      <c r="E22" s="159"/>
      <c r="F22"/>
      <c r="G22"/>
      <c r="H22"/>
    </row>
    <row r="23" spans="1:8" s="120" customFormat="1" ht="18.75" customHeight="1">
      <c r="A23" s="161" t="str">
        <f>'Quant. Pav Rodovia'!A22</f>
        <v>0407743DN</v>
      </c>
      <c r="B23" s="160" t="str">
        <f>'Quant. Pav Rodovia'!B22</f>
        <v>TRELIÇA NERVURADA TRÊS BARRAS LONGITUDINAIS INTERLIGADAS POR DUAS DIAGONAIS SINUSOIDAL - FORNECIMENTO E INSTALAÇÃO</v>
      </c>
      <c r="C23" s="119" t="str">
        <f>'Quant. Pav Rodovia'!C22</f>
        <v>kg</v>
      </c>
      <c r="D23" s="147">
        <f>'Quant. Pav Rodovia'!D22</f>
        <v>34742.186399999999</v>
      </c>
      <c r="E23" s="159"/>
      <c r="F23"/>
      <c r="G23"/>
      <c r="H23"/>
    </row>
    <row r="24" spans="1:8" s="120" customFormat="1" ht="18.75" customHeight="1">
      <c r="A24" s="161" t="str">
        <f>'Quant. Pav Rodovia'!A23</f>
        <v>261610CC</v>
      </c>
      <c r="B24" s="160" t="str">
        <f>'Quant. Pav Rodovia'!B23</f>
        <v xml:space="preserve">Pintura esmalte Alquidico estrutura metálica 1 demão ( para barra de Transferência) </v>
      </c>
      <c r="C24" s="119" t="str">
        <f>'Quant. Pav Rodovia'!C23</f>
        <v xml:space="preserve">m2    </v>
      </c>
      <c r="D24" s="147">
        <f>'Quant. Pav Rodovia'!D23</f>
        <v>528.41424060000008</v>
      </c>
    </row>
    <row r="25" spans="1:8">
      <c r="A25" s="469" t="s">
        <v>244</v>
      </c>
      <c r="B25" s="468"/>
      <c r="C25" s="468"/>
      <c r="D25" s="468"/>
    </row>
    <row r="26" spans="1:8">
      <c r="A26" s="313">
        <f>'Quant. Dre Rodovia'!B5</f>
        <v>45410</v>
      </c>
      <c r="B26" s="314" t="str">
        <f>'Quant. Dre Rodovia'!C5</f>
        <v>ESCAVAÇÃO MECÂNICA EM TERRA - BDI = 27,21</v>
      </c>
      <c r="C26" s="315" t="str">
        <f>'Quant. Dre Rodovia'!E5</f>
        <v>m3</v>
      </c>
      <c r="D26" s="150">
        <f>'Quant. Dre Rodovia'!F5</f>
        <v>761.09249999999997</v>
      </c>
    </row>
    <row r="27" spans="1:8">
      <c r="A27" s="313">
        <f>'Quant. Dre Rodovia'!B6</f>
        <v>47027</v>
      </c>
      <c r="B27" s="314" t="str">
        <f>'Quant. Dre Rodovia'!C6</f>
        <v>ESCAVAÇÃO MANUAL</v>
      </c>
      <c r="C27" s="315" t="str">
        <f>'Quant. Dre Rodovia'!E6</f>
        <v>m3</v>
      </c>
      <c r="D27" s="150">
        <f>'Quant. Dre Rodovia'!F6</f>
        <v>41.57</v>
      </c>
    </row>
    <row r="28" spans="1:8">
      <c r="A28" s="313">
        <f>'Quant. Dre Rodovia'!B7</f>
        <v>40102</v>
      </c>
      <c r="B28" s="314" t="str">
        <f>'Quant. Dre Rodovia'!C7</f>
        <v>COMPACTAÇÃO MANUAL</v>
      </c>
      <c r="C28" s="315" t="str">
        <f>'Quant. Dre Rodovia'!E7</f>
        <v>M3</v>
      </c>
      <c r="D28" s="150">
        <f>'Quant. Dre Rodovia'!F7</f>
        <v>17.21</v>
      </c>
    </row>
    <row r="29" spans="1:8">
      <c r="A29" s="313">
        <f>'Quant. Dre Rodovia'!B8</f>
        <v>41800</v>
      </c>
      <c r="B29" s="314" t="str">
        <f>'Quant. Dre Rodovia'!C8</f>
        <v>REMOÇÃO DE BUEIROS TUBULARES</v>
      </c>
      <c r="C29" s="315" t="str">
        <f>'Quant. Dre Rodovia'!E8</f>
        <v>m</v>
      </c>
      <c r="D29" s="150">
        <f>'Quant. Dre Rodovia'!F8</f>
        <v>17</v>
      </c>
    </row>
    <row r="30" spans="1:8">
      <c r="A30" s="313">
        <f>'Quant. Dre Rodovia'!B9</f>
        <v>40006</v>
      </c>
      <c r="B30" s="314" t="str">
        <f>'Quant. Dre Rodovia'!C9</f>
        <v>TRANSPORTE DE ENTULHOS</v>
      </c>
      <c r="C30" s="315" t="str">
        <f>'Quant. Dre Rodovia'!E9</f>
        <v xml:space="preserve">m3km  </v>
      </c>
      <c r="D30" s="150">
        <f>'Quant. Dre Rodovia'!F9</f>
        <v>6.8000000000000007</v>
      </c>
    </row>
    <row r="31" spans="1:8">
      <c r="A31" s="313">
        <f>'Quant. Dre Rodovia'!B10</f>
        <v>41816</v>
      </c>
      <c r="B31" s="314" t="str">
        <f>'Quant. Dre Rodovia'!C10</f>
        <v>CORPO DE BSTC D=1,00M (EXCETO ESCAVAÇÃO)</v>
      </c>
      <c r="C31" s="315" t="str">
        <f>'Quant. Dre Rodovia'!E10</f>
        <v>m</v>
      </c>
      <c r="D31" s="150">
        <f>'Quant. Dre Rodovia'!F10</f>
        <v>17</v>
      </c>
    </row>
    <row r="32" spans="1:8">
      <c r="A32" s="313">
        <f>'Quant. Dre Rodovia'!B11</f>
        <v>41806</v>
      </c>
      <c r="B32" s="314" t="str">
        <f>'Quant. Dre Rodovia'!C11</f>
        <v>CORPO DE BSTC D=0,60M (EXCETO ESCAVAÇÃO)</v>
      </c>
      <c r="C32" s="315" t="str">
        <f>'Quant. Dre Rodovia'!E11</f>
        <v>m</v>
      </c>
      <c r="D32" s="150">
        <f>'Quant. Dre Rodovia'!F11</f>
        <v>11</v>
      </c>
    </row>
    <row r="33" spans="1:4" ht="18">
      <c r="A33" s="313">
        <f>'Quant. Dre Rodovia'!B12</f>
        <v>41309</v>
      </c>
      <c r="B33" s="314" t="str">
        <f>'Quant. Dre Rodovia'!C12</f>
        <v>DRENO PROFUNDO, CORTE EM SOLO PEAD - DPS13 (ANTIGO DPS07) (EXCETO ESCAVAÇÃO) (BC)</v>
      </c>
      <c r="C33" s="315" t="str">
        <f>'Quant. Dre Rodovia'!E12</f>
        <v>m</v>
      </c>
      <c r="D33" s="150">
        <f>'Quant. Dre Rodovia'!F12</f>
        <v>793.07</v>
      </c>
    </row>
    <row r="34" spans="1:4" ht="18">
      <c r="A34" s="313">
        <f>'Quant. Dre Rodovia'!B13</f>
        <v>2003601</v>
      </c>
      <c r="B34" s="314" t="str">
        <f>'Quant. Dre Rodovia'!C13</f>
        <v>Boca de saída para dreno longitudinal profundo - BSD 02 - tubo de concreto perfurado - areia e brita comerciais</v>
      </c>
      <c r="C34" s="315" t="str">
        <f>'Quant. Dre Rodovia'!E13</f>
        <v>un</v>
      </c>
      <c r="D34" s="150">
        <f>'Quant. Dre Rodovia'!F13</f>
        <v>1</v>
      </c>
    </row>
    <row r="35" spans="1:4" ht="18">
      <c r="A35" s="313">
        <f>'Quant. Dre Rodovia'!B14</f>
        <v>2003517</v>
      </c>
      <c r="B35" s="314" t="str">
        <f>'Quant. Dre Rodovia'!C14</f>
        <v>Caixa coletora de sarjeta - CCS 200-60 B - com grelha de aço - areia e brita comerciais</v>
      </c>
      <c r="C35" s="315" t="str">
        <f>'Quant. Dre Rodovia'!E14</f>
        <v>un</v>
      </c>
      <c r="D35" s="150">
        <f>'Quant. Dre Rodovia'!F14</f>
        <v>1</v>
      </c>
    </row>
    <row r="36" spans="1:4" ht="18">
      <c r="A36" s="313">
        <f>'Quant. Dre Rodovia'!B15</f>
        <v>2003315</v>
      </c>
      <c r="B36" s="314" t="str">
        <f>'Quant. Dre Rodovia'!C15</f>
        <v>Valeta de proteção de aterros com revestimento de concreto - VPAC 120-30 - escavação mecânica - areia e brita comerciais</v>
      </c>
      <c r="C36" s="315" t="str">
        <f>'Quant. Dre Rodovia'!E15</f>
        <v>M</v>
      </c>
      <c r="D36" s="150">
        <f>'Quant. Dre Rodovia'!F15</f>
        <v>1239.7</v>
      </c>
    </row>
    <row r="37" spans="1:4" ht="18">
      <c r="A37" s="313">
        <f>'Quant. Dre Rodovia'!B16</f>
        <v>2003325</v>
      </c>
      <c r="B37" s="314" t="str">
        <f>'Quant. Dre Rodovia'!C16</f>
        <v>Sarjeta triangular de concreto - STC 04 - escavação mecânica - areia e brita comerciais</v>
      </c>
      <c r="C37" s="315" t="str">
        <f>'Quant. Dre Rodovia'!E16</f>
        <v>m</v>
      </c>
      <c r="D37" s="150">
        <f>'Quant. Dre Rodovia'!F16</f>
        <v>481.59</v>
      </c>
    </row>
    <row r="38" spans="1:4">
      <c r="A38" s="313">
        <f>'Quant. Dre Rodovia'!B17</f>
        <v>2003441</v>
      </c>
      <c r="B38" s="314" t="str">
        <f>'Quant. Dre Rodovia'!C17</f>
        <v>Dissipador de energia - DES 01 - areia e pedra de mão comerciais</v>
      </c>
      <c r="C38" s="315" t="str">
        <f>'Quant. Dre Rodovia'!E17</f>
        <v>un</v>
      </c>
      <c r="D38" s="150">
        <f>'Quant. Dre Rodovia'!F17</f>
        <v>1</v>
      </c>
    </row>
    <row r="39" spans="1:4">
      <c r="A39" s="313">
        <f>'Quant. Dre Rodovia'!B18</f>
        <v>2003367</v>
      </c>
      <c r="B39" s="314" t="str">
        <f>'Quant. Dre Rodovia'!C18</f>
        <v>Transposição de segmentos de sarjeta - TSS 06 - areia e brita comerciais</v>
      </c>
      <c r="C39" s="315" t="str">
        <f>'Quant. Dre Rodovia'!E18</f>
        <v>m</v>
      </c>
      <c r="D39" s="150">
        <f>'Quant. Dre Rodovia'!F18</f>
        <v>38</v>
      </c>
    </row>
    <row r="40" spans="1:4">
      <c r="A40" s="313">
        <f>'Quant. Dre Rodovia'!B19</f>
        <v>40449</v>
      </c>
      <c r="B40" s="314" t="str">
        <f>'Quant. Dre Rodovia'!C19</f>
        <v>TRANSPORTE LOCAL DE CIMENTO / CAL / FILLER</v>
      </c>
      <c r="C40" s="315" t="str">
        <f>'Quant. Dre Rodovia'!E19</f>
        <v xml:space="preserve">tkm   </v>
      </c>
      <c r="D40" s="150">
        <f>'Quant. Dre Rodovia'!F19</f>
        <v>0.28917287107269402</v>
      </c>
    </row>
    <row r="41" spans="1:4">
      <c r="A41" s="313">
        <f>'Quant. Dre Rodovia'!B20</f>
        <v>40450</v>
      </c>
      <c r="B41" s="314" t="str">
        <f>'Quant. Dre Rodovia'!C20</f>
        <v>TRANSPORTE COMERCIAL DE CIMENTO / CAL / FILLER</v>
      </c>
      <c r="C41" s="315" t="str">
        <f>'Quant. Dre Rodovia'!E20</f>
        <v xml:space="preserve">tkm   </v>
      </c>
      <c r="D41" s="150">
        <f>'Quant. Dre Rodovia'!F20</f>
        <v>641.35666098413151</v>
      </c>
    </row>
    <row r="42" spans="1:4">
      <c r="A42" s="313">
        <f>'Quant. Dre Rodovia'!B21</f>
        <v>40445</v>
      </c>
      <c r="B42" s="314" t="str">
        <f>'Quant. Dre Rodovia'!C21</f>
        <v>TRANSPORTE LOCAL DE AGREGADOS</v>
      </c>
      <c r="C42" s="315" t="str">
        <f>'Quant. Dre Rodovia'!E21</f>
        <v xml:space="preserve">m3km  </v>
      </c>
      <c r="D42" s="150">
        <f>'Quant. Dre Rodovia'!F21</f>
        <v>867.47265879247004</v>
      </c>
    </row>
    <row r="43" spans="1:4">
      <c r="A43" s="313">
        <f>'Quant. Dre Rodovia'!B22</f>
        <v>40455</v>
      </c>
      <c r="B43" s="314" t="str">
        <f>'Quant. Dre Rodovia'!C22</f>
        <v>TRANSPORTE COMERCIAL DE AGREGADOS</v>
      </c>
      <c r="C43" s="315" t="str">
        <f>'Quant. Dre Rodovia'!E22</f>
        <v xml:space="preserve">m3km  </v>
      </c>
      <c r="D43" s="150">
        <f>'Quant. Dre Rodovia'!F22</f>
        <v>22633.963349076705</v>
      </c>
    </row>
    <row r="44" spans="1:4">
      <c r="A44" s="313">
        <f>'Quant. Dre Rodovia'!B23</f>
        <v>40436</v>
      </c>
      <c r="B44" s="314" t="str">
        <f>'Quant. Dre Rodovia'!C23</f>
        <v>TRANSPORTE LOCAL DE CONCRETO</v>
      </c>
      <c r="C44" s="315" t="str">
        <f>'Quant. Dre Rodovia'!E23</f>
        <v xml:space="preserve">m3km  </v>
      </c>
      <c r="D44" s="150">
        <f>'Quant. Dre Rodovia'!F23</f>
        <v>558.0989912</v>
      </c>
    </row>
    <row r="45" spans="1:4">
      <c r="A45" s="313">
        <f>'Quant. Dre Rodovia'!B24</f>
        <v>40454</v>
      </c>
      <c r="B45" s="314" t="str">
        <f>'Quant. Dre Rodovia'!C24</f>
        <v>TRANSPORTE COMERCIAL DE TUBOS</v>
      </c>
      <c r="C45" s="315" t="str">
        <f>'Quant. Dre Rodovia'!E24</f>
        <v xml:space="preserve">tkm   </v>
      </c>
      <c r="D45" s="150">
        <f>'Quant. Dre Rodovia'!F24</f>
        <v>120.27341300000001</v>
      </c>
    </row>
    <row r="46" spans="1:4">
      <c r="A46" s="313">
        <f>'Quant. Dre Rodovia'!B25</f>
        <v>40438</v>
      </c>
      <c r="B46" s="314" t="str">
        <f>'Quant. Dre Rodovia'!C25</f>
        <v>TRANSPORTE LOCAL DE TUBOS</v>
      </c>
      <c r="C46" s="315" t="str">
        <f>'Quant. Dre Rodovia'!E25</f>
        <v xml:space="preserve">tkm   </v>
      </c>
      <c r="D46" s="150">
        <f>'Quant. Dre Rodovia'!F25</f>
        <v>18.4978658</v>
      </c>
    </row>
    <row r="47" spans="1:4">
      <c r="A47" s="313">
        <f>'Quant. Dre Rodovia'!B26</f>
        <v>40451</v>
      </c>
      <c r="B47" s="314" t="str">
        <f>'Quant. Dre Rodovia'!C26</f>
        <v>TRANSPORTE COMERCIAL DE MATERIAL BÁSICO</v>
      </c>
      <c r="C47" s="315" t="str">
        <f>'Quant. Dre Rodovia'!E26</f>
        <v xml:space="preserve">tkm   </v>
      </c>
      <c r="D47" s="150">
        <f>'Quant. Dre Rodovia'!F26</f>
        <v>18.536000567999999</v>
      </c>
    </row>
    <row r="48" spans="1:4">
      <c r="A48" s="313">
        <f>'Quant. Dre Rodovia'!B27</f>
        <v>47050</v>
      </c>
      <c r="B48" s="314" t="str">
        <f>'Quant. Dre Rodovia'!C27</f>
        <v>TRANSPORTE LOCAL DE MATERIAL BÁSICO</v>
      </c>
      <c r="C48" s="315" t="str">
        <f>'Quant. Dre Rodovia'!E27</f>
        <v xml:space="preserve">tkm   </v>
      </c>
      <c r="D48" s="150">
        <f>'Quant. Dre Rodovia'!F27</f>
        <v>2.1673397904000002</v>
      </c>
    </row>
    <row r="49" spans="1:9">
      <c r="A49" s="469" t="s">
        <v>243</v>
      </c>
      <c r="B49" s="468"/>
      <c r="C49" s="468"/>
      <c r="D49" s="468"/>
    </row>
    <row r="50" spans="1:9" ht="18">
      <c r="A50" s="319">
        <f>'Modelo 10.0 - Resumo e Quant.'!A65</f>
        <v>40010</v>
      </c>
      <c r="B50" s="322" t="str">
        <f>'Modelo 10.0 - Resumo e Quant.'!B65</f>
        <v>ESCAVAÇÃO, CARGA E TRANSPORTE DE MATERIAL DE 1ª CATEGORIA ATÉ 50M</v>
      </c>
      <c r="C50" s="315" t="str">
        <f>'Modelo 10.0 - Resumo e Quant.'!J65</f>
        <v xml:space="preserve">m3    </v>
      </c>
      <c r="D50" s="150">
        <f>'Modelo 10.0 - Resumo e Quant.'!K65</f>
        <v>7315.4700000000012</v>
      </c>
      <c r="E50" s="1197"/>
      <c r="F50" s="1197"/>
      <c r="G50" s="1197"/>
      <c r="H50" s="1197"/>
      <c r="I50" s="1197"/>
    </row>
    <row r="51" spans="1:9" ht="18">
      <c r="A51" s="319">
        <f>'Modelo 10.0 - Resumo e Quant.'!A68</f>
        <v>40015</v>
      </c>
      <c r="B51" s="322" t="str">
        <f>'Modelo 10.0 - Resumo e Quant.'!B68</f>
        <v>ESCAV., CARGA E TRANSPORTE DE MAT. 1ª CATEG. - C/ ESCAVADEIRA - (DT: 51 A 200M)</v>
      </c>
      <c r="C51" s="315" t="str">
        <f>'Modelo 10.0 - Resumo e Quant.'!J68</f>
        <v xml:space="preserve">m3    </v>
      </c>
      <c r="D51" s="150">
        <f>'Modelo 10.0 - Resumo e Quant.'!K68</f>
        <v>140.75600000000003</v>
      </c>
      <c r="E51" s="1197"/>
      <c r="F51" s="1197"/>
      <c r="G51" s="1197"/>
      <c r="H51" s="1197"/>
      <c r="I51" s="1197"/>
    </row>
    <row r="52" spans="1:9" ht="18">
      <c r="A52" s="319">
        <f>'Modelo 10.0 - Resumo e Quant.'!A69</f>
        <v>40016</v>
      </c>
      <c r="B52" s="322" t="str">
        <f>'Modelo 10.0 - Resumo e Quant.'!B69</f>
        <v>ESCAV., CARGA E TRANSPORTE DE MAT. 1ª CATEG. - C/ ESCAVADEIRA - (DT: 201 A 400M)</v>
      </c>
      <c r="C52" s="315" t="str">
        <f>'Modelo 10.0 - Resumo e Quant.'!J69</f>
        <v xml:space="preserve">m3    </v>
      </c>
      <c r="D52" s="150">
        <f>'Modelo 10.0 - Resumo e Quant.'!K69</f>
        <v>94.98399999999998</v>
      </c>
      <c r="E52" s="1197"/>
      <c r="F52" s="1197"/>
      <c r="G52" s="1197"/>
      <c r="H52" s="1197"/>
      <c r="I52" s="1197"/>
    </row>
    <row r="53" spans="1:9" ht="18">
      <c r="A53" s="319">
        <f>'Modelo 10.0 - Resumo e Quant.'!A70</f>
        <v>40017</v>
      </c>
      <c r="B53" s="322" t="str">
        <f>'Modelo 10.0 - Resumo e Quant.'!B70</f>
        <v>ESCAV., CARGA E TRANSPORTE DE MAT. 1ª CATEG. - C/ ESCAVADEIRA - (DT: 401 A 600M)</v>
      </c>
      <c r="C53" s="315" t="str">
        <f>'Modelo 10.0 - Resumo e Quant.'!J70</f>
        <v xml:space="preserve">m3    </v>
      </c>
      <c r="D53" s="150">
        <f>'Modelo 10.0 - Resumo e Quant.'!K70</f>
        <v>15.350000000000001</v>
      </c>
      <c r="E53" s="1197"/>
      <c r="F53" s="1197"/>
      <c r="G53" s="1197"/>
      <c r="H53" s="1197"/>
      <c r="I53" s="1197"/>
    </row>
    <row r="54" spans="1:9" ht="18">
      <c r="A54" s="319">
        <f>'Modelo 10.0 - Resumo e Quant.'!A80</f>
        <v>40027</v>
      </c>
      <c r="B54" s="322" t="str">
        <f>'Modelo 10.0 - Resumo e Quant.'!B80</f>
        <v>ESCAV., CARGA E TRANSPORTE DE MAT. 1ª CATEG. - C/ ESCAVADEIRA - (DT: 5.001 A 10.000M)</v>
      </c>
      <c r="C54" s="315" t="str">
        <f>'Modelo 10.0 - Resumo e Quant.'!J80</f>
        <v xml:space="preserve">m3    </v>
      </c>
      <c r="D54" s="150">
        <f>'Modelo 10.0 - Resumo e Quant.'!K80</f>
        <v>1225.0729999999999</v>
      </c>
      <c r="E54" s="1197"/>
      <c r="F54" s="1197"/>
      <c r="G54" s="1197"/>
      <c r="H54" s="1197"/>
      <c r="I54" s="1197"/>
    </row>
    <row r="55" spans="1:9">
      <c r="A55" s="319">
        <f>'Modelo 10.0 - Resumo e Quant.'!A111</f>
        <v>40101</v>
      </c>
      <c r="B55" s="322" t="str">
        <f>'Modelo 10.0 - Resumo e Quant.'!B111</f>
        <v>COMPACTAÇÃO A 100% DO PROCTOR NORMAL</v>
      </c>
      <c r="C55" s="315" t="str">
        <f>'Modelo 10.0 - Resumo e Quant.'!J111</f>
        <v xml:space="preserve">m3    </v>
      </c>
      <c r="D55" s="150">
        <f>'Modelo 10.0 - Resumo e Quant.'!K111</f>
        <v>12228.954615384617</v>
      </c>
      <c r="E55" s="1197"/>
      <c r="F55" s="1197"/>
      <c r="G55" s="1197"/>
      <c r="H55" s="1197"/>
      <c r="I55" s="1197"/>
    </row>
    <row r="56" spans="1:9">
      <c r="A56" s="469" t="s">
        <v>1519</v>
      </c>
      <c r="B56" s="468"/>
      <c r="C56" s="468"/>
      <c r="D56" s="468"/>
    </row>
    <row r="57" spans="1:9">
      <c r="A57" s="313">
        <f>'Quant. SIN RODOVIA'!A3</f>
        <v>40850</v>
      </c>
      <c r="B57" s="314" t="str">
        <f>'Quant. SIN RODOVIA'!B3</f>
        <v>SINALIZAÇÃO VERTICAL SEMI-REFLETIVA</v>
      </c>
      <c r="C57" s="315" t="str">
        <f>'Quant. SIN RODOVIA'!C3</f>
        <v>m²</v>
      </c>
      <c r="D57" s="150">
        <f>'Quant. SIN RODOVIA'!D3</f>
        <v>53.815999999999995</v>
      </c>
      <c r="E57" s="1197"/>
      <c r="F57" s="1197"/>
      <c r="G57" s="1197"/>
      <c r="H57" s="1197"/>
      <c r="I57" s="1197"/>
    </row>
    <row r="58" spans="1:9" ht="18">
      <c r="A58" s="313" t="str">
        <f>'Quant. SIN RODOVIA'!A4</f>
        <v>5213835*</v>
      </c>
      <c r="B58" s="314" t="str">
        <f>'Quant. SIN RODOVIA'!B4</f>
        <v xml:space="preserve">Cone Plástico Para Canalização de Trânsito - Utilização de 150 ciclos - Fornecimento, 01 implantação e 01 retirada diária </v>
      </c>
      <c r="C58" s="315" t="str">
        <f>'Quant. SIN RODOVIA'!C4</f>
        <v>un.dia</v>
      </c>
      <c r="D58" s="150">
        <f>'Quant. SIN RODOVIA'!D4</f>
        <v>23183.999999999996</v>
      </c>
      <c r="E58" s="1197"/>
      <c r="F58" s="1197"/>
      <c r="G58" s="1197"/>
      <c r="H58" s="1197"/>
      <c r="I58" s="1197"/>
    </row>
    <row r="59" spans="1:9" ht="18">
      <c r="A59" s="313" t="str">
        <f>'Quant. SIN RODOVIA'!A5</f>
        <v>5213349*</v>
      </c>
      <c r="B59" s="314" t="str">
        <f>'Quant. SIN RODOVIA'!B5</f>
        <v>Dispositivo de direcionamento ou bloqueio tipo tela plástica com suporte fixo - utilização de 150 ciclos - fornecimento, 01 implantação e 01 retirada diária</v>
      </c>
      <c r="C59" s="315" t="str">
        <f>'Quant. SIN RODOVIA'!C5</f>
        <v>m².dia</v>
      </c>
      <c r="D59" s="150">
        <f>'Quant. SIN RODOVIA'!D5</f>
        <v>21252</v>
      </c>
      <c r="E59" s="1197"/>
      <c r="F59" s="1197"/>
      <c r="G59" s="1197"/>
      <c r="H59" s="1197"/>
      <c r="I59" s="1197"/>
    </row>
    <row r="60" spans="1:9" ht="18">
      <c r="A60" s="313">
        <f>'Quant. SIN RODOVIA'!A6</f>
        <v>5213838</v>
      </c>
      <c r="B60" s="314" t="str">
        <f>'Quant. SIN RODOVIA'!B6</f>
        <v>Cilindro canalizador de tráfego com base quadrada de 111 x 56 x 56 cm - utilização de 600 ciclos - fornecimento, 01 implantação e 01 retirada diária</v>
      </c>
      <c r="C60" s="315" t="str">
        <f>'Quant. SIN RODOVIA'!C6</f>
        <v>un.dia</v>
      </c>
      <c r="D60" s="150">
        <f>'Quant. SIN RODOVIA'!D6</f>
        <v>7020</v>
      </c>
      <c r="E60" s="1197"/>
      <c r="F60" s="1197"/>
      <c r="G60" s="1197"/>
      <c r="H60" s="1197"/>
      <c r="I60" s="1197"/>
    </row>
    <row r="61" spans="1:9">
      <c r="A61" s="469" t="s">
        <v>1357</v>
      </c>
      <c r="B61" s="468"/>
      <c r="C61" s="468"/>
      <c r="D61" s="468"/>
    </row>
    <row r="62" spans="1:9">
      <c r="A62" s="319" t="str">
        <f>'Quant. OC Rodovia'!B2</f>
        <v>40895</v>
      </c>
      <c r="B62" s="322" t="str">
        <f>'Quant. OC Rodovia'!D2</f>
        <v>SEMEADURA MANUAL</v>
      </c>
      <c r="C62" s="315" t="str">
        <f>'Quant. OC Rodovia'!E2</f>
        <v>m2</v>
      </c>
      <c r="D62" s="150">
        <f>'Quant. OC Rodovia'!F2</f>
        <v>3820</v>
      </c>
    </row>
    <row r="63" spans="1:9">
      <c r="A63" s="469"/>
      <c r="B63" s="468"/>
      <c r="C63" s="468"/>
      <c r="D63" s="468"/>
    </row>
    <row r="64" spans="1:9">
      <c r="A64" s="1198" t="s">
        <v>68</v>
      </c>
      <c r="B64" s="322" t="s">
        <v>1304</v>
      </c>
      <c r="C64" s="315" t="s">
        <v>535</v>
      </c>
      <c r="D64" s="150">
        <v>1</v>
      </c>
    </row>
    <row r="65" spans="1:4">
      <c r="A65" s="1198" t="s">
        <v>68</v>
      </c>
      <c r="B65" s="322" t="s">
        <v>1305</v>
      </c>
      <c r="C65" s="315" t="s">
        <v>535</v>
      </c>
      <c r="D65" s="150">
        <v>1</v>
      </c>
    </row>
    <row r="66" spans="1:4">
      <c r="A66" s="1198" t="s">
        <v>68</v>
      </c>
      <c r="B66" s="322" t="s">
        <v>1306</v>
      </c>
      <c r="C66" s="315" t="s">
        <v>535</v>
      </c>
      <c r="D66" s="150">
        <v>1</v>
      </c>
    </row>
    <row r="71" spans="1:4">
      <c r="A71" s="313"/>
      <c r="B71" s="314"/>
      <c r="C71" s="315"/>
      <c r="D71" s="150"/>
    </row>
    <row r="72" spans="1:4">
      <c r="A72" s="313"/>
      <c r="B72" s="314"/>
      <c r="C72" s="315"/>
      <c r="D72" s="150"/>
    </row>
    <row r="73" spans="1:4">
      <c r="A73" s="313"/>
      <c r="B73" s="314"/>
      <c r="C73" s="315"/>
      <c r="D73" s="150"/>
    </row>
    <row r="74" spans="1:4">
      <c r="A74" s="313"/>
      <c r="B74" s="314"/>
      <c r="C74" s="315"/>
      <c r="D74" s="150"/>
    </row>
    <row r="75" spans="1:4">
      <c r="A75" s="313"/>
      <c r="B75" s="314"/>
      <c r="C75" s="315"/>
      <c r="D75" s="150"/>
    </row>
    <row r="76" spans="1:4">
      <c r="A76" s="313"/>
      <c r="B76" s="314"/>
      <c r="C76" s="315"/>
      <c r="D76" s="150"/>
    </row>
    <row r="77" spans="1:4">
      <c r="A77" s="313"/>
      <c r="B77" s="314"/>
      <c r="C77" s="315"/>
      <c r="D77" s="150"/>
    </row>
    <row r="78" spans="1:4">
      <c r="A78" s="313"/>
      <c r="B78" s="314"/>
      <c r="C78" s="315"/>
      <c r="D78" s="150"/>
    </row>
    <row r="79" spans="1:4">
      <c r="A79" s="313"/>
      <c r="B79" s="314"/>
      <c r="C79" s="315"/>
      <c r="D79" s="150"/>
    </row>
    <row r="80" spans="1:4">
      <c r="A80" s="313"/>
      <c r="B80" s="314"/>
      <c r="C80" s="315"/>
      <c r="D80" s="150"/>
    </row>
    <row r="81" spans="1:4">
      <c r="A81" s="313"/>
      <c r="B81" s="314"/>
      <c r="C81" s="315"/>
      <c r="D81" s="150"/>
    </row>
    <row r="82" spans="1:4">
      <c r="A82" s="313"/>
      <c r="B82" s="314"/>
      <c r="C82" s="315"/>
      <c r="D82" s="150"/>
    </row>
    <row r="83" spans="1:4">
      <c r="A83" s="313"/>
      <c r="B83" s="314"/>
      <c r="C83" s="315"/>
      <c r="D83" s="150"/>
    </row>
    <row r="84" spans="1:4">
      <c r="A84" s="313"/>
      <c r="B84" s="314"/>
      <c r="C84" s="315"/>
      <c r="D84" s="150"/>
    </row>
    <row r="85" spans="1:4">
      <c r="A85" s="313"/>
      <c r="B85" s="314"/>
      <c r="C85" s="315"/>
      <c r="D85" s="150"/>
    </row>
    <row r="86" spans="1:4">
      <c r="A86" s="313"/>
      <c r="B86" s="314"/>
      <c r="C86" s="315"/>
      <c r="D86" s="150"/>
    </row>
    <row r="87" spans="1:4">
      <c r="A87" s="313"/>
      <c r="B87" s="314"/>
      <c r="C87" s="315"/>
      <c r="D87" s="150"/>
    </row>
    <row r="88" spans="1:4">
      <c r="A88" s="313"/>
      <c r="B88" s="314"/>
      <c r="C88" s="315"/>
      <c r="D88" s="150"/>
    </row>
    <row r="89" spans="1:4">
      <c r="A89" s="313"/>
      <c r="B89" s="314"/>
      <c r="C89" s="315"/>
      <c r="D89" s="150"/>
    </row>
    <row r="90" spans="1:4">
      <c r="A90" s="313"/>
      <c r="B90" s="314"/>
      <c r="C90" s="315"/>
      <c r="D90" s="150"/>
    </row>
    <row r="91" spans="1:4">
      <c r="A91" s="313"/>
      <c r="B91" s="314"/>
      <c r="C91" s="315"/>
      <c r="D91" s="150"/>
    </row>
    <row r="92" spans="1:4">
      <c r="A92" s="313"/>
      <c r="B92" s="314"/>
      <c r="C92" s="315"/>
      <c r="D92" s="150"/>
    </row>
    <row r="93" spans="1:4">
      <c r="A93" s="313"/>
      <c r="B93" s="314"/>
      <c r="C93" s="315"/>
      <c r="D93" s="150"/>
    </row>
    <row r="94" spans="1:4">
      <c r="A94" s="313"/>
      <c r="B94" s="314"/>
      <c r="C94" s="315"/>
      <c r="D94" s="150"/>
    </row>
    <row r="95" spans="1:4">
      <c r="A95" s="313"/>
      <c r="B95" s="314"/>
      <c r="C95" s="315"/>
      <c r="D95" s="150"/>
    </row>
    <row r="96" spans="1:4">
      <c r="A96" s="313"/>
      <c r="B96" s="314"/>
      <c r="C96" s="315"/>
      <c r="D96" s="150"/>
    </row>
    <row r="97" spans="1:4">
      <c r="A97" s="313"/>
      <c r="B97" s="314"/>
      <c r="C97" s="315"/>
      <c r="D97" s="150"/>
    </row>
    <row r="98" spans="1:4">
      <c r="A98" s="313"/>
      <c r="B98" s="314"/>
      <c r="C98" s="315"/>
      <c r="D98" s="150"/>
    </row>
    <row r="99" spans="1:4">
      <c r="A99" s="313"/>
      <c r="B99" s="314"/>
      <c r="C99" s="315"/>
      <c r="D99" s="150"/>
    </row>
    <row r="100" spans="1:4">
      <c r="A100" s="313"/>
      <c r="B100" s="314"/>
      <c r="C100" s="315"/>
      <c r="D100" s="150"/>
    </row>
    <row r="101" spans="1:4">
      <c r="A101" s="313"/>
      <c r="B101" s="314"/>
      <c r="C101" s="315"/>
      <c r="D101" s="150"/>
    </row>
    <row r="102" spans="1:4">
      <c r="A102" s="313"/>
      <c r="B102" s="314"/>
      <c r="C102" s="315"/>
      <c r="D102" s="150"/>
    </row>
    <row r="103" spans="1:4">
      <c r="A103" s="313"/>
      <c r="B103" s="314"/>
      <c r="C103" s="315"/>
      <c r="D103" s="150"/>
    </row>
    <row r="104" spans="1:4">
      <c r="A104" s="313"/>
      <c r="B104" s="314"/>
      <c r="C104" s="315"/>
      <c r="D104" s="150"/>
    </row>
    <row r="105" spans="1:4">
      <c r="A105" s="313"/>
      <c r="B105" s="314"/>
      <c r="C105" s="315"/>
      <c r="D105" s="150"/>
    </row>
    <row r="106" spans="1:4">
      <c r="A106" s="313"/>
      <c r="B106" s="314"/>
      <c r="C106" s="315"/>
      <c r="D106" s="150"/>
    </row>
    <row r="107" spans="1:4">
      <c r="A107" s="313"/>
      <c r="B107" s="314"/>
      <c r="C107" s="315"/>
      <c r="D107" s="150"/>
    </row>
    <row r="108" spans="1:4">
      <c r="A108" s="313"/>
      <c r="B108" s="314"/>
      <c r="C108" s="315"/>
      <c r="D108" s="150"/>
    </row>
    <row r="109" spans="1:4">
      <c r="A109" s="313"/>
      <c r="B109" s="314"/>
      <c r="C109" s="315"/>
      <c r="D109" s="150"/>
    </row>
    <row r="110" spans="1:4">
      <c r="A110" s="313"/>
      <c r="B110" s="314"/>
      <c r="C110" s="315"/>
      <c r="D110" s="150"/>
    </row>
    <row r="111" spans="1:4">
      <c r="A111" s="313"/>
      <c r="B111" s="314"/>
      <c r="C111" s="315"/>
      <c r="D111" s="150"/>
    </row>
    <row r="112" spans="1:4">
      <c r="A112" s="313"/>
      <c r="B112" s="314"/>
      <c r="C112" s="315"/>
      <c r="D112" s="150"/>
    </row>
    <row r="113" spans="1:4">
      <c r="A113" s="313"/>
      <c r="B113" s="314"/>
      <c r="C113" s="315"/>
      <c r="D113" s="150"/>
    </row>
    <row r="114" spans="1:4">
      <c r="A114" s="313"/>
      <c r="B114" s="314"/>
      <c r="C114" s="315"/>
      <c r="D114" s="150"/>
    </row>
    <row r="115" spans="1:4">
      <c r="A115" s="313"/>
      <c r="B115" s="314"/>
      <c r="C115" s="315"/>
      <c r="D115" s="150"/>
    </row>
    <row r="116" spans="1:4">
      <c r="A116" s="313"/>
      <c r="B116" s="314"/>
      <c r="C116" s="315"/>
      <c r="D116" s="150"/>
    </row>
    <row r="117" spans="1:4">
      <c r="A117" s="313"/>
      <c r="B117" s="314"/>
      <c r="C117" s="315"/>
      <c r="D117" s="150"/>
    </row>
    <row r="118" spans="1:4">
      <c r="A118" s="313"/>
      <c r="B118" s="314"/>
      <c r="C118" s="315"/>
      <c r="D118" s="150"/>
    </row>
    <row r="119" spans="1:4">
      <c r="A119" s="313"/>
      <c r="B119" s="314"/>
      <c r="C119" s="315"/>
      <c r="D119" s="150"/>
    </row>
    <row r="120" spans="1:4">
      <c r="A120" s="313"/>
      <c r="B120" s="314"/>
      <c r="C120" s="315"/>
      <c r="D120" s="150"/>
    </row>
    <row r="121" spans="1:4">
      <c r="A121" s="313"/>
      <c r="B121" s="314"/>
      <c r="C121" s="315"/>
      <c r="D121" s="150"/>
    </row>
    <row r="122" spans="1:4">
      <c r="A122" s="313"/>
      <c r="B122" s="314"/>
      <c r="C122" s="315"/>
      <c r="D122" s="150"/>
    </row>
    <row r="123" spans="1:4">
      <c r="A123" s="313"/>
      <c r="B123" s="314"/>
      <c r="C123" s="315"/>
      <c r="D123" s="150"/>
    </row>
    <row r="124" spans="1:4">
      <c r="A124" s="313"/>
      <c r="B124" s="314"/>
      <c r="C124" s="315"/>
      <c r="D124" s="150"/>
    </row>
    <row r="125" spans="1:4">
      <c r="A125" s="313"/>
      <c r="B125" s="314"/>
      <c r="C125" s="315"/>
      <c r="D125" s="150"/>
    </row>
    <row r="126" spans="1:4">
      <c r="A126" s="313"/>
      <c r="B126" s="314"/>
      <c r="C126" s="315"/>
      <c r="D126" s="150"/>
    </row>
    <row r="127" spans="1:4">
      <c r="A127" s="313"/>
      <c r="B127" s="314"/>
      <c r="C127" s="315"/>
      <c r="D127" s="150"/>
    </row>
    <row r="128" spans="1:4">
      <c r="A128" s="313"/>
      <c r="B128" s="314"/>
      <c r="C128" s="315"/>
      <c r="D128" s="150"/>
    </row>
    <row r="129" spans="1:4">
      <c r="A129" s="313"/>
      <c r="B129" s="314"/>
      <c r="C129" s="315"/>
      <c r="D129" s="150"/>
    </row>
    <row r="130" spans="1:4">
      <c r="A130" s="313"/>
      <c r="B130" s="314"/>
      <c r="C130" s="315"/>
      <c r="D130" s="150"/>
    </row>
    <row r="131" spans="1:4">
      <c r="A131" s="313"/>
      <c r="B131" s="314"/>
      <c r="C131" s="315"/>
      <c r="D131" s="150"/>
    </row>
    <row r="132" spans="1:4">
      <c r="A132" s="313"/>
      <c r="B132" s="314"/>
      <c r="C132" s="315"/>
      <c r="D132" s="150"/>
    </row>
    <row r="133" spans="1:4">
      <c r="A133" s="313"/>
      <c r="B133" s="314"/>
      <c r="C133" s="315"/>
      <c r="D133" s="150"/>
    </row>
    <row r="134" spans="1:4">
      <c r="A134" s="313"/>
      <c r="B134" s="314"/>
      <c r="C134" s="315"/>
      <c r="D134" s="150"/>
    </row>
    <row r="135" spans="1:4">
      <c r="A135" s="313"/>
      <c r="B135" s="314"/>
      <c r="C135" s="315"/>
      <c r="D135" s="150"/>
    </row>
    <row r="136" spans="1:4">
      <c r="A136" s="313"/>
      <c r="B136" s="314"/>
      <c r="C136" s="315"/>
      <c r="D136" s="150"/>
    </row>
    <row r="137" spans="1:4">
      <c r="A137" s="313"/>
      <c r="B137" s="314"/>
      <c r="C137" s="315"/>
      <c r="D137" s="150"/>
    </row>
    <row r="138" spans="1:4">
      <c r="A138" s="313"/>
      <c r="B138" s="314"/>
      <c r="C138" s="315"/>
      <c r="D138" s="150"/>
    </row>
    <row r="139" spans="1:4">
      <c r="A139" s="313"/>
      <c r="B139" s="314"/>
      <c r="C139" s="315"/>
      <c r="D139" s="150"/>
    </row>
    <row r="140" spans="1:4">
      <c r="A140" s="313"/>
      <c r="B140" s="314"/>
      <c r="C140" s="315"/>
      <c r="D140" s="150"/>
    </row>
    <row r="141" spans="1:4">
      <c r="A141" s="313"/>
      <c r="B141" s="314"/>
      <c r="C141" s="315"/>
      <c r="D141" s="150"/>
    </row>
    <row r="142" spans="1:4">
      <c r="A142" s="313"/>
      <c r="B142" s="314"/>
      <c r="C142" s="315"/>
      <c r="D142" s="150"/>
    </row>
    <row r="143" spans="1:4">
      <c r="A143" s="313"/>
      <c r="B143" s="314"/>
      <c r="C143" s="315"/>
      <c r="D143" s="150"/>
    </row>
    <row r="144" spans="1:4">
      <c r="A144" s="313"/>
      <c r="B144" s="314"/>
      <c r="C144" s="315"/>
      <c r="D144" s="150"/>
    </row>
    <row r="145" spans="1:4">
      <c r="A145" s="313"/>
      <c r="B145" s="314"/>
      <c r="C145" s="315"/>
      <c r="D145" s="150"/>
    </row>
    <row r="146" spans="1:4">
      <c r="A146" s="313"/>
      <c r="B146" s="314"/>
      <c r="C146" s="315"/>
      <c r="D146" s="150"/>
    </row>
    <row r="147" spans="1:4">
      <c r="A147" s="313"/>
      <c r="B147" s="314"/>
      <c r="C147" s="315"/>
      <c r="D147" s="150"/>
    </row>
    <row r="148" spans="1:4">
      <c r="A148" s="313"/>
      <c r="B148" s="314"/>
      <c r="C148" s="315"/>
      <c r="D148" s="150"/>
    </row>
    <row r="149" spans="1:4">
      <c r="A149" s="313"/>
      <c r="B149" s="314"/>
      <c r="C149" s="315"/>
      <c r="D149" s="150"/>
    </row>
    <row r="150" spans="1:4">
      <c r="A150" s="313"/>
      <c r="B150" s="314"/>
      <c r="C150" s="315"/>
      <c r="D150" s="150"/>
    </row>
    <row r="151" spans="1:4">
      <c r="A151" s="313"/>
      <c r="B151" s="314"/>
      <c r="C151" s="315"/>
      <c r="D151" s="150"/>
    </row>
    <row r="152" spans="1:4">
      <c r="A152" s="313"/>
      <c r="B152" s="314"/>
      <c r="C152" s="315"/>
      <c r="D152" s="150"/>
    </row>
    <row r="153" spans="1:4">
      <c r="A153" s="313"/>
      <c r="B153" s="314"/>
      <c r="C153" s="315"/>
      <c r="D153" s="150"/>
    </row>
    <row r="154" spans="1:4">
      <c r="A154" s="313"/>
      <c r="B154" s="314"/>
      <c r="C154" s="315"/>
      <c r="D154" s="150"/>
    </row>
    <row r="155" spans="1:4">
      <c r="A155" s="313"/>
      <c r="B155" s="314"/>
      <c r="C155" s="315"/>
      <c r="D155" s="150"/>
    </row>
    <row r="156" spans="1:4">
      <c r="A156" s="313"/>
      <c r="B156" s="314"/>
      <c r="C156" s="315"/>
      <c r="D156" s="150"/>
    </row>
    <row r="157" spans="1:4">
      <c r="A157" s="313"/>
      <c r="B157" s="314"/>
      <c r="C157" s="315"/>
      <c r="D157" s="150"/>
    </row>
    <row r="158" spans="1:4">
      <c r="A158" s="313"/>
      <c r="B158" s="314"/>
      <c r="C158" s="315"/>
      <c r="D158" s="150"/>
    </row>
    <row r="159" spans="1:4">
      <c r="A159" s="313"/>
      <c r="B159" s="314"/>
      <c r="C159" s="315"/>
      <c r="D159" s="150"/>
    </row>
    <row r="160" spans="1:4">
      <c r="A160" s="313"/>
      <c r="B160" s="314"/>
      <c r="C160" s="315"/>
      <c r="D160" s="150"/>
    </row>
    <row r="161" spans="1:4">
      <c r="A161" s="313"/>
      <c r="B161" s="314"/>
      <c r="C161" s="315"/>
      <c r="D161" s="150"/>
    </row>
    <row r="162" spans="1:4">
      <c r="A162" s="313"/>
      <c r="B162" s="314"/>
      <c r="C162" s="315"/>
      <c r="D162" s="150"/>
    </row>
    <row r="163" spans="1:4">
      <c r="A163" s="313"/>
      <c r="B163" s="314"/>
      <c r="C163" s="315"/>
      <c r="D163" s="150"/>
    </row>
    <row r="164" spans="1:4">
      <c r="A164" s="313"/>
      <c r="B164" s="314"/>
      <c r="C164" s="315"/>
      <c r="D164" s="150"/>
    </row>
    <row r="165" spans="1:4">
      <c r="A165" s="313"/>
      <c r="B165" s="314"/>
      <c r="C165" s="315"/>
      <c r="D165" s="150"/>
    </row>
    <row r="166" spans="1:4">
      <c r="A166" s="313"/>
      <c r="B166" s="314"/>
      <c r="C166" s="315"/>
      <c r="D166" s="150"/>
    </row>
    <row r="167" spans="1:4">
      <c r="A167" s="313"/>
      <c r="B167" s="314"/>
      <c r="C167" s="315"/>
      <c r="D167" s="150"/>
    </row>
    <row r="168" spans="1:4">
      <c r="A168" s="313"/>
      <c r="B168" s="314"/>
      <c r="C168" s="315"/>
      <c r="D168" s="150"/>
    </row>
    <row r="169" spans="1:4">
      <c r="A169" s="313"/>
      <c r="B169" s="314"/>
      <c r="C169" s="315"/>
      <c r="D169" s="150"/>
    </row>
    <row r="170" spans="1:4">
      <c r="A170" s="313"/>
      <c r="B170" s="314"/>
      <c r="C170" s="315"/>
      <c r="D170" s="150"/>
    </row>
    <row r="171" spans="1:4">
      <c r="A171" s="313"/>
      <c r="B171" s="314"/>
      <c r="C171" s="315"/>
      <c r="D171" s="150"/>
    </row>
    <row r="172" spans="1:4">
      <c r="A172" s="313"/>
      <c r="B172" s="314"/>
      <c r="C172" s="315"/>
      <c r="D172" s="150"/>
    </row>
    <row r="173" spans="1:4">
      <c r="A173" s="313"/>
      <c r="B173" s="314"/>
      <c r="C173" s="315"/>
      <c r="D173" s="150"/>
    </row>
    <row r="174" spans="1:4">
      <c r="A174" s="313"/>
      <c r="B174" s="314"/>
      <c r="C174" s="315"/>
      <c r="D174" s="150"/>
    </row>
    <row r="175" spans="1:4">
      <c r="A175" s="313"/>
      <c r="B175" s="314"/>
      <c r="C175" s="315"/>
      <c r="D175" s="150"/>
    </row>
    <row r="176" spans="1:4">
      <c r="A176" s="313"/>
      <c r="B176" s="314"/>
      <c r="C176" s="315"/>
      <c r="D176" s="150"/>
    </row>
    <row r="177" spans="1:4">
      <c r="A177" s="313"/>
      <c r="B177" s="314"/>
      <c r="C177" s="315"/>
      <c r="D177" s="150"/>
    </row>
    <row r="178" spans="1:4">
      <c r="A178" s="313"/>
      <c r="B178" s="314"/>
      <c r="C178" s="315"/>
      <c r="D178" s="150"/>
    </row>
    <row r="179" spans="1:4">
      <c r="A179" s="313"/>
      <c r="B179" s="314"/>
      <c r="C179" s="315"/>
      <c r="D179" s="150"/>
    </row>
    <row r="180" spans="1:4">
      <c r="A180" s="313"/>
      <c r="B180" s="314"/>
      <c r="C180" s="315"/>
      <c r="D180" s="150"/>
    </row>
    <row r="181" spans="1:4">
      <c r="A181" s="313"/>
      <c r="B181" s="314"/>
      <c r="C181" s="315"/>
      <c r="D181" s="150"/>
    </row>
    <row r="182" spans="1:4">
      <c r="A182" s="313"/>
      <c r="B182" s="314"/>
      <c r="C182" s="315"/>
      <c r="D182" s="150"/>
    </row>
    <row r="183" spans="1:4">
      <c r="A183" s="313"/>
      <c r="B183" s="314"/>
      <c r="C183" s="315"/>
      <c r="D183" s="150"/>
    </row>
    <row r="184" spans="1:4">
      <c r="A184" s="313"/>
      <c r="B184" s="314"/>
      <c r="C184" s="315"/>
      <c r="D184" s="150"/>
    </row>
    <row r="185" spans="1:4">
      <c r="A185" s="313"/>
      <c r="B185" s="314"/>
      <c r="C185" s="315"/>
      <c r="D185" s="150"/>
    </row>
    <row r="186" spans="1:4">
      <c r="A186" s="313"/>
      <c r="B186" s="314"/>
      <c r="C186" s="315"/>
      <c r="D186" s="150"/>
    </row>
    <row r="187" spans="1:4">
      <c r="A187" s="313"/>
      <c r="B187" s="314"/>
      <c r="C187" s="315"/>
      <c r="D187" s="150"/>
    </row>
    <row r="188" spans="1:4">
      <c r="A188" s="313"/>
      <c r="B188" s="314"/>
      <c r="C188" s="315"/>
      <c r="D188" s="150"/>
    </row>
    <row r="189" spans="1:4">
      <c r="A189" s="313"/>
      <c r="B189" s="314"/>
      <c r="C189" s="315"/>
      <c r="D189" s="150"/>
    </row>
    <row r="190" spans="1:4">
      <c r="A190" s="313"/>
      <c r="B190" s="314"/>
      <c r="C190" s="315"/>
      <c r="D190" s="150"/>
    </row>
    <row r="191" spans="1:4">
      <c r="A191" s="313"/>
      <c r="B191" s="314"/>
      <c r="C191" s="315"/>
      <c r="D191" s="150"/>
    </row>
    <row r="192" spans="1:4">
      <c r="A192" s="313"/>
      <c r="B192" s="314"/>
      <c r="C192" s="315"/>
      <c r="D192" s="150"/>
    </row>
    <row r="193" spans="1:4">
      <c r="A193" s="313"/>
      <c r="B193" s="314"/>
      <c r="C193" s="315"/>
      <c r="D193" s="150"/>
    </row>
    <row r="194" spans="1:4">
      <c r="A194" s="313"/>
      <c r="B194" s="314"/>
      <c r="C194" s="315"/>
      <c r="D194" s="150"/>
    </row>
    <row r="195" spans="1:4">
      <c r="A195" s="313"/>
      <c r="B195" s="314"/>
      <c r="C195" s="315"/>
      <c r="D195" s="150"/>
    </row>
    <row r="196" spans="1:4">
      <c r="A196" s="313"/>
      <c r="B196" s="314"/>
      <c r="C196" s="315"/>
      <c r="D196" s="150"/>
    </row>
    <row r="197" spans="1:4">
      <c r="A197" s="313"/>
      <c r="B197" s="314"/>
      <c r="C197" s="315"/>
      <c r="D197" s="150"/>
    </row>
    <row r="198" spans="1:4">
      <c r="A198" s="313"/>
      <c r="B198" s="314"/>
      <c r="C198" s="315"/>
      <c r="D198" s="150"/>
    </row>
    <row r="199" spans="1:4">
      <c r="A199" s="313"/>
      <c r="B199" s="314"/>
      <c r="C199" s="315"/>
      <c r="D199" s="150"/>
    </row>
    <row r="200" spans="1:4">
      <c r="A200" s="313"/>
      <c r="B200" s="314"/>
      <c r="C200" s="315"/>
      <c r="D200" s="150"/>
    </row>
    <row r="201" spans="1:4">
      <c r="A201" s="313"/>
      <c r="B201" s="314"/>
      <c r="C201" s="315"/>
      <c r="D201" s="150"/>
    </row>
    <row r="202" spans="1:4">
      <c r="A202" s="313"/>
      <c r="B202" s="314"/>
      <c r="C202" s="315"/>
      <c r="D202" s="150"/>
    </row>
    <row r="203" spans="1:4">
      <c r="A203" s="313"/>
      <c r="B203" s="314"/>
      <c r="C203" s="315"/>
      <c r="D203" s="150"/>
    </row>
    <row r="204" spans="1:4">
      <c r="A204" s="313"/>
      <c r="B204" s="314"/>
      <c r="C204" s="315"/>
      <c r="D204" s="150"/>
    </row>
    <row r="205" spans="1:4">
      <c r="A205" s="313"/>
      <c r="B205" s="314"/>
      <c r="C205" s="315"/>
      <c r="D205" s="150"/>
    </row>
    <row r="206" spans="1:4">
      <c r="A206" s="313"/>
      <c r="B206" s="314"/>
      <c r="C206" s="315"/>
      <c r="D206" s="150"/>
    </row>
    <row r="207" spans="1:4">
      <c r="A207" s="313"/>
      <c r="B207" s="314"/>
      <c r="C207" s="315"/>
      <c r="D207" s="150"/>
    </row>
    <row r="208" spans="1:4">
      <c r="A208" s="313"/>
      <c r="B208" s="314"/>
      <c r="C208" s="315"/>
      <c r="D208" s="150"/>
    </row>
    <row r="209" spans="1:4">
      <c r="A209" s="313"/>
      <c r="B209" s="314"/>
      <c r="C209" s="315"/>
      <c r="D209" s="150"/>
    </row>
    <row r="210" spans="1:4">
      <c r="A210" s="313"/>
      <c r="B210" s="314"/>
      <c r="C210" s="315"/>
      <c r="D210" s="150"/>
    </row>
    <row r="211" spans="1:4">
      <c r="A211" s="313"/>
      <c r="B211" s="314"/>
      <c r="C211" s="315"/>
      <c r="D211" s="150"/>
    </row>
    <row r="212" spans="1:4">
      <c r="A212" s="313"/>
      <c r="B212" s="314"/>
      <c r="C212" s="315"/>
      <c r="D212" s="150"/>
    </row>
    <row r="213" spans="1:4">
      <c r="A213" s="313"/>
      <c r="B213" s="314"/>
      <c r="C213" s="315"/>
      <c r="D213" s="150"/>
    </row>
    <row r="214" spans="1:4">
      <c r="A214" s="313"/>
      <c r="B214" s="314"/>
      <c r="C214" s="315"/>
      <c r="D214" s="150"/>
    </row>
    <row r="215" spans="1:4">
      <c r="A215" s="313"/>
      <c r="B215" s="314"/>
      <c r="C215" s="315"/>
      <c r="D215" s="150"/>
    </row>
    <row r="216" spans="1:4">
      <c r="A216" s="313"/>
      <c r="B216" s="314"/>
      <c r="C216" s="315"/>
      <c r="D216" s="150"/>
    </row>
    <row r="217" spans="1:4">
      <c r="A217" s="313"/>
      <c r="B217" s="314"/>
      <c r="C217" s="315"/>
      <c r="D217" s="150"/>
    </row>
    <row r="218" spans="1:4">
      <c r="A218" s="313"/>
      <c r="B218" s="314"/>
      <c r="C218" s="315"/>
      <c r="D218" s="150"/>
    </row>
    <row r="219" spans="1:4">
      <c r="A219" s="313"/>
      <c r="B219" s="314"/>
      <c r="C219" s="315"/>
      <c r="D219" s="150"/>
    </row>
    <row r="220" spans="1:4">
      <c r="A220" s="313"/>
      <c r="B220" s="314"/>
      <c r="C220" s="315"/>
      <c r="D220" s="150"/>
    </row>
    <row r="221" spans="1:4">
      <c r="A221" s="313"/>
      <c r="B221" s="314"/>
      <c r="C221" s="315"/>
      <c r="D221" s="150"/>
    </row>
    <row r="222" spans="1:4">
      <c r="A222" s="313"/>
      <c r="B222" s="314"/>
      <c r="C222" s="315"/>
      <c r="D222" s="150"/>
    </row>
    <row r="223" spans="1:4">
      <c r="A223" s="313"/>
      <c r="B223" s="314"/>
      <c r="C223" s="315"/>
      <c r="D223" s="150"/>
    </row>
    <row r="224" spans="1:4">
      <c r="A224" s="313"/>
      <c r="B224" s="314"/>
      <c r="C224" s="315"/>
      <c r="D224" s="150"/>
    </row>
    <row r="225" spans="1:4">
      <c r="A225" s="313"/>
      <c r="B225" s="314"/>
      <c r="C225" s="315"/>
      <c r="D225" s="150"/>
    </row>
    <row r="226" spans="1:4">
      <c r="A226" s="313"/>
      <c r="B226" s="314"/>
      <c r="C226" s="315"/>
      <c r="D226" s="150"/>
    </row>
    <row r="227" spans="1:4">
      <c r="A227" s="313"/>
      <c r="B227" s="314"/>
      <c r="C227" s="315"/>
      <c r="D227" s="150"/>
    </row>
    <row r="228" spans="1:4">
      <c r="A228" s="313"/>
      <c r="B228" s="314"/>
      <c r="C228" s="315"/>
      <c r="D228" s="150"/>
    </row>
    <row r="229" spans="1:4">
      <c r="A229" s="313"/>
      <c r="B229" s="314"/>
      <c r="C229" s="315"/>
      <c r="D229" s="150"/>
    </row>
    <row r="230" spans="1:4">
      <c r="A230" s="313"/>
      <c r="B230" s="314"/>
      <c r="C230" s="315"/>
      <c r="D230" s="150"/>
    </row>
    <row r="231" spans="1:4">
      <c r="A231" s="313"/>
      <c r="B231" s="314"/>
      <c r="C231" s="315"/>
      <c r="D231" s="150"/>
    </row>
    <row r="232" spans="1:4">
      <c r="A232" s="313"/>
      <c r="B232" s="314"/>
      <c r="C232" s="315"/>
      <c r="D232" s="150"/>
    </row>
    <row r="233" spans="1:4">
      <c r="A233" s="313"/>
      <c r="B233" s="314"/>
      <c r="C233" s="315"/>
      <c r="D233" s="150"/>
    </row>
    <row r="234" spans="1:4">
      <c r="A234" s="313"/>
      <c r="B234" s="314"/>
      <c r="C234" s="315"/>
      <c r="D234" s="150"/>
    </row>
    <row r="235" spans="1:4">
      <c r="A235" s="313"/>
      <c r="B235" s="314"/>
      <c r="C235" s="315"/>
      <c r="D235" s="150"/>
    </row>
    <row r="236" spans="1:4">
      <c r="A236" s="313"/>
      <c r="B236" s="314"/>
      <c r="C236" s="315"/>
      <c r="D236" s="150"/>
    </row>
    <row r="237" spans="1:4">
      <c r="A237" s="313"/>
      <c r="B237" s="314"/>
      <c r="C237" s="315"/>
      <c r="D237" s="150"/>
    </row>
    <row r="238" spans="1:4">
      <c r="A238" s="313"/>
      <c r="B238" s="314"/>
      <c r="C238" s="315"/>
      <c r="D238" s="150"/>
    </row>
    <row r="239" spans="1:4">
      <c r="A239" s="313"/>
      <c r="B239" s="314"/>
      <c r="C239" s="315"/>
      <c r="D239" s="150"/>
    </row>
    <row r="240" spans="1:4">
      <c r="A240" s="313"/>
      <c r="B240" s="314"/>
      <c r="C240" s="315"/>
      <c r="D240" s="150"/>
    </row>
    <row r="241" spans="1:4">
      <c r="A241" s="313"/>
      <c r="B241" s="314"/>
      <c r="C241" s="315"/>
      <c r="D241" s="150"/>
    </row>
    <row r="242" spans="1:4">
      <c r="A242" s="313"/>
      <c r="B242" s="314"/>
      <c r="C242" s="315"/>
      <c r="D242" s="150"/>
    </row>
    <row r="243" spans="1:4">
      <c r="A243" s="313"/>
      <c r="B243" s="314"/>
      <c r="C243" s="315"/>
      <c r="D243" s="150"/>
    </row>
    <row r="244" spans="1:4">
      <c r="A244" s="313"/>
      <c r="B244" s="314"/>
      <c r="C244" s="315"/>
      <c r="D244" s="150"/>
    </row>
    <row r="245" spans="1:4">
      <c r="A245" s="313"/>
      <c r="B245" s="314"/>
      <c r="C245" s="315"/>
      <c r="D245" s="150"/>
    </row>
    <row r="246" spans="1:4">
      <c r="A246" s="313"/>
      <c r="B246" s="314"/>
      <c r="C246" s="315"/>
      <c r="D246" s="150"/>
    </row>
    <row r="247" spans="1:4">
      <c r="A247" s="313"/>
      <c r="B247" s="314"/>
      <c r="C247" s="315"/>
      <c r="D247" s="150"/>
    </row>
    <row r="248" spans="1:4">
      <c r="A248" s="313"/>
      <c r="B248" s="314"/>
      <c r="C248" s="315"/>
      <c r="D248" s="150"/>
    </row>
    <row r="249" spans="1:4">
      <c r="A249" s="313"/>
      <c r="B249" s="314"/>
      <c r="C249" s="315"/>
      <c r="D249" s="150"/>
    </row>
    <row r="250" spans="1:4">
      <c r="A250" s="313"/>
      <c r="B250" s="314"/>
      <c r="C250" s="315"/>
      <c r="D250" s="150"/>
    </row>
    <row r="251" spans="1:4">
      <c r="A251" s="313"/>
      <c r="B251" s="314"/>
      <c r="C251" s="315"/>
      <c r="D251" s="150"/>
    </row>
    <row r="252" spans="1:4">
      <c r="A252" s="313"/>
      <c r="B252" s="314"/>
      <c r="C252" s="315"/>
      <c r="D252" s="150"/>
    </row>
    <row r="253" spans="1:4">
      <c r="A253" s="313"/>
      <c r="B253" s="314"/>
      <c r="C253" s="315"/>
      <c r="D253" s="150"/>
    </row>
    <row r="254" spans="1:4">
      <c r="A254" s="313"/>
      <c r="B254" s="314"/>
      <c r="C254" s="315"/>
      <c r="D254" s="150"/>
    </row>
    <row r="255" spans="1:4">
      <c r="A255" s="313"/>
      <c r="B255" s="314"/>
      <c r="C255" s="315"/>
      <c r="D255" s="150"/>
    </row>
    <row r="256" spans="1:4">
      <c r="A256" s="313"/>
      <c r="B256" s="314"/>
      <c r="C256" s="315"/>
      <c r="D256" s="150"/>
    </row>
    <row r="257" spans="1:4">
      <c r="A257" s="313"/>
      <c r="B257" s="314"/>
      <c r="C257" s="315"/>
      <c r="D257" s="150"/>
    </row>
    <row r="258" spans="1:4">
      <c r="A258" s="313"/>
      <c r="B258" s="314"/>
      <c r="C258" s="315"/>
      <c r="D258" s="150"/>
    </row>
    <row r="259" spans="1:4">
      <c r="A259" s="313"/>
      <c r="B259" s="314"/>
      <c r="C259" s="315"/>
      <c r="D259" s="150"/>
    </row>
    <row r="260" spans="1:4">
      <c r="A260" s="313"/>
      <c r="B260" s="314"/>
      <c r="C260" s="315"/>
      <c r="D260" s="150"/>
    </row>
    <row r="261" spans="1:4">
      <c r="A261" s="313"/>
      <c r="B261" s="314"/>
      <c r="C261" s="315"/>
      <c r="D261" s="150"/>
    </row>
    <row r="262" spans="1:4">
      <c r="A262" s="313"/>
      <c r="B262" s="314"/>
      <c r="C262" s="315"/>
      <c r="D262" s="150"/>
    </row>
    <row r="263" spans="1:4">
      <c r="A263" s="313"/>
      <c r="B263" s="314"/>
      <c r="C263" s="315"/>
      <c r="D263" s="150"/>
    </row>
    <row r="264" spans="1:4">
      <c r="A264" s="313"/>
      <c r="B264" s="314"/>
      <c r="C264" s="315"/>
      <c r="D264" s="150"/>
    </row>
    <row r="265" spans="1:4">
      <c r="A265" s="313"/>
      <c r="B265" s="314"/>
      <c r="C265" s="315"/>
      <c r="D265" s="150"/>
    </row>
    <row r="266" spans="1:4">
      <c r="A266" s="313"/>
      <c r="B266" s="314"/>
      <c r="C266" s="315"/>
      <c r="D266" s="150"/>
    </row>
    <row r="267" spans="1:4">
      <c r="A267" s="313"/>
      <c r="B267" s="314"/>
      <c r="C267" s="315"/>
      <c r="D267" s="150"/>
    </row>
    <row r="268" spans="1:4">
      <c r="A268" s="313"/>
      <c r="B268" s="314"/>
      <c r="C268" s="315"/>
      <c r="D268" s="150"/>
    </row>
    <row r="269" spans="1:4">
      <c r="A269" s="313"/>
      <c r="B269" s="314"/>
      <c r="C269" s="315"/>
      <c r="D269" s="150"/>
    </row>
    <row r="270" spans="1:4">
      <c r="A270" s="313"/>
      <c r="B270" s="314"/>
      <c r="C270" s="315"/>
      <c r="D270" s="150"/>
    </row>
    <row r="271" spans="1:4">
      <c r="A271" s="313"/>
      <c r="B271" s="314"/>
      <c r="C271" s="315"/>
      <c r="D271" s="150"/>
    </row>
    <row r="272" spans="1:4">
      <c r="A272" s="313"/>
      <c r="B272" s="314"/>
      <c r="C272" s="315"/>
      <c r="D272" s="150"/>
    </row>
    <row r="273" spans="1:4">
      <c r="A273" s="313"/>
      <c r="B273" s="314"/>
      <c r="C273" s="315"/>
      <c r="D273" s="150"/>
    </row>
    <row r="274" spans="1:4">
      <c r="A274" s="313"/>
      <c r="B274" s="314"/>
      <c r="C274" s="315"/>
      <c r="D274" s="150"/>
    </row>
    <row r="275" spans="1:4">
      <c r="A275" s="313"/>
      <c r="B275" s="314"/>
      <c r="C275" s="315"/>
      <c r="D275" s="150"/>
    </row>
    <row r="276" spans="1:4">
      <c r="A276" s="313"/>
      <c r="B276" s="314"/>
      <c r="C276" s="315"/>
      <c r="D276" s="150"/>
    </row>
    <row r="277" spans="1:4">
      <c r="A277" s="313"/>
      <c r="B277" s="314"/>
      <c r="C277" s="315"/>
      <c r="D277" s="150"/>
    </row>
    <row r="278" spans="1:4">
      <c r="A278" s="313"/>
      <c r="B278" s="314"/>
      <c r="C278" s="315"/>
      <c r="D278" s="150"/>
    </row>
    <row r="279" spans="1:4">
      <c r="A279" s="313"/>
      <c r="B279" s="314"/>
      <c r="C279" s="315"/>
      <c r="D279" s="150"/>
    </row>
    <row r="280" spans="1:4">
      <c r="A280" s="313"/>
      <c r="B280" s="314"/>
      <c r="C280" s="315"/>
      <c r="D280" s="150"/>
    </row>
    <row r="281" spans="1:4">
      <c r="A281" s="313"/>
      <c r="B281" s="314"/>
      <c r="C281" s="315"/>
      <c r="D281" s="150"/>
    </row>
    <row r="282" spans="1:4">
      <c r="A282" s="313"/>
      <c r="B282" s="314"/>
      <c r="C282" s="315"/>
      <c r="D282" s="150"/>
    </row>
    <row r="283" spans="1:4">
      <c r="A283" s="313"/>
      <c r="B283" s="314"/>
      <c r="C283" s="315"/>
      <c r="D283" s="150"/>
    </row>
    <row r="284" spans="1:4">
      <c r="A284" s="313"/>
      <c r="B284" s="314"/>
      <c r="C284" s="315"/>
      <c r="D284" s="150"/>
    </row>
    <row r="285" spans="1:4">
      <c r="A285" s="313"/>
      <c r="B285" s="314"/>
      <c r="C285" s="315"/>
      <c r="D285" s="150"/>
    </row>
    <row r="286" spans="1:4">
      <c r="A286" s="313"/>
      <c r="B286" s="314"/>
      <c r="C286" s="315"/>
      <c r="D286" s="150"/>
    </row>
    <row r="287" spans="1:4">
      <c r="A287" s="313"/>
      <c r="B287" s="314"/>
      <c r="C287" s="315"/>
      <c r="D287" s="150"/>
    </row>
    <row r="288" spans="1:4">
      <c r="A288" s="313"/>
      <c r="B288" s="314"/>
      <c r="C288" s="315"/>
      <c r="D288" s="150"/>
    </row>
    <row r="289" spans="1:4">
      <c r="A289" s="313"/>
      <c r="B289" s="314"/>
      <c r="C289" s="315"/>
      <c r="D289" s="150"/>
    </row>
    <row r="290" spans="1:4">
      <c r="A290" s="313"/>
      <c r="B290" s="314"/>
      <c r="C290" s="315"/>
      <c r="D290" s="150"/>
    </row>
    <row r="291" spans="1:4">
      <c r="A291" s="313"/>
      <c r="B291" s="314"/>
      <c r="C291" s="315"/>
      <c r="D291" s="150"/>
    </row>
    <row r="292" spans="1:4">
      <c r="A292" s="313"/>
      <c r="B292" s="314"/>
      <c r="C292" s="315"/>
      <c r="D292" s="150"/>
    </row>
    <row r="293" spans="1:4">
      <c r="A293" s="313"/>
      <c r="B293" s="314"/>
      <c r="C293" s="315"/>
      <c r="D293" s="150"/>
    </row>
    <row r="294" spans="1:4">
      <c r="A294" s="313"/>
      <c r="B294" s="314"/>
      <c r="C294" s="315"/>
      <c r="D294" s="150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E176-B605-4BCC-8F10-218C6FF113DD}">
  <sheetPr>
    <tabColor rgb="FF00FF00"/>
    <pageSetUpPr fitToPage="1"/>
  </sheetPr>
  <dimension ref="B1:EM752"/>
  <sheetViews>
    <sheetView showGridLines="0" topLeftCell="A16" zoomScale="40" zoomScaleNormal="40" zoomScaleSheetLayoutView="55" zoomScalePageLayoutView="40" workbookViewId="0">
      <selection activeCell="BN79" sqref="BN79:BS82"/>
    </sheetView>
  </sheetViews>
  <sheetFormatPr defaultRowHeight="12.75"/>
  <cols>
    <col min="1" max="1" width="9.140625" style="219"/>
    <col min="2" max="38" width="3.42578125" style="219" customWidth="1"/>
    <col min="39" max="133" width="3.42578125" style="220" customWidth="1"/>
    <col min="134" max="140" width="1.42578125" style="220" customWidth="1"/>
    <col min="141" max="141" width="39.42578125" style="220" bestFit="1" customWidth="1"/>
    <col min="142" max="142" width="35.5703125" style="220" bestFit="1" customWidth="1"/>
    <col min="143" max="298" width="9.140625" style="219"/>
    <col min="299" max="306" width="3.85546875" style="219" customWidth="1"/>
    <col min="307" max="307" width="4.42578125" style="219" customWidth="1"/>
    <col min="308" max="389" width="3.85546875" style="219" customWidth="1"/>
    <col min="390" max="396" width="1.42578125" style="219" customWidth="1"/>
    <col min="397" max="397" width="39.42578125" style="219" bestFit="1" customWidth="1"/>
    <col min="398" max="398" width="35.5703125" style="219" bestFit="1" customWidth="1"/>
    <col min="399" max="554" width="9.140625" style="219"/>
    <col min="555" max="562" width="3.85546875" style="219" customWidth="1"/>
    <col min="563" max="563" width="4.42578125" style="219" customWidth="1"/>
    <col min="564" max="645" width="3.85546875" style="219" customWidth="1"/>
    <col min="646" max="652" width="1.42578125" style="219" customWidth="1"/>
    <col min="653" max="653" width="39.42578125" style="219" bestFit="1" customWidth="1"/>
    <col min="654" max="654" width="35.5703125" style="219" bestFit="1" customWidth="1"/>
    <col min="655" max="810" width="9.140625" style="219"/>
    <col min="811" max="818" width="3.85546875" style="219" customWidth="1"/>
    <col min="819" max="819" width="4.42578125" style="219" customWidth="1"/>
    <col min="820" max="901" width="3.85546875" style="219" customWidth="1"/>
    <col min="902" max="908" width="1.42578125" style="219" customWidth="1"/>
    <col min="909" max="909" width="39.42578125" style="219" bestFit="1" customWidth="1"/>
    <col min="910" max="910" width="35.5703125" style="219" bestFit="1" customWidth="1"/>
    <col min="911" max="1066" width="9.140625" style="219"/>
    <col min="1067" max="1074" width="3.85546875" style="219" customWidth="1"/>
    <col min="1075" max="1075" width="4.42578125" style="219" customWidth="1"/>
    <col min="1076" max="1157" width="3.85546875" style="219" customWidth="1"/>
    <col min="1158" max="1164" width="1.42578125" style="219" customWidth="1"/>
    <col min="1165" max="1165" width="39.42578125" style="219" bestFit="1" customWidth="1"/>
    <col min="1166" max="1166" width="35.5703125" style="219" bestFit="1" customWidth="1"/>
    <col min="1167" max="1322" width="9.140625" style="219"/>
    <col min="1323" max="1330" width="3.85546875" style="219" customWidth="1"/>
    <col min="1331" max="1331" width="4.42578125" style="219" customWidth="1"/>
    <col min="1332" max="1413" width="3.85546875" style="219" customWidth="1"/>
    <col min="1414" max="1420" width="1.42578125" style="219" customWidth="1"/>
    <col min="1421" max="1421" width="39.42578125" style="219" bestFit="1" customWidth="1"/>
    <col min="1422" max="1422" width="35.5703125" style="219" bestFit="1" customWidth="1"/>
    <col min="1423" max="1578" width="9.140625" style="219"/>
    <col min="1579" max="1586" width="3.85546875" style="219" customWidth="1"/>
    <col min="1587" max="1587" width="4.42578125" style="219" customWidth="1"/>
    <col min="1588" max="1669" width="3.85546875" style="219" customWidth="1"/>
    <col min="1670" max="1676" width="1.42578125" style="219" customWidth="1"/>
    <col min="1677" max="1677" width="39.42578125" style="219" bestFit="1" customWidth="1"/>
    <col min="1678" max="1678" width="35.5703125" style="219" bestFit="1" customWidth="1"/>
    <col min="1679" max="1834" width="9.140625" style="219"/>
    <col min="1835" max="1842" width="3.85546875" style="219" customWidth="1"/>
    <col min="1843" max="1843" width="4.42578125" style="219" customWidth="1"/>
    <col min="1844" max="1925" width="3.85546875" style="219" customWidth="1"/>
    <col min="1926" max="1932" width="1.42578125" style="219" customWidth="1"/>
    <col min="1933" max="1933" width="39.42578125" style="219" bestFit="1" customWidth="1"/>
    <col min="1934" max="1934" width="35.5703125" style="219" bestFit="1" customWidth="1"/>
    <col min="1935" max="2090" width="9.140625" style="219"/>
    <col min="2091" max="2098" width="3.85546875" style="219" customWidth="1"/>
    <col min="2099" max="2099" width="4.42578125" style="219" customWidth="1"/>
    <col min="2100" max="2181" width="3.85546875" style="219" customWidth="1"/>
    <col min="2182" max="2188" width="1.42578125" style="219" customWidth="1"/>
    <col min="2189" max="2189" width="39.42578125" style="219" bestFit="1" customWidth="1"/>
    <col min="2190" max="2190" width="35.5703125" style="219" bestFit="1" customWidth="1"/>
    <col min="2191" max="2346" width="9.140625" style="219"/>
    <col min="2347" max="2354" width="3.85546875" style="219" customWidth="1"/>
    <col min="2355" max="2355" width="4.42578125" style="219" customWidth="1"/>
    <col min="2356" max="2437" width="3.85546875" style="219" customWidth="1"/>
    <col min="2438" max="2444" width="1.42578125" style="219" customWidth="1"/>
    <col min="2445" max="2445" width="39.42578125" style="219" bestFit="1" customWidth="1"/>
    <col min="2446" max="2446" width="35.5703125" style="219" bestFit="1" customWidth="1"/>
    <col min="2447" max="2602" width="9.140625" style="219"/>
    <col min="2603" max="2610" width="3.85546875" style="219" customWidth="1"/>
    <col min="2611" max="2611" width="4.42578125" style="219" customWidth="1"/>
    <col min="2612" max="2693" width="3.85546875" style="219" customWidth="1"/>
    <col min="2694" max="2700" width="1.42578125" style="219" customWidth="1"/>
    <col min="2701" max="2701" width="39.42578125" style="219" bestFit="1" customWidth="1"/>
    <col min="2702" max="2702" width="35.5703125" style="219" bestFit="1" customWidth="1"/>
    <col min="2703" max="2858" width="9.140625" style="219"/>
    <col min="2859" max="2866" width="3.85546875" style="219" customWidth="1"/>
    <col min="2867" max="2867" width="4.42578125" style="219" customWidth="1"/>
    <col min="2868" max="2949" width="3.85546875" style="219" customWidth="1"/>
    <col min="2950" max="2956" width="1.42578125" style="219" customWidth="1"/>
    <col min="2957" max="2957" width="39.42578125" style="219" bestFit="1" customWidth="1"/>
    <col min="2958" max="2958" width="35.5703125" style="219" bestFit="1" customWidth="1"/>
    <col min="2959" max="3114" width="9.140625" style="219"/>
    <col min="3115" max="3122" width="3.85546875" style="219" customWidth="1"/>
    <col min="3123" max="3123" width="4.42578125" style="219" customWidth="1"/>
    <col min="3124" max="3205" width="3.85546875" style="219" customWidth="1"/>
    <col min="3206" max="3212" width="1.42578125" style="219" customWidth="1"/>
    <col min="3213" max="3213" width="39.42578125" style="219" bestFit="1" customWidth="1"/>
    <col min="3214" max="3214" width="35.5703125" style="219" bestFit="1" customWidth="1"/>
    <col min="3215" max="3370" width="9.140625" style="219"/>
    <col min="3371" max="3378" width="3.85546875" style="219" customWidth="1"/>
    <col min="3379" max="3379" width="4.42578125" style="219" customWidth="1"/>
    <col min="3380" max="3461" width="3.85546875" style="219" customWidth="1"/>
    <col min="3462" max="3468" width="1.42578125" style="219" customWidth="1"/>
    <col min="3469" max="3469" width="39.42578125" style="219" bestFit="1" customWidth="1"/>
    <col min="3470" max="3470" width="35.5703125" style="219" bestFit="1" customWidth="1"/>
    <col min="3471" max="3626" width="9.140625" style="219"/>
    <col min="3627" max="3634" width="3.85546875" style="219" customWidth="1"/>
    <col min="3635" max="3635" width="4.42578125" style="219" customWidth="1"/>
    <col min="3636" max="3717" width="3.85546875" style="219" customWidth="1"/>
    <col min="3718" max="3724" width="1.42578125" style="219" customWidth="1"/>
    <col min="3725" max="3725" width="39.42578125" style="219" bestFit="1" customWidth="1"/>
    <col min="3726" max="3726" width="35.5703125" style="219" bestFit="1" customWidth="1"/>
    <col min="3727" max="3882" width="9.140625" style="219"/>
    <col min="3883" max="3890" width="3.85546875" style="219" customWidth="1"/>
    <col min="3891" max="3891" width="4.42578125" style="219" customWidth="1"/>
    <col min="3892" max="3973" width="3.85546875" style="219" customWidth="1"/>
    <col min="3974" max="3980" width="1.42578125" style="219" customWidth="1"/>
    <col min="3981" max="3981" width="39.42578125" style="219" bestFit="1" customWidth="1"/>
    <col min="3982" max="3982" width="35.5703125" style="219" bestFit="1" customWidth="1"/>
    <col min="3983" max="4138" width="9.140625" style="219"/>
    <col min="4139" max="4146" width="3.85546875" style="219" customWidth="1"/>
    <col min="4147" max="4147" width="4.42578125" style="219" customWidth="1"/>
    <col min="4148" max="4229" width="3.85546875" style="219" customWidth="1"/>
    <col min="4230" max="4236" width="1.42578125" style="219" customWidth="1"/>
    <col min="4237" max="4237" width="39.42578125" style="219" bestFit="1" customWidth="1"/>
    <col min="4238" max="4238" width="35.5703125" style="219" bestFit="1" customWidth="1"/>
    <col min="4239" max="4394" width="9.140625" style="219"/>
    <col min="4395" max="4402" width="3.85546875" style="219" customWidth="1"/>
    <col min="4403" max="4403" width="4.42578125" style="219" customWidth="1"/>
    <col min="4404" max="4485" width="3.85546875" style="219" customWidth="1"/>
    <col min="4486" max="4492" width="1.42578125" style="219" customWidth="1"/>
    <col min="4493" max="4493" width="39.42578125" style="219" bestFit="1" customWidth="1"/>
    <col min="4494" max="4494" width="35.5703125" style="219" bestFit="1" customWidth="1"/>
    <col min="4495" max="4650" width="9.140625" style="219"/>
    <col min="4651" max="4658" width="3.85546875" style="219" customWidth="1"/>
    <col min="4659" max="4659" width="4.42578125" style="219" customWidth="1"/>
    <col min="4660" max="4741" width="3.85546875" style="219" customWidth="1"/>
    <col min="4742" max="4748" width="1.42578125" style="219" customWidth="1"/>
    <col min="4749" max="4749" width="39.42578125" style="219" bestFit="1" customWidth="1"/>
    <col min="4750" max="4750" width="35.5703125" style="219" bestFit="1" customWidth="1"/>
    <col min="4751" max="4906" width="9.140625" style="219"/>
    <col min="4907" max="4914" width="3.85546875" style="219" customWidth="1"/>
    <col min="4915" max="4915" width="4.42578125" style="219" customWidth="1"/>
    <col min="4916" max="4997" width="3.85546875" style="219" customWidth="1"/>
    <col min="4998" max="5004" width="1.42578125" style="219" customWidth="1"/>
    <col min="5005" max="5005" width="39.42578125" style="219" bestFit="1" customWidth="1"/>
    <col min="5006" max="5006" width="35.5703125" style="219" bestFit="1" customWidth="1"/>
    <col min="5007" max="5162" width="9.140625" style="219"/>
    <col min="5163" max="5170" width="3.85546875" style="219" customWidth="1"/>
    <col min="5171" max="5171" width="4.42578125" style="219" customWidth="1"/>
    <col min="5172" max="5253" width="3.85546875" style="219" customWidth="1"/>
    <col min="5254" max="5260" width="1.42578125" style="219" customWidth="1"/>
    <col min="5261" max="5261" width="39.42578125" style="219" bestFit="1" customWidth="1"/>
    <col min="5262" max="5262" width="35.5703125" style="219" bestFit="1" customWidth="1"/>
    <col min="5263" max="5418" width="9.140625" style="219"/>
    <col min="5419" max="5426" width="3.85546875" style="219" customWidth="1"/>
    <col min="5427" max="5427" width="4.42578125" style="219" customWidth="1"/>
    <col min="5428" max="5509" width="3.85546875" style="219" customWidth="1"/>
    <col min="5510" max="5516" width="1.42578125" style="219" customWidth="1"/>
    <col min="5517" max="5517" width="39.42578125" style="219" bestFit="1" customWidth="1"/>
    <col min="5518" max="5518" width="35.5703125" style="219" bestFit="1" customWidth="1"/>
    <col min="5519" max="5674" width="9.140625" style="219"/>
    <col min="5675" max="5682" width="3.85546875" style="219" customWidth="1"/>
    <col min="5683" max="5683" width="4.42578125" style="219" customWidth="1"/>
    <col min="5684" max="5765" width="3.85546875" style="219" customWidth="1"/>
    <col min="5766" max="5772" width="1.42578125" style="219" customWidth="1"/>
    <col min="5773" max="5773" width="39.42578125" style="219" bestFit="1" customWidth="1"/>
    <col min="5774" max="5774" width="35.5703125" style="219" bestFit="1" customWidth="1"/>
    <col min="5775" max="5930" width="9.140625" style="219"/>
    <col min="5931" max="5938" width="3.85546875" style="219" customWidth="1"/>
    <col min="5939" max="5939" width="4.42578125" style="219" customWidth="1"/>
    <col min="5940" max="6021" width="3.85546875" style="219" customWidth="1"/>
    <col min="6022" max="6028" width="1.42578125" style="219" customWidth="1"/>
    <col min="6029" max="6029" width="39.42578125" style="219" bestFit="1" customWidth="1"/>
    <col min="6030" max="6030" width="35.5703125" style="219" bestFit="1" customWidth="1"/>
    <col min="6031" max="6186" width="9.140625" style="219"/>
    <col min="6187" max="6194" width="3.85546875" style="219" customWidth="1"/>
    <col min="6195" max="6195" width="4.42578125" style="219" customWidth="1"/>
    <col min="6196" max="6277" width="3.85546875" style="219" customWidth="1"/>
    <col min="6278" max="6284" width="1.42578125" style="219" customWidth="1"/>
    <col min="6285" max="6285" width="39.42578125" style="219" bestFit="1" customWidth="1"/>
    <col min="6286" max="6286" width="35.5703125" style="219" bestFit="1" customWidth="1"/>
    <col min="6287" max="6442" width="9.140625" style="219"/>
    <col min="6443" max="6450" width="3.85546875" style="219" customWidth="1"/>
    <col min="6451" max="6451" width="4.42578125" style="219" customWidth="1"/>
    <col min="6452" max="6533" width="3.85546875" style="219" customWidth="1"/>
    <col min="6534" max="6540" width="1.42578125" style="219" customWidth="1"/>
    <col min="6541" max="6541" width="39.42578125" style="219" bestFit="1" customWidth="1"/>
    <col min="6542" max="6542" width="35.5703125" style="219" bestFit="1" customWidth="1"/>
    <col min="6543" max="6698" width="9.140625" style="219"/>
    <col min="6699" max="6706" width="3.85546875" style="219" customWidth="1"/>
    <col min="6707" max="6707" width="4.42578125" style="219" customWidth="1"/>
    <col min="6708" max="6789" width="3.85546875" style="219" customWidth="1"/>
    <col min="6790" max="6796" width="1.42578125" style="219" customWidth="1"/>
    <col min="6797" max="6797" width="39.42578125" style="219" bestFit="1" customWidth="1"/>
    <col min="6798" max="6798" width="35.5703125" style="219" bestFit="1" customWidth="1"/>
    <col min="6799" max="6954" width="9.140625" style="219"/>
    <col min="6955" max="6962" width="3.85546875" style="219" customWidth="1"/>
    <col min="6963" max="6963" width="4.42578125" style="219" customWidth="1"/>
    <col min="6964" max="7045" width="3.85546875" style="219" customWidth="1"/>
    <col min="7046" max="7052" width="1.42578125" style="219" customWidth="1"/>
    <col min="7053" max="7053" width="39.42578125" style="219" bestFit="1" customWidth="1"/>
    <col min="7054" max="7054" width="35.5703125" style="219" bestFit="1" customWidth="1"/>
    <col min="7055" max="7210" width="9.140625" style="219"/>
    <col min="7211" max="7218" width="3.85546875" style="219" customWidth="1"/>
    <col min="7219" max="7219" width="4.42578125" style="219" customWidth="1"/>
    <col min="7220" max="7301" width="3.85546875" style="219" customWidth="1"/>
    <col min="7302" max="7308" width="1.42578125" style="219" customWidth="1"/>
    <col min="7309" max="7309" width="39.42578125" style="219" bestFit="1" customWidth="1"/>
    <col min="7310" max="7310" width="35.5703125" style="219" bestFit="1" customWidth="1"/>
    <col min="7311" max="7466" width="9.140625" style="219"/>
    <col min="7467" max="7474" width="3.85546875" style="219" customWidth="1"/>
    <col min="7475" max="7475" width="4.42578125" style="219" customWidth="1"/>
    <col min="7476" max="7557" width="3.85546875" style="219" customWidth="1"/>
    <col min="7558" max="7564" width="1.42578125" style="219" customWidth="1"/>
    <col min="7565" max="7565" width="39.42578125" style="219" bestFit="1" customWidth="1"/>
    <col min="7566" max="7566" width="35.5703125" style="219" bestFit="1" customWidth="1"/>
    <col min="7567" max="7722" width="9.140625" style="219"/>
    <col min="7723" max="7730" width="3.85546875" style="219" customWidth="1"/>
    <col min="7731" max="7731" width="4.42578125" style="219" customWidth="1"/>
    <col min="7732" max="7813" width="3.85546875" style="219" customWidth="1"/>
    <col min="7814" max="7820" width="1.42578125" style="219" customWidth="1"/>
    <col min="7821" max="7821" width="39.42578125" style="219" bestFit="1" customWidth="1"/>
    <col min="7822" max="7822" width="35.5703125" style="219" bestFit="1" customWidth="1"/>
    <col min="7823" max="7978" width="9.140625" style="219"/>
    <col min="7979" max="7986" width="3.85546875" style="219" customWidth="1"/>
    <col min="7987" max="7987" width="4.42578125" style="219" customWidth="1"/>
    <col min="7988" max="8069" width="3.85546875" style="219" customWidth="1"/>
    <col min="8070" max="8076" width="1.42578125" style="219" customWidth="1"/>
    <col min="8077" max="8077" width="39.42578125" style="219" bestFit="1" customWidth="1"/>
    <col min="8078" max="8078" width="35.5703125" style="219" bestFit="1" customWidth="1"/>
    <col min="8079" max="8234" width="9.140625" style="219"/>
    <col min="8235" max="8242" width="3.85546875" style="219" customWidth="1"/>
    <col min="8243" max="8243" width="4.42578125" style="219" customWidth="1"/>
    <col min="8244" max="8325" width="3.85546875" style="219" customWidth="1"/>
    <col min="8326" max="8332" width="1.42578125" style="219" customWidth="1"/>
    <col min="8333" max="8333" width="39.42578125" style="219" bestFit="1" customWidth="1"/>
    <col min="8334" max="8334" width="35.5703125" style="219" bestFit="1" customWidth="1"/>
    <col min="8335" max="8490" width="9.140625" style="219"/>
    <col min="8491" max="8498" width="3.85546875" style="219" customWidth="1"/>
    <col min="8499" max="8499" width="4.42578125" style="219" customWidth="1"/>
    <col min="8500" max="8581" width="3.85546875" style="219" customWidth="1"/>
    <col min="8582" max="8588" width="1.42578125" style="219" customWidth="1"/>
    <col min="8589" max="8589" width="39.42578125" style="219" bestFit="1" customWidth="1"/>
    <col min="8590" max="8590" width="35.5703125" style="219" bestFit="1" customWidth="1"/>
    <col min="8591" max="8746" width="9.140625" style="219"/>
    <col min="8747" max="8754" width="3.85546875" style="219" customWidth="1"/>
    <col min="8755" max="8755" width="4.42578125" style="219" customWidth="1"/>
    <col min="8756" max="8837" width="3.85546875" style="219" customWidth="1"/>
    <col min="8838" max="8844" width="1.42578125" style="219" customWidth="1"/>
    <col min="8845" max="8845" width="39.42578125" style="219" bestFit="1" customWidth="1"/>
    <col min="8846" max="8846" width="35.5703125" style="219" bestFit="1" customWidth="1"/>
    <col min="8847" max="9002" width="9.140625" style="219"/>
    <col min="9003" max="9010" width="3.85546875" style="219" customWidth="1"/>
    <col min="9011" max="9011" width="4.42578125" style="219" customWidth="1"/>
    <col min="9012" max="9093" width="3.85546875" style="219" customWidth="1"/>
    <col min="9094" max="9100" width="1.42578125" style="219" customWidth="1"/>
    <col min="9101" max="9101" width="39.42578125" style="219" bestFit="1" customWidth="1"/>
    <col min="9102" max="9102" width="35.5703125" style="219" bestFit="1" customWidth="1"/>
    <col min="9103" max="9258" width="9.140625" style="219"/>
    <col min="9259" max="9266" width="3.85546875" style="219" customWidth="1"/>
    <col min="9267" max="9267" width="4.42578125" style="219" customWidth="1"/>
    <col min="9268" max="9349" width="3.85546875" style="219" customWidth="1"/>
    <col min="9350" max="9356" width="1.42578125" style="219" customWidth="1"/>
    <col min="9357" max="9357" width="39.42578125" style="219" bestFit="1" customWidth="1"/>
    <col min="9358" max="9358" width="35.5703125" style="219" bestFit="1" customWidth="1"/>
    <col min="9359" max="9514" width="9.140625" style="219"/>
    <col min="9515" max="9522" width="3.85546875" style="219" customWidth="1"/>
    <col min="9523" max="9523" width="4.42578125" style="219" customWidth="1"/>
    <col min="9524" max="9605" width="3.85546875" style="219" customWidth="1"/>
    <col min="9606" max="9612" width="1.42578125" style="219" customWidth="1"/>
    <col min="9613" max="9613" width="39.42578125" style="219" bestFit="1" customWidth="1"/>
    <col min="9614" max="9614" width="35.5703125" style="219" bestFit="1" customWidth="1"/>
    <col min="9615" max="9770" width="9.140625" style="219"/>
    <col min="9771" max="9778" width="3.85546875" style="219" customWidth="1"/>
    <col min="9779" max="9779" width="4.42578125" style="219" customWidth="1"/>
    <col min="9780" max="9861" width="3.85546875" style="219" customWidth="1"/>
    <col min="9862" max="9868" width="1.42578125" style="219" customWidth="1"/>
    <col min="9869" max="9869" width="39.42578125" style="219" bestFit="1" customWidth="1"/>
    <col min="9870" max="9870" width="35.5703125" style="219" bestFit="1" customWidth="1"/>
    <col min="9871" max="10026" width="9.140625" style="219"/>
    <col min="10027" max="10034" width="3.85546875" style="219" customWidth="1"/>
    <col min="10035" max="10035" width="4.42578125" style="219" customWidth="1"/>
    <col min="10036" max="10117" width="3.85546875" style="219" customWidth="1"/>
    <col min="10118" max="10124" width="1.42578125" style="219" customWidth="1"/>
    <col min="10125" max="10125" width="39.42578125" style="219" bestFit="1" customWidth="1"/>
    <col min="10126" max="10126" width="35.5703125" style="219" bestFit="1" customWidth="1"/>
    <col min="10127" max="10282" width="9.140625" style="219"/>
    <col min="10283" max="10290" width="3.85546875" style="219" customWidth="1"/>
    <col min="10291" max="10291" width="4.42578125" style="219" customWidth="1"/>
    <col min="10292" max="10373" width="3.85546875" style="219" customWidth="1"/>
    <col min="10374" max="10380" width="1.42578125" style="219" customWidth="1"/>
    <col min="10381" max="10381" width="39.42578125" style="219" bestFit="1" customWidth="1"/>
    <col min="10382" max="10382" width="35.5703125" style="219" bestFit="1" customWidth="1"/>
    <col min="10383" max="10538" width="9.140625" style="219"/>
    <col min="10539" max="10546" width="3.85546875" style="219" customWidth="1"/>
    <col min="10547" max="10547" width="4.42578125" style="219" customWidth="1"/>
    <col min="10548" max="10629" width="3.85546875" style="219" customWidth="1"/>
    <col min="10630" max="10636" width="1.42578125" style="219" customWidth="1"/>
    <col min="10637" max="10637" width="39.42578125" style="219" bestFit="1" customWidth="1"/>
    <col min="10638" max="10638" width="35.5703125" style="219" bestFit="1" customWidth="1"/>
    <col min="10639" max="10794" width="9.140625" style="219"/>
    <col min="10795" max="10802" width="3.85546875" style="219" customWidth="1"/>
    <col min="10803" max="10803" width="4.42578125" style="219" customWidth="1"/>
    <col min="10804" max="10885" width="3.85546875" style="219" customWidth="1"/>
    <col min="10886" max="10892" width="1.42578125" style="219" customWidth="1"/>
    <col min="10893" max="10893" width="39.42578125" style="219" bestFit="1" customWidth="1"/>
    <col min="10894" max="10894" width="35.5703125" style="219" bestFit="1" customWidth="1"/>
    <col min="10895" max="11050" width="9.140625" style="219"/>
    <col min="11051" max="11058" width="3.85546875" style="219" customWidth="1"/>
    <col min="11059" max="11059" width="4.42578125" style="219" customWidth="1"/>
    <col min="11060" max="11141" width="3.85546875" style="219" customWidth="1"/>
    <col min="11142" max="11148" width="1.42578125" style="219" customWidth="1"/>
    <col min="11149" max="11149" width="39.42578125" style="219" bestFit="1" customWidth="1"/>
    <col min="11150" max="11150" width="35.5703125" style="219" bestFit="1" customWidth="1"/>
    <col min="11151" max="11306" width="9.140625" style="219"/>
    <col min="11307" max="11314" width="3.85546875" style="219" customWidth="1"/>
    <col min="11315" max="11315" width="4.42578125" style="219" customWidth="1"/>
    <col min="11316" max="11397" width="3.85546875" style="219" customWidth="1"/>
    <col min="11398" max="11404" width="1.42578125" style="219" customWidth="1"/>
    <col min="11405" max="11405" width="39.42578125" style="219" bestFit="1" customWidth="1"/>
    <col min="11406" max="11406" width="35.5703125" style="219" bestFit="1" customWidth="1"/>
    <col min="11407" max="11562" width="9.140625" style="219"/>
    <col min="11563" max="11570" width="3.85546875" style="219" customWidth="1"/>
    <col min="11571" max="11571" width="4.42578125" style="219" customWidth="1"/>
    <col min="11572" max="11653" width="3.85546875" style="219" customWidth="1"/>
    <col min="11654" max="11660" width="1.42578125" style="219" customWidth="1"/>
    <col min="11661" max="11661" width="39.42578125" style="219" bestFit="1" customWidth="1"/>
    <col min="11662" max="11662" width="35.5703125" style="219" bestFit="1" customWidth="1"/>
    <col min="11663" max="11818" width="9.140625" style="219"/>
    <col min="11819" max="11826" width="3.85546875" style="219" customWidth="1"/>
    <col min="11827" max="11827" width="4.42578125" style="219" customWidth="1"/>
    <col min="11828" max="11909" width="3.85546875" style="219" customWidth="1"/>
    <col min="11910" max="11916" width="1.42578125" style="219" customWidth="1"/>
    <col min="11917" max="11917" width="39.42578125" style="219" bestFit="1" customWidth="1"/>
    <col min="11918" max="11918" width="35.5703125" style="219" bestFit="1" customWidth="1"/>
    <col min="11919" max="12074" width="9.140625" style="219"/>
    <col min="12075" max="12082" width="3.85546875" style="219" customWidth="1"/>
    <col min="12083" max="12083" width="4.42578125" style="219" customWidth="1"/>
    <col min="12084" max="12165" width="3.85546875" style="219" customWidth="1"/>
    <col min="12166" max="12172" width="1.42578125" style="219" customWidth="1"/>
    <col min="12173" max="12173" width="39.42578125" style="219" bestFit="1" customWidth="1"/>
    <col min="12174" max="12174" width="35.5703125" style="219" bestFit="1" customWidth="1"/>
    <col min="12175" max="12330" width="9.140625" style="219"/>
    <col min="12331" max="12338" width="3.85546875" style="219" customWidth="1"/>
    <col min="12339" max="12339" width="4.42578125" style="219" customWidth="1"/>
    <col min="12340" max="12421" width="3.85546875" style="219" customWidth="1"/>
    <col min="12422" max="12428" width="1.42578125" style="219" customWidth="1"/>
    <col min="12429" max="12429" width="39.42578125" style="219" bestFit="1" customWidth="1"/>
    <col min="12430" max="12430" width="35.5703125" style="219" bestFit="1" customWidth="1"/>
    <col min="12431" max="12586" width="9.140625" style="219"/>
    <col min="12587" max="12594" width="3.85546875" style="219" customWidth="1"/>
    <col min="12595" max="12595" width="4.42578125" style="219" customWidth="1"/>
    <col min="12596" max="12677" width="3.85546875" style="219" customWidth="1"/>
    <col min="12678" max="12684" width="1.42578125" style="219" customWidth="1"/>
    <col min="12685" max="12685" width="39.42578125" style="219" bestFit="1" customWidth="1"/>
    <col min="12686" max="12686" width="35.5703125" style="219" bestFit="1" customWidth="1"/>
    <col min="12687" max="12842" width="9.140625" style="219"/>
    <col min="12843" max="12850" width="3.85546875" style="219" customWidth="1"/>
    <col min="12851" max="12851" width="4.42578125" style="219" customWidth="1"/>
    <col min="12852" max="12933" width="3.85546875" style="219" customWidth="1"/>
    <col min="12934" max="12940" width="1.42578125" style="219" customWidth="1"/>
    <col min="12941" max="12941" width="39.42578125" style="219" bestFit="1" customWidth="1"/>
    <col min="12942" max="12942" width="35.5703125" style="219" bestFit="1" customWidth="1"/>
    <col min="12943" max="13098" width="9.140625" style="219"/>
    <col min="13099" max="13106" width="3.85546875" style="219" customWidth="1"/>
    <col min="13107" max="13107" width="4.42578125" style="219" customWidth="1"/>
    <col min="13108" max="13189" width="3.85546875" style="219" customWidth="1"/>
    <col min="13190" max="13196" width="1.42578125" style="219" customWidth="1"/>
    <col min="13197" max="13197" width="39.42578125" style="219" bestFit="1" customWidth="1"/>
    <col min="13198" max="13198" width="35.5703125" style="219" bestFit="1" customWidth="1"/>
    <col min="13199" max="13354" width="9.140625" style="219"/>
    <col min="13355" max="13362" width="3.85546875" style="219" customWidth="1"/>
    <col min="13363" max="13363" width="4.42578125" style="219" customWidth="1"/>
    <col min="13364" max="13445" width="3.85546875" style="219" customWidth="1"/>
    <col min="13446" max="13452" width="1.42578125" style="219" customWidth="1"/>
    <col min="13453" max="13453" width="39.42578125" style="219" bestFit="1" customWidth="1"/>
    <col min="13454" max="13454" width="35.5703125" style="219" bestFit="1" customWidth="1"/>
    <col min="13455" max="13610" width="9.140625" style="219"/>
    <col min="13611" max="13618" width="3.85546875" style="219" customWidth="1"/>
    <col min="13619" max="13619" width="4.42578125" style="219" customWidth="1"/>
    <col min="13620" max="13701" width="3.85546875" style="219" customWidth="1"/>
    <col min="13702" max="13708" width="1.42578125" style="219" customWidth="1"/>
    <col min="13709" max="13709" width="39.42578125" style="219" bestFit="1" customWidth="1"/>
    <col min="13710" max="13710" width="35.5703125" style="219" bestFit="1" customWidth="1"/>
    <col min="13711" max="13866" width="9.140625" style="219"/>
    <col min="13867" max="13874" width="3.85546875" style="219" customWidth="1"/>
    <col min="13875" max="13875" width="4.42578125" style="219" customWidth="1"/>
    <col min="13876" max="13957" width="3.85546875" style="219" customWidth="1"/>
    <col min="13958" max="13964" width="1.42578125" style="219" customWidth="1"/>
    <col min="13965" max="13965" width="39.42578125" style="219" bestFit="1" customWidth="1"/>
    <col min="13966" max="13966" width="35.5703125" style="219" bestFit="1" customWidth="1"/>
    <col min="13967" max="14122" width="9.140625" style="219"/>
    <col min="14123" max="14130" width="3.85546875" style="219" customWidth="1"/>
    <col min="14131" max="14131" width="4.42578125" style="219" customWidth="1"/>
    <col min="14132" max="14213" width="3.85546875" style="219" customWidth="1"/>
    <col min="14214" max="14220" width="1.42578125" style="219" customWidth="1"/>
    <col min="14221" max="14221" width="39.42578125" style="219" bestFit="1" customWidth="1"/>
    <col min="14222" max="14222" width="35.5703125" style="219" bestFit="1" customWidth="1"/>
    <col min="14223" max="14378" width="9.140625" style="219"/>
    <col min="14379" max="14386" width="3.85546875" style="219" customWidth="1"/>
    <col min="14387" max="14387" width="4.42578125" style="219" customWidth="1"/>
    <col min="14388" max="14469" width="3.85546875" style="219" customWidth="1"/>
    <col min="14470" max="14476" width="1.42578125" style="219" customWidth="1"/>
    <col min="14477" max="14477" width="39.42578125" style="219" bestFit="1" customWidth="1"/>
    <col min="14478" max="14478" width="35.5703125" style="219" bestFit="1" customWidth="1"/>
    <col min="14479" max="14634" width="9.140625" style="219"/>
    <col min="14635" max="14642" width="3.85546875" style="219" customWidth="1"/>
    <col min="14643" max="14643" width="4.42578125" style="219" customWidth="1"/>
    <col min="14644" max="14725" width="3.85546875" style="219" customWidth="1"/>
    <col min="14726" max="14732" width="1.42578125" style="219" customWidth="1"/>
    <col min="14733" max="14733" width="39.42578125" style="219" bestFit="1" customWidth="1"/>
    <col min="14734" max="14734" width="35.5703125" style="219" bestFit="1" customWidth="1"/>
    <col min="14735" max="14890" width="9.140625" style="219"/>
    <col min="14891" max="14898" width="3.85546875" style="219" customWidth="1"/>
    <col min="14899" max="14899" width="4.42578125" style="219" customWidth="1"/>
    <col min="14900" max="14981" width="3.85546875" style="219" customWidth="1"/>
    <col min="14982" max="14988" width="1.42578125" style="219" customWidth="1"/>
    <col min="14989" max="14989" width="39.42578125" style="219" bestFit="1" customWidth="1"/>
    <col min="14990" max="14990" width="35.5703125" style="219" bestFit="1" customWidth="1"/>
    <col min="14991" max="15146" width="9.140625" style="219"/>
    <col min="15147" max="15154" width="3.85546875" style="219" customWidth="1"/>
    <col min="15155" max="15155" width="4.42578125" style="219" customWidth="1"/>
    <col min="15156" max="15237" width="3.85546875" style="219" customWidth="1"/>
    <col min="15238" max="15244" width="1.42578125" style="219" customWidth="1"/>
    <col min="15245" max="15245" width="39.42578125" style="219" bestFit="1" customWidth="1"/>
    <col min="15246" max="15246" width="35.5703125" style="219" bestFit="1" customWidth="1"/>
    <col min="15247" max="15402" width="9.140625" style="219"/>
    <col min="15403" max="15410" width="3.85546875" style="219" customWidth="1"/>
    <col min="15411" max="15411" width="4.42578125" style="219" customWidth="1"/>
    <col min="15412" max="15493" width="3.85546875" style="219" customWidth="1"/>
    <col min="15494" max="15500" width="1.42578125" style="219" customWidth="1"/>
    <col min="15501" max="15501" width="39.42578125" style="219" bestFit="1" customWidth="1"/>
    <col min="15502" max="15502" width="35.5703125" style="219" bestFit="1" customWidth="1"/>
    <col min="15503" max="15658" width="9.140625" style="219"/>
    <col min="15659" max="15666" width="3.85546875" style="219" customWidth="1"/>
    <col min="15667" max="15667" width="4.42578125" style="219" customWidth="1"/>
    <col min="15668" max="15749" width="3.85546875" style="219" customWidth="1"/>
    <col min="15750" max="15756" width="1.42578125" style="219" customWidth="1"/>
    <col min="15757" max="15757" width="39.42578125" style="219" bestFit="1" customWidth="1"/>
    <col min="15758" max="15758" width="35.5703125" style="219" bestFit="1" customWidth="1"/>
    <col min="15759" max="15914" width="9.140625" style="219"/>
    <col min="15915" max="15922" width="3.85546875" style="219" customWidth="1"/>
    <col min="15923" max="15923" width="4.42578125" style="219" customWidth="1"/>
    <col min="15924" max="16005" width="3.85546875" style="219" customWidth="1"/>
    <col min="16006" max="16012" width="1.42578125" style="219" customWidth="1"/>
    <col min="16013" max="16013" width="39.42578125" style="219" bestFit="1" customWidth="1"/>
    <col min="16014" max="16014" width="35.5703125" style="219" bestFit="1" customWidth="1"/>
    <col min="16015" max="16170" width="9.140625" style="219"/>
    <col min="16171" max="16178" width="3.85546875" style="219" customWidth="1"/>
    <col min="16179" max="16179" width="4.42578125" style="219" customWidth="1"/>
    <col min="16180" max="16261" width="3.85546875" style="219" customWidth="1"/>
    <col min="16262" max="16268" width="1.42578125" style="219" customWidth="1"/>
    <col min="16269" max="16269" width="39.42578125" style="219" bestFit="1" customWidth="1"/>
    <col min="16270" max="16270" width="35.5703125" style="219" bestFit="1" customWidth="1"/>
    <col min="16271" max="16384" width="9.140625" style="219"/>
  </cols>
  <sheetData>
    <row r="1" spans="2:133" ht="30.75" customHeight="1" thickBot="1"/>
    <row r="2" spans="2:133" s="221" customFormat="1" ht="14.25" customHeight="1">
      <c r="B2" s="1708" t="s">
        <v>225</v>
      </c>
      <c r="C2" s="1709"/>
      <c r="D2" s="1709"/>
      <c r="E2" s="1709"/>
      <c r="F2" s="1709"/>
      <c r="G2" s="1709"/>
      <c r="H2" s="1709"/>
      <c r="I2" s="1709"/>
      <c r="J2" s="1709"/>
      <c r="K2" s="1709"/>
      <c r="L2" s="1709"/>
      <c r="M2" s="1709"/>
      <c r="N2" s="1709"/>
      <c r="O2" s="1709"/>
      <c r="P2" s="1709"/>
      <c r="Q2" s="1709"/>
      <c r="R2" s="1709"/>
      <c r="S2" s="1709"/>
      <c r="T2" s="1709"/>
      <c r="U2" s="1709"/>
      <c r="V2" s="1709"/>
      <c r="W2" s="1709"/>
      <c r="X2" s="1709"/>
      <c r="Y2" s="1709"/>
      <c r="Z2" s="1709"/>
      <c r="AA2" s="1709"/>
      <c r="AB2" s="1709"/>
      <c r="AC2" s="1709"/>
      <c r="AD2" s="1709"/>
      <c r="AE2" s="1709"/>
      <c r="AF2" s="1709"/>
      <c r="AG2" s="1709"/>
      <c r="AH2" s="1709"/>
      <c r="AI2" s="1709"/>
      <c r="AJ2" s="1709"/>
      <c r="AK2" s="1709"/>
      <c r="AL2" s="1709"/>
      <c r="AM2" s="1709"/>
      <c r="AN2" s="1709"/>
      <c r="AO2" s="1709"/>
      <c r="AP2" s="1709"/>
      <c r="AQ2" s="1709"/>
      <c r="AR2" s="1709"/>
      <c r="AS2" s="1709"/>
      <c r="AT2" s="1709"/>
      <c r="AU2" s="1709"/>
      <c r="AV2" s="1709"/>
      <c r="AW2" s="1709"/>
      <c r="AX2" s="1709"/>
      <c r="AY2" s="1709"/>
      <c r="AZ2" s="1709"/>
      <c r="BA2" s="1709"/>
      <c r="BB2" s="1709"/>
      <c r="BC2" s="1709"/>
      <c r="BD2" s="1709"/>
      <c r="BE2" s="1709"/>
      <c r="BF2" s="1709"/>
      <c r="BG2" s="1709"/>
      <c r="BH2" s="1709"/>
      <c r="BI2" s="1709"/>
      <c r="BJ2" s="1709"/>
      <c r="BK2" s="1709"/>
      <c r="BL2" s="1709"/>
      <c r="BM2" s="1709"/>
      <c r="BN2" s="1709"/>
      <c r="BO2" s="1709"/>
      <c r="BP2" s="1709"/>
      <c r="BQ2" s="1709"/>
      <c r="BR2" s="1709"/>
      <c r="BS2" s="1709"/>
      <c r="BT2" s="1709"/>
      <c r="BU2" s="1709"/>
      <c r="BV2" s="1709"/>
      <c r="BW2" s="1709"/>
      <c r="BX2" s="1709"/>
      <c r="BY2" s="1709"/>
      <c r="BZ2" s="1709"/>
      <c r="CA2" s="1709"/>
      <c r="CB2" s="1709"/>
      <c r="CC2" s="1709"/>
      <c r="CD2" s="1709"/>
      <c r="CE2" s="1709"/>
      <c r="CF2" s="1709"/>
      <c r="CG2" s="1709"/>
      <c r="CH2" s="1709"/>
      <c r="CI2" s="1709"/>
      <c r="CJ2" s="1709"/>
      <c r="CK2" s="1709"/>
      <c r="CL2" s="1709"/>
      <c r="CM2" s="1709"/>
      <c r="CN2" s="1709"/>
      <c r="CO2" s="1709"/>
      <c r="CP2" s="1709"/>
      <c r="CQ2" s="1709"/>
      <c r="CR2" s="1709"/>
      <c r="CS2" s="1709"/>
      <c r="CT2" s="1709"/>
      <c r="CU2" s="1709"/>
      <c r="CV2" s="1709"/>
      <c r="CW2" s="1709"/>
      <c r="CX2" s="1709"/>
      <c r="CY2" s="1709"/>
      <c r="CZ2" s="1709"/>
      <c r="DA2" s="1709"/>
      <c r="DB2" s="1709"/>
      <c r="DC2" s="1709"/>
      <c r="DD2" s="1709"/>
      <c r="DE2" s="1709"/>
      <c r="DF2" s="1709"/>
      <c r="DG2" s="1709"/>
      <c r="DH2" s="1709"/>
      <c r="DI2" s="1709"/>
      <c r="DJ2" s="1709"/>
      <c r="DK2" s="1709"/>
      <c r="DL2" s="1709"/>
      <c r="DM2" s="1709"/>
      <c r="DN2" s="1709"/>
      <c r="DO2" s="1709"/>
      <c r="DP2" s="1709"/>
      <c r="DQ2" s="1709"/>
      <c r="DR2" s="1709"/>
      <c r="DS2" s="1709"/>
      <c r="DT2" s="1709"/>
      <c r="DU2" s="1709"/>
      <c r="DV2" s="1709"/>
      <c r="DW2" s="1709"/>
      <c r="DX2" s="1709"/>
      <c r="DY2" s="1709"/>
      <c r="DZ2" s="1709"/>
      <c r="EA2" s="1709"/>
      <c r="EB2" s="1709"/>
      <c r="EC2" s="1710"/>
    </row>
    <row r="3" spans="2:133" s="221" customFormat="1" ht="14.25" customHeight="1">
      <c r="B3" s="1711"/>
      <c r="C3" s="1712"/>
      <c r="D3" s="1712"/>
      <c r="E3" s="1712"/>
      <c r="F3" s="1712"/>
      <c r="G3" s="1712"/>
      <c r="H3" s="1712"/>
      <c r="I3" s="1712"/>
      <c r="J3" s="1712"/>
      <c r="K3" s="1712"/>
      <c r="L3" s="1712"/>
      <c r="M3" s="1712"/>
      <c r="N3" s="1712"/>
      <c r="O3" s="1712"/>
      <c r="P3" s="1712"/>
      <c r="Q3" s="1712"/>
      <c r="R3" s="1712"/>
      <c r="S3" s="1712"/>
      <c r="T3" s="1712"/>
      <c r="U3" s="1712"/>
      <c r="V3" s="1712"/>
      <c r="W3" s="1712"/>
      <c r="X3" s="1712"/>
      <c r="Y3" s="1712"/>
      <c r="Z3" s="1712"/>
      <c r="AA3" s="1712"/>
      <c r="AB3" s="1712"/>
      <c r="AC3" s="1712"/>
      <c r="AD3" s="1712"/>
      <c r="AE3" s="1712"/>
      <c r="AF3" s="1712"/>
      <c r="AG3" s="1712"/>
      <c r="AH3" s="1712"/>
      <c r="AI3" s="1712"/>
      <c r="AJ3" s="1712"/>
      <c r="AK3" s="1712"/>
      <c r="AL3" s="1712"/>
      <c r="AM3" s="1712"/>
      <c r="AN3" s="1712"/>
      <c r="AO3" s="1712"/>
      <c r="AP3" s="1712"/>
      <c r="AQ3" s="1712"/>
      <c r="AR3" s="1712"/>
      <c r="AS3" s="1712"/>
      <c r="AT3" s="1712"/>
      <c r="AU3" s="1712"/>
      <c r="AV3" s="1712"/>
      <c r="AW3" s="1712"/>
      <c r="AX3" s="1712"/>
      <c r="AY3" s="1712"/>
      <c r="AZ3" s="1712"/>
      <c r="BA3" s="1712"/>
      <c r="BB3" s="1712"/>
      <c r="BC3" s="1712"/>
      <c r="BD3" s="1712"/>
      <c r="BE3" s="1712"/>
      <c r="BF3" s="1712"/>
      <c r="BG3" s="1712"/>
      <c r="BH3" s="1712"/>
      <c r="BI3" s="1712"/>
      <c r="BJ3" s="1712"/>
      <c r="BK3" s="1712"/>
      <c r="BL3" s="1712"/>
      <c r="BM3" s="1712"/>
      <c r="BN3" s="1712"/>
      <c r="BO3" s="1712"/>
      <c r="BP3" s="1712"/>
      <c r="BQ3" s="1712"/>
      <c r="BR3" s="1712"/>
      <c r="BS3" s="1712"/>
      <c r="BT3" s="1712"/>
      <c r="BU3" s="1712"/>
      <c r="BV3" s="1712"/>
      <c r="BW3" s="1712"/>
      <c r="BX3" s="1712"/>
      <c r="BY3" s="1712"/>
      <c r="BZ3" s="1712"/>
      <c r="CA3" s="1712"/>
      <c r="CB3" s="1712"/>
      <c r="CC3" s="1712"/>
      <c r="CD3" s="1712"/>
      <c r="CE3" s="1712"/>
      <c r="CF3" s="1712"/>
      <c r="CG3" s="1712"/>
      <c r="CH3" s="1712"/>
      <c r="CI3" s="1712"/>
      <c r="CJ3" s="1712"/>
      <c r="CK3" s="1712"/>
      <c r="CL3" s="1712"/>
      <c r="CM3" s="1712"/>
      <c r="CN3" s="1712"/>
      <c r="CO3" s="1712"/>
      <c r="CP3" s="1712"/>
      <c r="CQ3" s="1712"/>
      <c r="CR3" s="1712"/>
      <c r="CS3" s="1712"/>
      <c r="CT3" s="1712"/>
      <c r="CU3" s="1712"/>
      <c r="CV3" s="1712"/>
      <c r="CW3" s="1712"/>
      <c r="CX3" s="1712"/>
      <c r="CY3" s="1712"/>
      <c r="CZ3" s="1712"/>
      <c r="DA3" s="1712"/>
      <c r="DB3" s="1712"/>
      <c r="DC3" s="1712"/>
      <c r="DD3" s="1712"/>
      <c r="DE3" s="1712"/>
      <c r="DF3" s="1712"/>
      <c r="DG3" s="1712"/>
      <c r="DH3" s="1712"/>
      <c r="DI3" s="1712"/>
      <c r="DJ3" s="1712"/>
      <c r="DK3" s="1712"/>
      <c r="DL3" s="1712"/>
      <c r="DM3" s="1712"/>
      <c r="DN3" s="1712"/>
      <c r="DO3" s="1712"/>
      <c r="DP3" s="1712"/>
      <c r="DQ3" s="1712"/>
      <c r="DR3" s="1712"/>
      <c r="DS3" s="1712"/>
      <c r="DT3" s="1712"/>
      <c r="DU3" s="1712"/>
      <c r="DV3" s="1712"/>
      <c r="DW3" s="1712"/>
      <c r="DX3" s="1712"/>
      <c r="DY3" s="1712"/>
      <c r="DZ3" s="1712"/>
      <c r="EA3" s="1712"/>
      <c r="EB3" s="1712"/>
      <c r="EC3" s="1713"/>
    </row>
    <row r="4" spans="2:133" s="221" customFormat="1" ht="14.25" customHeight="1">
      <c r="B4" s="1711"/>
      <c r="C4" s="1712"/>
      <c r="D4" s="1712"/>
      <c r="E4" s="1712"/>
      <c r="F4" s="1712"/>
      <c r="G4" s="1712"/>
      <c r="H4" s="1712"/>
      <c r="I4" s="1712"/>
      <c r="J4" s="1712"/>
      <c r="K4" s="1712"/>
      <c r="L4" s="1712"/>
      <c r="M4" s="1712"/>
      <c r="N4" s="1712"/>
      <c r="O4" s="1712"/>
      <c r="P4" s="1712"/>
      <c r="Q4" s="1712"/>
      <c r="R4" s="1712"/>
      <c r="S4" s="1712"/>
      <c r="T4" s="1712"/>
      <c r="U4" s="1712"/>
      <c r="V4" s="1712"/>
      <c r="W4" s="1712"/>
      <c r="X4" s="1712"/>
      <c r="Y4" s="1712"/>
      <c r="Z4" s="1712"/>
      <c r="AA4" s="1712"/>
      <c r="AB4" s="1712"/>
      <c r="AC4" s="1712"/>
      <c r="AD4" s="1712"/>
      <c r="AE4" s="1712"/>
      <c r="AF4" s="1712"/>
      <c r="AG4" s="1712"/>
      <c r="AH4" s="1712"/>
      <c r="AI4" s="1712"/>
      <c r="AJ4" s="1712"/>
      <c r="AK4" s="1712"/>
      <c r="AL4" s="1712"/>
      <c r="AM4" s="1712"/>
      <c r="AN4" s="1712"/>
      <c r="AO4" s="1712"/>
      <c r="AP4" s="1712"/>
      <c r="AQ4" s="1712"/>
      <c r="AR4" s="1712"/>
      <c r="AS4" s="1712"/>
      <c r="AT4" s="1712"/>
      <c r="AU4" s="1712"/>
      <c r="AV4" s="1712"/>
      <c r="AW4" s="1712"/>
      <c r="AX4" s="1712"/>
      <c r="AY4" s="1712"/>
      <c r="AZ4" s="1712"/>
      <c r="BA4" s="1712"/>
      <c r="BB4" s="1712"/>
      <c r="BC4" s="1712"/>
      <c r="BD4" s="1712"/>
      <c r="BE4" s="1712"/>
      <c r="BF4" s="1712"/>
      <c r="BG4" s="1712"/>
      <c r="BH4" s="1712"/>
      <c r="BI4" s="1712"/>
      <c r="BJ4" s="1712"/>
      <c r="BK4" s="1712"/>
      <c r="BL4" s="1712"/>
      <c r="BM4" s="1712"/>
      <c r="BN4" s="1712"/>
      <c r="BO4" s="1712"/>
      <c r="BP4" s="1712"/>
      <c r="BQ4" s="1712"/>
      <c r="BR4" s="1712"/>
      <c r="BS4" s="1712"/>
      <c r="BT4" s="1712"/>
      <c r="BU4" s="1712"/>
      <c r="BV4" s="1712"/>
      <c r="BW4" s="1712"/>
      <c r="BX4" s="1712"/>
      <c r="BY4" s="1712"/>
      <c r="BZ4" s="1712"/>
      <c r="CA4" s="1712"/>
      <c r="CB4" s="1712"/>
      <c r="CC4" s="1712"/>
      <c r="CD4" s="1712"/>
      <c r="CE4" s="1712"/>
      <c r="CF4" s="1712"/>
      <c r="CG4" s="1712"/>
      <c r="CH4" s="1712"/>
      <c r="CI4" s="1712"/>
      <c r="CJ4" s="1712"/>
      <c r="CK4" s="1712"/>
      <c r="CL4" s="1712"/>
      <c r="CM4" s="1712"/>
      <c r="CN4" s="1712"/>
      <c r="CO4" s="1712"/>
      <c r="CP4" s="1712"/>
      <c r="CQ4" s="1712"/>
      <c r="CR4" s="1712"/>
      <c r="CS4" s="1712"/>
      <c r="CT4" s="1712"/>
      <c r="CU4" s="1712"/>
      <c r="CV4" s="1712"/>
      <c r="CW4" s="1712"/>
      <c r="CX4" s="1712"/>
      <c r="CY4" s="1712"/>
      <c r="CZ4" s="1712"/>
      <c r="DA4" s="1712"/>
      <c r="DB4" s="1712"/>
      <c r="DC4" s="1712"/>
      <c r="DD4" s="1712"/>
      <c r="DE4" s="1712"/>
      <c r="DF4" s="1712"/>
      <c r="DG4" s="1712"/>
      <c r="DH4" s="1712"/>
      <c r="DI4" s="1712"/>
      <c r="DJ4" s="1712"/>
      <c r="DK4" s="1712"/>
      <c r="DL4" s="1712"/>
      <c r="DM4" s="1712"/>
      <c r="DN4" s="1712"/>
      <c r="DO4" s="1712"/>
      <c r="DP4" s="1712"/>
      <c r="DQ4" s="1712"/>
      <c r="DR4" s="1712"/>
      <c r="DS4" s="1712"/>
      <c r="DT4" s="1712"/>
      <c r="DU4" s="1712"/>
      <c r="DV4" s="1712"/>
      <c r="DW4" s="1712"/>
      <c r="DX4" s="1712"/>
      <c r="DY4" s="1712"/>
      <c r="DZ4" s="1712"/>
      <c r="EA4" s="1712"/>
      <c r="EB4" s="1712"/>
      <c r="EC4" s="1713"/>
    </row>
    <row r="5" spans="2:133" s="221" customFormat="1" ht="14.25" customHeight="1">
      <c r="B5" s="1711"/>
      <c r="C5" s="1712"/>
      <c r="D5" s="1712"/>
      <c r="E5" s="1712"/>
      <c r="F5" s="1712"/>
      <c r="G5" s="1712"/>
      <c r="H5" s="1712"/>
      <c r="I5" s="1712"/>
      <c r="J5" s="1712"/>
      <c r="K5" s="1712"/>
      <c r="L5" s="1712"/>
      <c r="M5" s="1712"/>
      <c r="N5" s="1712"/>
      <c r="O5" s="1712"/>
      <c r="P5" s="1712"/>
      <c r="Q5" s="1712"/>
      <c r="R5" s="1712"/>
      <c r="S5" s="1712"/>
      <c r="T5" s="1712"/>
      <c r="U5" s="1712"/>
      <c r="V5" s="1712"/>
      <c r="W5" s="1712"/>
      <c r="X5" s="1712"/>
      <c r="Y5" s="1712"/>
      <c r="Z5" s="1712"/>
      <c r="AA5" s="1712"/>
      <c r="AB5" s="1712"/>
      <c r="AC5" s="1712"/>
      <c r="AD5" s="1712"/>
      <c r="AE5" s="1712"/>
      <c r="AF5" s="1712"/>
      <c r="AG5" s="1712"/>
      <c r="AH5" s="1712"/>
      <c r="AI5" s="1712"/>
      <c r="AJ5" s="1712"/>
      <c r="AK5" s="1712"/>
      <c r="AL5" s="1712"/>
      <c r="AM5" s="1712"/>
      <c r="AN5" s="1712"/>
      <c r="AO5" s="1712"/>
      <c r="AP5" s="1712"/>
      <c r="AQ5" s="1712"/>
      <c r="AR5" s="1712"/>
      <c r="AS5" s="1712"/>
      <c r="AT5" s="1712"/>
      <c r="AU5" s="1712"/>
      <c r="AV5" s="1712"/>
      <c r="AW5" s="1712"/>
      <c r="AX5" s="1712"/>
      <c r="AY5" s="1712"/>
      <c r="AZ5" s="1712"/>
      <c r="BA5" s="1712"/>
      <c r="BB5" s="1712"/>
      <c r="BC5" s="1712"/>
      <c r="BD5" s="1712"/>
      <c r="BE5" s="1712"/>
      <c r="BF5" s="1712"/>
      <c r="BG5" s="1712"/>
      <c r="BH5" s="1712"/>
      <c r="BI5" s="1712"/>
      <c r="BJ5" s="1712"/>
      <c r="BK5" s="1712"/>
      <c r="BL5" s="1712"/>
      <c r="BM5" s="1712"/>
      <c r="BN5" s="1712"/>
      <c r="BO5" s="1712"/>
      <c r="BP5" s="1712"/>
      <c r="BQ5" s="1712"/>
      <c r="BR5" s="1712"/>
      <c r="BS5" s="1712"/>
      <c r="BT5" s="1712"/>
      <c r="BU5" s="1712"/>
      <c r="BV5" s="1712"/>
      <c r="BW5" s="1712"/>
      <c r="BX5" s="1712"/>
      <c r="BY5" s="1712"/>
      <c r="BZ5" s="1712"/>
      <c r="CA5" s="1712"/>
      <c r="CB5" s="1712"/>
      <c r="CC5" s="1712"/>
      <c r="CD5" s="1712"/>
      <c r="CE5" s="1712"/>
      <c r="CF5" s="1712"/>
      <c r="CG5" s="1712"/>
      <c r="CH5" s="1712"/>
      <c r="CI5" s="1712"/>
      <c r="CJ5" s="1712"/>
      <c r="CK5" s="1712"/>
      <c r="CL5" s="1712"/>
      <c r="CM5" s="1712"/>
      <c r="CN5" s="1712"/>
      <c r="CO5" s="1712"/>
      <c r="CP5" s="1712"/>
      <c r="CQ5" s="1712"/>
      <c r="CR5" s="1712"/>
      <c r="CS5" s="1712"/>
      <c r="CT5" s="1712"/>
      <c r="CU5" s="1712"/>
      <c r="CV5" s="1712"/>
      <c r="CW5" s="1712"/>
      <c r="CX5" s="1712"/>
      <c r="CY5" s="1712"/>
      <c r="CZ5" s="1712"/>
      <c r="DA5" s="1712"/>
      <c r="DB5" s="1712"/>
      <c r="DC5" s="1712"/>
      <c r="DD5" s="1712"/>
      <c r="DE5" s="1712"/>
      <c r="DF5" s="1712"/>
      <c r="DG5" s="1712"/>
      <c r="DH5" s="1712"/>
      <c r="DI5" s="1712"/>
      <c r="DJ5" s="1712"/>
      <c r="DK5" s="1712"/>
      <c r="DL5" s="1712"/>
      <c r="DM5" s="1712"/>
      <c r="DN5" s="1712"/>
      <c r="DO5" s="1712"/>
      <c r="DP5" s="1712"/>
      <c r="DQ5" s="1712"/>
      <c r="DR5" s="1712"/>
      <c r="DS5" s="1712"/>
      <c r="DT5" s="1712"/>
      <c r="DU5" s="1712"/>
      <c r="DV5" s="1712"/>
      <c r="DW5" s="1712"/>
      <c r="DX5" s="1712"/>
      <c r="DY5" s="1712"/>
      <c r="DZ5" s="1712"/>
      <c r="EA5" s="1712"/>
      <c r="EB5" s="1712"/>
      <c r="EC5" s="1713"/>
    </row>
    <row r="6" spans="2:133" s="221" customFormat="1" ht="14.25" customHeight="1">
      <c r="B6" s="1711"/>
      <c r="C6" s="1712"/>
      <c r="D6" s="1712"/>
      <c r="E6" s="1712"/>
      <c r="F6" s="1712"/>
      <c r="G6" s="1712"/>
      <c r="H6" s="1712"/>
      <c r="I6" s="1712"/>
      <c r="J6" s="1712"/>
      <c r="K6" s="1712"/>
      <c r="L6" s="1712"/>
      <c r="M6" s="1712"/>
      <c r="N6" s="1712"/>
      <c r="O6" s="1712"/>
      <c r="P6" s="1712"/>
      <c r="Q6" s="1712"/>
      <c r="R6" s="1712"/>
      <c r="S6" s="1712"/>
      <c r="T6" s="1712"/>
      <c r="U6" s="1712"/>
      <c r="V6" s="1712"/>
      <c r="W6" s="1712"/>
      <c r="X6" s="1712"/>
      <c r="Y6" s="1712"/>
      <c r="Z6" s="1712"/>
      <c r="AA6" s="1712"/>
      <c r="AB6" s="1712"/>
      <c r="AC6" s="1712"/>
      <c r="AD6" s="1712"/>
      <c r="AE6" s="1712"/>
      <c r="AF6" s="1712"/>
      <c r="AG6" s="1712"/>
      <c r="AH6" s="1712"/>
      <c r="AI6" s="1712"/>
      <c r="AJ6" s="1712"/>
      <c r="AK6" s="1712"/>
      <c r="AL6" s="1712"/>
      <c r="AM6" s="1712"/>
      <c r="AN6" s="1712"/>
      <c r="AO6" s="1712"/>
      <c r="AP6" s="1712"/>
      <c r="AQ6" s="1712"/>
      <c r="AR6" s="1712"/>
      <c r="AS6" s="1712"/>
      <c r="AT6" s="1712"/>
      <c r="AU6" s="1712"/>
      <c r="AV6" s="1712"/>
      <c r="AW6" s="1712"/>
      <c r="AX6" s="1712"/>
      <c r="AY6" s="1712"/>
      <c r="AZ6" s="1712"/>
      <c r="BA6" s="1712"/>
      <c r="BB6" s="1712"/>
      <c r="BC6" s="1712"/>
      <c r="BD6" s="1712"/>
      <c r="BE6" s="1712"/>
      <c r="BF6" s="1712"/>
      <c r="BG6" s="1712"/>
      <c r="BH6" s="1712"/>
      <c r="BI6" s="1712"/>
      <c r="BJ6" s="1712"/>
      <c r="BK6" s="1712"/>
      <c r="BL6" s="1712"/>
      <c r="BM6" s="1712"/>
      <c r="BN6" s="1712"/>
      <c r="BO6" s="1712"/>
      <c r="BP6" s="1712"/>
      <c r="BQ6" s="1712"/>
      <c r="BR6" s="1712"/>
      <c r="BS6" s="1712"/>
      <c r="BT6" s="1712"/>
      <c r="BU6" s="1712"/>
      <c r="BV6" s="1712"/>
      <c r="BW6" s="1712"/>
      <c r="BX6" s="1712"/>
      <c r="BY6" s="1712"/>
      <c r="BZ6" s="1712"/>
      <c r="CA6" s="1712"/>
      <c r="CB6" s="1712"/>
      <c r="CC6" s="1712"/>
      <c r="CD6" s="1712"/>
      <c r="CE6" s="1712"/>
      <c r="CF6" s="1712"/>
      <c r="CG6" s="1712"/>
      <c r="CH6" s="1712"/>
      <c r="CI6" s="1712"/>
      <c r="CJ6" s="1712"/>
      <c r="CK6" s="1712"/>
      <c r="CL6" s="1712"/>
      <c r="CM6" s="1712"/>
      <c r="CN6" s="1712"/>
      <c r="CO6" s="1712"/>
      <c r="CP6" s="1712"/>
      <c r="CQ6" s="1712"/>
      <c r="CR6" s="1712"/>
      <c r="CS6" s="1712"/>
      <c r="CT6" s="1712"/>
      <c r="CU6" s="1712"/>
      <c r="CV6" s="1712"/>
      <c r="CW6" s="1712"/>
      <c r="CX6" s="1712"/>
      <c r="CY6" s="1712"/>
      <c r="CZ6" s="1712"/>
      <c r="DA6" s="1712"/>
      <c r="DB6" s="1712"/>
      <c r="DC6" s="1712"/>
      <c r="DD6" s="1712"/>
      <c r="DE6" s="1712"/>
      <c r="DF6" s="1712"/>
      <c r="DG6" s="1712"/>
      <c r="DH6" s="1712"/>
      <c r="DI6" s="1712"/>
      <c r="DJ6" s="1712"/>
      <c r="DK6" s="1712"/>
      <c r="DL6" s="1712"/>
      <c r="DM6" s="1712"/>
      <c r="DN6" s="1712"/>
      <c r="DO6" s="1712"/>
      <c r="DP6" s="1712"/>
      <c r="DQ6" s="1712"/>
      <c r="DR6" s="1712"/>
      <c r="DS6" s="1712"/>
      <c r="DT6" s="1712"/>
      <c r="DU6" s="1712"/>
      <c r="DV6" s="1712"/>
      <c r="DW6" s="1712"/>
      <c r="DX6" s="1712"/>
      <c r="DY6" s="1712"/>
      <c r="DZ6" s="1712"/>
      <c r="EA6" s="1712"/>
      <c r="EB6" s="1712"/>
      <c r="EC6" s="1713"/>
    </row>
    <row r="7" spans="2:133" s="221" customFormat="1" ht="14.25" customHeight="1">
      <c r="B7" s="1711"/>
      <c r="C7" s="1712"/>
      <c r="D7" s="1712"/>
      <c r="E7" s="1712"/>
      <c r="F7" s="1712"/>
      <c r="G7" s="1712"/>
      <c r="H7" s="1712"/>
      <c r="I7" s="1712"/>
      <c r="J7" s="1712"/>
      <c r="K7" s="1712"/>
      <c r="L7" s="1712"/>
      <c r="M7" s="1712"/>
      <c r="N7" s="1712"/>
      <c r="O7" s="1712"/>
      <c r="P7" s="1712"/>
      <c r="Q7" s="1712"/>
      <c r="R7" s="1712"/>
      <c r="S7" s="1712"/>
      <c r="T7" s="1712"/>
      <c r="U7" s="1712"/>
      <c r="V7" s="1712"/>
      <c r="W7" s="1712"/>
      <c r="X7" s="1712"/>
      <c r="Y7" s="1712"/>
      <c r="Z7" s="1712"/>
      <c r="AA7" s="1712"/>
      <c r="AB7" s="1712"/>
      <c r="AC7" s="1712"/>
      <c r="AD7" s="1712"/>
      <c r="AE7" s="1712"/>
      <c r="AF7" s="1712"/>
      <c r="AG7" s="1712"/>
      <c r="AH7" s="1712"/>
      <c r="AI7" s="1712"/>
      <c r="AJ7" s="1712"/>
      <c r="AK7" s="1712"/>
      <c r="AL7" s="1712"/>
      <c r="AM7" s="1712"/>
      <c r="AN7" s="1712"/>
      <c r="AO7" s="1712"/>
      <c r="AP7" s="1712"/>
      <c r="AQ7" s="1712"/>
      <c r="AR7" s="1712"/>
      <c r="AS7" s="1712"/>
      <c r="AT7" s="1712"/>
      <c r="AU7" s="1712"/>
      <c r="AV7" s="1712"/>
      <c r="AW7" s="1712"/>
      <c r="AX7" s="1712"/>
      <c r="AY7" s="1712"/>
      <c r="AZ7" s="1712"/>
      <c r="BA7" s="1712"/>
      <c r="BB7" s="1712"/>
      <c r="BC7" s="1712"/>
      <c r="BD7" s="1712"/>
      <c r="BE7" s="1712"/>
      <c r="BF7" s="1712"/>
      <c r="BG7" s="1712"/>
      <c r="BH7" s="1712"/>
      <c r="BI7" s="1712"/>
      <c r="BJ7" s="1712"/>
      <c r="BK7" s="1712"/>
      <c r="BL7" s="1712"/>
      <c r="BM7" s="1712"/>
      <c r="BN7" s="1712"/>
      <c r="BO7" s="1712"/>
      <c r="BP7" s="1712"/>
      <c r="BQ7" s="1712"/>
      <c r="BR7" s="1712"/>
      <c r="BS7" s="1712"/>
      <c r="BT7" s="1712"/>
      <c r="BU7" s="1712"/>
      <c r="BV7" s="1712"/>
      <c r="BW7" s="1712"/>
      <c r="BX7" s="1712"/>
      <c r="BY7" s="1712"/>
      <c r="BZ7" s="1712"/>
      <c r="CA7" s="1712"/>
      <c r="CB7" s="1712"/>
      <c r="CC7" s="1712"/>
      <c r="CD7" s="1712"/>
      <c r="CE7" s="1712"/>
      <c r="CF7" s="1712"/>
      <c r="CG7" s="1712"/>
      <c r="CH7" s="1712"/>
      <c r="CI7" s="1712"/>
      <c r="CJ7" s="1712"/>
      <c r="CK7" s="1712"/>
      <c r="CL7" s="1712"/>
      <c r="CM7" s="1712"/>
      <c r="CN7" s="1712"/>
      <c r="CO7" s="1712"/>
      <c r="CP7" s="1712"/>
      <c r="CQ7" s="1712"/>
      <c r="CR7" s="1712"/>
      <c r="CS7" s="1712"/>
      <c r="CT7" s="1712"/>
      <c r="CU7" s="1712"/>
      <c r="CV7" s="1712"/>
      <c r="CW7" s="1712"/>
      <c r="CX7" s="1712"/>
      <c r="CY7" s="1712"/>
      <c r="CZ7" s="1712"/>
      <c r="DA7" s="1712"/>
      <c r="DB7" s="1712"/>
      <c r="DC7" s="1712"/>
      <c r="DD7" s="1712"/>
      <c r="DE7" s="1712"/>
      <c r="DF7" s="1712"/>
      <c r="DG7" s="1712"/>
      <c r="DH7" s="1712"/>
      <c r="DI7" s="1712"/>
      <c r="DJ7" s="1712"/>
      <c r="DK7" s="1712"/>
      <c r="DL7" s="1712"/>
      <c r="DM7" s="1712"/>
      <c r="DN7" s="1712"/>
      <c r="DO7" s="1712"/>
      <c r="DP7" s="1712"/>
      <c r="DQ7" s="1712"/>
      <c r="DR7" s="1712"/>
      <c r="DS7" s="1712"/>
      <c r="DT7" s="1712"/>
      <c r="DU7" s="1712"/>
      <c r="DV7" s="1712"/>
      <c r="DW7" s="1712"/>
      <c r="DX7" s="1712"/>
      <c r="DY7" s="1712"/>
      <c r="DZ7" s="1712"/>
      <c r="EA7" s="1712"/>
      <c r="EB7" s="1712"/>
      <c r="EC7" s="1713"/>
    </row>
    <row r="8" spans="2:133" s="221" customFormat="1" ht="14.25" customHeight="1">
      <c r="B8" s="1711"/>
      <c r="C8" s="1712"/>
      <c r="D8" s="1712"/>
      <c r="E8" s="1712"/>
      <c r="F8" s="1712"/>
      <c r="G8" s="1712"/>
      <c r="H8" s="1712"/>
      <c r="I8" s="1712"/>
      <c r="J8" s="1712"/>
      <c r="K8" s="1712"/>
      <c r="L8" s="1712"/>
      <c r="M8" s="1712"/>
      <c r="N8" s="1712"/>
      <c r="O8" s="1712"/>
      <c r="P8" s="1712"/>
      <c r="Q8" s="1712"/>
      <c r="R8" s="1712"/>
      <c r="S8" s="1712"/>
      <c r="T8" s="1712"/>
      <c r="U8" s="1712"/>
      <c r="V8" s="1712"/>
      <c r="W8" s="1712"/>
      <c r="X8" s="1712"/>
      <c r="Y8" s="1712"/>
      <c r="Z8" s="1712"/>
      <c r="AA8" s="1712"/>
      <c r="AB8" s="1712"/>
      <c r="AC8" s="1712"/>
      <c r="AD8" s="1712"/>
      <c r="AE8" s="1712"/>
      <c r="AF8" s="1712"/>
      <c r="AG8" s="1712"/>
      <c r="AH8" s="1712"/>
      <c r="AI8" s="1712"/>
      <c r="AJ8" s="1712"/>
      <c r="AK8" s="1712"/>
      <c r="AL8" s="1712"/>
      <c r="AM8" s="1712"/>
      <c r="AN8" s="1712"/>
      <c r="AO8" s="1712"/>
      <c r="AP8" s="1712"/>
      <c r="AQ8" s="1712"/>
      <c r="AR8" s="1712"/>
      <c r="AS8" s="1712"/>
      <c r="AT8" s="1712"/>
      <c r="AU8" s="1712"/>
      <c r="AV8" s="1712"/>
      <c r="AW8" s="1712"/>
      <c r="AX8" s="1712"/>
      <c r="AY8" s="1712"/>
      <c r="AZ8" s="1712"/>
      <c r="BA8" s="1712"/>
      <c r="BB8" s="1712"/>
      <c r="BC8" s="1712"/>
      <c r="BD8" s="1712"/>
      <c r="BE8" s="1712"/>
      <c r="BF8" s="1712"/>
      <c r="BG8" s="1712"/>
      <c r="BH8" s="1712"/>
      <c r="BI8" s="1712"/>
      <c r="BJ8" s="1712"/>
      <c r="BK8" s="1712"/>
      <c r="BL8" s="1712"/>
      <c r="BM8" s="1712"/>
      <c r="BN8" s="1712"/>
      <c r="BO8" s="1712"/>
      <c r="BP8" s="1712"/>
      <c r="BQ8" s="1712"/>
      <c r="BR8" s="1712"/>
      <c r="BS8" s="1712"/>
      <c r="BT8" s="1712"/>
      <c r="BU8" s="1712"/>
      <c r="BV8" s="1712"/>
      <c r="BW8" s="1712"/>
      <c r="BX8" s="1712"/>
      <c r="BY8" s="1712"/>
      <c r="BZ8" s="1712"/>
      <c r="CA8" s="1712"/>
      <c r="CB8" s="1712"/>
      <c r="CC8" s="1712"/>
      <c r="CD8" s="1712"/>
      <c r="CE8" s="1712"/>
      <c r="CF8" s="1712"/>
      <c r="CG8" s="1712"/>
      <c r="CH8" s="1712"/>
      <c r="CI8" s="1712"/>
      <c r="CJ8" s="1712"/>
      <c r="CK8" s="1712"/>
      <c r="CL8" s="1712"/>
      <c r="CM8" s="1712"/>
      <c r="CN8" s="1712"/>
      <c r="CO8" s="1712"/>
      <c r="CP8" s="1712"/>
      <c r="CQ8" s="1712"/>
      <c r="CR8" s="1712"/>
      <c r="CS8" s="1712"/>
      <c r="CT8" s="1712"/>
      <c r="CU8" s="1712"/>
      <c r="CV8" s="1712"/>
      <c r="CW8" s="1712"/>
      <c r="CX8" s="1712"/>
      <c r="CY8" s="1712"/>
      <c r="CZ8" s="1712"/>
      <c r="DA8" s="1712"/>
      <c r="DB8" s="1712"/>
      <c r="DC8" s="1712"/>
      <c r="DD8" s="1712"/>
      <c r="DE8" s="1712"/>
      <c r="DF8" s="1712"/>
      <c r="DG8" s="1712"/>
      <c r="DH8" s="1712"/>
      <c r="DI8" s="1712"/>
      <c r="DJ8" s="1712"/>
      <c r="DK8" s="1712"/>
      <c r="DL8" s="1712"/>
      <c r="DM8" s="1712"/>
      <c r="DN8" s="1712"/>
      <c r="DO8" s="1712"/>
      <c r="DP8" s="1712"/>
      <c r="DQ8" s="1712"/>
      <c r="DR8" s="1712"/>
      <c r="DS8" s="1712"/>
      <c r="DT8" s="1712"/>
      <c r="DU8" s="1712"/>
      <c r="DV8" s="1712"/>
      <c r="DW8" s="1712"/>
      <c r="DX8" s="1712"/>
      <c r="DY8" s="1712"/>
      <c r="DZ8" s="1712"/>
      <c r="EA8" s="1712"/>
      <c r="EB8" s="1712"/>
      <c r="EC8" s="1713"/>
    </row>
    <row r="9" spans="2:133" s="221" customFormat="1" ht="14.25" customHeight="1">
      <c r="B9" s="1711"/>
      <c r="C9" s="1712"/>
      <c r="D9" s="1712"/>
      <c r="E9" s="1712"/>
      <c r="F9" s="1712"/>
      <c r="G9" s="1712"/>
      <c r="H9" s="1712"/>
      <c r="I9" s="1712"/>
      <c r="J9" s="1712"/>
      <c r="K9" s="1712"/>
      <c r="L9" s="1712"/>
      <c r="M9" s="1712"/>
      <c r="N9" s="1712"/>
      <c r="O9" s="1712"/>
      <c r="P9" s="1712"/>
      <c r="Q9" s="1712"/>
      <c r="R9" s="1712"/>
      <c r="S9" s="1712"/>
      <c r="T9" s="1712"/>
      <c r="U9" s="1712"/>
      <c r="V9" s="1712"/>
      <c r="W9" s="1712"/>
      <c r="X9" s="1712"/>
      <c r="Y9" s="1712"/>
      <c r="Z9" s="1712"/>
      <c r="AA9" s="1712"/>
      <c r="AB9" s="1712"/>
      <c r="AC9" s="1712"/>
      <c r="AD9" s="1712"/>
      <c r="AE9" s="1712"/>
      <c r="AF9" s="1712"/>
      <c r="AG9" s="1712"/>
      <c r="AH9" s="1712"/>
      <c r="AI9" s="1712"/>
      <c r="AJ9" s="1712"/>
      <c r="AK9" s="1712"/>
      <c r="AL9" s="1712"/>
      <c r="AM9" s="1712"/>
      <c r="AN9" s="1712"/>
      <c r="AO9" s="1712"/>
      <c r="AP9" s="1712"/>
      <c r="AQ9" s="1712"/>
      <c r="AR9" s="1712"/>
      <c r="AS9" s="1712"/>
      <c r="AT9" s="1712"/>
      <c r="AU9" s="1712"/>
      <c r="AV9" s="1712"/>
      <c r="AW9" s="1712"/>
      <c r="AX9" s="1712"/>
      <c r="AY9" s="1712"/>
      <c r="AZ9" s="1712"/>
      <c r="BA9" s="1712"/>
      <c r="BB9" s="1712"/>
      <c r="BC9" s="1712"/>
      <c r="BD9" s="1712"/>
      <c r="BE9" s="1712"/>
      <c r="BF9" s="1712"/>
      <c r="BG9" s="1712"/>
      <c r="BH9" s="1712"/>
      <c r="BI9" s="1712"/>
      <c r="BJ9" s="1712"/>
      <c r="BK9" s="1712"/>
      <c r="BL9" s="1712"/>
      <c r="BM9" s="1712"/>
      <c r="BN9" s="1712"/>
      <c r="BO9" s="1712"/>
      <c r="BP9" s="1712"/>
      <c r="BQ9" s="1712"/>
      <c r="BR9" s="1712"/>
      <c r="BS9" s="1712"/>
      <c r="BT9" s="1712"/>
      <c r="BU9" s="1712"/>
      <c r="BV9" s="1712"/>
      <c r="BW9" s="1712"/>
      <c r="BX9" s="1712"/>
      <c r="BY9" s="1712"/>
      <c r="BZ9" s="1712"/>
      <c r="CA9" s="1712"/>
      <c r="CB9" s="1712"/>
      <c r="CC9" s="1712"/>
      <c r="CD9" s="1712"/>
      <c r="CE9" s="1712"/>
      <c r="CF9" s="1712"/>
      <c r="CG9" s="1712"/>
      <c r="CH9" s="1712"/>
      <c r="CI9" s="1712"/>
      <c r="CJ9" s="1712"/>
      <c r="CK9" s="1712"/>
      <c r="CL9" s="1712"/>
      <c r="CM9" s="1712"/>
      <c r="CN9" s="1712"/>
      <c r="CO9" s="1712"/>
      <c r="CP9" s="1712"/>
      <c r="CQ9" s="1712"/>
      <c r="CR9" s="1712"/>
      <c r="CS9" s="1712"/>
      <c r="CT9" s="1712"/>
      <c r="CU9" s="1712"/>
      <c r="CV9" s="1712"/>
      <c r="CW9" s="1712"/>
      <c r="CX9" s="1712"/>
      <c r="CY9" s="1712"/>
      <c r="CZ9" s="1712"/>
      <c r="DA9" s="1712"/>
      <c r="DB9" s="1712"/>
      <c r="DC9" s="1712"/>
      <c r="DD9" s="1712"/>
      <c r="DE9" s="1712"/>
      <c r="DF9" s="1712"/>
      <c r="DG9" s="1712"/>
      <c r="DH9" s="1712"/>
      <c r="DI9" s="1712"/>
      <c r="DJ9" s="1712"/>
      <c r="DK9" s="1712"/>
      <c r="DL9" s="1712"/>
      <c r="DM9" s="1712"/>
      <c r="DN9" s="1712"/>
      <c r="DO9" s="1712"/>
      <c r="DP9" s="1712"/>
      <c r="DQ9" s="1712"/>
      <c r="DR9" s="1712"/>
      <c r="DS9" s="1712"/>
      <c r="DT9" s="1712"/>
      <c r="DU9" s="1712"/>
      <c r="DV9" s="1712"/>
      <c r="DW9" s="1712"/>
      <c r="DX9" s="1712"/>
      <c r="DY9" s="1712"/>
      <c r="DZ9" s="1712"/>
      <c r="EA9" s="1712"/>
      <c r="EB9" s="1712"/>
      <c r="EC9" s="1713"/>
    </row>
    <row r="10" spans="2:133" s="221" customFormat="1" ht="14.25" customHeight="1">
      <c r="B10" s="22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  <c r="AH10" s="362"/>
      <c r="AI10" s="362"/>
      <c r="AJ10" s="362"/>
      <c r="AK10" s="362"/>
      <c r="AL10" s="362"/>
      <c r="AM10" s="362"/>
      <c r="AN10" s="362"/>
      <c r="AO10" s="362"/>
      <c r="AP10" s="362"/>
      <c r="AQ10" s="362"/>
      <c r="AR10" s="362"/>
      <c r="AS10" s="362"/>
      <c r="AT10" s="362"/>
      <c r="AU10" s="362"/>
      <c r="AV10" s="362"/>
      <c r="AW10" s="362"/>
      <c r="AX10" s="362"/>
      <c r="AY10" s="362"/>
      <c r="AZ10" s="362"/>
      <c r="BA10" s="362"/>
      <c r="BB10" s="362"/>
      <c r="BC10" s="362"/>
      <c r="BD10" s="362"/>
      <c r="BE10" s="362"/>
      <c r="BF10" s="362"/>
      <c r="BG10" s="362"/>
      <c r="BH10" s="362"/>
      <c r="BI10" s="362"/>
      <c r="BJ10" s="362"/>
      <c r="BK10" s="362"/>
      <c r="BL10" s="362"/>
      <c r="BM10" s="362"/>
      <c r="BN10" s="362"/>
      <c r="BO10" s="362"/>
      <c r="BP10" s="362"/>
      <c r="BQ10" s="362"/>
      <c r="BR10" s="362"/>
      <c r="BS10" s="362"/>
      <c r="BT10" s="362"/>
      <c r="BU10" s="362"/>
      <c r="BV10" s="362"/>
      <c r="BW10" s="362"/>
      <c r="BX10" s="362"/>
      <c r="BY10" s="362"/>
      <c r="BZ10" s="362"/>
      <c r="CA10" s="362"/>
      <c r="CB10" s="362"/>
      <c r="CC10" s="362"/>
      <c r="CD10" s="362"/>
      <c r="CE10" s="362"/>
      <c r="CF10" s="362"/>
      <c r="CG10" s="362"/>
      <c r="CH10" s="362"/>
      <c r="CI10" s="362"/>
      <c r="CJ10" s="362"/>
      <c r="CK10" s="362"/>
      <c r="CL10" s="362"/>
      <c r="CM10" s="362"/>
      <c r="CN10" s="362"/>
      <c r="CO10" s="362"/>
      <c r="CP10" s="362"/>
      <c r="CQ10" s="362"/>
      <c r="CR10" s="362"/>
      <c r="CS10" s="362"/>
      <c r="CT10" s="362"/>
      <c r="CU10" s="362"/>
      <c r="CV10" s="362"/>
      <c r="CW10" s="362"/>
      <c r="CX10" s="362"/>
      <c r="CY10" s="362"/>
      <c r="CZ10" s="362"/>
      <c r="DA10" s="362"/>
      <c r="DB10" s="362"/>
      <c r="DC10" s="362"/>
      <c r="DD10" s="362"/>
      <c r="DE10" s="362"/>
      <c r="DF10" s="362"/>
      <c r="DG10" s="362"/>
      <c r="DH10" s="362"/>
      <c r="DI10" s="362"/>
      <c r="DJ10" s="362"/>
      <c r="DK10" s="362"/>
      <c r="DL10" s="362"/>
      <c r="DM10" s="362"/>
      <c r="DN10" s="362"/>
      <c r="DO10" s="362"/>
      <c r="DP10" s="362"/>
      <c r="DQ10" s="362"/>
      <c r="DR10" s="362"/>
      <c r="DS10" s="362"/>
      <c r="DT10" s="362"/>
      <c r="DU10" s="362"/>
      <c r="DV10" s="362"/>
      <c r="DW10" s="362"/>
      <c r="DX10" s="362"/>
      <c r="DY10" s="362"/>
      <c r="DZ10" s="362"/>
      <c r="EA10" s="362"/>
      <c r="EB10" s="362"/>
      <c r="EC10" s="223"/>
    </row>
    <row r="11" spans="2:133" s="221" customFormat="1" ht="14.25" customHeight="1">
      <c r="B11" s="222"/>
      <c r="T11" s="362"/>
      <c r="U11" s="362"/>
      <c r="V11" s="362"/>
      <c r="W11" s="362"/>
      <c r="X11" s="362"/>
      <c r="Y11" s="362"/>
      <c r="Z11" s="362"/>
      <c r="AA11" s="362"/>
      <c r="AB11" s="362"/>
      <c r="AC11" s="362"/>
      <c r="AD11" s="362"/>
      <c r="AE11" s="362"/>
      <c r="AF11" s="362"/>
      <c r="AG11" s="362"/>
      <c r="AH11" s="362"/>
      <c r="AI11" s="362"/>
      <c r="AJ11" s="362"/>
      <c r="AK11" s="362"/>
      <c r="AL11" s="362"/>
      <c r="AM11" s="362"/>
      <c r="AN11" s="362"/>
      <c r="AO11" s="362"/>
      <c r="AP11" s="362"/>
      <c r="AQ11" s="362"/>
      <c r="AR11" s="362"/>
      <c r="AS11" s="362"/>
      <c r="AT11" s="362"/>
      <c r="AU11" s="362"/>
      <c r="AV11" s="362"/>
      <c r="AW11" s="362"/>
      <c r="AX11" s="362"/>
      <c r="AY11" s="362"/>
      <c r="AZ11" s="362"/>
      <c r="BA11" s="362"/>
      <c r="BB11" s="362"/>
      <c r="BC11" s="362"/>
      <c r="BD11" s="362"/>
      <c r="BE11" s="362"/>
      <c r="BF11" s="362"/>
      <c r="BG11" s="362"/>
      <c r="BH11" s="362"/>
      <c r="BI11" s="362"/>
      <c r="BJ11" s="362"/>
      <c r="BK11" s="362"/>
      <c r="BL11" s="362"/>
      <c r="BM11" s="362"/>
      <c r="BN11" s="362"/>
      <c r="BO11" s="362"/>
      <c r="BP11" s="362"/>
      <c r="BQ11" s="362"/>
      <c r="BR11" s="362"/>
      <c r="BS11" s="362"/>
      <c r="BT11" s="362"/>
      <c r="BU11" s="362"/>
      <c r="BV11" s="362"/>
      <c r="BW11" s="362"/>
      <c r="BX11" s="362"/>
      <c r="BY11" s="362"/>
      <c r="BZ11" s="362"/>
      <c r="CA11" s="362"/>
      <c r="CB11" s="362"/>
      <c r="CC11" s="362"/>
      <c r="CD11" s="362"/>
      <c r="CE11" s="362"/>
      <c r="CF11" s="362"/>
      <c r="CG11" s="362"/>
      <c r="CH11" s="362"/>
      <c r="CI11" s="362"/>
      <c r="CJ11" s="362"/>
      <c r="CK11" s="362"/>
      <c r="CL11" s="362"/>
      <c r="CM11" s="362"/>
      <c r="CN11" s="362"/>
      <c r="CO11" s="362"/>
      <c r="CP11" s="362"/>
      <c r="CQ11" s="362"/>
      <c r="CR11" s="362"/>
      <c r="CS11" s="362"/>
      <c r="CT11" s="362"/>
      <c r="CU11" s="362"/>
      <c r="CV11" s="362"/>
      <c r="CW11" s="362"/>
      <c r="CX11" s="362"/>
      <c r="CY11" s="362"/>
      <c r="CZ11" s="362"/>
      <c r="DA11" s="362"/>
      <c r="DB11" s="362"/>
      <c r="DC11" s="362"/>
      <c r="DD11" s="362"/>
      <c r="DE11" s="362"/>
      <c r="DF11" s="362"/>
      <c r="DG11" s="362"/>
      <c r="DH11" s="362"/>
      <c r="DI11" s="362"/>
      <c r="DJ11" s="362"/>
      <c r="DK11" s="362"/>
      <c r="DL11" s="362"/>
      <c r="DM11" s="362"/>
      <c r="DN11" s="362"/>
      <c r="DO11" s="362"/>
      <c r="DP11" s="362"/>
      <c r="DQ11" s="362"/>
      <c r="DR11" s="362"/>
      <c r="DS11" s="362"/>
      <c r="DT11" s="362"/>
      <c r="DU11" s="362"/>
      <c r="DV11" s="362"/>
      <c r="DW11" s="362"/>
      <c r="DX11" s="362"/>
      <c r="DY11" s="362"/>
      <c r="DZ11" s="362"/>
      <c r="EA11" s="362"/>
      <c r="EB11" s="362"/>
      <c r="EC11" s="223"/>
    </row>
    <row r="12" spans="2:133" s="221" customFormat="1" ht="14.25" customHeight="1">
      <c r="B12" s="222"/>
      <c r="T12" s="362"/>
      <c r="U12" s="362"/>
      <c r="V12" s="362"/>
      <c r="W12" s="362"/>
      <c r="X12" s="362"/>
      <c r="Y12" s="362"/>
      <c r="Z12" s="362"/>
      <c r="AA12" s="362"/>
      <c r="AB12" s="362"/>
      <c r="AC12" s="362"/>
      <c r="AD12" s="362"/>
      <c r="AE12" s="362"/>
      <c r="AF12" s="362"/>
      <c r="AG12" s="362"/>
      <c r="AH12" s="362"/>
      <c r="AI12" s="362"/>
      <c r="AJ12" s="362"/>
      <c r="AK12" s="362"/>
      <c r="AL12" s="362"/>
      <c r="AM12" s="362"/>
      <c r="AN12" s="362"/>
      <c r="AO12" s="362"/>
      <c r="AP12" s="362"/>
      <c r="AQ12" s="362"/>
      <c r="AR12" s="362"/>
      <c r="AS12" s="362"/>
      <c r="AT12" s="362"/>
      <c r="AU12" s="362"/>
      <c r="AV12" s="362"/>
      <c r="AW12" s="362"/>
      <c r="AX12" s="362"/>
      <c r="AY12" s="362"/>
      <c r="AZ12" s="362"/>
      <c r="BA12" s="362"/>
      <c r="BB12" s="362"/>
      <c r="BC12" s="362"/>
      <c r="BD12" s="362"/>
      <c r="BE12" s="362"/>
      <c r="BF12" s="362"/>
      <c r="BG12" s="362"/>
      <c r="BH12" s="362"/>
      <c r="BI12" s="362"/>
      <c r="BJ12" s="362"/>
      <c r="BK12" s="362"/>
      <c r="BL12" s="362"/>
      <c r="BM12" s="362"/>
      <c r="BN12" s="362"/>
      <c r="BO12" s="362"/>
      <c r="BP12" s="362"/>
      <c r="BQ12" s="362"/>
      <c r="BR12" s="362"/>
      <c r="BS12" s="362"/>
      <c r="BT12" s="362"/>
      <c r="BU12" s="362"/>
      <c r="BV12" s="362"/>
      <c r="BW12" s="362"/>
      <c r="BX12" s="362"/>
      <c r="BY12" s="362"/>
      <c r="BZ12" s="362"/>
      <c r="CA12" s="362"/>
      <c r="CB12" s="362"/>
      <c r="CC12" s="362"/>
      <c r="CD12" s="362"/>
      <c r="CE12" s="362"/>
      <c r="CF12" s="362"/>
      <c r="CG12" s="362"/>
      <c r="CH12" s="362"/>
      <c r="CI12" s="362"/>
      <c r="CJ12" s="362"/>
      <c r="CK12" s="362"/>
      <c r="CL12" s="362"/>
      <c r="CM12" s="362"/>
      <c r="CN12" s="362"/>
      <c r="CO12" s="362"/>
      <c r="CP12" s="362"/>
      <c r="CQ12" s="362"/>
      <c r="CR12" s="362"/>
      <c r="CS12" s="362"/>
      <c r="CT12" s="362"/>
      <c r="CU12" s="362"/>
      <c r="CV12" s="362"/>
      <c r="CW12" s="362"/>
      <c r="CX12" s="362"/>
      <c r="CY12" s="362"/>
      <c r="CZ12" s="362"/>
      <c r="DA12" s="362"/>
      <c r="DB12" s="362"/>
      <c r="DC12" s="362"/>
      <c r="DD12" s="362"/>
      <c r="DE12" s="362"/>
      <c r="DF12" s="362"/>
      <c r="DG12" s="362"/>
      <c r="DH12" s="362"/>
      <c r="DI12" s="362"/>
      <c r="DJ12" s="362"/>
      <c r="DK12" s="362"/>
      <c r="DL12" s="362"/>
      <c r="DM12" s="362"/>
      <c r="DN12" s="362"/>
      <c r="DO12" s="362"/>
      <c r="DP12" s="362"/>
      <c r="DQ12" s="362"/>
      <c r="DR12" s="362"/>
      <c r="DS12" s="362"/>
      <c r="DT12" s="362"/>
      <c r="DU12" s="362"/>
      <c r="DV12" s="362"/>
      <c r="DW12" s="362"/>
      <c r="DX12" s="362"/>
      <c r="DY12" s="362"/>
      <c r="DZ12" s="362"/>
      <c r="EA12" s="362"/>
      <c r="EB12" s="362"/>
      <c r="EC12" s="223"/>
    </row>
    <row r="13" spans="2:133" s="221" customFormat="1" ht="14.25" customHeight="1">
      <c r="B13" s="222"/>
      <c r="T13" s="362"/>
      <c r="U13" s="362"/>
      <c r="V13" s="362"/>
      <c r="W13" s="362"/>
      <c r="X13" s="362"/>
      <c r="Y13" s="362"/>
      <c r="Z13" s="362"/>
      <c r="AA13" s="362"/>
      <c r="AB13" s="362"/>
      <c r="AC13" s="362"/>
      <c r="AD13" s="362"/>
      <c r="AE13" s="362"/>
      <c r="AF13" s="362"/>
      <c r="AG13" s="362"/>
      <c r="AH13" s="362"/>
      <c r="AI13" s="362"/>
      <c r="AJ13" s="362"/>
      <c r="AK13" s="362"/>
      <c r="AL13" s="362"/>
      <c r="AM13" s="362"/>
      <c r="AN13" s="362"/>
      <c r="AO13" s="362"/>
      <c r="AP13" s="362"/>
      <c r="AQ13" s="362"/>
      <c r="AR13" s="362"/>
      <c r="AS13" s="362"/>
      <c r="AT13" s="362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  <c r="BR13" s="362"/>
      <c r="BS13" s="362"/>
      <c r="BT13" s="362"/>
      <c r="BU13" s="362"/>
      <c r="BV13" s="362"/>
      <c r="BW13" s="362"/>
      <c r="BX13" s="362"/>
      <c r="BY13" s="362"/>
      <c r="BZ13" s="362"/>
      <c r="CA13" s="362"/>
      <c r="CB13" s="362"/>
      <c r="CC13" s="362"/>
      <c r="CD13" s="362"/>
      <c r="CE13" s="362"/>
      <c r="CF13" s="362"/>
      <c r="CG13" s="362"/>
      <c r="CH13" s="362"/>
      <c r="CI13" s="362"/>
      <c r="CJ13" s="362"/>
      <c r="CK13" s="362"/>
      <c r="CL13" s="362"/>
      <c r="CM13" s="362"/>
      <c r="CN13" s="362"/>
      <c r="CO13" s="362"/>
      <c r="CP13" s="362"/>
      <c r="CQ13" s="362"/>
      <c r="CR13" s="362"/>
      <c r="CS13" s="362"/>
      <c r="CT13" s="362"/>
      <c r="CU13" s="362"/>
      <c r="CV13" s="362"/>
      <c r="CW13" s="362"/>
      <c r="CX13" s="362"/>
      <c r="CY13" s="362"/>
      <c r="CZ13" s="362"/>
      <c r="DA13" s="362"/>
      <c r="DB13" s="362"/>
      <c r="DC13" s="362"/>
      <c r="DD13" s="362"/>
      <c r="DE13" s="362"/>
      <c r="DF13" s="362"/>
      <c r="DG13" s="362"/>
      <c r="DH13" s="362"/>
      <c r="DI13" s="362"/>
      <c r="DJ13" s="362"/>
      <c r="DK13" s="362"/>
      <c r="DL13" s="362"/>
      <c r="DM13" s="362"/>
      <c r="DN13" s="362"/>
      <c r="DO13" s="362"/>
      <c r="DP13" s="362"/>
      <c r="DQ13" s="362"/>
      <c r="DR13" s="362"/>
      <c r="DS13" s="362"/>
      <c r="DT13" s="362"/>
      <c r="DU13" s="362"/>
      <c r="DV13" s="362"/>
      <c r="DW13" s="362"/>
      <c r="DX13" s="362"/>
      <c r="DY13" s="362"/>
      <c r="DZ13" s="362"/>
      <c r="EA13" s="362"/>
      <c r="EB13" s="362"/>
      <c r="EC13" s="223"/>
    </row>
    <row r="14" spans="2:133" s="221" customFormat="1" ht="14.25" customHeight="1">
      <c r="B14" s="22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2"/>
      <c r="AJ14" s="362"/>
      <c r="AK14" s="362"/>
      <c r="AL14" s="362"/>
      <c r="AM14" s="362"/>
      <c r="AN14" s="362"/>
      <c r="AO14" s="362"/>
      <c r="AP14" s="362"/>
      <c r="AQ14" s="362"/>
      <c r="AR14" s="362"/>
      <c r="AS14" s="362"/>
      <c r="AT14" s="362"/>
      <c r="AU14" s="362"/>
      <c r="AV14" s="362"/>
      <c r="AW14" s="362"/>
      <c r="AX14" s="362"/>
      <c r="AY14" s="362"/>
      <c r="AZ14" s="362"/>
      <c r="BA14" s="362"/>
      <c r="BB14" s="362"/>
      <c r="BC14" s="362"/>
      <c r="BD14" s="362"/>
      <c r="BE14" s="362"/>
      <c r="BF14" s="362"/>
      <c r="BG14" s="362"/>
      <c r="BH14" s="362"/>
      <c r="BI14" s="362"/>
      <c r="BJ14" s="362"/>
      <c r="BK14" s="362"/>
      <c r="BL14" s="362"/>
      <c r="BM14" s="362"/>
      <c r="BN14" s="362"/>
      <c r="BO14" s="362"/>
      <c r="BP14" s="362"/>
      <c r="BQ14" s="362"/>
      <c r="BR14" s="362"/>
      <c r="BS14" s="362"/>
      <c r="BT14" s="362"/>
      <c r="BU14" s="362"/>
      <c r="BV14" s="362"/>
      <c r="BW14" s="362"/>
      <c r="BX14" s="362"/>
      <c r="BY14" s="362"/>
      <c r="BZ14" s="362"/>
      <c r="CA14" s="362"/>
      <c r="CB14" s="362"/>
      <c r="CC14" s="362"/>
      <c r="CD14" s="362"/>
      <c r="CE14" s="362"/>
      <c r="CF14" s="362"/>
      <c r="CG14" s="362"/>
      <c r="CH14" s="362"/>
      <c r="CI14" s="362"/>
      <c r="CJ14" s="362"/>
      <c r="CK14" s="362"/>
      <c r="CL14" s="362"/>
      <c r="CM14" s="362"/>
      <c r="CN14" s="362"/>
      <c r="CO14" s="362"/>
      <c r="CP14" s="362"/>
      <c r="CQ14" s="362"/>
      <c r="CR14" s="362"/>
      <c r="CS14" s="362"/>
      <c r="CT14" s="362"/>
      <c r="CU14" s="362"/>
      <c r="CV14" s="362"/>
      <c r="CW14" s="362"/>
      <c r="CX14" s="362"/>
      <c r="CY14" s="362"/>
      <c r="CZ14" s="362"/>
      <c r="DA14" s="362"/>
      <c r="DB14" s="362"/>
      <c r="DC14" s="362"/>
      <c r="DD14" s="362"/>
      <c r="DE14" s="362"/>
      <c r="DF14" s="362"/>
      <c r="DG14" s="362"/>
      <c r="DH14" s="362"/>
      <c r="DI14" s="362"/>
      <c r="DJ14" s="362"/>
      <c r="DK14" s="362"/>
      <c r="DL14" s="362"/>
      <c r="DM14" s="362"/>
      <c r="DN14" s="362"/>
      <c r="DO14" s="362"/>
      <c r="DP14" s="362"/>
      <c r="DQ14" s="362"/>
      <c r="DR14" s="362"/>
      <c r="DS14" s="362"/>
      <c r="DT14" s="362"/>
      <c r="DU14" s="362"/>
      <c r="DV14" s="362"/>
      <c r="DW14" s="362"/>
      <c r="DX14" s="362"/>
      <c r="DY14" s="362"/>
      <c r="DZ14" s="362"/>
      <c r="EA14" s="362"/>
      <c r="EB14" s="362"/>
      <c r="EC14" s="223"/>
    </row>
    <row r="15" spans="2:133" s="221" customFormat="1" ht="14.25" customHeight="1">
      <c r="B15" s="222"/>
      <c r="T15" s="362"/>
      <c r="U15" s="362"/>
      <c r="V15" s="362"/>
      <c r="W15" s="362"/>
      <c r="X15" s="362"/>
      <c r="Y15" s="362"/>
      <c r="Z15" s="362"/>
      <c r="AA15" s="362"/>
      <c r="AB15" s="362"/>
      <c r="AC15" s="362"/>
      <c r="AD15" s="362"/>
      <c r="AE15" s="362"/>
      <c r="AF15" s="362"/>
      <c r="AG15" s="362"/>
      <c r="AH15" s="362"/>
      <c r="AI15" s="362"/>
      <c r="AJ15" s="362"/>
      <c r="AK15" s="362"/>
      <c r="AL15" s="362"/>
      <c r="AM15" s="362"/>
      <c r="AN15" s="362"/>
      <c r="AO15" s="362"/>
      <c r="AP15" s="362"/>
      <c r="AQ15" s="362"/>
      <c r="AR15" s="362"/>
      <c r="AS15" s="362"/>
      <c r="AT15" s="362"/>
      <c r="AU15" s="362"/>
      <c r="AV15" s="362"/>
      <c r="AW15" s="362"/>
      <c r="AX15" s="362"/>
      <c r="AY15" s="362"/>
      <c r="AZ15" s="362"/>
      <c r="BA15" s="362"/>
      <c r="BB15" s="362"/>
      <c r="BC15" s="362"/>
      <c r="BD15" s="362"/>
      <c r="BE15" s="362"/>
      <c r="BF15" s="362"/>
      <c r="BG15" s="362"/>
      <c r="BH15" s="362"/>
      <c r="BI15" s="362"/>
      <c r="BJ15" s="362"/>
      <c r="BK15" s="362"/>
      <c r="BL15" s="362"/>
      <c r="BM15" s="362"/>
      <c r="BN15" s="362"/>
      <c r="BO15" s="362"/>
      <c r="BP15" s="362"/>
      <c r="BQ15" s="362"/>
      <c r="BR15" s="362"/>
      <c r="BS15" s="362"/>
      <c r="BT15" s="362"/>
      <c r="BU15" s="362"/>
      <c r="BV15" s="362"/>
      <c r="BW15" s="362"/>
      <c r="BX15" s="362"/>
      <c r="BY15" s="362"/>
      <c r="BZ15" s="362"/>
      <c r="CA15" s="362"/>
      <c r="CB15" s="362"/>
      <c r="CC15" s="362"/>
      <c r="CD15" s="362"/>
      <c r="CE15" s="362"/>
      <c r="CF15" s="362"/>
      <c r="CG15" s="362"/>
      <c r="CH15" s="362"/>
      <c r="CI15" s="362"/>
      <c r="CJ15" s="362"/>
      <c r="CK15" s="362"/>
      <c r="CL15" s="362"/>
      <c r="CM15" s="362"/>
      <c r="CN15" s="362"/>
      <c r="CO15" s="362"/>
      <c r="CP15" s="362"/>
      <c r="CQ15" s="362"/>
      <c r="CR15" s="362"/>
      <c r="CS15" s="362"/>
      <c r="CT15" s="362"/>
      <c r="CU15" s="362"/>
      <c r="CV15" s="362"/>
      <c r="CW15" s="362"/>
      <c r="CX15" s="362"/>
      <c r="CY15" s="362"/>
      <c r="CZ15" s="362"/>
      <c r="DA15" s="362"/>
      <c r="DB15" s="362"/>
      <c r="DC15" s="362"/>
      <c r="DD15" s="362"/>
      <c r="DE15" s="362"/>
      <c r="DF15" s="362"/>
      <c r="DG15" s="362"/>
      <c r="DH15" s="362"/>
      <c r="DI15" s="362"/>
      <c r="DJ15" s="362"/>
      <c r="DK15" s="362"/>
      <c r="DL15" s="362"/>
      <c r="DM15" s="362"/>
      <c r="DN15" s="362"/>
      <c r="DO15" s="362"/>
      <c r="DP15" s="362"/>
      <c r="DQ15" s="362"/>
      <c r="DR15" s="362"/>
      <c r="DS15" s="362"/>
      <c r="DT15" s="362"/>
      <c r="DU15" s="362"/>
      <c r="DV15" s="362"/>
      <c r="DW15" s="362"/>
      <c r="DX15" s="362"/>
      <c r="DY15" s="362"/>
      <c r="DZ15" s="362"/>
      <c r="EA15" s="362"/>
      <c r="EB15" s="362"/>
      <c r="EC15" s="223"/>
    </row>
    <row r="16" spans="2:133" s="221" customFormat="1" ht="14.25" customHeight="1">
      <c r="B16" s="222"/>
      <c r="T16" s="362"/>
      <c r="U16" s="362"/>
      <c r="V16" s="362"/>
      <c r="W16" s="363"/>
      <c r="X16" s="363"/>
      <c r="Y16" s="363"/>
      <c r="Z16" s="363"/>
      <c r="AA16" s="363"/>
      <c r="AB16" s="363"/>
      <c r="AC16" s="363"/>
      <c r="AD16" s="363"/>
      <c r="AE16" s="363"/>
      <c r="AF16" s="363"/>
      <c r="AG16" s="363"/>
      <c r="AH16" s="363"/>
      <c r="AI16" s="363"/>
      <c r="AJ16" s="363"/>
      <c r="AK16" s="363"/>
      <c r="AL16" s="363"/>
      <c r="AM16" s="362"/>
      <c r="AN16" s="362"/>
      <c r="AO16" s="362"/>
      <c r="AP16" s="362"/>
      <c r="AQ16" s="362"/>
      <c r="AR16" s="362"/>
      <c r="AS16" s="362"/>
      <c r="AT16" s="362"/>
      <c r="AU16" s="362"/>
      <c r="AV16" s="362"/>
      <c r="AW16" s="362"/>
      <c r="AX16" s="362"/>
      <c r="AY16" s="362"/>
      <c r="AZ16" s="362"/>
      <c r="BA16" s="362"/>
      <c r="BB16" s="362"/>
      <c r="BC16" s="362"/>
      <c r="BD16" s="362"/>
      <c r="BE16" s="362"/>
      <c r="BF16" s="362"/>
      <c r="BG16" s="362"/>
      <c r="BH16" s="362"/>
      <c r="BI16" s="362"/>
      <c r="BJ16" s="362"/>
      <c r="BK16" s="362"/>
      <c r="BL16" s="362"/>
      <c r="BM16" s="362"/>
      <c r="BN16" s="362"/>
      <c r="BO16" s="362"/>
      <c r="BP16" s="362"/>
      <c r="BQ16" s="362"/>
      <c r="BR16" s="362"/>
      <c r="BS16" s="362"/>
      <c r="BT16" s="362"/>
      <c r="BU16" s="362"/>
      <c r="BV16" s="362"/>
      <c r="BW16" s="362"/>
      <c r="BX16" s="362"/>
      <c r="BY16" s="362"/>
      <c r="BZ16" s="362"/>
      <c r="CA16" s="362"/>
      <c r="CB16" s="362"/>
      <c r="CC16" s="362"/>
      <c r="CD16" s="362"/>
      <c r="CE16" s="362"/>
      <c r="CF16" s="362"/>
      <c r="CG16" s="362"/>
      <c r="CH16" s="362"/>
      <c r="CI16" s="362"/>
      <c r="CJ16" s="362"/>
      <c r="CK16" s="362"/>
      <c r="CL16" s="362"/>
      <c r="CM16" s="362"/>
      <c r="CN16" s="362"/>
      <c r="CO16" s="362"/>
      <c r="CP16" s="362"/>
      <c r="CQ16" s="362"/>
      <c r="CR16" s="362"/>
      <c r="CS16" s="362"/>
      <c r="CT16" s="362"/>
      <c r="CU16" s="362"/>
      <c r="CV16" s="362"/>
      <c r="CW16" s="362"/>
      <c r="CX16" s="362"/>
      <c r="CY16" s="362"/>
      <c r="CZ16" s="362"/>
      <c r="DA16" s="362"/>
      <c r="DB16" s="362"/>
      <c r="DC16" s="362"/>
      <c r="DD16" s="362"/>
      <c r="DE16" s="362"/>
      <c r="DF16" s="362"/>
      <c r="DG16" s="362"/>
      <c r="DH16" s="362"/>
      <c r="DI16" s="362"/>
      <c r="DJ16" s="362"/>
      <c r="DK16" s="362"/>
      <c r="DL16" s="362"/>
      <c r="DM16" s="362"/>
      <c r="DN16" s="362"/>
      <c r="DO16" s="362"/>
      <c r="DP16" s="362"/>
      <c r="DQ16" s="362"/>
      <c r="DR16" s="362"/>
      <c r="DS16" s="362"/>
      <c r="DT16" s="362"/>
      <c r="DU16" s="362"/>
      <c r="DV16" s="362"/>
      <c r="DW16" s="362"/>
      <c r="DX16" s="362"/>
      <c r="DY16" s="362"/>
      <c r="DZ16" s="362"/>
      <c r="EA16" s="362"/>
      <c r="EB16" s="362"/>
      <c r="EC16" s="223"/>
    </row>
    <row r="17" spans="2:143" s="221" customFormat="1" ht="14.25" customHeight="1">
      <c r="B17" s="222"/>
      <c r="T17" s="362"/>
      <c r="U17" s="362"/>
      <c r="V17" s="362"/>
      <c r="W17" s="363"/>
      <c r="X17" s="363"/>
      <c r="Y17" s="1714"/>
      <c r="Z17" s="1714"/>
      <c r="AA17" s="1714"/>
      <c r="AB17" s="1714"/>
      <c r="AC17" s="1714"/>
      <c r="AD17" s="1714"/>
      <c r="AE17" s="1714"/>
      <c r="AF17" s="1714"/>
      <c r="AG17" s="1714"/>
      <c r="AH17" s="363"/>
      <c r="AI17" s="363"/>
      <c r="AJ17" s="363"/>
      <c r="AK17" s="363"/>
      <c r="AL17" s="363"/>
      <c r="AM17" s="362"/>
      <c r="AN17" s="362"/>
      <c r="AO17" s="362"/>
      <c r="AP17" s="362"/>
      <c r="AQ17" s="362"/>
      <c r="AR17" s="362"/>
      <c r="AS17" s="362"/>
      <c r="AT17" s="362"/>
      <c r="AU17" s="362"/>
      <c r="AV17" s="362"/>
      <c r="AW17" s="362"/>
      <c r="AX17" s="362"/>
      <c r="AY17" s="362"/>
      <c r="AZ17" s="362"/>
      <c r="BA17" s="362"/>
      <c r="BB17" s="362"/>
      <c r="BC17" s="362"/>
      <c r="BD17" s="362"/>
      <c r="BE17" s="362"/>
      <c r="BF17" s="362"/>
      <c r="BG17" s="362"/>
      <c r="BH17" s="362"/>
      <c r="BI17" s="362"/>
      <c r="BJ17" s="362"/>
      <c r="BK17" s="362"/>
      <c r="BL17" s="362"/>
      <c r="BM17" s="362"/>
      <c r="BN17" s="362"/>
      <c r="BO17" s="362"/>
      <c r="BP17" s="362"/>
      <c r="BQ17" s="362"/>
      <c r="BR17" s="362"/>
      <c r="BS17" s="362"/>
      <c r="BT17" s="362"/>
      <c r="BU17" s="362"/>
      <c r="BV17" s="362"/>
      <c r="BW17" s="362"/>
      <c r="BX17" s="362"/>
      <c r="BY17" s="362"/>
      <c r="BZ17" s="362"/>
      <c r="CA17" s="362"/>
      <c r="CB17" s="362"/>
      <c r="CC17" s="362"/>
      <c r="CD17" s="362"/>
      <c r="CE17" s="362"/>
      <c r="CF17" s="362"/>
      <c r="CG17" s="362"/>
      <c r="CH17" s="362"/>
      <c r="CI17" s="362"/>
      <c r="CJ17" s="362"/>
      <c r="CK17" s="362"/>
      <c r="CL17" s="362"/>
      <c r="CM17" s="362"/>
      <c r="CN17" s="362"/>
      <c r="CO17" s="362"/>
      <c r="CP17" s="362"/>
      <c r="CQ17" s="362"/>
      <c r="CR17" s="362"/>
      <c r="CS17" s="362"/>
      <c r="CT17" s="362"/>
      <c r="CU17" s="362"/>
      <c r="CV17" s="362"/>
      <c r="CW17" s="362"/>
      <c r="CX17" s="362"/>
      <c r="CY17" s="362"/>
      <c r="CZ17" s="362"/>
      <c r="DA17" s="362"/>
      <c r="DB17" s="362"/>
      <c r="DC17" s="362"/>
      <c r="DD17" s="362"/>
      <c r="DE17" s="362"/>
      <c r="DF17" s="362"/>
      <c r="DG17" s="362"/>
      <c r="DH17" s="362"/>
      <c r="DI17" s="362"/>
      <c r="DJ17" s="362"/>
      <c r="DK17" s="362"/>
      <c r="DL17" s="362"/>
      <c r="DM17" s="362"/>
      <c r="DN17" s="362"/>
      <c r="DO17" s="362"/>
      <c r="DP17" s="362"/>
      <c r="DQ17" s="362"/>
      <c r="DR17" s="362"/>
      <c r="DS17" s="362"/>
      <c r="DT17" s="362"/>
      <c r="DU17" s="362"/>
      <c r="DV17" s="362"/>
      <c r="DW17" s="362"/>
      <c r="DX17" s="362"/>
      <c r="DY17" s="362"/>
      <c r="DZ17" s="362"/>
      <c r="EA17" s="362"/>
      <c r="EB17" s="362"/>
      <c r="EC17" s="223"/>
    </row>
    <row r="18" spans="2:143" s="221" customFormat="1" ht="14.25" customHeight="1">
      <c r="B18" s="222"/>
      <c r="T18" s="362"/>
      <c r="U18" s="362"/>
      <c r="V18" s="362"/>
      <c r="W18" s="362"/>
      <c r="X18" s="362"/>
      <c r="Y18" s="362"/>
      <c r="Z18" s="362"/>
      <c r="AA18" s="362"/>
      <c r="AB18" s="362"/>
      <c r="AC18" s="362"/>
      <c r="AD18" s="362"/>
      <c r="AE18" s="362"/>
      <c r="AF18" s="362"/>
      <c r="AG18" s="362"/>
      <c r="AH18" s="362"/>
      <c r="AI18" s="362"/>
      <c r="AJ18" s="362"/>
      <c r="AK18" s="362"/>
      <c r="AL18" s="362"/>
      <c r="AM18" s="362"/>
      <c r="AN18" s="362"/>
      <c r="AO18" s="362"/>
      <c r="AP18" s="362"/>
      <c r="AQ18" s="362"/>
      <c r="AR18" s="362"/>
      <c r="AS18" s="362"/>
      <c r="AT18" s="362"/>
      <c r="AU18" s="362"/>
      <c r="AV18" s="362"/>
      <c r="AW18" s="362"/>
      <c r="AX18" s="362"/>
      <c r="AY18" s="362"/>
      <c r="AZ18" s="362"/>
      <c r="BA18" s="362"/>
      <c r="BB18" s="362"/>
      <c r="BC18" s="362"/>
      <c r="BD18" s="362"/>
      <c r="BE18" s="362"/>
      <c r="BF18" s="362"/>
      <c r="BG18" s="362"/>
      <c r="BH18" s="362"/>
      <c r="BI18" s="362"/>
      <c r="BJ18" s="362"/>
      <c r="BK18" s="362"/>
      <c r="BL18" s="362"/>
      <c r="BM18" s="362"/>
      <c r="BN18" s="362"/>
      <c r="BO18" s="362"/>
      <c r="BP18" s="362"/>
      <c r="BQ18" s="362"/>
      <c r="BR18" s="362"/>
      <c r="BS18" s="362"/>
      <c r="BT18" s="362"/>
      <c r="BU18" s="362"/>
      <c r="BV18" s="362"/>
      <c r="BW18" s="362"/>
      <c r="BX18" s="362"/>
      <c r="BY18" s="362"/>
      <c r="BZ18" s="362"/>
      <c r="CA18" s="362"/>
      <c r="CB18" s="362"/>
      <c r="CC18" s="362"/>
      <c r="CD18" s="362"/>
      <c r="CE18" s="362"/>
      <c r="CF18" s="362"/>
      <c r="CG18" s="362"/>
      <c r="CH18" s="362"/>
      <c r="CI18" s="362"/>
      <c r="CJ18" s="362"/>
      <c r="CK18" s="362"/>
      <c r="CL18" s="362"/>
      <c r="CM18" s="362"/>
      <c r="CN18" s="362"/>
      <c r="CO18" s="362"/>
      <c r="CP18" s="362"/>
      <c r="CQ18" s="362"/>
      <c r="CR18" s="362"/>
      <c r="CS18" s="362"/>
      <c r="CT18" s="362"/>
      <c r="CU18" s="362"/>
      <c r="CV18" s="362"/>
      <c r="CW18" s="362"/>
      <c r="CX18" s="362"/>
      <c r="CY18" s="362"/>
      <c r="CZ18" s="362"/>
      <c r="DA18" s="362"/>
      <c r="DB18" s="362"/>
      <c r="DC18" s="362"/>
      <c r="DD18" s="362"/>
      <c r="DE18" s="362"/>
      <c r="DF18" s="362"/>
      <c r="DG18" s="362"/>
      <c r="DH18" s="362"/>
      <c r="DI18" s="362"/>
      <c r="DJ18" s="362"/>
      <c r="DK18" s="362"/>
      <c r="DL18" s="362"/>
      <c r="DM18" s="362"/>
      <c r="DN18" s="362"/>
      <c r="DO18" s="362"/>
      <c r="DP18" s="362"/>
      <c r="DQ18" s="362"/>
      <c r="DR18" s="362"/>
      <c r="DS18" s="362"/>
      <c r="DT18" s="362"/>
      <c r="DU18" s="362"/>
      <c r="DV18" s="362"/>
      <c r="DW18" s="362"/>
      <c r="DX18" s="362"/>
      <c r="DY18" s="362"/>
      <c r="DZ18" s="362"/>
      <c r="EA18" s="362"/>
      <c r="EB18" s="362"/>
      <c r="EC18" s="223"/>
    </row>
    <row r="19" spans="2:143" s="221" customFormat="1" ht="14.25" customHeight="1">
      <c r="B19" s="222"/>
      <c r="T19" s="362"/>
      <c r="U19" s="362"/>
      <c r="V19" s="362"/>
      <c r="W19" s="362"/>
      <c r="X19" s="362"/>
      <c r="Y19" s="362"/>
      <c r="Z19" s="362"/>
      <c r="AA19" s="362"/>
      <c r="AB19" s="362"/>
      <c r="AC19" s="362"/>
      <c r="AD19" s="362"/>
      <c r="AE19" s="362"/>
      <c r="AF19" s="362"/>
      <c r="AG19" s="362"/>
      <c r="AH19" s="362"/>
      <c r="AI19" s="362"/>
      <c r="AJ19" s="362"/>
      <c r="AK19" s="362"/>
      <c r="AL19" s="362"/>
      <c r="AM19" s="362"/>
      <c r="AN19" s="362"/>
      <c r="AO19" s="362"/>
      <c r="AP19" s="362"/>
      <c r="AQ19" s="362"/>
      <c r="AR19" s="362"/>
      <c r="AS19" s="362"/>
      <c r="AT19" s="362"/>
      <c r="AU19" s="362"/>
      <c r="AV19" s="362"/>
      <c r="AW19" s="362"/>
      <c r="AX19" s="362"/>
      <c r="AY19" s="362"/>
      <c r="AZ19" s="362"/>
      <c r="BA19" s="362"/>
      <c r="BB19" s="362"/>
      <c r="BC19" s="362"/>
      <c r="BD19" s="362"/>
      <c r="BE19" s="362"/>
      <c r="BF19" s="362"/>
      <c r="BG19" s="362"/>
      <c r="BH19" s="362"/>
      <c r="BI19" s="362"/>
      <c r="BJ19" s="362"/>
      <c r="BK19" s="362"/>
      <c r="BL19" s="362"/>
      <c r="BM19" s="362"/>
      <c r="BN19" s="362"/>
      <c r="BO19" s="362"/>
      <c r="BP19" s="362"/>
      <c r="BQ19" s="362"/>
      <c r="BR19" s="362"/>
      <c r="BS19" s="362"/>
      <c r="BT19" s="362"/>
      <c r="BU19" s="362"/>
      <c r="BV19" s="362"/>
      <c r="BW19" s="362"/>
      <c r="BX19" s="362"/>
      <c r="BY19" s="362"/>
      <c r="BZ19" s="362"/>
      <c r="CA19" s="362"/>
      <c r="CB19" s="362"/>
      <c r="CC19" s="362"/>
      <c r="CD19" s="362"/>
      <c r="CE19" s="362"/>
      <c r="CF19" s="362"/>
      <c r="CG19" s="362"/>
      <c r="CH19" s="362"/>
      <c r="CI19" s="362"/>
      <c r="CJ19" s="362"/>
      <c r="CK19" s="362"/>
      <c r="CL19" s="362"/>
      <c r="CM19" s="362"/>
      <c r="CN19" s="362"/>
      <c r="CO19" s="362"/>
      <c r="CP19" s="362"/>
      <c r="CQ19" s="362"/>
      <c r="CR19" s="362"/>
      <c r="CS19" s="362"/>
      <c r="CT19" s="362"/>
      <c r="CU19" s="362"/>
      <c r="CV19" s="362"/>
      <c r="CW19" s="362"/>
      <c r="CX19" s="362"/>
      <c r="CY19" s="362"/>
      <c r="CZ19" s="362"/>
      <c r="DA19" s="362"/>
      <c r="DB19" s="362"/>
      <c r="DC19" s="362"/>
      <c r="DD19" s="362"/>
      <c r="DE19" s="362"/>
      <c r="DF19" s="362"/>
      <c r="DG19" s="362"/>
      <c r="DH19" s="362"/>
      <c r="DI19" s="362"/>
      <c r="DJ19" s="362"/>
      <c r="DK19" s="362"/>
      <c r="DL19" s="362"/>
      <c r="DM19" s="362"/>
      <c r="DN19" s="362"/>
      <c r="DO19" s="362"/>
      <c r="DP19" s="362"/>
      <c r="DQ19" s="362"/>
      <c r="DR19" s="362"/>
      <c r="DS19" s="362"/>
      <c r="DT19" s="362"/>
      <c r="DU19" s="362"/>
      <c r="DV19" s="362"/>
      <c r="DW19" s="362"/>
      <c r="DX19" s="362"/>
      <c r="DY19" s="362"/>
      <c r="DZ19" s="362"/>
      <c r="EA19" s="362"/>
      <c r="EB19" s="362"/>
      <c r="EC19" s="223"/>
    </row>
    <row r="20" spans="2:143" s="221" customFormat="1" ht="14.25" customHeight="1">
      <c r="B20" s="222"/>
      <c r="T20" s="362"/>
      <c r="U20" s="362"/>
      <c r="V20" s="362"/>
      <c r="W20" s="362"/>
      <c r="X20" s="362"/>
      <c r="Y20" s="362"/>
      <c r="Z20" s="362"/>
      <c r="AA20" s="362"/>
      <c r="AB20" s="362"/>
      <c r="AC20" s="362"/>
      <c r="AD20" s="362"/>
      <c r="AE20" s="362"/>
      <c r="AF20" s="362"/>
      <c r="AG20" s="362"/>
      <c r="AH20" s="362"/>
      <c r="AI20" s="362"/>
      <c r="AJ20" s="362"/>
      <c r="AK20" s="362"/>
      <c r="AL20" s="362"/>
      <c r="AM20" s="362"/>
      <c r="AN20" s="362"/>
      <c r="AO20" s="362"/>
      <c r="AP20" s="362"/>
      <c r="AQ20" s="362"/>
      <c r="AR20" s="362"/>
      <c r="AS20" s="362"/>
      <c r="AT20" s="362"/>
      <c r="AU20" s="362"/>
      <c r="AV20" s="362"/>
      <c r="AW20" s="362"/>
      <c r="AX20" s="362"/>
      <c r="AY20" s="362"/>
      <c r="AZ20" s="362"/>
      <c r="BA20" s="362"/>
      <c r="BB20" s="362"/>
      <c r="BC20" s="362"/>
      <c r="BD20" s="362"/>
      <c r="BE20" s="362"/>
      <c r="BF20" s="362"/>
      <c r="BG20" s="362"/>
      <c r="BH20" s="362"/>
      <c r="BI20" s="362"/>
      <c r="BJ20" s="362"/>
      <c r="BK20" s="362"/>
      <c r="BL20" s="362"/>
      <c r="BM20" s="362"/>
      <c r="BN20" s="362"/>
      <c r="BO20" s="362"/>
      <c r="BP20" s="362"/>
      <c r="BQ20" s="362"/>
      <c r="BR20" s="362"/>
      <c r="BS20" s="224"/>
      <c r="BT20" s="225"/>
      <c r="BU20" s="226"/>
      <c r="BV20" s="226"/>
      <c r="BW20" s="226"/>
      <c r="BX20" s="226"/>
      <c r="BY20" s="227"/>
      <c r="BZ20" s="362"/>
      <c r="CA20" s="362"/>
      <c r="CB20" s="362"/>
      <c r="CC20" s="362"/>
      <c r="CD20" s="362"/>
      <c r="CE20" s="362"/>
      <c r="CF20" s="362"/>
      <c r="CG20" s="362"/>
      <c r="CH20" s="362"/>
      <c r="CI20" s="362"/>
      <c r="CJ20" s="362"/>
      <c r="CK20" s="362"/>
      <c r="CL20" s="362"/>
      <c r="CM20" s="362"/>
      <c r="CN20" s="362"/>
      <c r="CO20" s="362"/>
      <c r="CP20" s="362"/>
      <c r="CQ20" s="362"/>
      <c r="CR20" s="362"/>
      <c r="CS20" s="362"/>
      <c r="CT20" s="362"/>
      <c r="CU20" s="362"/>
      <c r="CV20" s="362"/>
      <c r="CW20" s="362"/>
      <c r="CX20" s="362"/>
      <c r="CY20" s="362"/>
      <c r="CZ20" s="362"/>
      <c r="DA20" s="362"/>
      <c r="DB20" s="362"/>
      <c r="DC20" s="362"/>
      <c r="DD20" s="362"/>
      <c r="DE20" s="362"/>
      <c r="DF20" s="362"/>
      <c r="DG20" s="362"/>
      <c r="DH20" s="362"/>
      <c r="DI20" s="362"/>
      <c r="DJ20" s="362"/>
      <c r="DK20" s="362"/>
      <c r="DL20" s="362"/>
      <c r="DM20" s="362"/>
      <c r="DN20" s="362"/>
      <c r="DO20" s="362"/>
      <c r="DP20" s="362"/>
      <c r="DQ20" s="362"/>
      <c r="DR20" s="362"/>
      <c r="DS20" s="362"/>
      <c r="DT20" s="362"/>
      <c r="DU20" s="362"/>
      <c r="DV20" s="362"/>
      <c r="DW20" s="362"/>
      <c r="DX20" s="362"/>
      <c r="DY20" s="362"/>
      <c r="DZ20" s="362"/>
      <c r="EA20" s="362"/>
      <c r="EB20" s="362"/>
      <c r="EC20" s="223"/>
    </row>
    <row r="21" spans="2:143" s="221" customFormat="1" ht="14.25" customHeight="1">
      <c r="B21" s="222"/>
      <c r="T21" s="362"/>
      <c r="U21" s="362"/>
      <c r="V21" s="362"/>
      <c r="W21" s="362"/>
      <c r="X21" s="362"/>
      <c r="Y21" s="362"/>
      <c r="Z21" s="362"/>
      <c r="AA21" s="362"/>
      <c r="AB21" s="362"/>
      <c r="AC21" s="362"/>
      <c r="AD21" s="362"/>
      <c r="AE21" s="362"/>
      <c r="AF21" s="362"/>
      <c r="AG21" s="362"/>
      <c r="AH21" s="362"/>
      <c r="AI21" s="362"/>
      <c r="AJ21" s="362"/>
      <c r="AK21" s="362"/>
      <c r="AL21" s="362"/>
      <c r="AM21" s="362"/>
      <c r="AN21" s="362"/>
      <c r="AO21" s="362"/>
      <c r="AP21" s="362"/>
      <c r="AQ21" s="362"/>
      <c r="AR21" s="362"/>
      <c r="AS21" s="362"/>
      <c r="AT21" s="362"/>
      <c r="AU21" s="362"/>
      <c r="AV21" s="362"/>
      <c r="AW21" s="362"/>
      <c r="AX21" s="362"/>
      <c r="AY21" s="362"/>
      <c r="AZ21" s="362"/>
      <c r="BA21" s="362"/>
      <c r="BB21" s="362"/>
      <c r="BC21" s="362"/>
      <c r="BD21" s="362"/>
      <c r="BE21" s="362"/>
      <c r="BF21" s="362"/>
      <c r="BG21" s="362"/>
      <c r="BH21" s="362"/>
      <c r="BI21" s="362"/>
      <c r="BJ21" s="362"/>
      <c r="BK21" s="362"/>
      <c r="BL21" s="362"/>
      <c r="BM21" s="362"/>
      <c r="BN21" s="362"/>
      <c r="BO21" s="362"/>
      <c r="BP21" s="362"/>
      <c r="BQ21" s="362"/>
      <c r="BR21" s="362"/>
      <c r="BS21" s="228"/>
      <c r="BT21" s="1715" t="s">
        <v>229</v>
      </c>
      <c r="BU21" s="1715"/>
      <c r="BV21" s="1715"/>
      <c r="BW21" s="1715"/>
      <c r="BX21" s="1715"/>
      <c r="BY21" s="229"/>
      <c r="BZ21" s="362"/>
      <c r="CA21" s="362"/>
      <c r="CB21" s="362"/>
      <c r="CC21" s="362"/>
      <c r="CD21" s="362"/>
      <c r="CE21" s="362"/>
      <c r="CF21" s="362"/>
      <c r="CG21" s="362"/>
      <c r="CH21" s="362"/>
      <c r="CI21" s="362"/>
      <c r="CJ21" s="362"/>
      <c r="CK21" s="362"/>
      <c r="CL21" s="362"/>
      <c r="CM21" s="362"/>
      <c r="CN21" s="362"/>
      <c r="CO21" s="362"/>
      <c r="CP21" s="362"/>
      <c r="CQ21" s="362"/>
      <c r="CR21" s="362"/>
      <c r="CS21" s="362"/>
      <c r="CT21" s="362"/>
      <c r="CU21" s="362"/>
      <c r="CV21" s="362"/>
      <c r="CW21" s="362"/>
      <c r="CX21" s="362"/>
      <c r="CY21" s="362"/>
      <c r="CZ21" s="362"/>
      <c r="DA21" s="362"/>
      <c r="DB21" s="362"/>
      <c r="DC21" s="362"/>
      <c r="DD21" s="362"/>
      <c r="DE21" s="362"/>
      <c r="DF21" s="362"/>
      <c r="DG21" s="362"/>
      <c r="DH21" s="362"/>
      <c r="DI21" s="362"/>
      <c r="DJ21" s="362"/>
      <c r="DK21" s="362"/>
      <c r="DL21" s="362"/>
      <c r="DM21" s="362"/>
      <c r="DN21" s="362"/>
      <c r="DO21" s="362"/>
      <c r="DP21" s="362"/>
      <c r="DQ21" s="362"/>
      <c r="DR21" s="362"/>
      <c r="DS21" s="362"/>
      <c r="DT21" s="362"/>
      <c r="DU21" s="362"/>
      <c r="DV21" s="362"/>
      <c r="DW21" s="362"/>
      <c r="DX21" s="362"/>
      <c r="DY21" s="362"/>
      <c r="DZ21" s="362"/>
      <c r="EA21" s="362"/>
      <c r="EB21" s="362"/>
      <c r="EC21" s="223"/>
    </row>
    <row r="22" spans="2:143" s="221" customFormat="1" ht="14.25" customHeight="1">
      <c r="B22" s="22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  <c r="AG22" s="362"/>
      <c r="AH22" s="362"/>
      <c r="AI22" s="362"/>
      <c r="AJ22" s="362"/>
      <c r="AK22" s="362"/>
      <c r="AL22" s="362"/>
      <c r="AM22" s="362"/>
      <c r="AN22" s="362"/>
      <c r="AO22" s="362"/>
      <c r="AP22" s="362"/>
      <c r="AQ22" s="362"/>
      <c r="AR22" s="362"/>
      <c r="AS22" s="362"/>
      <c r="AT22" s="362"/>
      <c r="AU22" s="362"/>
      <c r="AV22" s="362"/>
      <c r="AW22" s="362"/>
      <c r="AX22" s="362"/>
      <c r="AY22" s="362"/>
      <c r="AZ22" s="362"/>
      <c r="BA22" s="362"/>
      <c r="BB22" s="362"/>
      <c r="BC22" s="362"/>
      <c r="BD22" s="362"/>
      <c r="BE22" s="362"/>
      <c r="BF22" s="362"/>
      <c r="BG22" s="362"/>
      <c r="BH22" s="362"/>
      <c r="BI22" s="362"/>
      <c r="BJ22" s="362"/>
      <c r="BK22" s="362"/>
      <c r="BL22" s="362"/>
      <c r="BM22" s="362"/>
      <c r="BN22" s="362"/>
      <c r="BO22" s="362"/>
      <c r="BP22" s="362"/>
      <c r="BQ22" s="362"/>
      <c r="BR22" s="362"/>
      <c r="BS22" s="228"/>
      <c r="BT22" s="1715"/>
      <c r="BU22" s="1715"/>
      <c r="BV22" s="1715"/>
      <c r="BW22" s="1715"/>
      <c r="BX22" s="1715"/>
      <c r="BY22" s="230"/>
      <c r="BZ22" s="362"/>
      <c r="CA22" s="362"/>
      <c r="CB22" s="362"/>
      <c r="CC22" s="362"/>
      <c r="CD22" s="362"/>
      <c r="CE22" s="362"/>
      <c r="CF22" s="362"/>
      <c r="CG22" s="362"/>
      <c r="CH22" s="362"/>
      <c r="CI22" s="362"/>
      <c r="CJ22" s="362"/>
      <c r="CK22" s="362"/>
      <c r="CL22" s="362"/>
      <c r="CM22" s="362"/>
      <c r="CN22" s="362"/>
      <c r="CO22" s="362"/>
      <c r="CP22" s="362"/>
      <c r="CQ22" s="362"/>
      <c r="CR22" s="362"/>
      <c r="CS22" s="362"/>
      <c r="CT22" s="362"/>
      <c r="CU22" s="362"/>
      <c r="CV22" s="362"/>
      <c r="CW22" s="362"/>
      <c r="CX22" s="362"/>
      <c r="CY22" s="362"/>
      <c r="CZ22" s="362"/>
      <c r="DA22" s="362"/>
      <c r="DB22" s="362"/>
      <c r="DC22" s="362"/>
      <c r="DD22" s="362"/>
      <c r="DE22" s="362"/>
      <c r="DF22" s="362"/>
      <c r="DG22" s="362"/>
      <c r="DH22" s="362"/>
      <c r="DI22" s="362"/>
      <c r="DJ22" s="362"/>
      <c r="DK22" s="362"/>
      <c r="DL22" s="362"/>
      <c r="DM22" s="362"/>
      <c r="DN22" s="362"/>
      <c r="DO22" s="362"/>
      <c r="DP22" s="362"/>
      <c r="DQ22" s="362"/>
      <c r="DR22" s="362"/>
      <c r="DS22" s="362"/>
      <c r="DT22" s="362"/>
      <c r="DU22" s="362"/>
      <c r="DV22" s="362"/>
      <c r="DW22" s="362"/>
      <c r="DX22" s="362"/>
      <c r="DY22" s="362"/>
      <c r="DZ22" s="362"/>
      <c r="EA22" s="362"/>
      <c r="EB22" s="362"/>
      <c r="EC22" s="223"/>
      <c r="EM22" s="1716"/>
    </row>
    <row r="23" spans="2:143" s="221" customFormat="1" ht="14.25" customHeight="1">
      <c r="B23" s="222"/>
      <c r="T23" s="362"/>
      <c r="U23" s="362"/>
      <c r="V23" s="362"/>
      <c r="W23" s="362"/>
      <c r="X23" s="362"/>
      <c r="Y23" s="362"/>
      <c r="Z23" s="362"/>
      <c r="AA23" s="362"/>
      <c r="AB23" s="362"/>
      <c r="AC23" s="362"/>
      <c r="AD23" s="362"/>
      <c r="AE23" s="362"/>
      <c r="AF23" s="362"/>
      <c r="AG23" s="362"/>
      <c r="AH23" s="362"/>
      <c r="AI23" s="362"/>
      <c r="AJ23" s="362"/>
      <c r="AK23" s="362"/>
      <c r="AL23" s="362"/>
      <c r="AM23" s="362"/>
      <c r="AN23" s="362"/>
      <c r="AO23" s="362"/>
      <c r="AP23" s="362"/>
      <c r="AQ23" s="362"/>
      <c r="AR23" s="362"/>
      <c r="AS23" s="362"/>
      <c r="AT23" s="362"/>
      <c r="AU23" s="362"/>
      <c r="AV23" s="362"/>
      <c r="AW23" s="362"/>
      <c r="AX23" s="362"/>
      <c r="AY23" s="362"/>
      <c r="AZ23" s="362"/>
      <c r="BA23" s="362"/>
      <c r="BB23" s="362"/>
      <c r="BC23" s="362"/>
      <c r="BD23" s="362"/>
      <c r="BE23" s="362"/>
      <c r="BF23" s="362"/>
      <c r="BG23" s="362"/>
      <c r="BH23" s="362"/>
      <c r="BI23" s="362"/>
      <c r="BJ23" s="362"/>
      <c r="BK23" s="362"/>
      <c r="BL23" s="362"/>
      <c r="BM23" s="362"/>
      <c r="BN23" s="362"/>
      <c r="BO23" s="362"/>
      <c r="BP23" s="362"/>
      <c r="BQ23" s="362"/>
      <c r="BR23" s="362"/>
      <c r="BS23" s="231"/>
      <c r="BT23" s="232"/>
      <c r="BU23" s="232"/>
      <c r="BV23" s="232"/>
      <c r="BW23" s="232"/>
      <c r="BX23" s="232"/>
      <c r="BY23" s="233"/>
      <c r="BZ23" s="362"/>
      <c r="CA23" s="362"/>
      <c r="CB23" s="362"/>
      <c r="CC23" s="362"/>
      <c r="CD23" s="362"/>
      <c r="CE23" s="362"/>
      <c r="CF23" s="362"/>
      <c r="CG23" s="362"/>
      <c r="CH23" s="362"/>
      <c r="CI23" s="362"/>
      <c r="CJ23" s="362"/>
      <c r="CK23" s="362"/>
      <c r="CL23" s="362"/>
      <c r="CM23" s="362"/>
      <c r="CN23" s="362"/>
      <c r="CO23" s="362"/>
      <c r="CP23" s="362"/>
      <c r="CQ23" s="362"/>
      <c r="CR23" s="362"/>
      <c r="CS23" s="362"/>
      <c r="CT23" s="362"/>
      <c r="CU23" s="362"/>
      <c r="CV23" s="362"/>
      <c r="CW23" s="362"/>
      <c r="CX23" s="362"/>
      <c r="CY23" s="362"/>
      <c r="CZ23" s="362"/>
      <c r="DA23" s="362"/>
      <c r="DB23" s="362"/>
      <c r="DC23" s="362"/>
      <c r="DD23" s="362"/>
      <c r="DE23" s="362"/>
      <c r="DF23" s="362"/>
      <c r="DG23" s="362"/>
      <c r="DH23" s="362"/>
      <c r="DI23" s="362"/>
      <c r="DJ23" s="362"/>
      <c r="DK23" s="362"/>
      <c r="DL23" s="362"/>
      <c r="DM23" s="362"/>
      <c r="DN23" s="362"/>
      <c r="DO23" s="362"/>
      <c r="DP23" s="362"/>
      <c r="DQ23" s="362"/>
      <c r="DR23" s="362"/>
      <c r="DS23" s="362"/>
      <c r="DT23" s="362"/>
      <c r="DU23" s="362"/>
      <c r="DV23" s="362"/>
      <c r="DW23" s="362"/>
      <c r="DX23" s="362"/>
      <c r="DY23" s="362"/>
      <c r="DZ23" s="362"/>
      <c r="EA23" s="362"/>
      <c r="EB23" s="362"/>
      <c r="EC23" s="223"/>
      <c r="EM23" s="1716"/>
    </row>
    <row r="24" spans="2:143" s="221" customFormat="1" ht="14.25" customHeight="1">
      <c r="B24" s="222"/>
      <c r="T24" s="362"/>
      <c r="U24" s="362"/>
      <c r="V24" s="362"/>
      <c r="W24" s="362"/>
      <c r="X24" s="362"/>
      <c r="Y24" s="362"/>
      <c r="Z24" s="362"/>
      <c r="AA24" s="362"/>
      <c r="AB24" s="362"/>
      <c r="AC24" s="362"/>
      <c r="AD24" s="362"/>
      <c r="AE24" s="362"/>
      <c r="AF24" s="362"/>
      <c r="AG24" s="362"/>
      <c r="AH24" s="362"/>
      <c r="AI24" s="362"/>
      <c r="AJ24" s="362"/>
      <c r="AK24" s="362"/>
      <c r="AL24" s="362"/>
      <c r="AM24" s="362"/>
      <c r="AN24" s="362"/>
      <c r="AO24" s="362"/>
      <c r="AP24" s="362"/>
      <c r="AQ24" s="362"/>
      <c r="AR24" s="362"/>
      <c r="AS24" s="362"/>
      <c r="AT24" s="362"/>
      <c r="AU24" s="362"/>
      <c r="AV24" s="362"/>
      <c r="AW24" s="362"/>
      <c r="AX24" s="362"/>
      <c r="AY24" s="362"/>
      <c r="AZ24" s="362"/>
      <c r="BA24" s="362"/>
      <c r="BB24" s="362"/>
      <c r="BC24" s="362"/>
      <c r="BD24" s="362"/>
      <c r="BE24" s="362"/>
      <c r="BF24" s="362"/>
      <c r="BG24" s="362"/>
      <c r="BH24" s="362"/>
      <c r="BI24" s="362"/>
      <c r="BJ24" s="362"/>
      <c r="BK24" s="362"/>
      <c r="BL24" s="362"/>
      <c r="BM24" s="362"/>
      <c r="BN24" s="362"/>
      <c r="BO24" s="362"/>
      <c r="BP24" s="362"/>
      <c r="BQ24" s="362"/>
      <c r="BR24" s="362"/>
      <c r="BS24" s="362"/>
      <c r="BT24" s="362"/>
      <c r="BU24" s="362"/>
      <c r="BV24" s="362"/>
      <c r="BW24" s="362"/>
      <c r="BX24" s="362"/>
      <c r="BY24" s="362"/>
      <c r="BZ24" s="362"/>
      <c r="CA24" s="362"/>
      <c r="CB24" s="362"/>
      <c r="CC24" s="362"/>
      <c r="CD24" s="362"/>
      <c r="CE24" s="362"/>
      <c r="CF24" s="362"/>
      <c r="CG24" s="362"/>
      <c r="CH24" s="362"/>
      <c r="CI24" s="362"/>
      <c r="CJ24" s="362"/>
      <c r="CK24" s="362"/>
      <c r="CL24" s="362"/>
      <c r="CM24" s="362"/>
      <c r="CN24" s="362"/>
      <c r="CO24" s="362"/>
      <c r="CP24" s="362"/>
      <c r="CQ24" s="362"/>
      <c r="CR24" s="362"/>
      <c r="CS24" s="362"/>
      <c r="CT24" s="362"/>
      <c r="CU24" s="362"/>
      <c r="CV24" s="362"/>
      <c r="CW24" s="362"/>
      <c r="CX24" s="362"/>
      <c r="CY24" s="362"/>
      <c r="CZ24" s="362"/>
      <c r="DA24" s="362"/>
      <c r="DB24" s="362"/>
      <c r="DC24" s="362"/>
      <c r="DD24" s="362"/>
      <c r="DE24" s="362"/>
      <c r="DF24" s="362"/>
      <c r="DG24" s="362"/>
      <c r="DH24" s="362"/>
      <c r="DI24" s="362"/>
      <c r="DJ24" s="362"/>
      <c r="DK24" s="362"/>
      <c r="DL24" s="362"/>
      <c r="DM24" s="362"/>
      <c r="DN24" s="362"/>
      <c r="DO24" s="362"/>
      <c r="DP24" s="362"/>
      <c r="DQ24" s="362"/>
      <c r="DR24" s="362"/>
      <c r="DS24" s="362"/>
      <c r="DT24" s="362"/>
      <c r="DU24" s="362"/>
      <c r="DV24" s="362"/>
      <c r="DW24" s="362"/>
      <c r="DX24" s="362"/>
      <c r="DY24" s="362"/>
      <c r="DZ24" s="362"/>
      <c r="EA24" s="362"/>
      <c r="EB24" s="362"/>
      <c r="EC24" s="223"/>
      <c r="EM24" s="1716"/>
    </row>
    <row r="25" spans="2:143" s="221" customFormat="1" ht="14.25" customHeight="1">
      <c r="B25" s="222"/>
      <c r="T25" s="362"/>
      <c r="U25" s="362"/>
      <c r="V25" s="362"/>
      <c r="W25" s="362"/>
      <c r="X25" s="362"/>
      <c r="Y25" s="362"/>
      <c r="Z25" s="362"/>
      <c r="AA25" s="362"/>
      <c r="AB25" s="362"/>
      <c r="AC25" s="362"/>
      <c r="AD25" s="362"/>
      <c r="AE25" s="362"/>
      <c r="AF25" s="362"/>
      <c r="AG25" s="362"/>
      <c r="AH25" s="362"/>
      <c r="AI25" s="362"/>
      <c r="AJ25" s="362"/>
      <c r="AK25" s="362"/>
      <c r="AL25" s="362"/>
      <c r="AM25" s="362"/>
      <c r="AN25" s="362"/>
      <c r="AO25" s="362"/>
      <c r="AP25" s="362"/>
      <c r="AQ25" s="362"/>
      <c r="AS25" s="362"/>
      <c r="AT25" s="362"/>
      <c r="AU25" s="362"/>
      <c r="AV25" s="362"/>
      <c r="AW25" s="362"/>
      <c r="AX25" s="362"/>
      <c r="AY25" s="362"/>
      <c r="AZ25" s="362"/>
      <c r="BA25" s="362"/>
      <c r="BB25" s="362"/>
      <c r="BC25" s="362"/>
      <c r="BD25" s="362"/>
      <c r="BE25" s="362"/>
      <c r="BF25" s="362"/>
      <c r="BG25" s="362"/>
      <c r="BH25" s="362"/>
      <c r="BI25" s="362"/>
      <c r="BJ25" s="362"/>
      <c r="BK25" s="362"/>
      <c r="BL25" s="362"/>
      <c r="BM25" s="362"/>
      <c r="BN25" s="362"/>
      <c r="BO25" s="362"/>
      <c r="BP25" s="362"/>
      <c r="BQ25" s="362"/>
      <c r="BR25" s="362"/>
      <c r="BS25" s="362"/>
      <c r="BT25" s="362"/>
      <c r="BU25" s="362"/>
      <c r="BV25" s="362"/>
      <c r="BW25" s="362"/>
      <c r="BX25" s="362"/>
      <c r="BY25" s="362"/>
      <c r="BZ25" s="362"/>
      <c r="CA25" s="362"/>
      <c r="CB25" s="362"/>
      <c r="CC25" s="362"/>
      <c r="CD25" s="362"/>
      <c r="CE25" s="362"/>
      <c r="CF25" s="362"/>
      <c r="CG25" s="362"/>
      <c r="CH25" s="362"/>
      <c r="CI25" s="362"/>
      <c r="CJ25" s="362"/>
      <c r="CK25" s="362"/>
      <c r="CL25" s="362"/>
      <c r="CM25" s="362"/>
      <c r="CN25" s="362"/>
      <c r="CO25" s="362"/>
      <c r="CP25" s="362"/>
      <c r="CQ25" s="362"/>
      <c r="CR25" s="362"/>
      <c r="CS25" s="362"/>
      <c r="CT25" s="362"/>
      <c r="CU25" s="362"/>
      <c r="CV25" s="362"/>
      <c r="CW25" s="362"/>
      <c r="CX25" s="362"/>
      <c r="CY25" s="362"/>
      <c r="CZ25" s="362"/>
      <c r="DA25" s="362"/>
      <c r="DB25" s="362"/>
      <c r="DC25" s="362"/>
      <c r="DD25" s="362"/>
      <c r="DE25" s="362"/>
      <c r="DF25" s="362"/>
      <c r="DG25" s="362"/>
      <c r="DH25" s="362"/>
      <c r="DI25" s="362"/>
      <c r="DJ25" s="362"/>
      <c r="DK25" s="362"/>
      <c r="DL25" s="362"/>
      <c r="DM25" s="362"/>
      <c r="DN25" s="362"/>
      <c r="DO25" s="362"/>
      <c r="DP25" s="362"/>
      <c r="DQ25" s="362"/>
      <c r="DR25" s="362"/>
      <c r="DS25" s="362"/>
      <c r="DT25" s="362"/>
      <c r="DU25" s="362"/>
      <c r="DV25" s="362"/>
      <c r="DW25" s="362"/>
      <c r="DX25" s="362"/>
      <c r="DY25" s="362"/>
      <c r="DZ25" s="362"/>
      <c r="EA25" s="362"/>
      <c r="EB25" s="362"/>
      <c r="EC25" s="223"/>
      <c r="EM25" s="1716"/>
    </row>
    <row r="26" spans="2:143" s="221" customFormat="1" ht="14.25" customHeight="1">
      <c r="B26" s="222"/>
      <c r="T26" s="364"/>
      <c r="U26" s="364"/>
      <c r="V26" s="364"/>
      <c r="W26" s="364"/>
      <c r="X26" s="364"/>
      <c r="Y26" s="364"/>
      <c r="Z26" s="364"/>
      <c r="AA26" s="364"/>
      <c r="AB26" s="364"/>
      <c r="AC26" s="364"/>
      <c r="AD26" s="364"/>
      <c r="AE26" s="364"/>
      <c r="AF26" s="364"/>
      <c r="AG26" s="364"/>
      <c r="AH26" s="364"/>
      <c r="AI26" s="364"/>
      <c r="AJ26" s="364"/>
      <c r="AK26" s="364"/>
      <c r="AL26" s="364"/>
      <c r="AM26" s="364"/>
      <c r="AN26" s="364"/>
      <c r="AO26" s="364"/>
      <c r="AP26" s="364"/>
      <c r="AQ26" s="364"/>
      <c r="AS26" s="364"/>
      <c r="AT26" s="364"/>
      <c r="AU26" s="364"/>
      <c r="AV26" s="364"/>
      <c r="AW26" s="364"/>
      <c r="AX26" s="364"/>
      <c r="AY26" s="364"/>
      <c r="AZ26" s="364"/>
      <c r="BA26" s="364"/>
      <c r="BB26" s="364"/>
      <c r="BC26" s="364"/>
      <c r="BD26" s="364"/>
      <c r="BE26" s="364"/>
      <c r="BF26" s="364"/>
      <c r="BG26" s="364"/>
      <c r="BH26" s="364"/>
      <c r="BI26" s="364"/>
      <c r="BJ26" s="364"/>
      <c r="BK26" s="364"/>
      <c r="BL26" s="364"/>
      <c r="BM26" s="364"/>
      <c r="BN26" s="364"/>
      <c r="BO26" s="364"/>
      <c r="BP26" s="364"/>
      <c r="BQ26" s="364"/>
      <c r="BR26" s="364"/>
      <c r="BS26" s="364"/>
      <c r="BT26" s="364"/>
      <c r="BU26" s="364"/>
      <c r="BV26" s="364"/>
      <c r="BW26" s="364"/>
      <c r="BX26" s="364"/>
      <c r="BY26" s="364"/>
      <c r="BZ26" s="364"/>
      <c r="CA26" s="364"/>
      <c r="CB26" s="364"/>
      <c r="CC26" s="364"/>
      <c r="CD26" s="364"/>
      <c r="CE26" s="364"/>
      <c r="CF26" s="364"/>
      <c r="CG26" s="364"/>
      <c r="CH26" s="364"/>
      <c r="CI26" s="364"/>
      <c r="CJ26" s="364"/>
      <c r="CK26" s="364"/>
      <c r="CL26" s="364"/>
      <c r="CM26" s="364"/>
      <c r="CN26" s="364"/>
      <c r="CO26" s="364"/>
      <c r="CP26" s="364"/>
      <c r="CQ26" s="364"/>
      <c r="CR26" s="364"/>
      <c r="CS26" s="364"/>
      <c r="CT26" s="364"/>
      <c r="CU26" s="364"/>
      <c r="CV26" s="364"/>
      <c r="CW26" s="364"/>
      <c r="CX26" s="364"/>
      <c r="CY26" s="364"/>
      <c r="CZ26" s="364"/>
      <c r="DA26" s="364"/>
      <c r="DB26" s="364"/>
      <c r="DC26" s="364"/>
      <c r="DD26" s="364"/>
      <c r="DE26" s="364"/>
      <c r="DF26" s="364"/>
      <c r="DG26" s="364"/>
      <c r="DH26" s="364"/>
      <c r="DI26" s="364"/>
      <c r="DJ26" s="364"/>
      <c r="DK26" s="364"/>
      <c r="DL26" s="364"/>
      <c r="DM26" s="364"/>
      <c r="DN26" s="364"/>
      <c r="DO26" s="364"/>
      <c r="DP26" s="364"/>
      <c r="DQ26" s="364"/>
      <c r="DR26" s="364"/>
      <c r="DS26" s="364"/>
      <c r="DT26" s="364"/>
      <c r="DU26" s="364"/>
      <c r="DV26" s="364"/>
      <c r="DW26" s="364"/>
      <c r="DX26" s="364"/>
      <c r="DY26" s="364"/>
      <c r="DZ26" s="364"/>
      <c r="EA26" s="364"/>
      <c r="EB26" s="364"/>
      <c r="EC26" s="234"/>
      <c r="EM26" s="1716"/>
    </row>
    <row r="27" spans="2:143" s="221" customFormat="1" ht="14.25" customHeight="1">
      <c r="B27" s="222"/>
      <c r="T27" s="364"/>
      <c r="U27" s="364"/>
      <c r="V27" s="364"/>
      <c r="X27" s="365"/>
      <c r="Y27" s="365"/>
      <c r="Z27" s="365"/>
      <c r="AA27" s="365"/>
      <c r="AB27" s="365"/>
      <c r="AC27" s="365"/>
      <c r="AD27" s="365"/>
      <c r="AE27" s="365"/>
      <c r="AF27" s="365"/>
      <c r="AG27" s="365"/>
      <c r="AH27" s="365"/>
      <c r="AI27" s="365"/>
      <c r="AJ27" s="365"/>
      <c r="AK27" s="365"/>
      <c r="AL27" s="365"/>
      <c r="AM27" s="364"/>
      <c r="AN27" s="364"/>
      <c r="AO27" s="364"/>
      <c r="AP27" s="364"/>
      <c r="AQ27" s="364"/>
      <c r="AS27" s="364"/>
      <c r="AT27" s="364"/>
      <c r="AU27" s="364"/>
      <c r="AV27" s="364"/>
      <c r="AW27" s="364"/>
      <c r="AX27" s="364"/>
      <c r="AY27" s="364"/>
      <c r="AZ27" s="364"/>
      <c r="BA27" s="364"/>
      <c r="BB27" s="364"/>
      <c r="BC27" s="364"/>
      <c r="BD27" s="364"/>
      <c r="BE27" s="364"/>
      <c r="BF27" s="364"/>
      <c r="BG27" s="364"/>
      <c r="BH27" s="364"/>
      <c r="BI27" s="364"/>
      <c r="BJ27" s="364"/>
      <c r="BK27" s="364"/>
      <c r="BL27" s="364"/>
      <c r="BM27" s="364"/>
      <c r="BN27" s="364"/>
      <c r="BO27" s="364"/>
      <c r="BP27" s="364"/>
      <c r="BQ27" s="364"/>
      <c r="BR27" s="364"/>
      <c r="BS27" s="364"/>
      <c r="BT27" s="364"/>
      <c r="BU27" s="364"/>
      <c r="BV27" s="364"/>
      <c r="BW27" s="364"/>
      <c r="BX27" s="364"/>
      <c r="BY27" s="364"/>
      <c r="BZ27" s="364"/>
      <c r="CA27" s="364"/>
      <c r="CB27" s="364"/>
      <c r="CC27" s="364"/>
      <c r="CD27" s="364"/>
      <c r="CE27" s="364"/>
      <c r="CF27" s="364"/>
      <c r="CG27" s="364"/>
      <c r="CH27" s="364"/>
      <c r="CI27" s="364"/>
      <c r="CJ27" s="364"/>
      <c r="CK27" s="364"/>
      <c r="CL27" s="364"/>
      <c r="CM27" s="364"/>
      <c r="CN27" s="364"/>
      <c r="CO27" s="364"/>
      <c r="CP27" s="364"/>
      <c r="CQ27" s="364"/>
      <c r="CR27" s="364"/>
      <c r="CS27" s="364"/>
      <c r="CT27" s="364"/>
      <c r="CU27" s="364"/>
      <c r="CV27" s="364"/>
      <c r="CW27" s="364"/>
      <c r="CX27" s="364"/>
      <c r="CY27" s="364"/>
      <c r="CZ27" s="364"/>
      <c r="DA27" s="364"/>
      <c r="DB27" s="364"/>
      <c r="DC27" s="364"/>
      <c r="DD27" s="364"/>
      <c r="DE27" s="364"/>
      <c r="DF27" s="364"/>
      <c r="DG27" s="364"/>
      <c r="DH27" s="364"/>
      <c r="DI27" s="364"/>
      <c r="DJ27" s="364"/>
      <c r="DK27" s="364"/>
      <c r="DL27" s="364"/>
      <c r="DM27" s="364"/>
      <c r="DN27" s="364"/>
      <c r="DO27" s="364"/>
      <c r="DP27" s="364"/>
      <c r="EB27" s="364"/>
      <c r="EC27" s="234"/>
      <c r="EL27" s="1717"/>
      <c r="EM27" s="1716"/>
    </row>
    <row r="28" spans="2:143" s="236" customFormat="1" ht="14.25" customHeight="1">
      <c r="B28" s="235"/>
      <c r="T28" s="364"/>
      <c r="U28" s="364"/>
      <c r="V28" s="364"/>
      <c r="W28" s="365"/>
      <c r="X28" s="365"/>
      <c r="Y28" s="365"/>
      <c r="Z28" s="365"/>
      <c r="AA28" s="365"/>
      <c r="AB28" s="365"/>
      <c r="AC28" s="365"/>
      <c r="AD28" s="365"/>
      <c r="AE28" s="365"/>
      <c r="AF28" s="365"/>
      <c r="AG28" s="365"/>
      <c r="AH28" s="365"/>
      <c r="AI28" s="365"/>
      <c r="AJ28" s="365"/>
      <c r="AK28" s="365"/>
      <c r="AL28" s="365"/>
      <c r="AO28" s="364"/>
      <c r="AP28" s="364"/>
      <c r="AQ28" s="364"/>
      <c r="AS28" s="364"/>
      <c r="AT28" s="364"/>
      <c r="AU28" s="364"/>
      <c r="AV28" s="364"/>
      <c r="AW28" s="364"/>
      <c r="AX28" s="364"/>
      <c r="AY28" s="364"/>
      <c r="AZ28" s="364"/>
      <c r="BA28" s="364"/>
      <c r="BB28" s="364"/>
      <c r="BC28" s="364"/>
      <c r="BD28" s="364"/>
      <c r="BE28" s="364"/>
      <c r="BF28" s="364"/>
      <c r="BG28" s="364"/>
      <c r="BH28" s="364"/>
      <c r="BI28" s="364"/>
      <c r="BJ28" s="364"/>
      <c r="BK28" s="364"/>
      <c r="BL28" s="364"/>
      <c r="BM28" s="364"/>
      <c r="BN28" s="364"/>
      <c r="BO28" s="364"/>
      <c r="BP28" s="364"/>
      <c r="BQ28" s="364"/>
      <c r="BR28" s="364"/>
      <c r="BS28" s="364"/>
      <c r="BT28" s="364"/>
      <c r="BU28" s="364"/>
      <c r="BV28" s="364"/>
      <c r="BW28" s="364"/>
      <c r="BX28" s="364"/>
      <c r="BY28" s="364"/>
      <c r="BZ28" s="364"/>
      <c r="CA28" s="364"/>
      <c r="CB28" s="364"/>
      <c r="CC28" s="364"/>
      <c r="CD28" s="364"/>
      <c r="CE28" s="364"/>
      <c r="CF28" s="364"/>
      <c r="CG28" s="364"/>
      <c r="CH28" s="364"/>
      <c r="CI28" s="364"/>
      <c r="CJ28" s="364"/>
      <c r="CK28" s="364"/>
      <c r="CL28" s="364"/>
      <c r="CM28" s="364"/>
      <c r="CN28" s="364"/>
      <c r="CO28" s="364"/>
      <c r="CP28" s="364"/>
      <c r="CQ28" s="364"/>
      <c r="CR28" s="364"/>
      <c r="CS28" s="364"/>
      <c r="CT28" s="364"/>
      <c r="CU28" s="364"/>
      <c r="CV28" s="364"/>
      <c r="CW28" s="364"/>
      <c r="CX28" s="364"/>
      <c r="CY28" s="364"/>
      <c r="CZ28" s="364"/>
      <c r="DA28" s="364"/>
      <c r="DB28" s="364"/>
      <c r="DC28" s="364"/>
      <c r="DD28" s="364"/>
      <c r="DE28" s="364"/>
      <c r="DF28" s="364"/>
      <c r="DG28" s="364"/>
      <c r="DH28" s="364"/>
      <c r="DI28" s="364"/>
      <c r="DJ28" s="364"/>
      <c r="DK28" s="364"/>
      <c r="DL28" s="364"/>
      <c r="DM28" s="364"/>
      <c r="DN28" s="364"/>
      <c r="DO28" s="364"/>
      <c r="DP28" s="364"/>
      <c r="DQ28" s="364"/>
      <c r="DR28" s="364"/>
      <c r="DS28" s="364"/>
      <c r="DT28" s="364"/>
      <c r="DU28" s="364"/>
      <c r="DV28" s="364"/>
      <c r="DW28" s="364"/>
      <c r="DX28" s="364"/>
      <c r="DY28" s="364"/>
      <c r="DZ28" s="364"/>
      <c r="EA28" s="364"/>
      <c r="EB28" s="364"/>
      <c r="EC28" s="234"/>
      <c r="EL28" s="1717"/>
      <c r="EM28" s="1716"/>
    </row>
    <row r="29" spans="2:143" s="236" customFormat="1" ht="14.25" customHeight="1">
      <c r="B29" s="235"/>
      <c r="T29" s="364"/>
      <c r="U29" s="1519"/>
      <c r="V29" s="364"/>
      <c r="W29" s="364"/>
      <c r="X29" s="364"/>
      <c r="Y29" s="364"/>
      <c r="Z29" s="364"/>
      <c r="AA29" s="364"/>
      <c r="AB29" s="364"/>
      <c r="AC29" s="364"/>
      <c r="AD29" s="364"/>
      <c r="AE29" s="364"/>
      <c r="AF29" s="364"/>
      <c r="AG29" s="364"/>
      <c r="AH29" s="364"/>
      <c r="AI29" s="364"/>
      <c r="AJ29" s="364"/>
      <c r="AK29" s="364"/>
      <c r="AL29" s="364"/>
      <c r="AO29" s="364"/>
      <c r="AP29" s="364"/>
      <c r="AQ29" s="364"/>
      <c r="AS29" s="364"/>
      <c r="AT29" s="364"/>
      <c r="AU29" s="364"/>
      <c r="AV29" s="364"/>
      <c r="AW29" s="364"/>
      <c r="AX29" s="364"/>
      <c r="AY29" s="364"/>
      <c r="AZ29" s="364"/>
      <c r="BA29" s="364"/>
      <c r="BB29" s="364"/>
      <c r="BC29" s="364"/>
      <c r="BD29" s="364"/>
      <c r="BE29" s="364"/>
      <c r="BF29" s="364"/>
      <c r="BG29" s="364"/>
      <c r="BH29" s="364"/>
      <c r="BI29" s="364"/>
      <c r="BJ29" s="364"/>
      <c r="BK29" s="364"/>
      <c r="BL29" s="364"/>
      <c r="BM29" s="364"/>
      <c r="BN29" s="364"/>
      <c r="BO29" s="364"/>
      <c r="BP29" s="364"/>
      <c r="BQ29" s="364"/>
      <c r="BR29" s="364"/>
      <c r="BS29" s="364"/>
      <c r="BT29" s="364"/>
      <c r="BU29" s="364"/>
      <c r="BV29" s="364"/>
      <c r="BW29" s="364"/>
      <c r="BX29" s="364"/>
      <c r="BY29" s="364"/>
      <c r="BZ29" s="364"/>
      <c r="CA29" s="364"/>
      <c r="CB29" s="364"/>
      <c r="CC29" s="364"/>
      <c r="CD29" s="364"/>
      <c r="CE29" s="364"/>
      <c r="CF29" s="364"/>
      <c r="CG29" s="364"/>
      <c r="CH29" s="364"/>
      <c r="CI29" s="364"/>
      <c r="CJ29" s="364"/>
      <c r="CK29" s="364"/>
      <c r="CL29" s="364"/>
      <c r="CM29" s="364"/>
      <c r="CN29" s="364"/>
      <c r="CO29" s="364"/>
      <c r="CP29" s="364"/>
      <c r="CQ29" s="364"/>
      <c r="CR29" s="364"/>
      <c r="CS29" s="364"/>
      <c r="CT29" s="364"/>
      <c r="CU29" s="364"/>
      <c r="CV29" s="364"/>
      <c r="CW29" s="364"/>
      <c r="CX29" s="364"/>
      <c r="CY29" s="364"/>
      <c r="CZ29" s="364"/>
      <c r="DA29" s="364"/>
      <c r="DB29" s="364"/>
      <c r="DC29" s="364"/>
      <c r="DD29" s="364"/>
      <c r="DE29" s="364"/>
      <c r="DF29" s="364"/>
      <c r="DG29" s="364"/>
      <c r="DH29" s="364"/>
      <c r="DI29" s="364"/>
      <c r="DJ29" s="364"/>
      <c r="DK29" s="364"/>
      <c r="DL29" s="364"/>
      <c r="DM29" s="364"/>
      <c r="DN29" s="364"/>
      <c r="DO29" s="364"/>
      <c r="DP29" s="364"/>
      <c r="DQ29" s="1718"/>
      <c r="DR29" s="1718"/>
      <c r="DS29" s="1718"/>
      <c r="DT29" s="1718"/>
      <c r="DU29" s="1718"/>
      <c r="DV29" s="1718"/>
      <c r="DW29" s="1718"/>
      <c r="DX29" s="1718"/>
      <c r="DY29" s="1718"/>
      <c r="DZ29" s="1718"/>
      <c r="EA29" s="1718"/>
      <c r="EB29" s="364"/>
      <c r="EC29" s="234"/>
      <c r="EL29" s="1717"/>
      <c r="EM29" s="1716"/>
    </row>
    <row r="30" spans="2:143" s="236" customFormat="1" ht="14.25" customHeight="1">
      <c r="B30" s="235"/>
      <c r="T30" s="364"/>
      <c r="U30" s="1719"/>
      <c r="V30" s="1720"/>
      <c r="W30" s="1720"/>
      <c r="X30" s="1720"/>
      <c r="Y30" s="1720"/>
      <c r="Z30" s="1507"/>
      <c r="AA30" s="1507"/>
      <c r="AB30" s="1507"/>
      <c r="AC30" s="1507"/>
      <c r="AD30" s="1507"/>
      <c r="AE30" s="1507"/>
      <c r="AF30" s="1507"/>
      <c r="AG30" s="1507"/>
      <c r="AH30" s="1507"/>
      <c r="AI30" s="1507"/>
      <c r="AJ30" s="1507"/>
      <c r="AK30" s="1507"/>
      <c r="AL30" s="364"/>
      <c r="AO30" s="364"/>
      <c r="AP30" s="364"/>
      <c r="AQ30" s="364"/>
      <c r="AS30" s="364"/>
      <c r="AT30" s="364"/>
      <c r="AU30" s="364"/>
      <c r="AV30" s="364"/>
      <c r="AW30" s="364"/>
      <c r="AX30" s="364"/>
      <c r="AY30" s="364"/>
      <c r="AZ30" s="364"/>
      <c r="BA30" s="364"/>
      <c r="BB30" s="364"/>
      <c r="BC30" s="364"/>
      <c r="BD30" s="364"/>
      <c r="BE30" s="364"/>
      <c r="BF30" s="364"/>
      <c r="BG30" s="364"/>
      <c r="BH30" s="364"/>
      <c r="BI30" s="364"/>
      <c r="BJ30" s="364"/>
      <c r="BK30" s="364"/>
      <c r="BL30" s="364"/>
      <c r="BM30" s="364"/>
      <c r="BN30" s="364"/>
      <c r="BO30" s="364"/>
      <c r="BP30" s="364"/>
      <c r="BQ30" s="364"/>
      <c r="BR30" s="364"/>
      <c r="BS30" s="364"/>
      <c r="BT30" s="364"/>
      <c r="BU30" s="364"/>
      <c r="BV30" s="364"/>
      <c r="BW30" s="364"/>
      <c r="BX30" s="364"/>
      <c r="BY30" s="364"/>
      <c r="BZ30" s="364"/>
      <c r="CA30" s="364"/>
      <c r="CB30" s="364"/>
      <c r="CC30" s="364"/>
      <c r="CD30" s="364"/>
      <c r="CE30" s="364"/>
      <c r="CF30" s="364"/>
      <c r="CG30" s="364"/>
      <c r="CH30" s="364"/>
      <c r="CI30" s="364"/>
      <c r="CJ30" s="364"/>
      <c r="CK30" s="364"/>
      <c r="CL30" s="364"/>
      <c r="CM30" s="364"/>
      <c r="CN30" s="364"/>
      <c r="CO30" s="364"/>
      <c r="CP30" s="364"/>
      <c r="CQ30" s="364"/>
      <c r="CR30" s="364"/>
      <c r="CS30" s="364"/>
      <c r="CT30" s="364"/>
      <c r="CU30" s="364"/>
      <c r="CV30" s="364"/>
      <c r="CW30" s="364"/>
      <c r="CX30" s="364"/>
      <c r="CY30" s="364"/>
      <c r="CZ30" s="364"/>
      <c r="DA30" s="364"/>
      <c r="DB30" s="364"/>
      <c r="DC30" s="364"/>
      <c r="DD30" s="364"/>
      <c r="DE30" s="364"/>
      <c r="DF30" s="364"/>
      <c r="DG30" s="364"/>
      <c r="DH30" s="364"/>
      <c r="DI30" s="364"/>
      <c r="DJ30" s="364"/>
      <c r="DK30" s="364"/>
      <c r="DL30" s="364"/>
      <c r="DM30" s="364"/>
      <c r="DN30" s="364"/>
      <c r="DO30" s="364"/>
      <c r="DP30" s="364"/>
      <c r="DQ30" s="364"/>
      <c r="DR30" s="364"/>
      <c r="DS30" s="364"/>
      <c r="DT30" s="364"/>
      <c r="DU30" s="364"/>
      <c r="DV30" s="364"/>
      <c r="DW30" s="364"/>
      <c r="DX30" s="364"/>
      <c r="DY30" s="364"/>
      <c r="DZ30" s="364"/>
      <c r="EA30" s="364"/>
      <c r="EB30" s="364"/>
      <c r="EC30" s="234"/>
      <c r="EL30" s="1717"/>
    </row>
    <row r="31" spans="2:143" s="236" customFormat="1" ht="14.25" customHeight="1">
      <c r="B31" s="235"/>
      <c r="T31" s="364"/>
      <c r="U31" s="1719"/>
      <c r="V31" s="1720"/>
      <c r="W31" s="1720"/>
      <c r="X31" s="1720"/>
      <c r="Y31" s="1720"/>
      <c r="Z31" s="1507"/>
      <c r="AA31" s="1507"/>
      <c r="AB31" s="1507"/>
      <c r="AC31" s="1507"/>
      <c r="AD31" s="1507"/>
      <c r="AE31" s="1507"/>
      <c r="AF31" s="1507"/>
      <c r="AG31" s="1507"/>
      <c r="AH31" s="1507"/>
      <c r="AI31" s="1507"/>
      <c r="AJ31" s="1507"/>
      <c r="AK31" s="1507"/>
      <c r="AL31" s="364"/>
      <c r="AO31" s="364"/>
      <c r="AP31" s="364"/>
      <c r="AQ31" s="364"/>
      <c r="AS31" s="364"/>
      <c r="AT31" s="364"/>
      <c r="AU31" s="364"/>
      <c r="AV31" s="364"/>
      <c r="AW31" s="364"/>
      <c r="AX31" s="364"/>
      <c r="AY31" s="364"/>
      <c r="AZ31" s="364"/>
      <c r="BA31" s="364"/>
      <c r="BB31" s="364"/>
      <c r="BC31" s="364"/>
      <c r="BD31" s="364"/>
      <c r="BE31" s="364"/>
      <c r="BF31" s="364"/>
      <c r="BG31" s="364"/>
      <c r="BH31" s="364"/>
      <c r="BI31" s="364"/>
      <c r="BJ31" s="364"/>
      <c r="BK31" s="364"/>
      <c r="BL31" s="364"/>
      <c r="BM31" s="364"/>
      <c r="BN31" s="364"/>
      <c r="BO31" s="364"/>
      <c r="BP31" s="364"/>
      <c r="BQ31" s="364"/>
      <c r="BR31" s="364"/>
      <c r="BS31" s="364"/>
      <c r="BT31" s="364"/>
      <c r="BU31" s="364"/>
      <c r="BV31" s="364"/>
      <c r="BW31" s="364"/>
      <c r="BX31" s="364"/>
      <c r="BY31" s="364"/>
      <c r="BZ31" s="364"/>
      <c r="CA31" s="364"/>
      <c r="CB31" s="364"/>
      <c r="CC31" s="364"/>
      <c r="CD31" s="364"/>
      <c r="CE31" s="364"/>
      <c r="CF31" s="364"/>
      <c r="CG31" s="364"/>
      <c r="CH31" s="364"/>
      <c r="CI31" s="364"/>
      <c r="CJ31" s="364"/>
      <c r="CK31" s="364"/>
      <c r="CL31" s="364"/>
      <c r="CM31" s="364"/>
      <c r="CN31" s="364"/>
      <c r="CO31" s="364"/>
      <c r="CP31" s="364"/>
      <c r="CQ31" s="364"/>
      <c r="CR31" s="364"/>
      <c r="CS31" s="364"/>
      <c r="CT31" s="364"/>
      <c r="CU31" s="364"/>
      <c r="CV31" s="364"/>
      <c r="CW31" s="364"/>
      <c r="CX31" s="364"/>
      <c r="CY31" s="364"/>
      <c r="CZ31" s="364"/>
      <c r="DA31" s="364"/>
      <c r="DB31" s="364"/>
      <c r="DC31" s="364"/>
      <c r="DD31" s="364"/>
      <c r="DE31" s="364"/>
      <c r="DF31" s="364"/>
      <c r="DG31" s="364"/>
      <c r="DH31" s="364"/>
      <c r="DI31" s="364"/>
      <c r="DJ31" s="364"/>
      <c r="DK31" s="364"/>
      <c r="DL31" s="364"/>
      <c r="DM31" s="364"/>
      <c r="DN31" s="364"/>
      <c r="DO31" s="364"/>
      <c r="DP31" s="364"/>
      <c r="DQ31" s="364"/>
      <c r="DR31" s="364"/>
      <c r="DS31" s="364"/>
      <c r="DT31" s="364"/>
      <c r="DU31" s="364"/>
      <c r="DV31" s="364"/>
      <c r="DW31" s="364"/>
      <c r="DX31" s="1721"/>
      <c r="DY31" s="1721"/>
      <c r="DZ31" s="1721"/>
      <c r="EA31" s="366"/>
      <c r="EB31" s="366"/>
      <c r="EC31" s="234"/>
      <c r="EL31" s="1717"/>
    </row>
    <row r="32" spans="2:143" s="236" customFormat="1" ht="14.25" customHeight="1">
      <c r="B32" s="235"/>
      <c r="T32" s="364"/>
      <c r="U32" s="237"/>
      <c r="V32" s="1721" t="s">
        <v>150</v>
      </c>
      <c r="W32" s="1721"/>
      <c r="X32" s="1721"/>
      <c r="Y32" s="1721"/>
      <c r="Z32" s="1721"/>
      <c r="AA32" s="364"/>
      <c r="AB32" s="364"/>
      <c r="AC32" s="364"/>
      <c r="AD32" s="364"/>
      <c r="AE32" s="364"/>
      <c r="AF32" s="364"/>
      <c r="AG32" s="364"/>
      <c r="AH32" s="364"/>
      <c r="AI32" s="364"/>
      <c r="AJ32" s="364"/>
      <c r="AK32" s="364"/>
      <c r="AL32" s="364"/>
      <c r="AO32" s="364"/>
      <c r="AP32" s="364"/>
      <c r="AS32" s="364"/>
      <c r="AT32" s="364"/>
      <c r="AU32" s="364"/>
      <c r="AV32" s="364"/>
      <c r="AW32" s="364"/>
      <c r="AX32" s="364"/>
      <c r="AY32" s="364"/>
      <c r="AZ32" s="364"/>
      <c r="BA32" s="364"/>
      <c r="BB32" s="364"/>
      <c r="BC32" s="364"/>
      <c r="BD32" s="364"/>
      <c r="BE32" s="364"/>
      <c r="BF32" s="364"/>
      <c r="BG32" s="364"/>
      <c r="BH32" s="364"/>
      <c r="BI32" s="364"/>
      <c r="BJ32" s="364"/>
      <c r="BK32" s="364"/>
      <c r="BL32" s="364"/>
      <c r="BM32" s="364"/>
      <c r="BN32" s="364"/>
      <c r="BO32" s="364"/>
      <c r="BP32" s="364"/>
      <c r="BR32" s="364"/>
      <c r="BS32" s="364"/>
      <c r="BT32" s="364"/>
      <c r="BU32" s="364"/>
      <c r="BV32" s="364"/>
      <c r="BW32" s="364"/>
      <c r="BX32" s="364"/>
      <c r="BY32" s="364"/>
      <c r="BZ32" s="364"/>
      <c r="CA32" s="364"/>
      <c r="CB32" s="364"/>
      <c r="CC32" s="364"/>
      <c r="CD32" s="364"/>
      <c r="CE32" s="364"/>
      <c r="CF32" s="364"/>
      <c r="CG32" s="364"/>
      <c r="CH32" s="364"/>
      <c r="CI32" s="364"/>
      <c r="CJ32" s="364"/>
      <c r="CK32" s="364"/>
      <c r="CL32" s="364"/>
      <c r="CM32" s="364"/>
      <c r="CN32" s="364"/>
      <c r="CO32" s="364"/>
      <c r="CP32" s="364"/>
      <c r="CQ32" s="364"/>
      <c r="CR32" s="364"/>
      <c r="CS32" s="364"/>
      <c r="CT32" s="364"/>
      <c r="CU32" s="364"/>
      <c r="CV32" s="364"/>
      <c r="CW32" s="364"/>
      <c r="CX32" s="364"/>
      <c r="CY32" s="364"/>
      <c r="CZ32" s="364"/>
      <c r="DA32" s="364"/>
      <c r="DB32" s="364"/>
      <c r="DC32" s="364"/>
      <c r="DD32" s="364"/>
      <c r="DE32" s="364"/>
      <c r="DF32" s="364"/>
      <c r="DG32" s="364"/>
      <c r="DH32" s="364"/>
      <c r="DI32" s="364"/>
      <c r="DJ32" s="364"/>
      <c r="DK32" s="364"/>
      <c r="DL32" s="364"/>
      <c r="DM32" s="364"/>
      <c r="DN32" s="364"/>
      <c r="DO32" s="364"/>
      <c r="DP32" s="364"/>
      <c r="DQ32" s="364"/>
      <c r="DR32" s="364"/>
      <c r="DS32" s="364"/>
      <c r="DT32" s="364"/>
      <c r="DU32" s="364"/>
      <c r="DV32" s="364"/>
      <c r="DW32" s="364"/>
      <c r="DX32" s="1721"/>
      <c r="DY32" s="1721"/>
      <c r="DZ32" s="1721"/>
      <c r="EA32" s="366"/>
      <c r="EB32" s="366"/>
      <c r="EC32" s="234"/>
    </row>
    <row r="33" spans="2:142" s="221" customFormat="1" ht="14.25" customHeight="1">
      <c r="B33" s="222"/>
      <c r="T33" s="364"/>
      <c r="U33" s="237"/>
      <c r="V33" s="1721"/>
      <c r="W33" s="1721"/>
      <c r="X33" s="1721"/>
      <c r="Y33" s="1721"/>
      <c r="Z33" s="1721"/>
      <c r="AA33" s="364"/>
      <c r="AB33" s="364"/>
      <c r="AC33" s="364"/>
      <c r="AD33" s="364"/>
      <c r="AE33" s="364"/>
      <c r="AF33" s="364"/>
      <c r="AG33" s="364"/>
      <c r="AH33" s="364"/>
      <c r="AI33" s="364"/>
      <c r="AJ33" s="364"/>
      <c r="AK33" s="364"/>
      <c r="AL33" s="364"/>
      <c r="AO33" s="367"/>
      <c r="AP33" s="367"/>
      <c r="AR33" s="367"/>
      <c r="AS33" s="367"/>
      <c r="AT33" s="367"/>
      <c r="AU33" s="367"/>
      <c r="AV33" s="367"/>
      <c r="AW33" s="367"/>
      <c r="AX33" s="367"/>
      <c r="AY33" s="367"/>
      <c r="AZ33" s="367"/>
      <c r="BA33" s="367"/>
      <c r="BB33" s="367"/>
      <c r="BC33" s="367"/>
      <c r="BD33" s="367"/>
      <c r="BE33" s="367"/>
      <c r="BF33" s="367"/>
      <c r="BG33" s="367"/>
      <c r="BH33" s="367"/>
      <c r="BI33" s="367"/>
      <c r="BJ33" s="367"/>
      <c r="BK33" s="367"/>
      <c r="BL33" s="367"/>
      <c r="BM33" s="364"/>
      <c r="BN33" s="364"/>
      <c r="BO33" s="364"/>
      <c r="BP33" s="364"/>
      <c r="BQ33" s="364"/>
      <c r="BR33" s="364"/>
      <c r="BS33" s="364"/>
      <c r="BT33" s="364"/>
      <c r="BU33" s="367"/>
      <c r="BV33" s="367"/>
      <c r="BW33" s="367"/>
      <c r="BX33" s="364"/>
      <c r="BY33" s="364"/>
      <c r="BZ33" s="364"/>
      <c r="CA33" s="364"/>
      <c r="CB33" s="364"/>
      <c r="CC33" s="364"/>
      <c r="CD33" s="364"/>
      <c r="CE33" s="364"/>
      <c r="CF33" s="364"/>
      <c r="CG33" s="364"/>
      <c r="CH33" s="364"/>
      <c r="CI33" s="364"/>
      <c r="CJ33" s="364"/>
      <c r="CK33" s="364"/>
      <c r="CL33" s="364"/>
      <c r="CM33" s="364"/>
      <c r="CN33" s="364"/>
      <c r="CO33" s="364"/>
      <c r="CP33" s="364"/>
      <c r="CQ33" s="364"/>
      <c r="CR33" s="364"/>
      <c r="CS33" s="364"/>
      <c r="CT33" s="364"/>
      <c r="CU33" s="364"/>
      <c r="CV33" s="364"/>
      <c r="CW33" s="364"/>
      <c r="CX33" s="364"/>
      <c r="CY33" s="364"/>
      <c r="CZ33" s="364"/>
      <c r="DA33" s="364"/>
      <c r="DB33" s="364"/>
      <c r="DC33" s="364"/>
      <c r="DD33" s="364"/>
      <c r="DE33" s="364"/>
      <c r="DF33" s="364"/>
      <c r="DG33" s="364"/>
      <c r="DH33" s="364"/>
      <c r="DI33" s="364"/>
      <c r="DJ33" s="364"/>
      <c r="DK33" s="367"/>
      <c r="DL33" s="367"/>
      <c r="DM33" s="367"/>
      <c r="DN33" s="367"/>
      <c r="DO33" s="367"/>
      <c r="DP33" s="367"/>
      <c r="DQ33" s="367"/>
      <c r="DR33" s="364"/>
      <c r="DS33" s="364"/>
      <c r="DT33" s="364"/>
      <c r="DU33" s="364"/>
      <c r="DV33" s="364"/>
      <c r="DW33" s="364"/>
      <c r="DX33" s="364"/>
      <c r="DY33" s="364"/>
      <c r="DZ33" s="367"/>
      <c r="EA33" s="367"/>
      <c r="EB33" s="364"/>
      <c r="EC33" s="234"/>
      <c r="ED33" s="238"/>
      <c r="EE33" s="238"/>
      <c r="EF33" s="238"/>
      <c r="EG33" s="238"/>
      <c r="EH33" s="238"/>
      <c r="EI33" s="238"/>
      <c r="EJ33" s="238"/>
      <c r="EK33" s="238"/>
      <c r="EL33" s="238"/>
    </row>
    <row r="34" spans="2:142" s="221" customFormat="1" ht="14.25" customHeight="1">
      <c r="B34" s="222"/>
      <c r="T34" s="364"/>
      <c r="U34" s="239"/>
      <c r="V34" s="368"/>
      <c r="W34" s="364"/>
      <c r="X34" s="364"/>
      <c r="Y34" s="364"/>
      <c r="Z34" s="364"/>
      <c r="AA34" s="364"/>
      <c r="AB34" s="364"/>
      <c r="AC34" s="364"/>
      <c r="AD34" s="364"/>
      <c r="AE34" s="364"/>
      <c r="AF34" s="364"/>
      <c r="AG34" s="364"/>
      <c r="AH34" s="364"/>
      <c r="AI34" s="364"/>
      <c r="AJ34" s="364"/>
      <c r="AK34" s="364"/>
      <c r="AL34" s="364"/>
      <c r="AO34" s="368"/>
      <c r="AP34" s="368"/>
      <c r="AR34" s="368"/>
      <c r="AS34" s="368"/>
      <c r="AT34" s="368"/>
      <c r="AU34" s="368"/>
      <c r="AV34" s="368"/>
      <c r="AW34" s="368"/>
      <c r="AX34" s="368"/>
      <c r="AY34" s="368"/>
      <c r="AZ34" s="368"/>
      <c r="BA34" s="368"/>
      <c r="BB34" s="368"/>
      <c r="BC34" s="368"/>
      <c r="BD34" s="368"/>
      <c r="BE34" s="368"/>
      <c r="BF34" s="368"/>
      <c r="BG34" s="368"/>
      <c r="BH34" s="368"/>
      <c r="BI34" s="368"/>
      <c r="BJ34" s="368"/>
      <c r="BK34" s="368"/>
      <c r="BL34" s="368"/>
      <c r="BM34" s="368"/>
      <c r="BN34" s="368"/>
      <c r="BO34" s="368"/>
      <c r="BP34" s="368"/>
      <c r="BQ34" s="368"/>
      <c r="BR34" s="368"/>
      <c r="BS34" s="368"/>
      <c r="BT34" s="368"/>
      <c r="BU34" s="368"/>
      <c r="BV34" s="368"/>
      <c r="BW34" s="1728"/>
      <c r="BX34" s="1728"/>
      <c r="BY34" s="1728"/>
      <c r="BZ34" s="1728"/>
      <c r="CA34" s="1728"/>
      <c r="CB34" s="369"/>
      <c r="CC34" s="368"/>
      <c r="CD34" s="368"/>
      <c r="CE34" s="368"/>
      <c r="CF34" s="368"/>
      <c r="CG34" s="368"/>
      <c r="CH34" s="368"/>
      <c r="CI34" s="368"/>
      <c r="CJ34" s="368"/>
      <c r="CK34" s="368"/>
      <c r="CL34" s="368"/>
      <c r="CM34" s="368"/>
      <c r="CN34" s="368"/>
      <c r="CO34" s="368"/>
      <c r="CP34" s="368"/>
      <c r="CQ34" s="368"/>
      <c r="CR34" s="368"/>
      <c r="CS34" s="368"/>
      <c r="CT34" s="368"/>
      <c r="CU34" s="368"/>
      <c r="CV34" s="368"/>
      <c r="CW34" s="368"/>
      <c r="CX34" s="368"/>
      <c r="CY34" s="368"/>
      <c r="CZ34" s="368"/>
      <c r="DA34" s="368"/>
      <c r="DB34" s="368"/>
      <c r="DC34" s="368"/>
      <c r="DD34" s="368"/>
      <c r="DE34" s="368"/>
      <c r="DF34" s="368"/>
      <c r="DG34" s="368"/>
      <c r="DH34" s="368"/>
      <c r="DI34" s="368"/>
      <c r="DJ34" s="368"/>
      <c r="DK34" s="368"/>
      <c r="DL34" s="368"/>
      <c r="DM34" s="368"/>
      <c r="DN34" s="368"/>
      <c r="DO34" s="368"/>
      <c r="DP34" s="368"/>
      <c r="DQ34" s="368"/>
      <c r="DR34" s="368"/>
      <c r="DS34" s="368"/>
      <c r="DT34" s="368"/>
      <c r="DU34" s="368"/>
      <c r="DV34" s="368"/>
      <c r="DW34" s="368"/>
      <c r="DX34" s="368"/>
      <c r="DY34" s="368"/>
      <c r="DZ34" s="368"/>
      <c r="EA34" s="368"/>
      <c r="EB34" s="1729"/>
      <c r="EC34" s="234"/>
      <c r="ED34" s="238"/>
      <c r="EE34" s="238"/>
      <c r="EF34" s="238"/>
      <c r="EG34" s="238"/>
      <c r="EH34" s="238"/>
      <c r="EI34" s="238"/>
      <c r="EJ34" s="238"/>
      <c r="EK34" s="238"/>
      <c r="EL34" s="238"/>
    </row>
    <row r="35" spans="2:142" s="221" customFormat="1" ht="14.25" customHeight="1">
      <c r="B35" s="222"/>
      <c r="U35" s="1730"/>
      <c r="V35" s="1731"/>
      <c r="W35" s="1731"/>
      <c r="X35" s="1731"/>
      <c r="Y35" s="1731"/>
      <c r="Z35" s="1731"/>
      <c r="AM35" s="370"/>
      <c r="AN35" s="370"/>
      <c r="AO35" s="371"/>
      <c r="AP35" s="371"/>
      <c r="AR35" s="368"/>
      <c r="AS35" s="368"/>
      <c r="AT35" s="368"/>
      <c r="AU35" s="368"/>
      <c r="AV35" s="368"/>
      <c r="AW35" s="368"/>
      <c r="AX35" s="368"/>
      <c r="AY35" s="368"/>
      <c r="AZ35" s="368"/>
      <c r="BA35" s="368"/>
      <c r="BB35" s="368"/>
      <c r="BC35" s="368"/>
      <c r="BD35" s="368"/>
      <c r="BE35" s="368"/>
      <c r="BF35" s="368"/>
      <c r="BG35" s="368"/>
      <c r="BH35" s="368"/>
      <c r="BI35" s="368"/>
      <c r="BJ35" s="368"/>
      <c r="BK35" s="368"/>
      <c r="BL35" s="368"/>
      <c r="BM35" s="368"/>
      <c r="BN35" s="368"/>
      <c r="BO35" s="368"/>
      <c r="BP35" s="368"/>
      <c r="BQ35" s="368"/>
      <c r="BR35" s="368"/>
      <c r="BS35" s="368"/>
      <c r="BT35" s="368"/>
      <c r="BU35" s="368"/>
      <c r="BV35" s="368"/>
      <c r="BW35" s="1728"/>
      <c r="BX35" s="1728"/>
      <c r="BY35" s="1728"/>
      <c r="BZ35" s="1728"/>
      <c r="CA35" s="1728"/>
      <c r="CD35" s="368"/>
      <c r="CE35" s="368"/>
      <c r="CF35" s="368"/>
      <c r="CG35" s="368"/>
      <c r="CH35" s="368"/>
      <c r="CI35" s="368"/>
      <c r="CJ35" s="368"/>
      <c r="CK35" s="368"/>
      <c r="CL35" s="368"/>
      <c r="CM35" s="368"/>
      <c r="CN35" s="368"/>
      <c r="CO35" s="368"/>
      <c r="CP35" s="368"/>
      <c r="CQ35" s="368"/>
      <c r="CR35" s="368"/>
      <c r="CS35" s="368"/>
      <c r="CT35" s="368"/>
      <c r="CU35" s="368"/>
      <c r="CV35" s="368"/>
      <c r="CW35" s="368"/>
      <c r="CX35" s="368"/>
      <c r="CY35" s="368"/>
      <c r="CZ35" s="368"/>
      <c r="DA35" s="368"/>
      <c r="DB35" s="368"/>
      <c r="DC35" s="368"/>
      <c r="DD35" s="368"/>
      <c r="DE35" s="368"/>
      <c r="DF35" s="368"/>
      <c r="DG35" s="368"/>
      <c r="DH35" s="368"/>
      <c r="DI35" s="368"/>
      <c r="DJ35" s="368"/>
      <c r="DK35" s="368"/>
      <c r="DL35" s="368"/>
      <c r="DM35" s="368"/>
      <c r="DN35" s="368"/>
      <c r="DO35" s="368"/>
      <c r="DP35" s="368"/>
      <c r="DQ35" s="368"/>
      <c r="DR35" s="368"/>
      <c r="DS35" s="368"/>
      <c r="DT35" s="368"/>
      <c r="DU35" s="368"/>
      <c r="DV35" s="368"/>
      <c r="DW35" s="368"/>
      <c r="DX35" s="368"/>
      <c r="DY35" s="368"/>
      <c r="DZ35" s="368"/>
      <c r="EA35" s="368"/>
      <c r="EB35" s="1729"/>
      <c r="EC35" s="234"/>
      <c r="ED35" s="238"/>
      <c r="EE35" s="238"/>
      <c r="EF35" s="238"/>
      <c r="EG35" s="238"/>
      <c r="EH35" s="240"/>
      <c r="EI35" s="238"/>
      <c r="EJ35" s="238"/>
      <c r="EK35" s="238"/>
      <c r="EL35" s="238"/>
    </row>
    <row r="36" spans="2:142" s="236" customFormat="1" ht="14.25" customHeight="1">
      <c r="B36" s="235"/>
      <c r="U36" s="1730"/>
      <c r="V36" s="1731"/>
      <c r="W36" s="1731"/>
      <c r="X36" s="1731"/>
      <c r="Y36" s="1731"/>
      <c r="Z36" s="1731"/>
      <c r="AA36" s="1512"/>
      <c r="AB36" s="1512"/>
      <c r="AC36" s="1512"/>
      <c r="AD36" s="1512"/>
      <c r="AE36" s="1512"/>
      <c r="AF36" s="1512"/>
      <c r="AG36" s="1512"/>
      <c r="AH36" s="1512"/>
      <c r="AI36" s="1512"/>
      <c r="AJ36" s="1512"/>
      <c r="AK36" s="1512"/>
      <c r="AM36" s="1511"/>
      <c r="AN36" s="1511"/>
      <c r="AO36" s="1511"/>
      <c r="AP36" s="1511"/>
      <c r="AR36" s="364"/>
      <c r="AS36" s="364"/>
      <c r="AT36" s="364"/>
      <c r="AU36" s="364"/>
      <c r="AV36" s="364"/>
      <c r="AW36" s="364"/>
      <c r="AX36" s="364"/>
      <c r="AY36" s="364"/>
      <c r="AZ36" s="364"/>
      <c r="BA36" s="364"/>
      <c r="BB36" s="364"/>
      <c r="BC36" s="364"/>
      <c r="BD36" s="364"/>
      <c r="BE36" s="364"/>
      <c r="BF36" s="364"/>
      <c r="BG36" s="364"/>
      <c r="BH36" s="364"/>
      <c r="BI36" s="364"/>
      <c r="BJ36" s="364"/>
      <c r="BK36" s="364"/>
      <c r="BL36" s="364"/>
      <c r="BM36" s="364"/>
      <c r="BN36" s="364"/>
      <c r="BO36" s="364"/>
      <c r="BP36" s="364"/>
      <c r="BQ36" s="364"/>
      <c r="BR36" s="364"/>
      <c r="BS36" s="364"/>
      <c r="BT36" s="364"/>
      <c r="BU36" s="364"/>
      <c r="BV36" s="364"/>
      <c r="BW36" s="364"/>
      <c r="BX36" s="364"/>
      <c r="BY36" s="364"/>
      <c r="CD36" s="364"/>
      <c r="CF36" s="364"/>
      <c r="CG36" s="364"/>
      <c r="CH36" s="364"/>
      <c r="CI36" s="364"/>
      <c r="CJ36" s="364"/>
      <c r="CK36" s="364"/>
      <c r="CL36" s="364"/>
      <c r="CM36" s="364"/>
      <c r="CN36" s="372"/>
      <c r="CO36" s="364"/>
      <c r="CP36" s="364"/>
      <c r="CQ36" s="364"/>
      <c r="CR36" s="364"/>
      <c r="CS36" s="364"/>
      <c r="CT36" s="364"/>
      <c r="CU36" s="364"/>
      <c r="CV36" s="364"/>
      <c r="CW36" s="364"/>
      <c r="CX36" s="364"/>
      <c r="CY36" s="364"/>
      <c r="CZ36" s="364"/>
      <c r="DA36" s="364"/>
      <c r="DB36" s="364"/>
      <c r="DC36" s="364"/>
      <c r="DD36" s="364"/>
      <c r="DE36" s="364"/>
      <c r="DF36" s="364"/>
      <c r="DG36" s="364"/>
      <c r="DH36" s="364"/>
      <c r="DI36" s="364"/>
      <c r="DJ36" s="364"/>
      <c r="DK36" s="364"/>
      <c r="DL36" s="364"/>
      <c r="DM36" s="364"/>
      <c r="DN36" s="364"/>
      <c r="DO36" s="364"/>
      <c r="DP36" s="364"/>
      <c r="DQ36" s="364"/>
      <c r="DR36" s="364"/>
      <c r="DS36" s="364"/>
      <c r="DT36" s="364"/>
      <c r="DU36" s="364"/>
      <c r="DV36" s="364"/>
      <c r="DW36" s="364"/>
      <c r="DX36" s="364"/>
      <c r="DY36" s="364"/>
      <c r="DZ36" s="364"/>
      <c r="EA36" s="364"/>
      <c r="EB36" s="1729"/>
      <c r="EC36" s="234"/>
      <c r="ED36" s="241"/>
      <c r="EE36" s="241"/>
      <c r="EF36" s="241"/>
      <c r="EG36" s="241"/>
      <c r="EH36" s="241"/>
      <c r="EI36" s="241"/>
      <c r="EJ36" s="241"/>
      <c r="EK36" s="241"/>
      <c r="EL36" s="241"/>
    </row>
    <row r="37" spans="2:142" s="236" customFormat="1" ht="14.25" customHeight="1">
      <c r="B37" s="235"/>
      <c r="U37" s="1730"/>
      <c r="V37" s="1731"/>
      <c r="W37" s="1731"/>
      <c r="X37" s="1731"/>
      <c r="Y37" s="1731"/>
      <c r="Z37" s="1731"/>
      <c r="AA37" s="1512"/>
      <c r="AB37" s="1512"/>
      <c r="AC37" s="1512"/>
      <c r="AD37" s="1512"/>
      <c r="AE37" s="1512"/>
      <c r="AF37" s="1512"/>
      <c r="AG37" s="1512"/>
      <c r="AH37" s="1512"/>
      <c r="AI37" s="1512"/>
      <c r="AJ37" s="1512"/>
      <c r="AK37" s="1512"/>
      <c r="AM37" s="1511"/>
      <c r="AN37" s="1511"/>
      <c r="AO37" s="1511"/>
      <c r="AP37" s="1511"/>
      <c r="AR37" s="364"/>
      <c r="AS37" s="364"/>
      <c r="AT37" s="364"/>
      <c r="AU37" s="364"/>
      <c r="AV37" s="364"/>
      <c r="AW37" s="364"/>
      <c r="AX37" s="364"/>
      <c r="AY37" s="364"/>
      <c r="AZ37" s="364"/>
      <c r="BA37" s="364"/>
      <c r="BB37" s="364"/>
      <c r="BC37" s="364"/>
      <c r="BD37" s="364"/>
      <c r="BE37" s="364"/>
      <c r="BF37" s="364"/>
      <c r="BG37" s="364"/>
      <c r="BH37" s="364"/>
      <c r="BI37" s="364"/>
      <c r="BJ37" s="364"/>
      <c r="BK37" s="364"/>
      <c r="BL37" s="364"/>
      <c r="BM37" s="364"/>
      <c r="BN37" s="364"/>
      <c r="BO37" s="364"/>
      <c r="BP37" s="364"/>
      <c r="BQ37" s="364"/>
      <c r="BR37" s="364"/>
      <c r="BS37" s="364"/>
      <c r="BT37" s="1728"/>
      <c r="BU37" s="1728"/>
      <c r="BV37" s="1728"/>
      <c r="BW37" s="1728"/>
      <c r="BX37" s="1728"/>
      <c r="BY37" s="364"/>
      <c r="BZ37" s="364"/>
      <c r="CA37" s="364"/>
      <c r="CD37" s="373"/>
      <c r="CE37" s="373"/>
      <c r="CG37" s="374"/>
      <c r="CH37" s="374"/>
      <c r="CI37" s="1515"/>
      <c r="CJ37" s="1515"/>
      <c r="CK37" s="1515"/>
      <c r="CL37" s="1515"/>
      <c r="CM37" s="1515"/>
      <c r="CN37" s="1515"/>
      <c r="CO37" s="1515"/>
      <c r="CP37" s="1515"/>
      <c r="CQ37" s="1515"/>
      <c r="CR37" s="1515"/>
      <c r="CS37" s="1515"/>
      <c r="CT37" s="1515"/>
      <c r="CU37" s="1515"/>
      <c r="CV37" s="1515"/>
      <c r="CW37" s="1515"/>
      <c r="CX37" s="1515"/>
      <c r="CY37" s="1515"/>
      <c r="CZ37" s="1515"/>
      <c r="DA37" s="1515"/>
      <c r="DB37" s="1515"/>
      <c r="DC37" s="1515"/>
      <c r="DD37" s="1515"/>
      <c r="DE37" s="1515"/>
      <c r="DF37" s="1515"/>
      <c r="DG37" s="1515"/>
      <c r="DH37" s="1515"/>
      <c r="DI37" s="1515"/>
      <c r="DJ37" s="1515"/>
      <c r="DK37" s="1515"/>
      <c r="DL37" s="1515"/>
      <c r="DM37" s="1515"/>
      <c r="DN37" s="1515"/>
      <c r="DO37" s="1515"/>
      <c r="DP37" s="1515"/>
      <c r="DQ37" s="1515"/>
      <c r="DR37" s="1732"/>
      <c r="DS37" s="1732"/>
      <c r="DT37" s="1732"/>
      <c r="DU37" s="1732"/>
      <c r="DV37" s="1732"/>
      <c r="DW37" s="1732"/>
      <c r="DX37" s="1732"/>
      <c r="DY37" s="1732"/>
      <c r="DZ37" s="1732"/>
      <c r="EA37" s="1732"/>
      <c r="EB37" s="1729"/>
      <c r="EC37" s="234"/>
      <c r="ED37" s="241"/>
      <c r="EE37" s="241"/>
      <c r="EF37" s="241"/>
      <c r="EG37" s="241"/>
      <c r="EH37" s="241"/>
      <c r="EI37" s="241"/>
      <c r="EJ37" s="241"/>
      <c r="EK37" s="241"/>
      <c r="EL37" s="241"/>
    </row>
    <row r="38" spans="2:142" s="236" customFormat="1" ht="14.25" customHeight="1">
      <c r="B38" s="235"/>
      <c r="U38" s="1733"/>
      <c r="V38" s="1734"/>
      <c r="W38" s="1734"/>
      <c r="X38" s="1734"/>
      <c r="Y38" s="1734"/>
      <c r="Z38" s="1508"/>
      <c r="AA38" s="1508"/>
      <c r="AB38" s="1508"/>
      <c r="AC38" s="1508"/>
      <c r="AD38" s="1508"/>
      <c r="AE38" s="1508"/>
      <c r="AF38" s="1508"/>
      <c r="AG38" s="1508"/>
      <c r="AH38" s="1508"/>
      <c r="AI38" s="1508"/>
      <c r="AJ38" s="1508"/>
      <c r="AK38" s="1508"/>
      <c r="AP38" s="364"/>
      <c r="AU38" s="364"/>
      <c r="AV38" s="364"/>
      <c r="AW38" s="364"/>
      <c r="AX38" s="364"/>
      <c r="AY38" s="364"/>
      <c r="AZ38" s="364"/>
      <c r="BA38" s="364"/>
      <c r="BB38" s="364"/>
      <c r="BC38" s="364"/>
      <c r="BD38" s="364"/>
      <c r="BE38" s="364"/>
      <c r="BF38" s="364"/>
      <c r="BG38" s="364"/>
      <c r="BH38" s="364"/>
      <c r="BI38" s="364"/>
      <c r="BJ38" s="364"/>
      <c r="BK38" s="364"/>
      <c r="BL38" s="364"/>
      <c r="BM38" s="364"/>
      <c r="BN38" s="364"/>
      <c r="BO38" s="364"/>
      <c r="BP38" s="364"/>
      <c r="BQ38" s="364"/>
      <c r="BR38" s="364"/>
      <c r="BS38" s="375"/>
      <c r="BT38" s="1728"/>
      <c r="BU38" s="1728"/>
      <c r="BV38" s="1728"/>
      <c r="BW38" s="1728"/>
      <c r="BX38" s="1728"/>
      <c r="BY38" s="364"/>
      <c r="BZ38" s="364"/>
      <c r="CA38" s="364"/>
      <c r="CD38" s="373"/>
      <c r="CE38" s="373"/>
      <c r="CG38" s="376"/>
      <c r="CI38" s="1735"/>
      <c r="CJ38" s="1735"/>
      <c r="CK38" s="1509"/>
      <c r="CL38" s="1509"/>
      <c r="CM38" s="1509"/>
      <c r="CN38" s="1509"/>
      <c r="CO38" s="1509"/>
      <c r="CP38" s="1509"/>
      <c r="CQ38" s="1509"/>
      <c r="CR38" s="1509"/>
      <c r="CS38" s="1509"/>
      <c r="CT38" s="1509"/>
      <c r="CU38" s="1509"/>
      <c r="CV38" s="1509"/>
      <c r="CW38" s="1509"/>
      <c r="CX38" s="1515"/>
      <c r="CY38" s="1515"/>
      <c r="CZ38" s="1515"/>
      <c r="DA38" s="1515"/>
      <c r="DB38" s="1515"/>
      <c r="DC38" s="1515"/>
      <c r="DD38" s="1515"/>
      <c r="DE38" s="1515"/>
      <c r="DF38" s="1515"/>
      <c r="DG38" s="1515"/>
      <c r="DH38" s="1515"/>
      <c r="DI38" s="1515"/>
      <c r="DJ38" s="1515"/>
      <c r="DK38" s="1515"/>
      <c r="DL38" s="1515"/>
      <c r="DM38" s="1515"/>
      <c r="DN38" s="1515"/>
      <c r="DO38" s="1515"/>
      <c r="DP38" s="1515"/>
      <c r="DQ38" s="1515"/>
      <c r="DR38" s="1515"/>
      <c r="DS38" s="1515"/>
      <c r="DT38" s="1515"/>
      <c r="DU38" s="1515"/>
      <c r="DV38" s="1515"/>
      <c r="DW38" s="1515"/>
      <c r="DX38" s="1515"/>
      <c r="DY38" s="1515"/>
      <c r="EB38" s="1729"/>
      <c r="EC38" s="234"/>
      <c r="ED38" s="241"/>
      <c r="EE38" s="241"/>
      <c r="EF38" s="241"/>
      <c r="EG38" s="241"/>
      <c r="EH38" s="241"/>
      <c r="EI38" s="241"/>
      <c r="EJ38" s="241"/>
      <c r="EK38" s="241"/>
      <c r="EL38" s="241"/>
    </row>
    <row r="39" spans="2:142" s="236" customFormat="1" ht="14.25" customHeight="1">
      <c r="B39" s="235"/>
      <c r="U39" s="1733"/>
      <c r="V39" s="1734"/>
      <c r="W39" s="1734"/>
      <c r="X39" s="1734"/>
      <c r="Y39" s="1734"/>
      <c r="Z39" s="1508"/>
      <c r="AA39" s="1508"/>
      <c r="AB39" s="1508"/>
      <c r="AC39" s="1508"/>
      <c r="AD39" s="1508"/>
      <c r="AE39" s="1508"/>
      <c r="AF39" s="1508"/>
      <c r="AG39" s="1508"/>
      <c r="AH39" s="1508"/>
      <c r="AI39" s="1508"/>
      <c r="AJ39" s="1508"/>
      <c r="AK39" s="1508"/>
      <c r="AP39" s="364"/>
      <c r="AU39" s="364"/>
      <c r="AV39" s="364"/>
      <c r="AW39" s="364"/>
      <c r="AX39" s="364"/>
      <c r="AY39" s="364"/>
      <c r="AZ39" s="364"/>
      <c r="BC39" s="364"/>
      <c r="BE39" s="364"/>
      <c r="BG39" s="1737"/>
      <c r="BH39" s="364"/>
      <c r="BI39" s="364"/>
      <c r="BJ39" s="364"/>
      <c r="BK39" s="364"/>
      <c r="BL39" s="364"/>
      <c r="BM39" s="364"/>
      <c r="BN39" s="364"/>
      <c r="BO39" s="364"/>
      <c r="BP39" s="364"/>
      <c r="BQ39" s="364"/>
      <c r="BR39" s="364"/>
      <c r="BS39" s="364"/>
      <c r="BT39" s="364"/>
      <c r="BU39" s="364"/>
      <c r="BV39" s="367"/>
      <c r="BW39" s="367"/>
      <c r="BX39" s="364"/>
      <c r="BY39" s="364"/>
      <c r="BZ39" s="377"/>
      <c r="CA39" s="1739"/>
      <c r="CB39" s="1739"/>
      <c r="CD39" s="373"/>
      <c r="CE39" s="373"/>
      <c r="CG39" s="376"/>
      <c r="CI39" s="1735"/>
      <c r="CJ39" s="1735"/>
      <c r="CK39" s="1509"/>
      <c r="CL39" s="1509"/>
      <c r="CM39" s="1509"/>
      <c r="CN39" s="1509"/>
      <c r="CO39" s="1509"/>
      <c r="CP39" s="1509"/>
      <c r="CQ39" s="1509"/>
      <c r="CR39" s="1509"/>
      <c r="CS39" s="1509"/>
      <c r="CT39" s="1509"/>
      <c r="CU39" s="1509"/>
      <c r="CV39" s="1509"/>
      <c r="CW39" s="1509"/>
      <c r="CX39" s="1515"/>
      <c r="CY39" s="1515"/>
      <c r="CZ39" s="1515"/>
      <c r="DA39" s="1515"/>
      <c r="DB39" s="1515"/>
      <c r="DC39" s="1515"/>
      <c r="DD39" s="1515"/>
      <c r="DE39" s="1515"/>
      <c r="DF39" s="1515"/>
      <c r="DG39" s="1515"/>
      <c r="DH39" s="1515"/>
      <c r="DI39" s="1515"/>
      <c r="DJ39" s="1515"/>
      <c r="DK39" s="1515"/>
      <c r="DL39" s="1515"/>
      <c r="DM39" s="367"/>
      <c r="DN39" s="1515"/>
      <c r="DO39" s="1515"/>
      <c r="DP39" s="1515"/>
      <c r="DQ39" s="1515"/>
      <c r="DR39" s="1515"/>
      <c r="DS39" s="1515"/>
      <c r="DT39" s="1515"/>
      <c r="DU39" s="1515"/>
      <c r="DV39" s="1515"/>
      <c r="DW39" s="1515"/>
      <c r="DX39" s="1515"/>
      <c r="DY39" s="1515"/>
      <c r="EB39" s="1729"/>
      <c r="EC39" s="234"/>
      <c r="ED39" s="241"/>
      <c r="EE39" s="241"/>
      <c r="EF39" s="241"/>
      <c r="EG39" s="241"/>
      <c r="EH39" s="241"/>
      <c r="EI39" s="241"/>
      <c r="EJ39" s="241"/>
      <c r="EK39" s="241"/>
      <c r="EL39" s="241"/>
    </row>
    <row r="40" spans="2:142" s="236" customFormat="1" ht="14.25" customHeight="1">
      <c r="B40" s="235"/>
      <c r="T40" s="1513"/>
      <c r="U40" s="237"/>
      <c r="V40" s="364"/>
      <c r="W40" s="1513"/>
      <c r="X40" s="1513"/>
      <c r="Y40" s="1513"/>
      <c r="Z40" s="1513"/>
      <c r="AA40" s="1513"/>
      <c r="AB40" s="1513"/>
      <c r="AC40" s="1513"/>
      <c r="AD40" s="1513"/>
      <c r="AE40" s="1513"/>
      <c r="AF40" s="1513"/>
      <c r="AG40" s="1513"/>
      <c r="AH40" s="1513"/>
      <c r="AI40" s="1513"/>
      <c r="AJ40" s="1513"/>
      <c r="AK40" s="1513"/>
      <c r="AL40" s="1513"/>
      <c r="AO40" s="364"/>
      <c r="AQ40" s="364"/>
      <c r="AS40" s="364"/>
      <c r="AT40" s="364"/>
      <c r="AU40" s="364"/>
      <c r="AV40" s="364"/>
      <c r="AW40" s="364"/>
      <c r="AX40" s="364"/>
      <c r="AY40" s="364"/>
      <c r="AZ40" s="364"/>
      <c r="BB40" s="364"/>
      <c r="BC40" s="364"/>
      <c r="BD40" s="364"/>
      <c r="BE40" s="364"/>
      <c r="BF40" s="364"/>
      <c r="BG40" s="1737"/>
      <c r="BH40" s="364"/>
      <c r="BI40" s="364"/>
      <c r="BJ40" s="364"/>
      <c r="BK40" s="364"/>
      <c r="BL40" s="364"/>
      <c r="BN40" s="364"/>
      <c r="BO40" s="364"/>
      <c r="BZ40" s="364"/>
      <c r="CA40" s="1739"/>
      <c r="CB40" s="1739"/>
      <c r="CD40" s="373"/>
      <c r="CE40" s="373"/>
      <c r="CG40" s="376"/>
      <c r="CI40" s="1735"/>
      <c r="CJ40" s="1735"/>
      <c r="CK40" s="1509"/>
      <c r="CL40" s="1509"/>
      <c r="CM40" s="1509"/>
      <c r="CN40" s="1509"/>
      <c r="CO40" s="1509"/>
      <c r="CP40" s="1509"/>
      <c r="CQ40" s="1509"/>
      <c r="CR40" s="1509"/>
      <c r="CS40" s="1509"/>
      <c r="CT40" s="1509"/>
      <c r="CU40" s="1509"/>
      <c r="CV40" s="1509"/>
      <c r="CW40" s="1509"/>
      <c r="CX40" s="1515"/>
      <c r="CY40" s="1515"/>
      <c r="CZ40" s="1515"/>
      <c r="DA40" s="1515"/>
      <c r="DB40" s="1515"/>
      <c r="DC40" s="1515"/>
      <c r="DD40" s="1515"/>
      <c r="DE40" s="1515"/>
      <c r="DF40" s="1515"/>
      <c r="DG40" s="1515"/>
      <c r="DH40" s="1515"/>
      <c r="DI40" s="1515"/>
      <c r="DJ40" s="1515"/>
      <c r="DK40" s="1515"/>
      <c r="DL40" s="1515"/>
      <c r="DM40" s="1515"/>
      <c r="DN40" s="364"/>
      <c r="DO40" s="378"/>
      <c r="DP40" s="378"/>
      <c r="DQ40" s="378"/>
      <c r="DR40" s="378"/>
      <c r="DS40" s="379"/>
      <c r="DT40" s="379"/>
      <c r="DU40" s="379"/>
      <c r="DV40" s="379"/>
      <c r="DW40" s="379"/>
      <c r="DX40" s="379"/>
      <c r="DY40" s="379"/>
      <c r="DZ40" s="1515"/>
      <c r="EA40" s="1515"/>
      <c r="EB40" s="1729"/>
      <c r="EC40" s="234"/>
      <c r="ED40" s="241"/>
      <c r="EE40" s="241"/>
      <c r="EF40" s="241"/>
      <c r="EG40" s="241"/>
      <c r="EH40" s="241"/>
      <c r="EI40" s="241"/>
      <c r="EJ40" s="241"/>
      <c r="EK40" s="241"/>
      <c r="EL40" s="241"/>
    </row>
    <row r="41" spans="2:142" s="236" customFormat="1" ht="16.5" customHeight="1">
      <c r="B41" s="235"/>
      <c r="T41" s="1513"/>
      <c r="U41" s="237"/>
      <c r="V41" s="364"/>
      <c r="W41" s="1513"/>
      <c r="X41" s="1513"/>
      <c r="Y41" s="1513"/>
      <c r="Z41" s="1513"/>
      <c r="AA41" s="1513"/>
      <c r="AB41" s="1513"/>
      <c r="AC41" s="1513"/>
      <c r="AD41" s="1513"/>
      <c r="AE41" s="1513"/>
      <c r="AF41" s="1513"/>
      <c r="AG41" s="1513"/>
      <c r="AH41" s="1513"/>
      <c r="AI41" s="1513"/>
      <c r="AJ41" s="1513"/>
      <c r="AK41" s="1513"/>
      <c r="AL41" s="1722"/>
      <c r="AM41" s="1722"/>
      <c r="AN41" s="1722"/>
      <c r="AO41" s="1722"/>
      <c r="AP41" s="1722"/>
      <c r="AQ41" s="1722"/>
      <c r="AX41" s="364"/>
      <c r="AY41" s="364"/>
      <c r="AZ41" s="364"/>
      <c r="BB41" s="364"/>
      <c r="BC41" s="364"/>
      <c r="BD41" s="380"/>
      <c r="BE41" s="380"/>
      <c r="BF41" s="380"/>
      <c r="BG41" s="1737"/>
      <c r="BH41" s="364"/>
      <c r="BW41" s="1721" t="s">
        <v>151</v>
      </c>
      <c r="BX41" s="1721"/>
      <c r="BY41" s="1721"/>
      <c r="BZ41" s="1721"/>
      <c r="CA41" s="1739"/>
      <c r="CB41" s="1739"/>
      <c r="CD41" s="366"/>
      <c r="CE41" s="366"/>
      <c r="CF41" s="366"/>
      <c r="CG41" s="366"/>
      <c r="CH41" s="366"/>
      <c r="CI41" s="1735"/>
      <c r="CJ41" s="1735"/>
      <c r="CK41" s="1509"/>
      <c r="CL41" s="1509"/>
      <c r="CM41" s="1509"/>
      <c r="CN41" s="1509"/>
      <c r="CO41" s="1509"/>
      <c r="CP41" s="1509"/>
      <c r="CQ41" s="1509"/>
      <c r="CR41" s="1509"/>
      <c r="CS41" s="1509"/>
      <c r="CT41" s="1509"/>
      <c r="CU41" s="1509"/>
      <c r="CV41" s="1509"/>
      <c r="CW41" s="1509"/>
      <c r="DL41" s="1723" t="s">
        <v>152</v>
      </c>
      <c r="DM41" s="1723"/>
      <c r="DN41" s="1723"/>
      <c r="DO41" s="1723"/>
      <c r="DP41" s="378"/>
      <c r="DQ41" s="378"/>
      <c r="DR41" s="378"/>
      <c r="DS41" s="379"/>
      <c r="DT41" s="379"/>
      <c r="DU41" s="379"/>
      <c r="DV41" s="379"/>
      <c r="DW41" s="379"/>
      <c r="DX41" s="379"/>
      <c r="DY41" s="379"/>
      <c r="DZ41" s="1515"/>
      <c r="EA41" s="1515"/>
      <c r="EB41" s="1729"/>
      <c r="EC41" s="234"/>
      <c r="ED41" s="241"/>
      <c r="EE41" s="241"/>
      <c r="EF41" s="241"/>
      <c r="EG41" s="241"/>
      <c r="EH41" s="241"/>
      <c r="EI41" s="241"/>
      <c r="EJ41" s="241"/>
      <c r="EK41" s="241"/>
      <c r="EL41" s="241"/>
    </row>
    <row r="42" spans="2:142" s="243" customFormat="1" ht="14.25" customHeight="1">
      <c r="B42" s="242"/>
      <c r="T42" s="1513"/>
      <c r="U42" s="237"/>
      <c r="V42" s="381"/>
      <c r="W42" s="1513"/>
      <c r="X42" s="1513"/>
      <c r="Y42" s="1513"/>
      <c r="Z42" s="1513"/>
      <c r="AA42" s="1513"/>
      <c r="AB42" s="1513"/>
      <c r="AC42" s="1513"/>
      <c r="AD42" s="1513"/>
      <c r="AE42" s="1513"/>
      <c r="AF42" s="1513"/>
      <c r="AG42" s="1513"/>
      <c r="AH42" s="1513"/>
      <c r="AI42" s="1513"/>
      <c r="AJ42" s="1513"/>
      <c r="AK42" s="1513"/>
      <c r="AL42" s="1722"/>
      <c r="AM42" s="1722"/>
      <c r="AN42" s="1722"/>
      <c r="AO42" s="1722"/>
      <c r="AP42" s="1722"/>
      <c r="AQ42" s="1722"/>
      <c r="AW42" s="364"/>
      <c r="AX42" s="364"/>
      <c r="AY42" s="364"/>
      <c r="AZ42" s="364"/>
      <c r="BB42" s="364"/>
      <c r="BC42" s="364"/>
      <c r="BD42" s="380"/>
      <c r="BE42" s="380"/>
      <c r="BF42" s="380"/>
      <c r="BG42" s="1737"/>
      <c r="BH42" s="364"/>
      <c r="BI42" s="364"/>
      <c r="BJ42" s="364"/>
      <c r="BN42" s="364"/>
      <c r="BO42" s="364"/>
      <c r="BT42" s="380"/>
      <c r="BW42" s="1721"/>
      <c r="BX42" s="1721"/>
      <c r="BY42" s="1721"/>
      <c r="BZ42" s="1721"/>
      <c r="CA42" s="1739"/>
      <c r="CB42" s="1739"/>
      <c r="CC42" s="366"/>
      <c r="CD42" s="366"/>
      <c r="CE42" s="366"/>
      <c r="CF42" s="366"/>
      <c r="CG42" s="366"/>
      <c r="CH42" s="366"/>
      <c r="CI42" s="1735"/>
      <c r="CJ42" s="1735"/>
      <c r="CK42" s="1509"/>
      <c r="CL42" s="1509"/>
      <c r="CM42" s="1509"/>
      <c r="CN42" s="1509"/>
      <c r="CO42" s="1509"/>
      <c r="CP42" s="1509"/>
      <c r="CQ42" s="1509"/>
      <c r="CR42" s="1509"/>
      <c r="CS42" s="1509"/>
      <c r="CT42" s="1509"/>
      <c r="CU42" s="1509"/>
      <c r="CV42" s="1509"/>
      <c r="CW42" s="1509"/>
      <c r="DL42" s="1723"/>
      <c r="DM42" s="1723"/>
      <c r="DN42" s="1723"/>
      <c r="DO42" s="1723"/>
      <c r="DP42" s="366"/>
      <c r="DQ42" s="366"/>
      <c r="DR42" s="366"/>
      <c r="DS42" s="364"/>
      <c r="DT42" s="364"/>
      <c r="DU42" s="364"/>
      <c r="DV42" s="364"/>
      <c r="DW42" s="1724"/>
      <c r="DX42" s="1724"/>
      <c r="DY42" s="1724"/>
      <c r="DZ42" s="1724"/>
      <c r="EA42" s="364"/>
      <c r="EB42" s="1729"/>
      <c r="EC42" s="234"/>
      <c r="ED42" s="244"/>
      <c r="EE42" s="244"/>
      <c r="EF42" s="244"/>
      <c r="EG42" s="244"/>
      <c r="EH42" s="244"/>
      <c r="EI42" s="244"/>
      <c r="EK42" s="244"/>
      <c r="EL42" s="244"/>
    </row>
    <row r="43" spans="2:142" s="243" customFormat="1" ht="14.25" customHeight="1">
      <c r="B43" s="242"/>
      <c r="T43" s="1513"/>
      <c r="U43" s="237"/>
      <c r="V43" s="364"/>
      <c r="W43" s="1513"/>
      <c r="X43" s="1513"/>
      <c r="Y43" s="1513"/>
      <c r="Z43" s="1513"/>
      <c r="AA43" s="1513"/>
      <c r="AB43" s="1513"/>
      <c r="AC43" s="1513"/>
      <c r="AD43" s="1513"/>
      <c r="AE43" s="1513"/>
      <c r="AF43" s="1513"/>
      <c r="AG43" s="1513"/>
      <c r="AH43" s="1513"/>
      <c r="AI43" s="1513"/>
      <c r="AJ43" s="1513"/>
      <c r="AK43" s="1513"/>
      <c r="AL43" s="1513"/>
      <c r="AV43" s="364"/>
      <c r="AW43" s="364"/>
      <c r="AX43" s="364"/>
      <c r="AY43" s="364"/>
      <c r="AZ43" s="364"/>
      <c r="BB43" s="364"/>
      <c r="BC43" s="364"/>
      <c r="BD43" s="364"/>
      <c r="BE43" s="364"/>
      <c r="BG43" s="1737"/>
      <c r="BK43" s="364"/>
      <c r="BS43" s="364"/>
      <c r="BT43" s="364"/>
      <c r="BZ43" s="364"/>
      <c r="CA43" s="1739"/>
      <c r="CB43" s="1739"/>
      <c r="CC43" s="364"/>
      <c r="CD43" s="382"/>
      <c r="CE43" s="382"/>
      <c r="CF43" s="364"/>
      <c r="CG43" s="376"/>
      <c r="CI43" s="1735"/>
      <c r="CJ43" s="1735"/>
      <c r="CK43" s="1509"/>
      <c r="CL43" s="1509"/>
      <c r="CM43" s="1509"/>
      <c r="CN43" s="1509"/>
      <c r="CO43" s="1509"/>
      <c r="CP43" s="1509"/>
      <c r="CQ43" s="1509"/>
      <c r="CR43" s="1509"/>
      <c r="CS43" s="1509"/>
      <c r="CT43" s="1509"/>
      <c r="CU43" s="1509"/>
      <c r="CV43" s="1509"/>
      <c r="CW43" s="1509"/>
      <c r="CX43" s="380"/>
      <c r="CY43" s="380"/>
      <c r="CZ43" s="380"/>
      <c r="DA43" s="380"/>
      <c r="DB43" s="380"/>
      <c r="DC43" s="380"/>
      <c r="DD43" s="380"/>
      <c r="DE43" s="380"/>
      <c r="DF43" s="380"/>
      <c r="DG43" s="380"/>
      <c r="DH43" s="380"/>
      <c r="DI43" s="380"/>
      <c r="DJ43" s="380"/>
      <c r="DK43" s="380"/>
      <c r="DL43" s="364"/>
      <c r="DM43" s="366"/>
      <c r="DN43" s="366"/>
      <c r="DO43" s="366"/>
      <c r="DP43" s="366"/>
      <c r="DQ43" s="366"/>
      <c r="DR43" s="366"/>
      <c r="DW43" s="1724"/>
      <c r="DX43" s="1724"/>
      <c r="DY43" s="1724"/>
      <c r="DZ43" s="1724"/>
      <c r="EA43" s="364"/>
      <c r="EB43" s="1725"/>
      <c r="EC43" s="1726"/>
      <c r="ED43" s="244"/>
      <c r="EE43" s="244"/>
      <c r="EF43" s="244"/>
      <c r="EG43" s="244"/>
      <c r="EH43" s="244"/>
      <c r="EI43" s="244"/>
      <c r="EK43" s="244"/>
      <c r="EL43" s="244"/>
    </row>
    <row r="44" spans="2:142" s="243" customFormat="1" ht="16.5" customHeight="1">
      <c r="B44" s="242"/>
      <c r="T44" s="1513"/>
      <c r="U44" s="237"/>
      <c r="V44" s="364"/>
      <c r="W44" s="1513"/>
      <c r="X44" s="1513"/>
      <c r="Y44" s="1513"/>
      <c r="Z44" s="1513"/>
      <c r="AA44" s="1513"/>
      <c r="AB44" s="1513"/>
      <c r="AC44" s="1513"/>
      <c r="AD44" s="1513"/>
      <c r="AE44" s="1513"/>
      <c r="AF44" s="1513"/>
      <c r="AG44" s="1513"/>
      <c r="AH44" s="1513"/>
      <c r="AI44" s="1513"/>
      <c r="AJ44" s="1513"/>
      <c r="AK44" s="1513"/>
      <c r="AL44" s="1513"/>
      <c r="AW44" s="364"/>
      <c r="AX44" s="364"/>
      <c r="AY44" s="364"/>
      <c r="AZ44" s="364"/>
      <c r="BA44" s="364"/>
      <c r="BE44" s="364"/>
      <c r="BF44" s="364"/>
      <c r="BG44" s="1738"/>
      <c r="BH44" s="364"/>
      <c r="BI44" s="364"/>
      <c r="BJ44" s="1727"/>
      <c r="BK44" s="1727"/>
      <c r="BL44" s="245"/>
      <c r="BN44" s="246"/>
      <c r="BS44" s="364"/>
      <c r="BT44" s="381"/>
      <c r="BZ44" s="364"/>
      <c r="CA44" s="364"/>
      <c r="CB44" s="364"/>
      <c r="CC44" s="364"/>
      <c r="CD44" s="364"/>
      <c r="CG44" s="376"/>
      <c r="CI44" s="1736"/>
      <c r="CJ44" s="1736"/>
      <c r="CK44" s="1509"/>
      <c r="CL44" s="1509"/>
      <c r="CM44" s="1509"/>
      <c r="CN44" s="1509"/>
      <c r="CO44" s="1509"/>
      <c r="CP44" s="1509"/>
      <c r="CQ44" s="1509"/>
      <c r="CR44" s="1509"/>
      <c r="CS44" s="1509"/>
      <c r="CT44" s="1509"/>
      <c r="CU44" s="1509"/>
      <c r="CV44" s="1509"/>
      <c r="CW44" s="1509"/>
      <c r="CX44" s="364"/>
      <c r="CY44" s="364"/>
      <c r="CZ44" s="364"/>
      <c r="DA44" s="364"/>
      <c r="DB44" s="364"/>
      <c r="DC44" s="364"/>
      <c r="DD44" s="364"/>
      <c r="DE44" s="364"/>
      <c r="DF44" s="364"/>
      <c r="DG44" s="364"/>
      <c r="DH44" s="364"/>
      <c r="DI44" s="364"/>
      <c r="DJ44" s="364"/>
      <c r="DL44" s="364"/>
      <c r="DM44" s="364"/>
      <c r="DN44" s="364"/>
      <c r="DO44" s="364"/>
      <c r="DP44" s="364"/>
      <c r="DQ44" s="364"/>
      <c r="DR44" s="364"/>
      <c r="DS44" s="364"/>
      <c r="DT44" s="364"/>
      <c r="DU44" s="364"/>
      <c r="DV44" s="364"/>
      <c r="DW44" s="364"/>
      <c r="DX44" s="364"/>
      <c r="DY44" s="364"/>
      <c r="DZ44" s="364"/>
      <c r="EA44" s="364"/>
      <c r="EB44" s="1725"/>
      <c r="EC44" s="1726"/>
      <c r="ED44" s="244"/>
      <c r="EE44" s="244"/>
      <c r="EF44" s="244"/>
      <c r="EG44" s="244"/>
      <c r="EH44" s="244"/>
      <c r="EI44" s="244"/>
      <c r="EK44" s="244"/>
      <c r="EL44" s="244"/>
    </row>
    <row r="45" spans="2:142" s="243" customFormat="1" ht="10.5" customHeight="1">
      <c r="B45" s="242"/>
      <c r="T45" s="1513"/>
      <c r="U45" s="247"/>
      <c r="V45" s="248"/>
      <c r="W45" s="247"/>
      <c r="X45" s="248"/>
      <c r="Y45" s="247"/>
      <c r="Z45" s="248"/>
      <c r="AA45" s="247"/>
      <c r="AB45" s="248"/>
      <c r="AC45" s="247"/>
      <c r="AD45" s="248"/>
      <c r="AE45" s="247"/>
      <c r="AF45" s="248"/>
      <c r="AG45" s="247"/>
      <c r="AH45" s="248"/>
      <c r="AI45" s="247"/>
      <c r="AJ45" s="248"/>
      <c r="AK45" s="247"/>
      <c r="AL45" s="248"/>
      <c r="AM45" s="247"/>
      <c r="AN45" s="248"/>
      <c r="AO45" s="247"/>
      <c r="AP45" s="248"/>
      <c r="AQ45" s="247"/>
      <c r="AR45" s="248"/>
      <c r="AS45" s="247"/>
      <c r="AT45" s="248"/>
      <c r="AU45" s="247"/>
      <c r="AV45" s="248"/>
      <c r="AW45" s="247"/>
      <c r="AX45" s="248"/>
      <c r="AY45" s="247"/>
      <c r="AZ45" s="248"/>
      <c r="BA45" s="247"/>
      <c r="BB45" s="248"/>
      <c r="BC45" s="247"/>
      <c r="BD45" s="248"/>
      <c r="BE45" s="247"/>
      <c r="BF45" s="248"/>
      <c r="BG45" s="247"/>
      <c r="BH45" s="248"/>
      <c r="BI45" s="247"/>
      <c r="BJ45" s="248"/>
      <c r="BK45" s="247"/>
      <c r="BL45" s="248"/>
      <c r="BM45" s="247"/>
      <c r="BN45" s="248"/>
      <c r="BO45" s="247"/>
      <c r="BP45" s="248"/>
      <c r="BQ45" s="247"/>
      <c r="BR45" s="248"/>
      <c r="BS45" s="247"/>
      <c r="BT45" s="248"/>
      <c r="BU45" s="247"/>
      <c r="BV45" s="248"/>
      <c r="BW45" s="247"/>
      <c r="BX45" s="248"/>
      <c r="BY45" s="247"/>
      <c r="BZ45" s="248"/>
      <c r="CA45" s="247"/>
      <c r="CB45" s="248"/>
      <c r="CC45" s="247"/>
      <c r="CD45" s="248"/>
      <c r="CE45" s="247"/>
      <c r="CF45" s="248"/>
      <c r="CG45" s="247"/>
      <c r="CH45" s="248"/>
      <c r="CI45" s="247"/>
      <c r="CJ45" s="248"/>
      <c r="CK45" s="247"/>
      <c r="CL45" s="248"/>
      <c r="CM45" s="247"/>
      <c r="CN45" s="248"/>
      <c r="CO45" s="247"/>
      <c r="CP45" s="248"/>
      <c r="CQ45" s="247"/>
      <c r="CR45" s="248"/>
      <c r="CS45" s="247"/>
      <c r="CT45" s="248"/>
      <c r="CU45" s="247"/>
      <c r="CV45" s="248"/>
      <c r="CW45" s="247"/>
      <c r="CX45" s="248"/>
      <c r="CY45" s="247"/>
      <c r="CZ45" s="248"/>
      <c r="DA45" s="247"/>
      <c r="DB45" s="248"/>
      <c r="DC45" s="247"/>
      <c r="DD45" s="248"/>
      <c r="DE45" s="247"/>
      <c r="DF45" s="248"/>
      <c r="DG45" s="247"/>
      <c r="DH45" s="248"/>
      <c r="DI45" s="247"/>
      <c r="DJ45" s="248"/>
      <c r="DK45" s="247"/>
      <c r="DL45" s="248"/>
      <c r="DM45" s="247"/>
      <c r="DN45" s="248"/>
      <c r="DO45" s="247"/>
      <c r="DP45" s="249"/>
      <c r="DQ45" s="250"/>
      <c r="DR45" s="383"/>
      <c r="DS45" s="383"/>
      <c r="DT45" s="383"/>
      <c r="DU45" s="383"/>
      <c r="DV45" s="383"/>
      <c r="DW45" s="383"/>
      <c r="DX45" s="383"/>
      <c r="DY45" s="383"/>
      <c r="DZ45" s="383"/>
      <c r="EA45" s="383"/>
      <c r="EB45" s="1725"/>
      <c r="EC45" s="1726"/>
      <c r="ED45" s="244"/>
      <c r="EE45" s="244"/>
      <c r="EF45" s="244"/>
      <c r="EG45" s="244"/>
      <c r="EH45" s="244"/>
      <c r="EI45" s="244"/>
      <c r="EK45" s="244"/>
      <c r="EL45" s="244"/>
    </row>
    <row r="46" spans="2:142" s="243" customFormat="1" ht="21.75" customHeight="1">
      <c r="B46" s="242"/>
      <c r="S46" s="1740" t="s">
        <v>153</v>
      </c>
      <c r="T46" s="1741"/>
      <c r="U46" s="429"/>
      <c r="V46" s="424"/>
      <c r="W46" s="1517"/>
      <c r="X46" s="1517"/>
      <c r="Y46" s="1517"/>
      <c r="Z46" s="1517"/>
      <c r="AA46" s="1517"/>
      <c r="AB46" s="1517"/>
      <c r="AC46" s="1517"/>
      <c r="AD46" s="1517"/>
      <c r="AE46" s="1517"/>
      <c r="AF46" s="1517"/>
      <c r="AG46" s="1517"/>
      <c r="AH46" s="1517"/>
      <c r="AI46" s="1517"/>
      <c r="AJ46" s="1517"/>
      <c r="AK46" s="1517"/>
      <c r="AL46" s="1517"/>
      <c r="AU46" s="1742"/>
      <c r="AV46" s="380"/>
      <c r="AW46" s="384"/>
      <c r="AY46" s="375"/>
      <c r="AZ46" s="385"/>
      <c r="BB46" s="386"/>
      <c r="BC46" s="386"/>
      <c r="BD46" s="386"/>
      <c r="BE46" s="387"/>
      <c r="BF46" s="375"/>
      <c r="BG46" s="375"/>
      <c r="BH46" s="375"/>
      <c r="BK46" s="380"/>
      <c r="BN46" s="375"/>
      <c r="BT46" s="388"/>
      <c r="BU46" s="388"/>
      <c r="BV46" s="388"/>
      <c r="BX46" s="1743"/>
      <c r="BY46" s="1743"/>
      <c r="BZ46" s="1743"/>
      <c r="CE46" s="1744"/>
      <c r="CF46" s="389"/>
      <c r="CG46" s="389"/>
      <c r="CH46" s="381"/>
      <c r="CI46" s="390" t="s">
        <v>67</v>
      </c>
      <c r="CJ46" s="375"/>
      <c r="CK46" s="375"/>
      <c r="CL46" s="375"/>
      <c r="CM46" s="375"/>
      <c r="CN46" s="375"/>
      <c r="CO46" s="375"/>
      <c r="CP46" s="375"/>
      <c r="CQ46" s="375"/>
      <c r="CR46" s="375"/>
      <c r="CS46" s="375"/>
      <c r="CT46" s="375"/>
      <c r="CU46" s="375"/>
      <c r="CV46" s="375"/>
      <c r="CW46" s="375"/>
      <c r="DL46" s="380"/>
      <c r="DM46" s="380"/>
      <c r="DN46" s="380"/>
      <c r="DO46" s="381"/>
      <c r="DP46" s="381"/>
      <c r="DQ46" s="1746" t="s">
        <v>154</v>
      </c>
      <c r="DR46" s="1747"/>
      <c r="DS46" s="391"/>
      <c r="DT46" s="392"/>
      <c r="DU46" s="392"/>
      <c r="DV46" s="392"/>
      <c r="DW46" s="392"/>
      <c r="DX46" s="392"/>
      <c r="DY46" s="392"/>
      <c r="DZ46" s="392"/>
      <c r="EA46" s="393"/>
      <c r="EB46" s="1725"/>
      <c r="EC46" s="1726"/>
      <c r="ED46" s="244"/>
      <c r="EE46" s="244"/>
      <c r="EF46" s="244"/>
      <c r="EG46" s="244"/>
      <c r="EH46" s="244"/>
      <c r="EI46" s="244"/>
      <c r="EK46" s="244"/>
      <c r="EL46" s="244"/>
    </row>
    <row r="47" spans="2:142" s="243" customFormat="1" ht="21.75" customHeight="1">
      <c r="B47" s="242"/>
      <c r="S47" s="1740"/>
      <c r="T47" s="1741"/>
      <c r="U47" s="425"/>
      <c r="V47" s="426"/>
      <c r="W47" s="1517"/>
      <c r="X47" s="1517"/>
      <c r="Y47" s="375" t="s">
        <v>155</v>
      </c>
      <c r="Z47" s="1517"/>
      <c r="AA47" s="1517"/>
      <c r="AB47" s="1517"/>
      <c r="AC47" s="1517"/>
      <c r="AD47" s="1517"/>
      <c r="AE47" s="1517"/>
      <c r="AF47" s="1517"/>
      <c r="AG47" s="1517"/>
      <c r="AH47" s="1517"/>
      <c r="AI47" s="1517"/>
      <c r="AJ47" s="1517"/>
      <c r="AK47" s="1517"/>
      <c r="AL47" s="1517"/>
      <c r="AU47" s="1716"/>
      <c r="AV47" s="380"/>
      <c r="AW47" s="394"/>
      <c r="AX47" s="1748"/>
      <c r="AY47" s="375"/>
      <c r="AZ47" s="1749"/>
      <c r="BC47" s="386"/>
      <c r="BD47" s="386"/>
      <c r="BE47" s="387"/>
      <c r="BF47" s="375"/>
      <c r="BG47" s="375"/>
      <c r="BH47" s="375"/>
      <c r="BJ47" s="1750"/>
      <c r="BK47" s="380"/>
      <c r="BN47" s="375"/>
      <c r="BO47" s="395"/>
      <c r="BP47" s="395"/>
      <c r="BQ47" s="373"/>
      <c r="BR47" s="396"/>
      <c r="BW47" s="363" t="s">
        <v>156</v>
      </c>
      <c r="BX47" s="397"/>
      <c r="BY47" s="397"/>
      <c r="BZ47" s="397"/>
      <c r="CA47" s="1510"/>
      <c r="CB47" s="1510"/>
      <c r="CC47" s="366"/>
      <c r="CE47" s="1745"/>
      <c r="CF47" s="389"/>
      <c r="CG47" s="389"/>
      <c r="CH47" s="394"/>
      <c r="CI47" s="394"/>
      <c r="CX47" s="396"/>
      <c r="CY47" s="375" t="s">
        <v>157</v>
      </c>
      <c r="CZ47" s="396"/>
      <c r="DA47" s="396"/>
      <c r="DB47" s="396"/>
      <c r="DC47" s="396"/>
      <c r="DD47" s="396"/>
      <c r="DE47" s="396"/>
      <c r="DF47" s="396"/>
      <c r="DG47" s="396"/>
      <c r="DH47" s="396"/>
      <c r="DI47" s="396"/>
      <c r="DJ47" s="396"/>
      <c r="DK47" s="395"/>
      <c r="DM47" s="380"/>
      <c r="DN47" s="380"/>
      <c r="DQ47" s="1746"/>
      <c r="DR47" s="1747"/>
      <c r="DS47" s="391"/>
      <c r="DT47" s="398"/>
      <c r="DU47" s="398"/>
      <c r="DV47" s="398"/>
      <c r="DW47" s="398"/>
      <c r="DX47" s="398"/>
      <c r="DY47" s="398"/>
      <c r="DZ47" s="398"/>
      <c r="EA47" s="393"/>
      <c r="EB47" s="1757"/>
      <c r="EC47" s="1758"/>
      <c r="ED47" s="244"/>
      <c r="EE47" s="244"/>
      <c r="EF47" s="244"/>
      <c r="EG47" s="244"/>
      <c r="EH47" s="244"/>
      <c r="EI47" s="244"/>
      <c r="EK47" s="244"/>
      <c r="EL47" s="244"/>
    </row>
    <row r="48" spans="2:142" s="236" customFormat="1" ht="36.6" customHeight="1">
      <c r="B48" s="235"/>
      <c r="S48" s="1740"/>
      <c r="T48" s="1741"/>
      <c r="U48" s="425"/>
      <c r="V48" s="426"/>
      <c r="W48" s="1517"/>
      <c r="X48" s="1517"/>
      <c r="Y48" s="1517"/>
      <c r="Z48" s="1517"/>
      <c r="AA48" s="1517"/>
      <c r="AB48" s="1517"/>
      <c r="AC48" s="1517"/>
      <c r="AD48" s="1517"/>
      <c r="AE48" s="1517"/>
      <c r="AF48" s="1517"/>
      <c r="AG48" s="1517"/>
      <c r="AH48" s="1517"/>
      <c r="AI48" s="1517"/>
      <c r="AJ48" s="1517"/>
      <c r="AK48" s="1517"/>
      <c r="AL48" s="1517"/>
      <c r="AU48" s="1716"/>
      <c r="AV48" s="380"/>
      <c r="AW48" s="394"/>
      <c r="AX48" s="1748"/>
      <c r="AY48" s="380"/>
      <c r="AZ48" s="1749"/>
      <c r="BC48" s="399"/>
      <c r="BD48" s="399"/>
      <c r="BF48" s="399"/>
      <c r="BH48" s="399"/>
      <c r="BJ48" s="1750"/>
      <c r="BK48" s="1519"/>
      <c r="BL48" s="400"/>
      <c r="BN48" s="380"/>
      <c r="BO48" s="395"/>
      <c r="BP48" s="395"/>
      <c r="BQ48" s="373"/>
      <c r="BR48" s="396"/>
      <c r="BT48" s="401"/>
      <c r="BU48" s="380"/>
      <c r="BV48" s="375"/>
      <c r="BX48" s="402"/>
      <c r="BY48" s="366"/>
      <c r="BZ48" s="366"/>
      <c r="CA48" s="366"/>
      <c r="CB48" s="366"/>
      <c r="CC48" s="366"/>
      <c r="CE48" s="1745"/>
      <c r="CF48" s="389"/>
      <c r="CG48" s="376"/>
      <c r="CH48" s="394"/>
      <c r="CI48" s="394"/>
      <c r="CX48" s="396"/>
      <c r="CY48" s="396"/>
      <c r="CZ48" s="396"/>
      <c r="DA48" s="396"/>
      <c r="DB48" s="396"/>
      <c r="DC48" s="396"/>
      <c r="DD48" s="396"/>
      <c r="DE48" s="396"/>
      <c r="DF48" s="396"/>
      <c r="DG48" s="396"/>
      <c r="DH48" s="396"/>
      <c r="DI48" s="396"/>
      <c r="DJ48" s="396"/>
      <c r="DK48" s="395"/>
      <c r="DL48" s="403"/>
      <c r="DM48" s="375"/>
      <c r="DN48" s="375"/>
      <c r="DQ48" s="1746"/>
      <c r="DR48" s="1747"/>
      <c r="DS48" s="391"/>
      <c r="DT48" s="404"/>
      <c r="DU48" s="404"/>
      <c r="DV48" s="404"/>
      <c r="DW48" s="404"/>
      <c r="DX48" s="404"/>
      <c r="DY48" s="404"/>
      <c r="DZ48" s="1759"/>
      <c r="EA48" s="393"/>
      <c r="EB48" s="1757"/>
      <c r="EC48" s="1758"/>
      <c r="ED48" s="241"/>
      <c r="EE48" s="241"/>
      <c r="EF48" s="241"/>
      <c r="EG48" s="241"/>
      <c r="EH48" s="241"/>
      <c r="EI48" s="241"/>
      <c r="EK48" s="244"/>
      <c r="EL48" s="244"/>
    </row>
    <row r="49" spans="2:142" s="221" customFormat="1" ht="45" customHeight="1">
      <c r="B49" s="222"/>
      <c r="S49" s="1740"/>
      <c r="T49" s="1741"/>
      <c r="U49" s="425"/>
      <c r="V49" s="426"/>
      <c r="W49" s="1515"/>
      <c r="X49" s="1515"/>
      <c r="Y49" s="1515"/>
      <c r="Z49" s="1515"/>
      <c r="AA49" s="1515"/>
      <c r="AB49" s="1515"/>
      <c r="AC49" s="1515"/>
      <c r="AD49" s="1515"/>
      <c r="AE49" s="1515"/>
      <c r="AF49" s="1515"/>
      <c r="AG49" s="1515"/>
      <c r="AH49" s="1515"/>
      <c r="AI49" s="1515"/>
      <c r="AJ49" s="1515"/>
      <c r="AK49" s="1515"/>
      <c r="AL49" s="1515"/>
      <c r="AU49" s="396"/>
      <c r="AW49" s="394"/>
      <c r="AX49" s="1748"/>
      <c r="AY49" s="380"/>
      <c r="AZ49" s="1749"/>
      <c r="BA49" s="380"/>
      <c r="BC49" s="380"/>
      <c r="BD49" s="380"/>
      <c r="BE49" s="380"/>
      <c r="BF49" s="380"/>
      <c r="BG49" s="380"/>
      <c r="BH49" s="380"/>
      <c r="BJ49" s="1750"/>
      <c r="BK49" s="380"/>
      <c r="BL49" s="400"/>
      <c r="BN49" s="380"/>
      <c r="BO49" s="395"/>
      <c r="BP49" s="395"/>
      <c r="BQ49" s="382"/>
      <c r="BR49" s="396"/>
      <c r="BT49" s="395"/>
      <c r="BU49" s="395"/>
      <c r="BV49" s="395"/>
      <c r="BW49" s="395"/>
      <c r="BX49" s="395"/>
      <c r="BY49" s="380"/>
      <c r="BZ49" s="380"/>
      <c r="CA49" s="380"/>
      <c r="CC49" s="395"/>
      <c r="CF49" s="405"/>
      <c r="CG49" s="405"/>
      <c r="CH49" s="394"/>
      <c r="CI49" s="394"/>
      <c r="CX49" s="396"/>
      <c r="CY49" s="396"/>
      <c r="CZ49" s="396"/>
      <c r="DA49" s="396"/>
      <c r="DB49" s="396"/>
      <c r="DC49" s="396"/>
      <c r="DD49" s="396"/>
      <c r="DE49" s="396"/>
      <c r="DF49" s="396"/>
      <c r="DG49" s="396"/>
      <c r="DH49" s="396"/>
      <c r="DI49" s="396"/>
      <c r="DJ49" s="396"/>
      <c r="DK49" s="395"/>
      <c r="DL49" s="380"/>
      <c r="DM49" s="380"/>
      <c r="DN49" s="380"/>
      <c r="DQ49" s="1746"/>
      <c r="DR49" s="1747"/>
      <c r="DS49" s="406"/>
      <c r="DT49" s="407"/>
      <c r="DU49" s="407"/>
      <c r="DV49" s="407"/>
      <c r="DW49" s="407"/>
      <c r="DX49" s="407"/>
      <c r="DY49" s="407"/>
      <c r="DZ49" s="1759"/>
      <c r="EA49" s="393"/>
      <c r="EB49" s="1757"/>
      <c r="EC49" s="1758"/>
      <c r="EK49" s="244"/>
      <c r="EL49" s="244"/>
    </row>
    <row r="50" spans="2:142" s="236" customFormat="1" ht="9.75" customHeight="1">
      <c r="B50" s="235"/>
      <c r="S50" s="1740"/>
      <c r="T50" s="1741"/>
      <c r="U50" s="425"/>
      <c r="V50" s="426"/>
      <c r="W50" s="1515"/>
      <c r="X50" s="1515"/>
      <c r="Y50" s="1515"/>
      <c r="Z50" s="1515"/>
      <c r="AA50" s="1515"/>
      <c r="AB50" s="1515"/>
      <c r="AC50" s="1515"/>
      <c r="AD50" s="1515"/>
      <c r="AE50" s="1515"/>
      <c r="AF50" s="1515"/>
      <c r="AG50" s="1515"/>
      <c r="AH50" s="1515"/>
      <c r="AI50" s="1515"/>
      <c r="AJ50" s="1515"/>
      <c r="AK50" s="1515"/>
      <c r="AL50" s="1515"/>
      <c r="AO50" s="364"/>
      <c r="AQ50" s="364"/>
      <c r="AR50" s="364"/>
      <c r="AS50" s="364"/>
      <c r="AT50" s="364"/>
      <c r="AU50" s="364"/>
      <c r="AW50" s="394"/>
      <c r="AX50" s="1748"/>
      <c r="AY50" s="364"/>
      <c r="AZ50" s="382"/>
      <c r="BA50" s="364"/>
      <c r="BB50" s="364"/>
      <c r="BC50" s="364"/>
      <c r="BD50" s="364"/>
      <c r="BE50" s="364"/>
      <c r="BF50" s="364"/>
      <c r="BG50" s="364"/>
      <c r="BH50" s="364"/>
      <c r="BI50" s="364"/>
      <c r="BJ50" s="364"/>
      <c r="BK50" s="364"/>
      <c r="BL50" s="364"/>
      <c r="BM50" s="364"/>
      <c r="BN50" s="364"/>
      <c r="BO50" s="364"/>
      <c r="BP50" s="364"/>
      <c r="BQ50" s="364"/>
      <c r="BR50" s="364"/>
      <c r="BS50" s="385"/>
      <c r="BT50" s="364"/>
      <c r="BU50" s="364"/>
      <c r="BV50" s="364"/>
      <c r="BW50" s="364"/>
      <c r="BX50" s="364"/>
      <c r="BY50" s="364"/>
      <c r="BZ50" s="364"/>
      <c r="CA50" s="364"/>
      <c r="CB50" s="408"/>
      <c r="CC50" s="364"/>
      <c r="CD50" s="364"/>
      <c r="CE50" s="364"/>
      <c r="CF50" s="364"/>
      <c r="CG50" s="364"/>
      <c r="CH50" s="364"/>
      <c r="CI50" s="364"/>
      <c r="CJ50" s="364"/>
      <c r="CK50" s="364"/>
      <c r="CL50" s="364"/>
      <c r="CM50" s="364"/>
      <c r="CN50" s="364"/>
      <c r="CO50" s="364"/>
      <c r="CP50" s="364"/>
      <c r="CQ50" s="364"/>
      <c r="CR50" s="364"/>
      <c r="CS50" s="364"/>
      <c r="CT50" s="364"/>
      <c r="CU50" s="364"/>
      <c r="CV50" s="364"/>
      <c r="CW50" s="364"/>
      <c r="CX50" s="364"/>
      <c r="CY50" s="364"/>
      <c r="CZ50" s="364"/>
      <c r="DA50" s="364"/>
      <c r="DB50" s="364"/>
      <c r="DC50" s="364"/>
      <c r="DD50" s="364"/>
      <c r="DE50" s="364"/>
      <c r="DF50" s="364"/>
      <c r="DG50" s="364"/>
      <c r="DH50" s="364"/>
      <c r="DI50" s="364"/>
      <c r="DJ50" s="364"/>
      <c r="DK50" s="364"/>
      <c r="DL50" s="364"/>
      <c r="DM50" s="364"/>
      <c r="DN50" s="364"/>
      <c r="DO50" s="364"/>
      <c r="DP50" s="364"/>
      <c r="DQ50" s="1746"/>
      <c r="DR50" s="1747"/>
      <c r="DS50" s="383"/>
      <c r="DT50" s="383"/>
      <c r="DU50" s="383"/>
      <c r="DV50" s="383"/>
      <c r="DW50" s="383"/>
      <c r="DX50" s="383"/>
      <c r="DY50" s="383"/>
      <c r="DZ50" s="383"/>
      <c r="EA50" s="393"/>
      <c r="EB50" s="364"/>
      <c r="EC50" s="234"/>
      <c r="EK50" s="244"/>
      <c r="EL50" s="244"/>
    </row>
    <row r="51" spans="2:142" s="236" customFormat="1" ht="8.25" customHeight="1">
      <c r="B51" s="235"/>
      <c r="S51" s="1740"/>
      <c r="T51" s="1741"/>
      <c r="U51" s="425"/>
      <c r="V51" s="426"/>
      <c r="W51" s="1515"/>
      <c r="X51" s="1515"/>
      <c r="Y51" s="1515"/>
      <c r="Z51" s="1515"/>
      <c r="AA51" s="1515"/>
      <c r="AB51" s="1515"/>
      <c r="AC51" s="1515"/>
      <c r="AD51" s="1515"/>
      <c r="AE51" s="1515"/>
      <c r="AF51" s="1515"/>
      <c r="AG51" s="1515"/>
      <c r="AH51" s="1515"/>
      <c r="AI51" s="1515"/>
      <c r="AJ51" s="1515"/>
      <c r="AK51" s="1515"/>
      <c r="AL51" s="1515"/>
      <c r="AO51" s="364"/>
      <c r="AQ51" s="364"/>
      <c r="AR51" s="364"/>
      <c r="AS51" s="364"/>
      <c r="AT51" s="364"/>
      <c r="AU51" s="364"/>
      <c r="AW51" s="394"/>
      <c r="AX51" s="1748"/>
      <c r="AY51" s="364"/>
      <c r="AZ51" s="382"/>
      <c r="BA51" s="364"/>
      <c r="BB51" s="364"/>
      <c r="BC51" s="364"/>
      <c r="BD51" s="364"/>
      <c r="BE51" s="364"/>
      <c r="BF51" s="1751"/>
      <c r="BG51" s="364"/>
      <c r="BI51" s="1751"/>
      <c r="BJ51" s="364"/>
      <c r="BK51" s="364"/>
      <c r="BL51" s="364"/>
      <c r="BM51" s="364"/>
      <c r="BN51" s="364"/>
      <c r="BO51" s="364"/>
      <c r="BP51" s="364"/>
      <c r="BQ51" s="364"/>
      <c r="BR51" s="364"/>
      <c r="BS51" s="385"/>
      <c r="BT51" s="364"/>
      <c r="BU51" s="364"/>
      <c r="BY51" s="364"/>
      <c r="BZ51" s="1751"/>
      <c r="CA51" s="1751"/>
      <c r="CB51" s="408"/>
      <c r="CC51" s="364"/>
      <c r="CD51" s="364"/>
      <c r="CE51" s="364"/>
      <c r="CF51" s="364"/>
      <c r="CG51" s="364"/>
      <c r="CH51" s="364"/>
      <c r="CI51" s="364"/>
      <c r="CJ51" s="364"/>
      <c r="CK51" s="364"/>
      <c r="CL51" s="364"/>
      <c r="CM51" s="364"/>
      <c r="CN51" s="364"/>
      <c r="CO51" s="364"/>
      <c r="CP51" s="364"/>
      <c r="CQ51" s="364"/>
      <c r="CR51" s="364"/>
      <c r="CS51" s="364"/>
      <c r="CT51" s="364"/>
      <c r="CU51" s="364"/>
      <c r="CV51" s="364"/>
      <c r="CW51" s="364"/>
      <c r="CX51" s="364"/>
      <c r="CY51" s="364"/>
      <c r="CZ51" s="364"/>
      <c r="DA51" s="364"/>
      <c r="DB51" s="364"/>
      <c r="DC51" s="364"/>
      <c r="DD51" s="364"/>
      <c r="DE51" s="364"/>
      <c r="DF51" s="364"/>
      <c r="DG51" s="364"/>
      <c r="DH51" s="364"/>
      <c r="DI51" s="364"/>
      <c r="DJ51" s="364"/>
      <c r="DK51" s="364"/>
      <c r="DL51" s="364"/>
      <c r="DM51" s="364"/>
      <c r="DN51" s="364"/>
      <c r="DO51" s="364"/>
      <c r="DP51" s="364"/>
      <c r="DQ51" s="1746"/>
      <c r="DR51" s="1747"/>
      <c r="DS51" s="383"/>
      <c r="DT51" s="383"/>
      <c r="DU51" s="383"/>
      <c r="DV51" s="383"/>
      <c r="DW51" s="383"/>
      <c r="DX51" s="383"/>
      <c r="DY51" s="383"/>
      <c r="DZ51" s="383"/>
      <c r="EA51" s="393"/>
      <c r="EB51" s="364"/>
      <c r="EC51" s="234"/>
      <c r="EK51" s="244"/>
      <c r="EL51" s="244"/>
    </row>
    <row r="52" spans="2:142" s="243" customFormat="1" ht="12.75" customHeight="1">
      <c r="B52" s="242"/>
      <c r="S52" s="1740"/>
      <c r="T52" s="1741"/>
      <c r="U52" s="425"/>
      <c r="V52" s="426"/>
      <c r="W52" s="1515"/>
      <c r="X52" s="1515"/>
      <c r="Y52" s="1515"/>
      <c r="Z52" s="1515"/>
      <c r="AA52" s="1515"/>
      <c r="AB52" s="1515"/>
      <c r="AC52" s="1515"/>
      <c r="AD52" s="1515"/>
      <c r="AE52" s="1515"/>
      <c r="AF52" s="1515"/>
      <c r="AG52" s="1515"/>
      <c r="AH52" s="1515"/>
      <c r="AI52" s="1515"/>
      <c r="AJ52" s="1515"/>
      <c r="AK52" s="1515"/>
      <c r="AL52" s="1515"/>
      <c r="AO52" s="409"/>
      <c r="AQ52" s="1754"/>
      <c r="AR52" s="399"/>
      <c r="AS52" s="399"/>
      <c r="AT52" s="1754"/>
      <c r="AU52" s="409"/>
      <c r="AW52" s="1754"/>
      <c r="AX52" s="1751"/>
      <c r="AY52" s="1751"/>
      <c r="BA52" s="409"/>
      <c r="BB52" s="399"/>
      <c r="BC52" s="399"/>
      <c r="BD52" s="409"/>
      <c r="BE52" s="409"/>
      <c r="BF52" s="1751"/>
      <c r="BG52" s="399"/>
      <c r="BI52" s="1751"/>
      <c r="BJ52" s="399"/>
      <c r="BK52" s="399"/>
      <c r="BL52" s="409"/>
      <c r="BM52" s="409"/>
      <c r="BN52" s="399"/>
      <c r="BO52" s="399"/>
      <c r="BP52" s="409"/>
      <c r="BQ52" s="409"/>
      <c r="BR52" s="1751"/>
      <c r="BS52" s="1751"/>
      <c r="BT52" s="409"/>
      <c r="BU52" s="399"/>
      <c r="BV52" s="385"/>
      <c r="BY52" s="399"/>
      <c r="BZ52" s="1751"/>
      <c r="CA52" s="1751"/>
      <c r="CB52" s="1752"/>
      <c r="CC52" s="1752"/>
      <c r="CD52" s="399"/>
      <c r="CE52" s="409"/>
      <c r="CF52" s="1754"/>
      <c r="CH52" s="1751"/>
      <c r="CI52" s="1751"/>
      <c r="CJ52" s="409"/>
      <c r="CK52" s="409"/>
      <c r="CL52" s="409"/>
      <c r="CM52" s="409"/>
      <c r="CN52" s="409"/>
      <c r="CO52" s="409"/>
      <c r="CP52" s="409"/>
      <c r="CQ52" s="409"/>
      <c r="CR52" s="409"/>
      <c r="CS52" s="409"/>
      <c r="CT52" s="409"/>
      <c r="CU52" s="409"/>
      <c r="CV52" s="409"/>
      <c r="CW52" s="409"/>
      <c r="CX52" s="1754"/>
      <c r="CY52" s="1514"/>
      <c r="CZ52" s="1514"/>
      <c r="DA52" s="1514"/>
      <c r="DB52" s="1514"/>
      <c r="DC52" s="1514"/>
      <c r="DD52" s="1514"/>
      <c r="DE52" s="1514"/>
      <c r="DF52" s="1514"/>
      <c r="DG52" s="1514"/>
      <c r="DH52" s="1514"/>
      <c r="DI52" s="1514"/>
      <c r="DJ52" s="1514"/>
      <c r="DK52" s="409"/>
      <c r="DL52" s="409"/>
      <c r="DM52" s="399"/>
      <c r="DN52" s="399"/>
      <c r="DO52" s="409"/>
      <c r="DP52" s="409"/>
      <c r="DQ52" s="1746"/>
      <c r="DR52" s="1747"/>
      <c r="DS52" s="404"/>
      <c r="DT52" s="404"/>
      <c r="DU52" s="404"/>
      <c r="DV52" s="404"/>
      <c r="DW52" s="404"/>
      <c r="DX52" s="404"/>
      <c r="DY52" s="404"/>
      <c r="DZ52" s="410"/>
      <c r="EA52" s="393"/>
      <c r="EB52" s="1729"/>
      <c r="EC52" s="1756"/>
      <c r="ED52" s="244"/>
      <c r="EE52" s="244"/>
      <c r="EF52" s="244"/>
      <c r="EG52" s="244"/>
      <c r="EH52" s="244"/>
      <c r="EI52" s="244"/>
      <c r="EJ52" s="244"/>
      <c r="EK52" s="244"/>
      <c r="EL52" s="244"/>
    </row>
    <row r="53" spans="2:142" s="236" customFormat="1" ht="9.75" customHeight="1">
      <c r="B53" s="235"/>
      <c r="S53" s="1740"/>
      <c r="T53" s="1741"/>
      <c r="U53" s="425"/>
      <c r="V53" s="426"/>
      <c r="W53" s="1515"/>
      <c r="X53" s="1515"/>
      <c r="Y53" s="1515"/>
      <c r="Z53" s="1515"/>
      <c r="AA53" s="1515"/>
      <c r="AB53" s="1515"/>
      <c r="AC53" s="1515"/>
      <c r="AD53" s="1515"/>
      <c r="AE53" s="1515"/>
      <c r="AF53" s="1515"/>
      <c r="AG53" s="1515"/>
      <c r="AH53" s="1515"/>
      <c r="AI53" s="1515"/>
      <c r="AJ53" s="1515"/>
      <c r="AK53" s="1515"/>
      <c r="AL53" s="1515"/>
      <c r="AO53" s="364"/>
      <c r="AQ53" s="1754"/>
      <c r="AR53" s="364"/>
      <c r="AS53" s="364"/>
      <c r="AT53" s="1754"/>
      <c r="AU53" s="364"/>
      <c r="AW53" s="1754"/>
      <c r="AX53" s="1751"/>
      <c r="AY53" s="1751"/>
      <c r="BA53" s="364"/>
      <c r="BB53" s="399"/>
      <c r="BC53" s="364"/>
      <c r="BD53" s="364"/>
      <c r="BE53" s="364"/>
      <c r="BF53" s="1751"/>
      <c r="BG53" s="364"/>
      <c r="BI53" s="1751"/>
      <c r="BJ53" s="364"/>
      <c r="BK53" s="364"/>
      <c r="BL53" s="409"/>
      <c r="BM53" s="364"/>
      <c r="BN53" s="364"/>
      <c r="BO53" s="364"/>
      <c r="BP53" s="364"/>
      <c r="BQ53" s="364"/>
      <c r="BR53" s="1751"/>
      <c r="BS53" s="1751"/>
      <c r="BT53" s="364"/>
      <c r="BU53" s="399"/>
      <c r="BV53" s="385"/>
      <c r="BY53" s="364"/>
      <c r="BZ53" s="1751"/>
      <c r="CA53" s="1751"/>
      <c r="CB53" s="1752"/>
      <c r="CC53" s="1752"/>
      <c r="CD53" s="364"/>
      <c r="CE53" s="409"/>
      <c r="CF53" s="1754"/>
      <c r="CH53" s="1751"/>
      <c r="CI53" s="1751"/>
      <c r="CJ53" s="364"/>
      <c r="CK53" s="364"/>
      <c r="CL53" s="364"/>
      <c r="CM53" s="364"/>
      <c r="CN53" s="364"/>
      <c r="CO53" s="364"/>
      <c r="CP53" s="364"/>
      <c r="CQ53" s="364"/>
      <c r="CR53" s="364"/>
      <c r="CS53" s="364"/>
      <c r="CT53" s="364"/>
      <c r="CU53" s="364"/>
      <c r="CV53" s="364"/>
      <c r="CW53" s="364"/>
      <c r="CX53" s="1754"/>
      <c r="CY53" s="1514"/>
      <c r="CZ53" s="1514"/>
      <c r="DA53" s="1514"/>
      <c r="DB53" s="1514"/>
      <c r="DC53" s="1514"/>
      <c r="DD53" s="1514"/>
      <c r="DE53" s="1514"/>
      <c r="DF53" s="1514"/>
      <c r="DG53" s="1514"/>
      <c r="DH53" s="1514"/>
      <c r="DI53" s="1514"/>
      <c r="DJ53" s="1514"/>
      <c r="DK53" s="364"/>
      <c r="DL53" s="364"/>
      <c r="DM53" s="399"/>
      <c r="DN53" s="364"/>
      <c r="DO53" s="364"/>
      <c r="DP53" s="364"/>
      <c r="DQ53" s="1746"/>
      <c r="DR53" s="1747"/>
      <c r="DS53" s="383"/>
      <c r="DT53" s="383"/>
      <c r="DU53" s="383"/>
      <c r="DV53" s="383"/>
      <c r="DW53" s="383"/>
      <c r="DX53" s="383"/>
      <c r="DY53" s="383"/>
      <c r="DZ53" s="383"/>
      <c r="EA53" s="393"/>
      <c r="EB53" s="1729"/>
      <c r="EC53" s="1756"/>
      <c r="EK53" s="244"/>
      <c r="EL53" s="244"/>
    </row>
    <row r="54" spans="2:142" s="236" customFormat="1" ht="8.25" customHeight="1">
      <c r="B54" s="235"/>
      <c r="S54" s="1740"/>
      <c r="T54" s="1741"/>
      <c r="U54" s="425"/>
      <c r="V54" s="426"/>
      <c r="W54" s="1515"/>
      <c r="X54" s="1515"/>
      <c r="Y54" s="1515"/>
      <c r="Z54" s="1515"/>
      <c r="AA54" s="1515"/>
      <c r="AB54" s="1515"/>
      <c r="AC54" s="1515"/>
      <c r="AD54" s="1515"/>
      <c r="AE54" s="1515"/>
      <c r="AF54" s="1515"/>
      <c r="AG54" s="1515"/>
      <c r="AH54" s="1515"/>
      <c r="AI54" s="1515"/>
      <c r="AJ54" s="1515"/>
      <c r="AK54" s="1515"/>
      <c r="AL54" s="1515"/>
      <c r="AO54" s="364"/>
      <c r="AQ54" s="1754"/>
      <c r="AR54" s="364"/>
      <c r="AS54" s="364"/>
      <c r="AT54" s="1754"/>
      <c r="AU54" s="364"/>
      <c r="AW54" s="1754"/>
      <c r="AX54" s="1751"/>
      <c r="AY54" s="1751"/>
      <c r="BA54" s="364"/>
      <c r="BB54" s="364"/>
      <c r="BC54" s="364"/>
      <c r="BD54" s="364"/>
      <c r="BE54" s="364"/>
      <c r="BF54" s="1751"/>
      <c r="BG54" s="364"/>
      <c r="BI54" s="1751"/>
      <c r="BJ54" s="364"/>
      <c r="BK54" s="364"/>
      <c r="BL54" s="364"/>
      <c r="BM54" s="364"/>
      <c r="BN54" s="364"/>
      <c r="BO54" s="364"/>
      <c r="BP54" s="364"/>
      <c r="BQ54" s="364"/>
      <c r="BR54" s="1751"/>
      <c r="BS54" s="1751"/>
      <c r="BT54" s="364"/>
      <c r="BU54" s="364"/>
      <c r="BV54" s="385"/>
      <c r="BY54" s="364"/>
      <c r="BZ54" s="1751"/>
      <c r="CA54" s="1751"/>
      <c r="CB54" s="1752"/>
      <c r="CC54" s="1752"/>
      <c r="CD54" s="364"/>
      <c r="CE54" s="364"/>
      <c r="CF54" s="1754"/>
      <c r="CH54" s="1751"/>
      <c r="CI54" s="1751"/>
      <c r="CJ54" s="364"/>
      <c r="CK54" s="364"/>
      <c r="CL54" s="364"/>
      <c r="CM54" s="364"/>
      <c r="CN54" s="364"/>
      <c r="CO54" s="364"/>
      <c r="CP54" s="364"/>
      <c r="CQ54" s="364"/>
      <c r="CR54" s="364"/>
      <c r="CS54" s="364"/>
      <c r="CT54" s="364"/>
      <c r="CU54" s="364"/>
      <c r="CV54" s="364"/>
      <c r="CW54" s="364"/>
      <c r="CX54" s="1754"/>
      <c r="CY54" s="1514"/>
      <c r="CZ54" s="1514"/>
      <c r="DA54" s="1514"/>
      <c r="DB54" s="1514"/>
      <c r="DC54" s="1514"/>
      <c r="DD54" s="1514"/>
      <c r="DE54" s="1514"/>
      <c r="DF54" s="1514"/>
      <c r="DG54" s="1514"/>
      <c r="DH54" s="1514"/>
      <c r="DI54" s="1514"/>
      <c r="DJ54" s="1514"/>
      <c r="DK54" s="364"/>
      <c r="DL54" s="364"/>
      <c r="DM54" s="364"/>
      <c r="DN54" s="364"/>
      <c r="DO54" s="364"/>
      <c r="DP54" s="364"/>
      <c r="DQ54" s="1746"/>
      <c r="DR54" s="1747"/>
      <c r="DS54" s="383"/>
      <c r="DT54" s="383"/>
      <c r="DU54" s="383"/>
      <c r="DV54" s="383"/>
      <c r="DW54" s="383"/>
      <c r="DX54" s="383"/>
      <c r="DY54" s="383"/>
      <c r="DZ54" s="383"/>
      <c r="EA54" s="393"/>
      <c r="EB54" s="364"/>
      <c r="EC54" s="234"/>
      <c r="EK54" s="244"/>
      <c r="EL54" s="244"/>
    </row>
    <row r="55" spans="2:142" s="243" customFormat="1" ht="11.25" customHeight="1">
      <c r="B55" s="242"/>
      <c r="P55" s="423"/>
      <c r="Q55" s="423"/>
      <c r="R55" s="423"/>
      <c r="S55" s="1740"/>
      <c r="T55" s="1741"/>
      <c r="U55" s="425"/>
      <c r="V55" s="1721" t="s">
        <v>220</v>
      </c>
      <c r="W55" s="1721"/>
      <c r="X55" s="1721"/>
      <c r="Y55" s="1721"/>
      <c r="Z55" s="1721"/>
      <c r="AA55" s="1515"/>
      <c r="AB55" s="1515"/>
      <c r="AC55" s="1515"/>
      <c r="AD55" s="1515"/>
      <c r="AE55" s="1515"/>
      <c r="AF55" s="1515"/>
      <c r="AG55" s="1515"/>
      <c r="AH55" s="1515"/>
      <c r="AI55" s="1515"/>
      <c r="AJ55" s="1515"/>
      <c r="AK55" s="1515"/>
      <c r="AL55" s="1515"/>
      <c r="AO55" s="364"/>
      <c r="AP55" s="364"/>
      <c r="AQ55" s="1754"/>
      <c r="AR55" s="364"/>
      <c r="AS55" s="364"/>
      <c r="AT55" s="1754"/>
      <c r="AU55" s="364"/>
      <c r="AW55" s="1754"/>
      <c r="AX55" s="1751"/>
      <c r="AY55" s="1751"/>
      <c r="BA55" s="364"/>
      <c r="BB55" s="364"/>
      <c r="BC55" s="364"/>
      <c r="BD55" s="364"/>
      <c r="BE55" s="364"/>
      <c r="BF55" s="1751"/>
      <c r="BG55" s="364"/>
      <c r="BI55" s="1751"/>
      <c r="BJ55" s="364"/>
      <c r="BK55" s="364"/>
      <c r="BL55" s="364"/>
      <c r="BM55" s="367"/>
      <c r="BN55" s="364"/>
      <c r="BO55" s="364"/>
      <c r="BP55" s="364"/>
      <c r="BQ55" s="364"/>
      <c r="BR55" s="1751"/>
      <c r="BS55" s="1751"/>
      <c r="BT55" s="1515"/>
      <c r="BU55" s="1515"/>
      <c r="BV55" s="385"/>
      <c r="BY55" s="1515"/>
      <c r="BZ55" s="1751"/>
      <c r="CA55" s="1751"/>
      <c r="CB55" s="1752"/>
      <c r="CC55" s="1752"/>
      <c r="CD55" s="1515"/>
      <c r="CE55" s="1515"/>
      <c r="CF55" s="1754"/>
      <c r="CH55" s="1751"/>
      <c r="CI55" s="1751"/>
      <c r="CJ55" s="1515"/>
      <c r="CK55" s="1515"/>
      <c r="CL55" s="1515"/>
      <c r="CM55" s="1515"/>
      <c r="CN55" s="1515"/>
      <c r="CO55" s="1515"/>
      <c r="CP55" s="1515"/>
      <c r="CQ55" s="1515"/>
      <c r="CR55" s="1515"/>
      <c r="CS55" s="1515"/>
      <c r="CT55" s="1515"/>
      <c r="CU55" s="1515"/>
      <c r="CV55" s="1515"/>
      <c r="CW55" s="1515"/>
      <c r="CX55" s="1754"/>
      <c r="CY55" s="1514"/>
      <c r="CZ55" s="1514"/>
      <c r="DA55" s="1514"/>
      <c r="DB55" s="1514"/>
      <c r="DC55" s="1514"/>
      <c r="DD55" s="1514"/>
      <c r="DE55" s="1514"/>
      <c r="DF55" s="1514"/>
      <c r="DG55" s="1514"/>
      <c r="DH55" s="1514"/>
      <c r="DI55" s="1514"/>
      <c r="DJ55" s="1514"/>
      <c r="DK55" s="364"/>
      <c r="DL55" s="364"/>
      <c r="DM55" s="364"/>
      <c r="DN55" s="364"/>
      <c r="DO55" s="364"/>
      <c r="DP55" s="1515"/>
      <c r="DQ55" s="1746"/>
      <c r="DR55" s="1747"/>
      <c r="DS55" s="411"/>
      <c r="DT55" s="412"/>
      <c r="DU55" s="412"/>
      <c r="DV55" s="412"/>
      <c r="DW55" s="412"/>
      <c r="DX55" s="412"/>
      <c r="DY55" s="412"/>
      <c r="DZ55" s="411"/>
      <c r="EA55" s="393"/>
      <c r="EB55" s="1515"/>
      <c r="EC55" s="1516"/>
      <c r="ED55" s="244"/>
      <c r="EE55" s="244"/>
      <c r="EF55" s="244"/>
      <c r="EG55" s="244"/>
      <c r="EH55" s="244"/>
      <c r="EI55" s="244"/>
      <c r="EJ55" s="244"/>
      <c r="EK55" s="244"/>
      <c r="EL55" s="244"/>
    </row>
    <row r="56" spans="2:142" s="243" customFormat="1" ht="11.25" customHeight="1">
      <c r="B56" s="242"/>
      <c r="P56" s="423"/>
      <c r="Q56" s="423"/>
      <c r="R56" s="423"/>
      <c r="S56" s="1740"/>
      <c r="T56" s="1741"/>
      <c r="U56" s="425"/>
      <c r="V56" s="1721"/>
      <c r="W56" s="1721"/>
      <c r="X56" s="1721"/>
      <c r="Y56" s="1721"/>
      <c r="Z56" s="1721"/>
      <c r="AA56" s="399"/>
      <c r="AB56" s="399"/>
      <c r="AC56" s="399"/>
      <c r="AD56" s="399"/>
      <c r="AE56" s="399"/>
      <c r="AF56" s="399"/>
      <c r="AG56" s="399"/>
      <c r="AH56" s="399"/>
      <c r="AI56" s="399"/>
      <c r="AJ56" s="399"/>
      <c r="AK56" s="399"/>
      <c r="AL56" s="399"/>
      <c r="AQ56" s="1754"/>
      <c r="AT56" s="1754"/>
      <c r="AW56" s="1754"/>
      <c r="AX56" s="1751"/>
      <c r="AY56" s="1751"/>
      <c r="BF56" s="1751"/>
      <c r="BI56" s="1751"/>
      <c r="BR56" s="1751"/>
      <c r="BS56" s="1751"/>
      <c r="BV56" s="385"/>
      <c r="BZ56" s="1751"/>
      <c r="CA56" s="1751"/>
      <c r="CB56" s="1752"/>
      <c r="CC56" s="1752"/>
      <c r="CF56" s="1754"/>
      <c r="CH56" s="1751"/>
      <c r="CI56" s="1751"/>
      <c r="CX56" s="1754"/>
      <c r="CY56" s="1514"/>
      <c r="CZ56" s="1514"/>
      <c r="DA56" s="1514"/>
      <c r="DB56" s="1514"/>
      <c r="DC56" s="1514"/>
      <c r="DD56" s="1514"/>
      <c r="DE56" s="1514"/>
      <c r="DF56" s="1514"/>
      <c r="DG56" s="1514"/>
      <c r="DH56" s="1514"/>
      <c r="DI56" s="1514"/>
      <c r="DJ56" s="1514"/>
      <c r="DQ56" s="1746"/>
      <c r="DR56" s="1747"/>
      <c r="DS56" s="412"/>
      <c r="DT56" s="412"/>
      <c r="DU56" s="412"/>
      <c r="DV56" s="412"/>
      <c r="DW56" s="412"/>
      <c r="DX56" s="412"/>
      <c r="DY56" s="412"/>
      <c r="DZ56" s="412"/>
      <c r="EA56" s="393"/>
      <c r="EB56" s="1515"/>
      <c r="EC56" s="1516"/>
      <c r="ED56" s="244"/>
      <c r="EE56" s="244"/>
      <c r="EF56" s="244"/>
      <c r="EG56" s="244"/>
      <c r="EH56" s="244"/>
      <c r="EI56" s="244"/>
      <c r="EJ56" s="244"/>
      <c r="EK56" s="244"/>
      <c r="EL56" s="244"/>
    </row>
    <row r="57" spans="2:142" s="243" customFormat="1" ht="11.25" customHeight="1">
      <c r="B57" s="242"/>
      <c r="S57" s="1740"/>
      <c r="T57" s="1741"/>
      <c r="U57" s="425"/>
      <c r="V57" s="426"/>
      <c r="W57" s="399"/>
      <c r="X57" s="399"/>
      <c r="Y57" s="399"/>
      <c r="Z57" s="399"/>
      <c r="AA57" s="399"/>
      <c r="AB57" s="399"/>
      <c r="AC57" s="399"/>
      <c r="AD57" s="399"/>
      <c r="AE57" s="399"/>
      <c r="AF57" s="399"/>
      <c r="AG57" s="399"/>
      <c r="AH57" s="399"/>
      <c r="AI57" s="399"/>
      <c r="AJ57" s="399"/>
      <c r="AK57" s="399"/>
      <c r="AL57" s="399"/>
      <c r="AQ57" s="1754"/>
      <c r="AT57" s="1754"/>
      <c r="AW57" s="1754"/>
      <c r="AX57" s="1751"/>
      <c r="AY57" s="1751"/>
      <c r="BF57" s="1751"/>
      <c r="BI57" s="1751"/>
      <c r="BR57" s="1751"/>
      <c r="BS57" s="1751"/>
      <c r="BV57" s="385"/>
      <c r="BZ57" s="1751"/>
      <c r="CA57" s="1751"/>
      <c r="CB57" s="1752"/>
      <c r="CC57" s="1752"/>
      <c r="CF57" s="1754"/>
      <c r="CH57" s="1751"/>
      <c r="CI57" s="1751"/>
      <c r="CX57" s="1754"/>
      <c r="CY57" s="1514"/>
      <c r="CZ57" s="1514"/>
      <c r="DA57" s="1514"/>
      <c r="DB57" s="1514"/>
      <c r="DC57" s="1514"/>
      <c r="DD57" s="1514"/>
      <c r="DE57" s="1514"/>
      <c r="DF57" s="1514"/>
      <c r="DG57" s="1514"/>
      <c r="DH57" s="1514"/>
      <c r="DI57" s="1514"/>
      <c r="DJ57" s="1514"/>
      <c r="DQ57" s="1746"/>
      <c r="DR57" s="1747"/>
      <c r="DS57" s="412"/>
      <c r="DT57" s="412"/>
      <c r="DU57" s="412"/>
      <c r="DV57" s="412"/>
      <c r="DW57" s="412"/>
      <c r="DX57" s="412"/>
      <c r="DY57" s="412"/>
      <c r="DZ57" s="412"/>
      <c r="EA57" s="393"/>
      <c r="EB57" s="1515"/>
      <c r="EC57" s="1516"/>
      <c r="ED57" s="244"/>
      <c r="EE57" s="244"/>
      <c r="EF57" s="244"/>
      <c r="EG57" s="244"/>
      <c r="EH57" s="244"/>
      <c r="EI57" s="244"/>
      <c r="EJ57" s="244"/>
      <c r="EK57" s="244"/>
      <c r="EL57" s="244"/>
    </row>
    <row r="58" spans="2:142" s="243" customFormat="1" ht="11.25" customHeight="1">
      <c r="B58" s="242"/>
      <c r="S58" s="1740"/>
      <c r="T58" s="1741"/>
      <c r="U58" s="425"/>
      <c r="V58" s="426"/>
      <c r="W58" s="399"/>
      <c r="X58" s="399"/>
      <c r="Y58" s="399"/>
      <c r="Z58" s="399"/>
      <c r="AA58" s="399"/>
      <c r="AB58" s="399"/>
      <c r="AC58" s="399"/>
      <c r="AD58" s="399"/>
      <c r="AE58" s="399"/>
      <c r="AF58" s="399"/>
      <c r="AG58" s="399"/>
      <c r="AH58" s="399"/>
      <c r="AI58" s="399"/>
      <c r="AJ58" s="399"/>
      <c r="AK58" s="399"/>
      <c r="AL58" s="399"/>
      <c r="AO58" s="364"/>
      <c r="AP58" s="364"/>
      <c r="AQ58" s="1754"/>
      <c r="AR58" s="1515"/>
      <c r="AS58" s="1515"/>
      <c r="AT58" s="1754"/>
      <c r="AU58" s="1515"/>
      <c r="AV58" s="364"/>
      <c r="AW58" s="1754"/>
      <c r="AX58" s="1751"/>
      <c r="AY58" s="1751"/>
      <c r="BA58" s="364"/>
      <c r="BB58" s="364"/>
      <c r="BC58" s="364"/>
      <c r="BD58" s="364"/>
      <c r="BE58" s="364"/>
      <c r="BF58" s="1751"/>
      <c r="BG58" s="364"/>
      <c r="BI58" s="1751"/>
      <c r="BJ58" s="364"/>
      <c r="BK58" s="364"/>
      <c r="BL58" s="364"/>
      <c r="BM58" s="364"/>
      <c r="BN58" s="1515"/>
      <c r="BO58" s="1515"/>
      <c r="BP58" s="1515"/>
      <c r="BQ58" s="1515"/>
      <c r="BR58" s="1751"/>
      <c r="BS58" s="1751"/>
      <c r="BT58" s="1515"/>
      <c r="BU58" s="1515"/>
      <c r="BV58" s="385"/>
      <c r="BY58" s="1515"/>
      <c r="BZ58" s="1751"/>
      <c r="CA58" s="1751"/>
      <c r="CB58" s="1752"/>
      <c r="CC58" s="1752"/>
      <c r="CD58" s="1515"/>
      <c r="CE58" s="1515"/>
      <c r="CF58" s="1754"/>
      <c r="CH58" s="1751"/>
      <c r="CI58" s="1751"/>
      <c r="CJ58" s="1515"/>
      <c r="CK58" s="1515"/>
      <c r="CL58" s="1515"/>
      <c r="CM58" s="1515"/>
      <c r="CN58" s="1515"/>
      <c r="CO58" s="1515"/>
      <c r="CP58" s="1515"/>
      <c r="CQ58" s="1515"/>
      <c r="CR58" s="1515"/>
      <c r="CS58" s="1515"/>
      <c r="CT58" s="1515"/>
      <c r="CU58" s="1515"/>
      <c r="CV58" s="1515"/>
      <c r="CW58" s="1515"/>
      <c r="CX58" s="1754"/>
      <c r="CY58" s="1514"/>
      <c r="CZ58" s="1514"/>
      <c r="DA58" s="1514"/>
      <c r="DB58" s="1514"/>
      <c r="DC58" s="1514"/>
      <c r="DD58" s="1514"/>
      <c r="DE58" s="1514"/>
      <c r="DF58" s="1514"/>
      <c r="DG58" s="1514"/>
      <c r="DH58" s="1514"/>
      <c r="DI58" s="1514"/>
      <c r="DJ58" s="1514"/>
      <c r="DK58" s="1515"/>
      <c r="DL58" s="1515"/>
      <c r="DM58" s="1515"/>
      <c r="DN58" s="1515"/>
      <c r="DO58" s="1515"/>
      <c r="DP58" s="1515"/>
      <c r="DQ58" s="1746"/>
      <c r="DR58" s="1747"/>
      <c r="DS58" s="411"/>
      <c r="DT58" s="412"/>
      <c r="DU58" s="412"/>
      <c r="DV58" s="412"/>
      <c r="DW58" s="412"/>
      <c r="DX58" s="412"/>
      <c r="DY58" s="412"/>
      <c r="DZ58" s="411"/>
      <c r="EA58" s="393"/>
      <c r="EB58" s="1515"/>
      <c r="EC58" s="1516"/>
      <c r="ED58" s="244"/>
      <c r="EE58" s="244"/>
      <c r="EF58" s="244"/>
      <c r="EG58" s="244"/>
      <c r="EH58" s="244"/>
      <c r="EI58" s="244"/>
      <c r="EJ58" s="244"/>
      <c r="EK58" s="244"/>
      <c r="EL58" s="244"/>
    </row>
    <row r="59" spans="2:142" s="243" customFormat="1" ht="11.25" customHeight="1">
      <c r="B59" s="242"/>
      <c r="S59" s="1740"/>
      <c r="T59" s="1741"/>
      <c r="U59" s="425"/>
      <c r="V59" s="426"/>
      <c r="W59" s="399"/>
      <c r="X59" s="399"/>
      <c r="Y59" s="399"/>
      <c r="Z59" s="399"/>
      <c r="AA59" s="399"/>
      <c r="AB59" s="399"/>
      <c r="AC59" s="399"/>
      <c r="AD59" s="399"/>
      <c r="AE59" s="399"/>
      <c r="AF59" s="399"/>
      <c r="AG59" s="399"/>
      <c r="AH59" s="399"/>
      <c r="AI59" s="399"/>
      <c r="AJ59" s="399"/>
      <c r="AK59" s="399"/>
      <c r="AL59" s="399"/>
      <c r="AO59" s="364"/>
      <c r="AP59" s="364"/>
      <c r="AQ59" s="1754"/>
      <c r="AR59" s="1515"/>
      <c r="AS59" s="1515"/>
      <c r="AT59" s="1754"/>
      <c r="AU59" s="1515"/>
      <c r="AV59" s="364"/>
      <c r="AW59" s="1754"/>
      <c r="AX59" s="1751"/>
      <c r="AY59" s="1751"/>
      <c r="BA59" s="364"/>
      <c r="BB59" s="364"/>
      <c r="BC59" s="364"/>
      <c r="BD59" s="364"/>
      <c r="BE59" s="364"/>
      <c r="BF59" s="1751"/>
      <c r="BG59" s="364"/>
      <c r="BI59" s="1751"/>
      <c r="BJ59" s="364"/>
      <c r="BK59" s="364"/>
      <c r="BL59" s="364"/>
      <c r="BM59" s="364"/>
      <c r="BN59" s="1515"/>
      <c r="BO59" s="1515"/>
      <c r="BP59" s="1515"/>
      <c r="BQ59" s="1515"/>
      <c r="BR59" s="1751"/>
      <c r="BS59" s="1751"/>
      <c r="BT59" s="1515"/>
      <c r="BU59" s="1515"/>
      <c r="BV59" s="385"/>
      <c r="BY59" s="1515"/>
      <c r="BZ59" s="1751"/>
      <c r="CA59" s="1751"/>
      <c r="CB59" s="1752"/>
      <c r="CC59" s="1752"/>
      <c r="CD59" s="1515"/>
      <c r="CE59" s="1515"/>
      <c r="CF59" s="1754"/>
      <c r="CH59" s="1751"/>
      <c r="CI59" s="1751"/>
      <c r="CJ59" s="1515"/>
      <c r="CK59" s="1515"/>
      <c r="CL59" s="1515"/>
      <c r="CM59" s="1515"/>
      <c r="CN59" s="1515"/>
      <c r="CO59" s="1515"/>
      <c r="CP59" s="1515"/>
      <c r="CQ59" s="1515"/>
      <c r="CR59" s="1515"/>
      <c r="CS59" s="1515"/>
      <c r="CT59" s="1515"/>
      <c r="CU59" s="1515"/>
      <c r="CV59" s="1515"/>
      <c r="CW59" s="1515"/>
      <c r="CX59" s="1754"/>
      <c r="CY59" s="1514"/>
      <c r="CZ59" s="1514"/>
      <c r="DA59" s="1514"/>
      <c r="DB59" s="1514"/>
      <c r="DC59" s="1514"/>
      <c r="DD59" s="1514"/>
      <c r="DE59" s="1514"/>
      <c r="DF59" s="1514"/>
      <c r="DG59" s="1514"/>
      <c r="DH59" s="1514"/>
      <c r="DI59" s="1514"/>
      <c r="DJ59" s="1514"/>
      <c r="DK59" s="1515"/>
      <c r="DL59" s="1515"/>
      <c r="DM59" s="1515"/>
      <c r="DN59" s="1515"/>
      <c r="DO59" s="1515"/>
      <c r="DP59" s="1515"/>
      <c r="DQ59" s="1746"/>
      <c r="DR59" s="1747"/>
      <c r="DS59" s="411"/>
      <c r="DT59" s="412"/>
      <c r="DU59" s="412"/>
      <c r="DV59" s="412"/>
      <c r="DW59" s="412"/>
      <c r="DX59" s="412"/>
      <c r="DY59" s="412"/>
      <c r="DZ59" s="411"/>
      <c r="EA59" s="393"/>
      <c r="EB59" s="1515"/>
      <c r="EC59" s="1516"/>
      <c r="ED59" s="244"/>
      <c r="EE59" s="244"/>
      <c r="EF59" s="244"/>
      <c r="EG59" s="244"/>
      <c r="EH59" s="244"/>
      <c r="EI59" s="244"/>
      <c r="EJ59" s="244"/>
      <c r="EK59" s="244"/>
      <c r="EL59" s="244"/>
    </row>
    <row r="60" spans="2:142" s="243" customFormat="1" ht="11.25" customHeight="1">
      <c r="B60" s="242"/>
      <c r="S60" s="1740"/>
      <c r="T60" s="1741"/>
      <c r="U60" s="425"/>
      <c r="V60" s="426"/>
      <c r="W60" s="399"/>
      <c r="X60" s="399"/>
      <c r="Y60" s="399"/>
      <c r="Z60" s="399"/>
      <c r="AA60" s="399"/>
      <c r="AB60" s="399"/>
      <c r="AC60" s="399"/>
      <c r="AD60" s="399"/>
      <c r="AE60" s="399"/>
      <c r="AF60" s="399"/>
      <c r="AG60" s="399"/>
      <c r="AH60" s="399"/>
      <c r="AI60" s="399"/>
      <c r="AJ60" s="399"/>
      <c r="AK60" s="399"/>
      <c r="AL60" s="399"/>
      <c r="AO60" s="364"/>
      <c r="AP60" s="364"/>
      <c r="AQ60" s="1754"/>
      <c r="AR60" s="364"/>
      <c r="AS60" s="364"/>
      <c r="AT60" s="1754"/>
      <c r="AU60" s="364"/>
      <c r="AV60" s="364"/>
      <c r="AW60" s="1754"/>
      <c r="AX60" s="1751"/>
      <c r="AY60" s="1751"/>
      <c r="BA60" s="364"/>
      <c r="BB60" s="364"/>
      <c r="BC60" s="364"/>
      <c r="BD60" s="364"/>
      <c r="BE60" s="364"/>
      <c r="BF60" s="1751"/>
      <c r="BG60" s="1515"/>
      <c r="BI60" s="1751"/>
      <c r="BJ60" s="1515"/>
      <c r="BK60" s="1515"/>
      <c r="BL60" s="1515"/>
      <c r="BM60" s="1515"/>
      <c r="BN60" s="1515"/>
      <c r="BO60" s="1515"/>
      <c r="BP60" s="1515"/>
      <c r="BQ60" s="1515"/>
      <c r="BR60" s="1751"/>
      <c r="BS60" s="1751"/>
      <c r="BT60" s="364"/>
      <c r="BU60" s="364"/>
      <c r="BV60" s="385"/>
      <c r="BY60" s="364"/>
      <c r="BZ60" s="1751"/>
      <c r="CA60" s="1751"/>
      <c r="CB60" s="1752"/>
      <c r="CC60" s="1752"/>
      <c r="CD60" s="364"/>
      <c r="CE60" s="364"/>
      <c r="CF60" s="1754"/>
      <c r="CH60" s="1751"/>
      <c r="CI60" s="1751"/>
      <c r="CJ60" s="1515"/>
      <c r="CK60" s="1515"/>
      <c r="CL60" s="1515"/>
      <c r="CM60" s="1515"/>
      <c r="CN60" s="1515"/>
      <c r="CO60" s="1515"/>
      <c r="CP60" s="1515"/>
      <c r="CQ60" s="1515"/>
      <c r="CR60" s="1515"/>
      <c r="CS60" s="1515"/>
      <c r="CT60" s="1515"/>
      <c r="CU60" s="1515"/>
      <c r="CV60" s="1515"/>
      <c r="CW60" s="1515"/>
      <c r="CX60" s="1754"/>
      <c r="CY60" s="1514"/>
      <c r="CZ60" s="1514"/>
      <c r="DA60" s="1514"/>
      <c r="DB60" s="1514"/>
      <c r="DC60" s="1514"/>
      <c r="DD60" s="1514"/>
      <c r="DE60" s="1514"/>
      <c r="DF60" s="1514"/>
      <c r="DG60" s="1514"/>
      <c r="DH60" s="1514"/>
      <c r="DI60" s="1514"/>
      <c r="DJ60" s="1514"/>
      <c r="DK60" s="1515"/>
      <c r="DL60" s="1515"/>
      <c r="DM60" s="1515"/>
      <c r="DN60" s="1515"/>
      <c r="DO60" s="1515"/>
      <c r="DP60" s="1515"/>
      <c r="DQ60" s="1746"/>
      <c r="DR60" s="1747"/>
      <c r="DS60" s="412"/>
      <c r="DT60" s="412"/>
      <c r="DU60" s="412"/>
      <c r="DV60" s="412"/>
      <c r="DW60" s="412"/>
      <c r="DX60" s="412"/>
      <c r="DY60" s="412"/>
      <c r="DZ60" s="412"/>
      <c r="EA60" s="393"/>
      <c r="EB60" s="1515"/>
      <c r="EC60" s="1516"/>
      <c r="ED60" s="244"/>
      <c r="EE60" s="244"/>
      <c r="EF60" s="244"/>
      <c r="EG60" s="244"/>
      <c r="EH60" s="244"/>
      <c r="EI60" s="244"/>
      <c r="EJ60" s="244"/>
      <c r="EK60" s="244"/>
      <c r="EL60" s="244"/>
    </row>
    <row r="61" spans="2:142" s="243" customFormat="1" ht="11.25" customHeight="1">
      <c r="B61" s="242"/>
      <c r="S61" s="1740"/>
      <c r="T61" s="1741"/>
      <c r="U61" s="427"/>
      <c r="V61" s="428"/>
      <c r="W61" s="399"/>
      <c r="X61" s="399"/>
      <c r="Y61" s="399"/>
      <c r="Z61" s="399"/>
      <c r="AA61" s="399"/>
      <c r="AB61" s="399"/>
      <c r="AC61" s="399"/>
      <c r="AD61" s="399"/>
      <c r="AE61" s="399"/>
      <c r="AF61" s="399"/>
      <c r="AG61" s="399"/>
      <c r="AH61" s="399"/>
      <c r="AI61" s="399"/>
      <c r="AJ61" s="399"/>
      <c r="AK61" s="399"/>
      <c r="AL61" s="399"/>
      <c r="AO61" s="364"/>
      <c r="AP61" s="364"/>
      <c r="AQ61" s="364"/>
      <c r="AR61" s="364"/>
      <c r="AS61" s="364"/>
      <c r="AT61" s="364"/>
      <c r="AU61" s="364"/>
      <c r="AV61" s="364"/>
      <c r="AW61" s="364"/>
      <c r="AX61" s="364"/>
      <c r="AY61" s="364"/>
      <c r="AZ61" s="364"/>
      <c r="BA61" s="364"/>
      <c r="BB61" s="364"/>
      <c r="BC61" s="364"/>
      <c r="BD61" s="364"/>
      <c r="BE61" s="364"/>
      <c r="BF61" s="1515"/>
      <c r="BG61" s="1515"/>
      <c r="BH61" s="1515"/>
      <c r="BI61" s="1515"/>
      <c r="BJ61" s="1515"/>
      <c r="BK61" s="1515"/>
      <c r="BL61" s="1515"/>
      <c r="BM61" s="1515"/>
      <c r="BN61" s="1515"/>
      <c r="BO61" s="1515"/>
      <c r="BP61" s="1515"/>
      <c r="BQ61" s="1515"/>
      <c r="BR61" s="1515"/>
      <c r="BS61" s="1515"/>
      <c r="BT61" s="1515"/>
      <c r="BU61" s="1515"/>
      <c r="BV61" s="1515"/>
      <c r="BW61" s="1515"/>
      <c r="BX61" s="1515"/>
      <c r="BY61" s="1515"/>
      <c r="BZ61" s="1515"/>
      <c r="CA61" s="1515"/>
      <c r="CB61" s="1753"/>
      <c r="CC61" s="1753"/>
      <c r="CD61" s="1515"/>
      <c r="CE61" s="1515"/>
      <c r="CF61" s="1515"/>
      <c r="CG61" s="1515"/>
      <c r="CH61" s="1515"/>
      <c r="CI61" s="1515"/>
      <c r="CJ61" s="1515"/>
      <c r="CK61" s="1515"/>
      <c r="CL61" s="1515"/>
      <c r="CM61" s="1515"/>
      <c r="CN61" s="1515"/>
      <c r="CO61" s="1515"/>
      <c r="CP61" s="1515"/>
      <c r="CQ61" s="1515"/>
      <c r="CR61" s="1515"/>
      <c r="CS61" s="1515"/>
      <c r="CT61" s="1515"/>
      <c r="CU61" s="1515"/>
      <c r="CV61" s="1515"/>
      <c r="CW61" s="1515"/>
      <c r="CX61" s="1515"/>
      <c r="CY61" s="1515"/>
      <c r="CZ61" s="1515"/>
      <c r="DA61" s="1515"/>
      <c r="DB61" s="1515"/>
      <c r="DC61" s="1515"/>
      <c r="DD61" s="1515"/>
      <c r="DE61" s="1515"/>
      <c r="DF61" s="1515"/>
      <c r="DG61" s="1515"/>
      <c r="DH61" s="1515"/>
      <c r="DI61" s="1515"/>
      <c r="DJ61" s="1515"/>
      <c r="DK61" s="1515"/>
      <c r="DL61" s="1515"/>
      <c r="DM61" s="1515"/>
      <c r="DN61" s="1515"/>
      <c r="DO61" s="1515"/>
      <c r="DP61" s="1515"/>
      <c r="DQ61" s="1746"/>
      <c r="DR61" s="1747"/>
      <c r="DS61" s="413"/>
      <c r="DT61" s="412"/>
      <c r="DU61" s="412"/>
      <c r="DV61" s="412"/>
      <c r="DW61" s="412"/>
      <c r="DX61" s="412"/>
      <c r="DY61" s="412"/>
      <c r="DZ61" s="413"/>
      <c r="EA61" s="393"/>
      <c r="EB61" s="1515"/>
      <c r="EC61" s="1516"/>
      <c r="ED61" s="244"/>
      <c r="EE61" s="244"/>
      <c r="EF61" s="244"/>
      <c r="EG61" s="244"/>
      <c r="EH61" s="244"/>
      <c r="EI61" s="244"/>
      <c r="EJ61" s="244"/>
      <c r="EK61" s="244"/>
      <c r="EL61" s="244"/>
    </row>
    <row r="62" spans="2:142" s="243" customFormat="1" ht="11.25" customHeight="1">
      <c r="B62" s="242"/>
      <c r="S62" s="1740"/>
      <c r="T62" s="1741"/>
      <c r="U62" s="251"/>
      <c r="V62" s="251"/>
      <c r="W62" s="251"/>
      <c r="X62" s="252"/>
      <c r="Y62" s="251"/>
      <c r="Z62" s="252"/>
      <c r="AA62" s="251"/>
      <c r="AB62" s="252"/>
      <c r="AC62" s="251"/>
      <c r="AD62" s="252"/>
      <c r="AE62" s="251"/>
      <c r="AF62" s="252"/>
      <c r="AG62" s="251"/>
      <c r="AH62" s="252"/>
      <c r="AI62" s="251"/>
      <c r="AJ62" s="252"/>
      <c r="AK62" s="251"/>
      <c r="AL62" s="252"/>
      <c r="AM62" s="251"/>
      <c r="AN62" s="253"/>
      <c r="AO62" s="251"/>
      <c r="AP62" s="251"/>
      <c r="AQ62" s="251"/>
      <c r="AR62" s="251"/>
      <c r="AS62" s="254"/>
      <c r="AT62" s="251"/>
      <c r="AU62" s="251"/>
      <c r="AV62" s="251"/>
      <c r="AW62" s="251"/>
      <c r="AX62" s="251"/>
      <c r="AY62" s="251"/>
      <c r="AZ62" s="251"/>
      <c r="BA62" s="251"/>
      <c r="BB62" s="252"/>
      <c r="BC62" s="251"/>
      <c r="BD62" s="251"/>
      <c r="BE62" s="251"/>
      <c r="BF62" s="251"/>
      <c r="BG62" s="251"/>
      <c r="BH62" s="251"/>
      <c r="BI62" s="251"/>
      <c r="BJ62" s="251"/>
      <c r="BK62" s="251"/>
      <c r="BL62" s="254"/>
      <c r="BM62" s="251"/>
      <c r="BN62" s="251"/>
      <c r="BO62" s="251"/>
      <c r="BP62" s="251"/>
      <c r="BQ62" s="251"/>
      <c r="BR62" s="251"/>
      <c r="BS62" s="251"/>
      <c r="BT62" s="251"/>
      <c r="BU62" s="252"/>
      <c r="BV62" s="251"/>
      <c r="BW62" s="251"/>
      <c r="BX62" s="251"/>
      <c r="BY62" s="251"/>
      <c r="BZ62" s="251"/>
      <c r="CA62" s="251"/>
      <c r="CB62" s="251"/>
      <c r="CC62" s="251"/>
      <c r="CD62" s="251"/>
      <c r="CE62" s="254"/>
      <c r="CF62" s="251"/>
      <c r="CG62" s="251"/>
      <c r="CH62" s="251"/>
      <c r="CI62" s="251"/>
      <c r="CJ62" s="251"/>
      <c r="CK62" s="251"/>
      <c r="CL62" s="251"/>
      <c r="CM62" s="251"/>
      <c r="CN62" s="251"/>
      <c r="CO62" s="251"/>
      <c r="CP62" s="251"/>
      <c r="CQ62" s="251"/>
      <c r="CR62" s="251"/>
      <c r="CS62" s="251"/>
      <c r="CT62" s="251"/>
      <c r="CU62" s="251"/>
      <c r="CV62" s="251"/>
      <c r="CW62" s="251"/>
      <c r="CX62" s="251"/>
      <c r="CY62" s="251"/>
      <c r="CZ62" s="251"/>
      <c r="DA62" s="251"/>
      <c r="DB62" s="251"/>
      <c r="DC62" s="251"/>
      <c r="DD62" s="251"/>
      <c r="DE62" s="251"/>
      <c r="DF62" s="251"/>
      <c r="DG62" s="251"/>
      <c r="DH62" s="251"/>
      <c r="DI62" s="251"/>
      <c r="DJ62" s="251"/>
      <c r="DK62" s="251"/>
      <c r="DL62" s="251"/>
      <c r="DM62" s="251"/>
      <c r="DN62" s="251"/>
      <c r="DO62" s="251"/>
      <c r="DP62" s="255"/>
      <c r="DQ62" s="364"/>
      <c r="DR62" s="364"/>
      <c r="DS62" s="364"/>
      <c r="DT62" s="364"/>
      <c r="DU62" s="364"/>
      <c r="DV62" s="364"/>
      <c r="DW62" s="364"/>
      <c r="DX62" s="364"/>
      <c r="DY62" s="364"/>
      <c r="DZ62" s="364"/>
      <c r="EA62" s="364"/>
      <c r="EB62" s="1515"/>
      <c r="EC62" s="1516"/>
      <c r="ED62" s="244"/>
      <c r="EE62" s="244"/>
      <c r="EF62" s="244"/>
      <c r="EG62" s="244"/>
      <c r="EH62" s="244"/>
      <c r="EI62" s="244"/>
      <c r="EJ62" s="244"/>
      <c r="EK62" s="244"/>
      <c r="EL62" s="244"/>
    </row>
    <row r="63" spans="2:142" s="243" customFormat="1" ht="11.25" customHeight="1">
      <c r="B63" s="242"/>
      <c r="S63" s="1740"/>
      <c r="T63" s="1741"/>
      <c r="U63" s="237"/>
      <c r="V63" s="364"/>
      <c r="W63" s="237"/>
      <c r="X63" s="399"/>
      <c r="Y63" s="237"/>
      <c r="Z63" s="399"/>
      <c r="AA63" s="237"/>
      <c r="AB63" s="399"/>
      <c r="AC63" s="237"/>
      <c r="AD63" s="399"/>
      <c r="AE63" s="237"/>
      <c r="AF63" s="399"/>
      <c r="AG63" s="237"/>
      <c r="AH63" s="399"/>
      <c r="AI63" s="237"/>
      <c r="AJ63" s="399"/>
      <c r="AK63" s="237"/>
      <c r="AL63" s="399"/>
      <c r="AM63" s="237"/>
      <c r="AO63" s="237"/>
      <c r="AP63" s="364"/>
      <c r="AQ63" s="237"/>
      <c r="AR63" s="364"/>
      <c r="AS63" s="237"/>
      <c r="AT63" s="364"/>
      <c r="AU63" s="237"/>
      <c r="AV63" s="364"/>
      <c r="AW63" s="237"/>
      <c r="AX63" s="364"/>
      <c r="AY63" s="237"/>
      <c r="AZ63" s="364"/>
      <c r="BA63" s="237"/>
      <c r="BB63" s="364"/>
      <c r="BC63" s="237"/>
      <c r="BD63" s="364"/>
      <c r="BE63" s="237"/>
      <c r="BF63" s="364"/>
      <c r="BG63" s="237"/>
      <c r="BH63" s="364"/>
      <c r="BI63" s="237"/>
      <c r="BJ63" s="364"/>
      <c r="BK63" s="237"/>
      <c r="BL63" s="364"/>
      <c r="BM63" s="237"/>
      <c r="BN63" s="364"/>
      <c r="BO63" s="237"/>
      <c r="BP63" s="364"/>
      <c r="BQ63" s="237"/>
      <c r="BR63" s="364"/>
      <c r="BS63" s="237"/>
      <c r="BT63" s="364"/>
      <c r="BU63" s="237"/>
      <c r="BV63" s="364"/>
      <c r="BW63" s="237"/>
      <c r="BX63" s="364"/>
      <c r="BY63" s="237"/>
      <c r="BZ63" s="364"/>
      <c r="CA63" s="237"/>
      <c r="CB63" s="364"/>
      <c r="CC63" s="237"/>
      <c r="CD63" s="364"/>
      <c r="CE63" s="237"/>
      <c r="CF63" s="364"/>
      <c r="CG63" s="237"/>
      <c r="CH63" s="364"/>
      <c r="CI63" s="237"/>
      <c r="CJ63" s="256"/>
      <c r="CK63" s="364"/>
      <c r="CL63" s="256"/>
      <c r="CM63" s="364"/>
      <c r="CN63" s="256"/>
      <c r="CO63" s="364"/>
      <c r="CP63" s="256"/>
      <c r="CQ63" s="364"/>
      <c r="CR63" s="256"/>
      <c r="CS63" s="364"/>
      <c r="CT63" s="256"/>
      <c r="CU63" s="364"/>
      <c r="CV63" s="256"/>
      <c r="CW63" s="364"/>
      <c r="CX63" s="256"/>
      <c r="CY63" s="364"/>
      <c r="CZ63" s="256"/>
      <c r="DA63" s="364"/>
      <c r="DB63" s="256"/>
      <c r="DC63" s="364"/>
      <c r="DD63" s="256"/>
      <c r="DE63" s="364"/>
      <c r="DF63" s="256"/>
      <c r="DG63" s="364"/>
      <c r="DH63" s="256"/>
      <c r="DI63" s="364"/>
      <c r="DJ63" s="256"/>
      <c r="DK63" s="364"/>
      <c r="DL63" s="256"/>
      <c r="DM63" s="364"/>
      <c r="DN63" s="256"/>
      <c r="DO63" s="364"/>
      <c r="DP63" s="364"/>
      <c r="DQ63" s="364"/>
      <c r="DR63" s="364"/>
      <c r="DS63" s="364"/>
      <c r="DT63" s="364"/>
      <c r="DU63" s="364"/>
      <c r="DV63" s="364"/>
      <c r="DW63" s="364"/>
      <c r="DX63" s="364"/>
      <c r="DY63" s="364"/>
      <c r="DZ63" s="364"/>
      <c r="EA63" s="364"/>
      <c r="EB63" s="1515"/>
      <c r="EC63" s="1516"/>
      <c r="ED63" s="244"/>
      <c r="EE63" s="244"/>
      <c r="EF63" s="244"/>
      <c r="EG63" s="244"/>
      <c r="EH63" s="244"/>
      <c r="EI63" s="244"/>
      <c r="EJ63" s="244"/>
      <c r="EK63" s="244"/>
      <c r="EL63" s="244"/>
    </row>
    <row r="64" spans="2:142" s="243" customFormat="1" ht="15.75" customHeight="1">
      <c r="B64" s="242"/>
      <c r="S64" s="1740"/>
      <c r="T64" s="1741"/>
      <c r="U64" s="237"/>
      <c r="V64" s="1755" t="s">
        <v>158</v>
      </c>
      <c r="W64" s="1755"/>
      <c r="X64" s="1755"/>
      <c r="Y64" s="1755"/>
      <c r="Z64" s="1755" t="s">
        <v>159</v>
      </c>
      <c r="AA64" s="1755"/>
      <c r="AB64" s="1518"/>
      <c r="AC64" s="1518"/>
      <c r="AD64" s="1755" t="s">
        <v>160</v>
      </c>
      <c r="AE64" s="1755"/>
      <c r="AF64" s="1518"/>
      <c r="AG64" s="1518"/>
      <c r="AH64" s="1755" t="s">
        <v>161</v>
      </c>
      <c r="AI64" s="1755"/>
      <c r="AJ64" s="1518"/>
      <c r="AK64" s="1518"/>
      <c r="AL64" s="1755" t="s">
        <v>162</v>
      </c>
      <c r="AM64" s="1755"/>
      <c r="AN64" s="414"/>
      <c r="AO64" s="414"/>
      <c r="AP64" s="1755" t="s">
        <v>163</v>
      </c>
      <c r="AQ64" s="1755"/>
      <c r="AR64" s="1518"/>
      <c r="AS64" s="1518"/>
      <c r="AT64" s="1755" t="s">
        <v>164</v>
      </c>
      <c r="AU64" s="1755"/>
      <c r="AV64" s="1518"/>
      <c r="AW64" s="1518"/>
      <c r="AX64" s="1755" t="s">
        <v>165</v>
      </c>
      <c r="AY64" s="1755"/>
      <c r="AZ64" s="1518"/>
      <c r="BA64" s="1518"/>
      <c r="BB64" s="1755" t="s">
        <v>166</v>
      </c>
      <c r="BC64" s="1755"/>
      <c r="BD64" s="414"/>
      <c r="BE64" s="414"/>
      <c r="BF64" s="1755" t="s">
        <v>167</v>
      </c>
      <c r="BG64" s="1755"/>
      <c r="BH64" s="1518"/>
      <c r="BI64" s="414"/>
      <c r="BJ64" s="1755" t="s">
        <v>168</v>
      </c>
      <c r="BK64" s="1755"/>
      <c r="BL64" s="1755"/>
      <c r="BM64" s="1755"/>
      <c r="BN64" s="1755" t="s">
        <v>169</v>
      </c>
      <c r="BO64" s="1755"/>
      <c r="BP64" s="1755"/>
      <c r="BQ64" s="1755"/>
      <c r="BR64" s="1755" t="s">
        <v>170</v>
      </c>
      <c r="BS64" s="1755"/>
      <c r="BT64" s="414"/>
      <c r="BU64" s="414"/>
      <c r="BV64" s="1755" t="s">
        <v>171</v>
      </c>
      <c r="BW64" s="1755"/>
      <c r="BX64" s="1755"/>
      <c r="BY64" s="1755"/>
      <c r="BZ64" s="1755" t="s">
        <v>172</v>
      </c>
      <c r="CA64" s="1755"/>
      <c r="CB64" s="1755"/>
      <c r="CC64" s="1755"/>
      <c r="CD64" s="1755" t="s">
        <v>173</v>
      </c>
      <c r="CE64" s="1755"/>
      <c r="CF64" s="414"/>
      <c r="CG64" s="414"/>
      <c r="CH64" s="1755" t="s">
        <v>174</v>
      </c>
      <c r="CI64" s="1755"/>
      <c r="CJ64" s="1755"/>
      <c r="CK64" s="1755"/>
      <c r="CL64" s="1755" t="s">
        <v>175</v>
      </c>
      <c r="CM64" s="1755"/>
      <c r="CN64" s="1755"/>
      <c r="CO64" s="1755"/>
      <c r="CP64" s="1755" t="s">
        <v>176</v>
      </c>
      <c r="CQ64" s="1755"/>
      <c r="CR64" s="1755"/>
      <c r="CS64" s="1755"/>
      <c r="CT64" s="1755" t="s">
        <v>177</v>
      </c>
      <c r="CU64" s="1755"/>
      <c r="CV64" s="414"/>
      <c r="CW64" s="414"/>
      <c r="CX64" s="1755" t="s">
        <v>178</v>
      </c>
      <c r="CY64" s="1755"/>
      <c r="CZ64" s="414"/>
      <c r="DA64" s="414"/>
      <c r="DB64" s="1755" t="s">
        <v>179</v>
      </c>
      <c r="DC64" s="1755"/>
      <c r="DD64" s="414"/>
      <c r="DE64" s="414"/>
      <c r="DF64" s="1755" t="s">
        <v>180</v>
      </c>
      <c r="DG64" s="1755"/>
      <c r="DH64" s="414"/>
      <c r="DI64" s="414"/>
      <c r="DJ64" s="1755" t="s">
        <v>181</v>
      </c>
      <c r="DK64" s="1755"/>
      <c r="DL64" s="1755"/>
      <c r="DM64" s="1755"/>
      <c r="DN64" s="1755" t="s">
        <v>182</v>
      </c>
      <c r="DO64" s="1755"/>
      <c r="DP64" s="1755"/>
      <c r="DQ64" s="1755"/>
      <c r="DR64" s="1755"/>
      <c r="DS64" s="1755"/>
      <c r="DT64" s="1755"/>
      <c r="DU64" s="1755"/>
      <c r="DV64" s="1755"/>
      <c r="DW64" s="1755"/>
      <c r="DX64" s="414"/>
      <c r="DY64" s="414"/>
      <c r="DZ64" s="1755"/>
      <c r="EA64" s="1760"/>
      <c r="EB64" s="1760"/>
      <c r="EC64" s="257"/>
      <c r="ED64" s="258"/>
      <c r="EE64" s="1760"/>
      <c r="EF64" s="1760"/>
      <c r="EG64" s="1760"/>
      <c r="EH64" s="1760"/>
      <c r="EI64" s="244"/>
      <c r="EJ64" s="244"/>
      <c r="EK64" s="244"/>
      <c r="EL64" s="244"/>
    </row>
    <row r="65" spans="2:142" s="243" customFormat="1" ht="11.25" customHeight="1">
      <c r="B65" s="242"/>
      <c r="S65" s="430"/>
      <c r="T65" s="430"/>
      <c r="U65" s="399"/>
      <c r="V65" s="1755"/>
      <c r="W65" s="1755"/>
      <c r="X65" s="1755"/>
      <c r="Y65" s="1755"/>
      <c r="Z65" s="1755"/>
      <c r="AA65" s="1755"/>
      <c r="AB65" s="1518"/>
      <c r="AC65" s="1518"/>
      <c r="AD65" s="1755"/>
      <c r="AE65" s="1755"/>
      <c r="AF65" s="1518"/>
      <c r="AG65" s="1518"/>
      <c r="AH65" s="1755"/>
      <c r="AI65" s="1755"/>
      <c r="AJ65" s="1518"/>
      <c r="AK65" s="1518"/>
      <c r="AL65" s="1755"/>
      <c r="AM65" s="1755"/>
      <c r="AN65" s="414"/>
      <c r="AO65" s="414"/>
      <c r="AP65" s="1755"/>
      <c r="AQ65" s="1755"/>
      <c r="AR65" s="1518"/>
      <c r="AS65" s="1518"/>
      <c r="AT65" s="1755"/>
      <c r="AU65" s="1755"/>
      <c r="AV65" s="1518"/>
      <c r="AW65" s="1518"/>
      <c r="AX65" s="1755"/>
      <c r="AY65" s="1755"/>
      <c r="AZ65" s="1518"/>
      <c r="BA65" s="1518"/>
      <c r="BB65" s="1755"/>
      <c r="BC65" s="1755"/>
      <c r="BD65" s="414"/>
      <c r="BE65" s="414"/>
      <c r="BF65" s="1755"/>
      <c r="BG65" s="1755"/>
      <c r="BH65" s="1518"/>
      <c r="BI65" s="414"/>
      <c r="BJ65" s="1755"/>
      <c r="BK65" s="1755"/>
      <c r="BL65" s="1755"/>
      <c r="BM65" s="1755"/>
      <c r="BN65" s="1755"/>
      <c r="BO65" s="1755"/>
      <c r="BP65" s="1755"/>
      <c r="BQ65" s="1755"/>
      <c r="BR65" s="1755"/>
      <c r="BS65" s="1755"/>
      <c r="BT65" s="414"/>
      <c r="BU65" s="414"/>
      <c r="BV65" s="1755"/>
      <c r="BW65" s="1755"/>
      <c r="BX65" s="1755"/>
      <c r="BY65" s="1755"/>
      <c r="BZ65" s="1755"/>
      <c r="CA65" s="1755"/>
      <c r="CB65" s="1755"/>
      <c r="CC65" s="1755"/>
      <c r="CD65" s="1755"/>
      <c r="CE65" s="1755"/>
      <c r="CF65" s="414"/>
      <c r="CG65" s="414"/>
      <c r="CH65" s="1755"/>
      <c r="CI65" s="1755"/>
      <c r="CJ65" s="1755"/>
      <c r="CK65" s="1755"/>
      <c r="CL65" s="1755"/>
      <c r="CM65" s="1755"/>
      <c r="CN65" s="1755"/>
      <c r="CO65" s="1755"/>
      <c r="CP65" s="1755"/>
      <c r="CQ65" s="1755"/>
      <c r="CR65" s="1755"/>
      <c r="CS65" s="1755"/>
      <c r="CT65" s="1755"/>
      <c r="CU65" s="1755"/>
      <c r="CV65" s="414"/>
      <c r="CW65" s="414"/>
      <c r="CX65" s="1755"/>
      <c r="CY65" s="1755"/>
      <c r="CZ65" s="414"/>
      <c r="DA65" s="414"/>
      <c r="DB65" s="1755"/>
      <c r="DC65" s="1755"/>
      <c r="DD65" s="414"/>
      <c r="DE65" s="414"/>
      <c r="DF65" s="1755"/>
      <c r="DG65" s="1755"/>
      <c r="DH65" s="414"/>
      <c r="DI65" s="414"/>
      <c r="DJ65" s="1755"/>
      <c r="DK65" s="1755"/>
      <c r="DL65" s="1755"/>
      <c r="DM65" s="1755"/>
      <c r="DN65" s="1755"/>
      <c r="DO65" s="1755"/>
      <c r="DP65" s="1755"/>
      <c r="DQ65" s="1755"/>
      <c r="DR65" s="1755"/>
      <c r="DS65" s="1755"/>
      <c r="DT65" s="1755"/>
      <c r="DU65" s="1755"/>
      <c r="DV65" s="1755"/>
      <c r="DW65" s="1755"/>
      <c r="DX65" s="414"/>
      <c r="DY65" s="414"/>
      <c r="DZ65" s="1755"/>
      <c r="EA65" s="1760"/>
      <c r="EB65" s="1760"/>
      <c r="EC65" s="257"/>
      <c r="ED65" s="258"/>
      <c r="EE65" s="1760"/>
      <c r="EF65" s="1760"/>
      <c r="EG65" s="1760"/>
      <c r="EH65" s="1760"/>
      <c r="EI65" s="244"/>
      <c r="EJ65" s="244"/>
      <c r="EK65" s="244"/>
      <c r="EL65" s="244"/>
    </row>
    <row r="66" spans="2:142" s="243" customFormat="1" ht="11.25" customHeight="1">
      <c r="B66" s="242"/>
      <c r="O66" s="1761" t="s">
        <v>1358</v>
      </c>
      <c r="P66" s="1761"/>
      <c r="Q66" s="1761"/>
      <c r="R66" s="1761"/>
      <c r="S66" s="1761"/>
      <c r="T66" s="1761"/>
      <c r="U66" s="399"/>
      <c r="V66" s="1755"/>
      <c r="W66" s="1755"/>
      <c r="X66" s="1755"/>
      <c r="Y66" s="1755"/>
      <c r="Z66" s="1755"/>
      <c r="AA66" s="1755"/>
      <c r="AB66" s="1518"/>
      <c r="AC66" s="1518"/>
      <c r="AD66" s="1755"/>
      <c r="AE66" s="1755"/>
      <c r="AF66" s="1518"/>
      <c r="AG66" s="1518"/>
      <c r="AH66" s="1755"/>
      <c r="AI66" s="1755"/>
      <c r="AJ66" s="1518"/>
      <c r="AK66" s="1518"/>
      <c r="AL66" s="1755"/>
      <c r="AM66" s="1755"/>
      <c r="AN66" s="414"/>
      <c r="AO66" s="414"/>
      <c r="AP66" s="1755"/>
      <c r="AQ66" s="1755"/>
      <c r="AR66" s="1518"/>
      <c r="AS66" s="1518"/>
      <c r="AT66" s="1755"/>
      <c r="AU66" s="1755"/>
      <c r="AV66" s="1518"/>
      <c r="AW66" s="1518"/>
      <c r="AX66" s="1755"/>
      <c r="AY66" s="1755"/>
      <c r="AZ66" s="1518"/>
      <c r="BA66" s="1518"/>
      <c r="BB66" s="1755"/>
      <c r="BC66" s="1755"/>
      <c r="BD66" s="414"/>
      <c r="BE66" s="414"/>
      <c r="BF66" s="1755"/>
      <c r="BG66" s="1755"/>
      <c r="BH66" s="1518"/>
      <c r="BI66" s="414"/>
      <c r="BJ66" s="1755"/>
      <c r="BK66" s="1755"/>
      <c r="BL66" s="1755"/>
      <c r="BM66" s="1755"/>
      <c r="BN66" s="1755"/>
      <c r="BO66" s="1755"/>
      <c r="BP66" s="1755"/>
      <c r="BQ66" s="1755"/>
      <c r="BR66" s="1755"/>
      <c r="BS66" s="1755"/>
      <c r="BT66" s="414"/>
      <c r="BU66" s="414"/>
      <c r="BV66" s="1755"/>
      <c r="BW66" s="1755"/>
      <c r="BX66" s="1755"/>
      <c r="BY66" s="1755"/>
      <c r="BZ66" s="1755"/>
      <c r="CA66" s="1755"/>
      <c r="CB66" s="1755"/>
      <c r="CC66" s="1755"/>
      <c r="CD66" s="1755"/>
      <c r="CE66" s="1755"/>
      <c r="CF66" s="414"/>
      <c r="CG66" s="414"/>
      <c r="CH66" s="1755"/>
      <c r="CI66" s="1755"/>
      <c r="CJ66" s="1755"/>
      <c r="CK66" s="1755"/>
      <c r="CL66" s="1755"/>
      <c r="CM66" s="1755"/>
      <c r="CN66" s="1755"/>
      <c r="CO66" s="1755"/>
      <c r="CP66" s="1755"/>
      <c r="CQ66" s="1755"/>
      <c r="CR66" s="1755"/>
      <c r="CS66" s="1755"/>
      <c r="CT66" s="1755"/>
      <c r="CU66" s="1755"/>
      <c r="CV66" s="414"/>
      <c r="CW66" s="414"/>
      <c r="CX66" s="1755"/>
      <c r="CY66" s="1755"/>
      <c r="CZ66" s="414"/>
      <c r="DA66" s="414"/>
      <c r="DB66" s="1755"/>
      <c r="DC66" s="1755"/>
      <c r="DD66" s="414"/>
      <c r="DE66" s="414"/>
      <c r="DF66" s="1755"/>
      <c r="DG66" s="1755"/>
      <c r="DH66" s="414"/>
      <c r="DI66" s="414"/>
      <c r="DJ66" s="1755"/>
      <c r="DK66" s="1755"/>
      <c r="DL66" s="1755"/>
      <c r="DM66" s="1755"/>
      <c r="DN66" s="1755"/>
      <c r="DO66" s="1755"/>
      <c r="DP66" s="1755"/>
      <c r="DQ66" s="1755"/>
      <c r="DR66" s="1755"/>
      <c r="DS66" s="1755"/>
      <c r="DT66" s="1755"/>
      <c r="DU66" s="1755"/>
      <c r="DV66" s="1755"/>
      <c r="DW66" s="1755"/>
      <c r="DX66" s="414"/>
      <c r="DY66" s="414"/>
      <c r="DZ66" s="1755"/>
      <c r="EA66" s="1760"/>
      <c r="EB66" s="1760"/>
      <c r="EC66" s="257"/>
      <c r="ED66" s="258"/>
      <c r="EE66" s="1760"/>
      <c r="EF66" s="1760"/>
      <c r="EG66" s="1760"/>
      <c r="EH66" s="1760"/>
      <c r="EI66" s="244"/>
      <c r="EJ66" s="244"/>
      <c r="EK66" s="244"/>
      <c r="EL66" s="244"/>
    </row>
    <row r="67" spans="2:142" s="221" customFormat="1" ht="11.25" customHeight="1">
      <c r="B67" s="222"/>
      <c r="O67" s="1761"/>
      <c r="P67" s="1761"/>
      <c r="Q67" s="1761"/>
      <c r="R67" s="1761"/>
      <c r="S67" s="1761"/>
      <c r="T67" s="1761"/>
      <c r="U67" s="364"/>
      <c r="V67" s="1755"/>
      <c r="W67" s="1755"/>
      <c r="X67" s="1755"/>
      <c r="Y67" s="1755"/>
      <c r="Z67" s="1755"/>
      <c r="AA67" s="1755"/>
      <c r="AB67" s="1518"/>
      <c r="AC67" s="1518"/>
      <c r="AD67" s="1755"/>
      <c r="AE67" s="1755"/>
      <c r="AF67" s="1518"/>
      <c r="AG67" s="1518"/>
      <c r="AH67" s="1755"/>
      <c r="AI67" s="1755"/>
      <c r="AJ67" s="1518"/>
      <c r="AK67" s="1518"/>
      <c r="AL67" s="1755"/>
      <c r="AM67" s="1755"/>
      <c r="AN67" s="414"/>
      <c r="AO67" s="414"/>
      <c r="AP67" s="1755"/>
      <c r="AQ67" s="1755"/>
      <c r="AR67" s="1518"/>
      <c r="AS67" s="1518"/>
      <c r="AT67" s="1755"/>
      <c r="AU67" s="1755"/>
      <c r="AV67" s="1518"/>
      <c r="AW67" s="1518"/>
      <c r="AX67" s="1755"/>
      <c r="AY67" s="1755"/>
      <c r="AZ67" s="1518"/>
      <c r="BA67" s="1518"/>
      <c r="BB67" s="1755"/>
      <c r="BC67" s="1755"/>
      <c r="BD67" s="414"/>
      <c r="BE67" s="414"/>
      <c r="BF67" s="1755"/>
      <c r="BG67" s="1755"/>
      <c r="BH67" s="1518"/>
      <c r="BI67" s="414"/>
      <c r="BJ67" s="1755"/>
      <c r="BK67" s="1755"/>
      <c r="BL67" s="1755"/>
      <c r="BM67" s="1755"/>
      <c r="BN67" s="1755"/>
      <c r="BO67" s="1755"/>
      <c r="BP67" s="1755"/>
      <c r="BQ67" s="1755"/>
      <c r="BR67" s="1755"/>
      <c r="BS67" s="1755"/>
      <c r="BT67" s="414"/>
      <c r="BU67" s="414"/>
      <c r="BV67" s="1755"/>
      <c r="BW67" s="1755"/>
      <c r="BX67" s="1755"/>
      <c r="BY67" s="1755"/>
      <c r="BZ67" s="1755"/>
      <c r="CA67" s="1755"/>
      <c r="CB67" s="1755"/>
      <c r="CC67" s="1755"/>
      <c r="CD67" s="1755"/>
      <c r="CE67" s="1755"/>
      <c r="CF67" s="414"/>
      <c r="CG67" s="414"/>
      <c r="CH67" s="1755"/>
      <c r="CI67" s="1755"/>
      <c r="CJ67" s="1755"/>
      <c r="CK67" s="1755"/>
      <c r="CL67" s="1755"/>
      <c r="CM67" s="1755"/>
      <c r="CN67" s="1755"/>
      <c r="CO67" s="1755"/>
      <c r="CP67" s="1755"/>
      <c r="CQ67" s="1755"/>
      <c r="CR67" s="1755"/>
      <c r="CS67" s="1755"/>
      <c r="CT67" s="1755"/>
      <c r="CU67" s="1755"/>
      <c r="CV67" s="414"/>
      <c r="CW67" s="414"/>
      <c r="CX67" s="1755"/>
      <c r="CY67" s="1755"/>
      <c r="CZ67" s="414"/>
      <c r="DA67" s="414"/>
      <c r="DB67" s="1755"/>
      <c r="DC67" s="1755"/>
      <c r="DD67" s="414"/>
      <c r="DE67" s="414"/>
      <c r="DF67" s="1755"/>
      <c r="DG67" s="1755"/>
      <c r="DH67" s="414"/>
      <c r="DI67" s="414"/>
      <c r="DJ67" s="1755"/>
      <c r="DK67" s="1755"/>
      <c r="DL67" s="1755"/>
      <c r="DM67" s="1755"/>
      <c r="DN67" s="1755"/>
      <c r="DO67" s="1755"/>
      <c r="DP67" s="1755"/>
      <c r="DQ67" s="1755"/>
      <c r="DR67" s="1755"/>
      <c r="DS67" s="1755"/>
      <c r="DT67" s="1755"/>
      <c r="DU67" s="1755"/>
      <c r="DV67" s="1755"/>
      <c r="DW67" s="1755"/>
      <c r="DX67" s="414"/>
      <c r="DY67" s="414"/>
      <c r="DZ67" s="1755"/>
      <c r="EA67" s="1760"/>
      <c r="EB67" s="1760"/>
      <c r="EC67" s="257"/>
      <c r="ED67" s="258"/>
      <c r="EE67" s="1760"/>
      <c r="EF67" s="1760"/>
      <c r="EG67" s="1760"/>
      <c r="EH67" s="1760"/>
    </row>
    <row r="68" spans="2:142" s="221" customFormat="1" ht="11.25" customHeight="1">
      <c r="B68" s="222"/>
      <c r="S68" s="430"/>
      <c r="T68" s="430"/>
      <c r="U68" s="364"/>
      <c r="V68" s="1755"/>
      <c r="W68" s="1755"/>
      <c r="X68" s="1755"/>
      <c r="Y68" s="1755"/>
      <c r="Z68" s="1755"/>
      <c r="AA68" s="1755"/>
      <c r="AB68" s="1518"/>
      <c r="AC68" s="1518"/>
      <c r="AD68" s="1755"/>
      <c r="AE68" s="1755"/>
      <c r="AF68" s="1518"/>
      <c r="AG68" s="1518"/>
      <c r="AH68" s="1755"/>
      <c r="AI68" s="1755"/>
      <c r="AJ68" s="1518"/>
      <c r="AK68" s="1518"/>
      <c r="AL68" s="1755"/>
      <c r="AM68" s="1755"/>
      <c r="AN68" s="414"/>
      <c r="AO68" s="414"/>
      <c r="AP68" s="1755"/>
      <c r="AQ68" s="1755"/>
      <c r="AR68" s="1518"/>
      <c r="AS68" s="1518"/>
      <c r="AT68" s="1755"/>
      <c r="AU68" s="1755"/>
      <c r="AV68" s="1518"/>
      <c r="AW68" s="1518"/>
      <c r="AX68" s="1755"/>
      <c r="AY68" s="1755"/>
      <c r="AZ68" s="1518"/>
      <c r="BA68" s="1518"/>
      <c r="BB68" s="1755"/>
      <c r="BC68" s="1755"/>
      <c r="BD68" s="414"/>
      <c r="BE68" s="414"/>
      <c r="BF68" s="1755"/>
      <c r="BG68" s="1755"/>
      <c r="BH68" s="1518"/>
      <c r="BI68" s="414"/>
      <c r="BJ68" s="1755"/>
      <c r="BK68" s="1755"/>
      <c r="BL68" s="1755"/>
      <c r="BM68" s="1755"/>
      <c r="BN68" s="1755"/>
      <c r="BO68" s="1755"/>
      <c r="BP68" s="1755"/>
      <c r="BQ68" s="1755"/>
      <c r="BR68" s="1755"/>
      <c r="BS68" s="1755"/>
      <c r="BT68" s="414"/>
      <c r="BU68" s="414"/>
      <c r="BV68" s="1755"/>
      <c r="BW68" s="1755"/>
      <c r="BX68" s="1755"/>
      <c r="BY68" s="1755"/>
      <c r="BZ68" s="1755"/>
      <c r="CA68" s="1755"/>
      <c r="CB68" s="1755"/>
      <c r="CC68" s="1755"/>
      <c r="CD68" s="1755"/>
      <c r="CE68" s="1755"/>
      <c r="CF68" s="414"/>
      <c r="CG68" s="414"/>
      <c r="CH68" s="1755"/>
      <c r="CI68" s="1755"/>
      <c r="CJ68" s="1755"/>
      <c r="CK68" s="1755"/>
      <c r="CL68" s="1755"/>
      <c r="CM68" s="1755"/>
      <c r="CN68" s="1755"/>
      <c r="CO68" s="1755"/>
      <c r="CP68" s="1755"/>
      <c r="CQ68" s="1755"/>
      <c r="CR68" s="1755"/>
      <c r="CS68" s="1755"/>
      <c r="CT68" s="1755"/>
      <c r="CU68" s="1755"/>
      <c r="CV68" s="414"/>
      <c r="CW68" s="414"/>
      <c r="CX68" s="1755"/>
      <c r="CY68" s="1755"/>
      <c r="CZ68" s="414"/>
      <c r="DA68" s="414"/>
      <c r="DB68" s="1755"/>
      <c r="DC68" s="1755"/>
      <c r="DD68" s="414"/>
      <c r="DE68" s="414"/>
      <c r="DF68" s="1755"/>
      <c r="DG68" s="1755"/>
      <c r="DH68" s="414"/>
      <c r="DI68" s="414"/>
      <c r="DJ68" s="1755"/>
      <c r="DK68" s="1755"/>
      <c r="DL68" s="1755"/>
      <c r="DM68" s="1755"/>
      <c r="DN68" s="1755"/>
      <c r="DO68" s="1755"/>
      <c r="DP68" s="1755"/>
      <c r="DQ68" s="1755"/>
      <c r="DR68" s="1755"/>
      <c r="DS68" s="1755"/>
      <c r="DT68" s="1755"/>
      <c r="DU68" s="1755"/>
      <c r="DV68" s="1755"/>
      <c r="DW68" s="1755"/>
      <c r="DX68" s="414"/>
      <c r="DY68" s="414"/>
      <c r="DZ68" s="1755"/>
      <c r="EA68" s="1760"/>
      <c r="EB68" s="1760"/>
      <c r="EC68" s="257"/>
      <c r="ED68" s="258"/>
      <c r="EE68" s="1760"/>
      <c r="EF68" s="1760"/>
      <c r="EG68" s="1760"/>
      <c r="EH68" s="1760"/>
    </row>
    <row r="69" spans="2:142" s="221" customFormat="1" ht="11.25" customHeight="1">
      <c r="B69" s="222"/>
      <c r="S69" s="430"/>
      <c r="T69" s="430"/>
      <c r="U69" s="364"/>
      <c r="V69" s="1755"/>
      <c r="W69" s="1755"/>
      <c r="X69" s="1755"/>
      <c r="Y69" s="1755"/>
      <c r="Z69" s="1755"/>
      <c r="AA69" s="1755"/>
      <c r="AB69" s="1518"/>
      <c r="AC69" s="1518"/>
      <c r="AD69" s="1755"/>
      <c r="AE69" s="1755"/>
      <c r="AF69" s="1518"/>
      <c r="AG69" s="1518"/>
      <c r="AH69" s="1755"/>
      <c r="AI69" s="1755"/>
      <c r="AJ69" s="1518"/>
      <c r="AK69" s="1518"/>
      <c r="AL69" s="1755"/>
      <c r="AM69" s="1755"/>
      <c r="AN69" s="414"/>
      <c r="AO69" s="414"/>
      <c r="AP69" s="1755"/>
      <c r="AQ69" s="1755"/>
      <c r="AR69" s="1518"/>
      <c r="AS69" s="1518"/>
      <c r="AT69" s="1755"/>
      <c r="AU69" s="1755"/>
      <c r="AV69" s="1518"/>
      <c r="AW69" s="1518"/>
      <c r="AX69" s="1755"/>
      <c r="AY69" s="1755"/>
      <c r="AZ69" s="1518"/>
      <c r="BA69" s="1518"/>
      <c r="BB69" s="1755"/>
      <c r="BC69" s="1755"/>
      <c r="BD69" s="414"/>
      <c r="BE69" s="414"/>
      <c r="BF69" s="1755"/>
      <c r="BG69" s="1755"/>
      <c r="BH69" s="1518"/>
      <c r="BI69" s="414"/>
      <c r="BJ69" s="1755"/>
      <c r="BK69" s="1755"/>
      <c r="BL69" s="1755"/>
      <c r="BM69" s="1755"/>
      <c r="BN69" s="1755"/>
      <c r="BO69" s="1755"/>
      <c r="BP69" s="1755"/>
      <c r="BQ69" s="1755"/>
      <c r="BR69" s="1755"/>
      <c r="BS69" s="1755"/>
      <c r="BT69" s="414"/>
      <c r="BU69" s="414"/>
      <c r="BV69" s="1755"/>
      <c r="BW69" s="1755"/>
      <c r="BX69" s="1755"/>
      <c r="BY69" s="1755"/>
      <c r="BZ69" s="1755"/>
      <c r="CA69" s="1755"/>
      <c r="CB69" s="1755"/>
      <c r="CC69" s="1755"/>
      <c r="CD69" s="1755"/>
      <c r="CE69" s="1755"/>
      <c r="CF69" s="414"/>
      <c r="CG69" s="414"/>
      <c r="CH69" s="1755"/>
      <c r="CI69" s="1755"/>
      <c r="CJ69" s="1755"/>
      <c r="CK69" s="1755"/>
      <c r="CL69" s="1755"/>
      <c r="CM69" s="1755"/>
      <c r="CN69" s="1755"/>
      <c r="CO69" s="1755"/>
      <c r="CP69" s="1755"/>
      <c r="CQ69" s="1755"/>
      <c r="CR69" s="1755"/>
      <c r="CS69" s="1755"/>
      <c r="CT69" s="1755"/>
      <c r="CU69" s="1755"/>
      <c r="CV69" s="414"/>
      <c r="CW69" s="414"/>
      <c r="CX69" s="1755"/>
      <c r="CY69" s="1755"/>
      <c r="CZ69" s="414"/>
      <c r="DA69" s="414"/>
      <c r="DB69" s="1755"/>
      <c r="DC69" s="1755"/>
      <c r="DD69" s="414"/>
      <c r="DE69" s="414"/>
      <c r="DF69" s="1755"/>
      <c r="DG69" s="1755"/>
      <c r="DH69" s="414"/>
      <c r="DI69" s="414"/>
      <c r="DJ69" s="1755"/>
      <c r="DK69" s="1755"/>
      <c r="DL69" s="1755"/>
      <c r="DM69" s="1755"/>
      <c r="DN69" s="1755"/>
      <c r="DO69" s="1755"/>
      <c r="DP69" s="1755"/>
      <c r="DQ69" s="1755"/>
      <c r="DR69" s="1755"/>
      <c r="DS69" s="1755"/>
      <c r="DT69" s="1755"/>
      <c r="DU69" s="1755"/>
      <c r="DV69" s="1755"/>
      <c r="DW69" s="1755"/>
      <c r="DX69" s="414"/>
      <c r="DY69" s="414"/>
      <c r="DZ69" s="1755"/>
      <c r="EA69" s="1760"/>
      <c r="EB69" s="1760"/>
      <c r="EC69" s="257"/>
      <c r="ED69" s="258"/>
      <c r="EE69" s="1760"/>
      <c r="EF69" s="1760"/>
      <c r="EG69" s="1760"/>
      <c r="EH69" s="1760"/>
    </row>
    <row r="70" spans="2:142" s="221" customFormat="1" ht="11.25" customHeight="1">
      <c r="B70" s="222"/>
      <c r="S70" s="430"/>
      <c r="T70" s="430"/>
      <c r="U70" s="364"/>
      <c r="V70" s="364"/>
      <c r="W70" s="364"/>
      <c r="X70" s="364"/>
      <c r="Y70" s="364"/>
      <c r="Z70" s="364"/>
      <c r="AA70" s="364"/>
      <c r="AB70" s="364"/>
      <c r="AC70" s="364"/>
      <c r="AD70" s="364"/>
      <c r="AE70" s="364"/>
      <c r="AF70" s="364"/>
      <c r="AG70" s="364"/>
      <c r="AH70" s="364"/>
      <c r="AI70" s="364"/>
      <c r="AJ70" s="364"/>
      <c r="AK70" s="364"/>
      <c r="AL70" s="364"/>
      <c r="AM70" s="415"/>
      <c r="AN70" s="380"/>
      <c r="AO70" s="380"/>
      <c r="AP70" s="380"/>
      <c r="AQ70" s="380"/>
      <c r="AR70" s="380"/>
      <c r="AS70" s="380"/>
      <c r="AT70" s="380"/>
      <c r="AU70" s="380"/>
      <c r="AV70" s="380"/>
      <c r="AW70" s="380"/>
      <c r="AX70" s="364"/>
      <c r="AY70" s="364"/>
      <c r="AZ70" s="415"/>
      <c r="BA70" s="380"/>
      <c r="BB70" s="380"/>
      <c r="BC70" s="380"/>
      <c r="BD70" s="380"/>
      <c r="BE70" s="380"/>
      <c r="BF70" s="380"/>
      <c r="BG70" s="380"/>
      <c r="BH70" s="380"/>
      <c r="BI70" s="380"/>
      <c r="BJ70" s="380"/>
      <c r="BK70" s="380"/>
      <c r="BL70" s="364"/>
      <c r="BM70" s="259"/>
      <c r="BN70" s="364"/>
      <c r="BO70" s="415"/>
      <c r="BP70" s="415"/>
      <c r="BQ70" s="380"/>
      <c r="BR70" s="380"/>
      <c r="BS70" s="380"/>
      <c r="BT70" s="380"/>
      <c r="BU70" s="380"/>
      <c r="BV70" s="380"/>
      <c r="BW70" s="380"/>
      <c r="BX70" s="380"/>
      <c r="BY70" s="380"/>
      <c r="BZ70" s="380"/>
      <c r="CA70" s="380"/>
      <c r="CB70" s="364"/>
      <c r="CC70" s="415"/>
      <c r="CD70" s="415"/>
      <c r="CE70" s="380"/>
      <c r="CF70" s="380"/>
      <c r="CG70" s="380"/>
      <c r="CH70" s="380"/>
      <c r="CI70" s="380"/>
      <c r="CJ70" s="380"/>
      <c r="CK70" s="380"/>
      <c r="CL70" s="380"/>
      <c r="CM70" s="380"/>
      <c r="CN70" s="380"/>
      <c r="CO70" s="380"/>
      <c r="CP70" s="380"/>
      <c r="CQ70" s="380"/>
      <c r="CR70" s="380"/>
      <c r="CS70" s="380"/>
      <c r="CT70" s="380"/>
      <c r="CU70" s="380"/>
      <c r="CV70" s="380"/>
      <c r="CW70" s="380"/>
      <c r="CX70" s="380"/>
      <c r="CY70" s="380"/>
      <c r="CZ70" s="380"/>
      <c r="DA70" s="380"/>
      <c r="DB70" s="380"/>
      <c r="DC70" s="380"/>
      <c r="DD70" s="380"/>
      <c r="DE70" s="380"/>
      <c r="DF70" s="380"/>
      <c r="DG70" s="380"/>
      <c r="DH70" s="380"/>
      <c r="DI70" s="380"/>
      <c r="DJ70" s="380"/>
      <c r="DK70" s="380"/>
      <c r="DL70" s="380"/>
      <c r="DM70" s="380"/>
      <c r="DN70" s="380"/>
      <c r="DP70" s="364"/>
      <c r="DQ70" s="415"/>
      <c r="DR70" s="380"/>
      <c r="DS70" s="380"/>
      <c r="DT70" s="380"/>
      <c r="DU70" s="380"/>
      <c r="DV70" s="380"/>
      <c r="DW70" s="380"/>
      <c r="DX70" s="380"/>
      <c r="DY70" s="380"/>
      <c r="DZ70" s="380"/>
      <c r="EA70" s="380"/>
      <c r="EC70" s="234"/>
    </row>
    <row r="71" spans="2:142" s="221" customFormat="1" ht="11.25" customHeight="1">
      <c r="B71" s="222"/>
      <c r="S71" s="430"/>
      <c r="T71" s="430"/>
      <c r="U71" s="364"/>
      <c r="V71" s="364"/>
      <c r="W71" s="364"/>
      <c r="X71" s="364"/>
      <c r="Y71" s="364"/>
      <c r="Z71" s="364"/>
      <c r="AA71" s="364"/>
      <c r="AB71" s="364"/>
      <c r="AC71" s="364"/>
      <c r="AD71" s="364"/>
      <c r="AE71" s="364"/>
      <c r="AF71" s="364"/>
      <c r="AG71" s="364"/>
      <c r="AH71" s="364"/>
      <c r="AI71" s="364"/>
      <c r="AJ71" s="364"/>
      <c r="AK71" s="364"/>
      <c r="AL71" s="364"/>
      <c r="AM71" s="415"/>
      <c r="AN71" s="380"/>
      <c r="AO71" s="380"/>
      <c r="AP71" s="380"/>
      <c r="AQ71" s="380"/>
      <c r="AR71" s="380"/>
      <c r="AS71" s="380"/>
      <c r="AT71" s="380"/>
      <c r="AU71" s="380"/>
      <c r="AV71" s="380"/>
      <c r="AW71" s="380"/>
      <c r="AX71" s="364"/>
      <c r="AY71" s="364"/>
      <c r="AZ71" s="364"/>
      <c r="BA71" s="380"/>
      <c r="BB71" s="380"/>
      <c r="BC71" s="380"/>
      <c r="BD71" s="380"/>
      <c r="BE71" s="380"/>
      <c r="BF71" s="380"/>
      <c r="BG71" s="380"/>
      <c r="BH71" s="380"/>
      <c r="BI71" s="416"/>
      <c r="BU71" s="380"/>
      <c r="BV71" s="380"/>
      <c r="BW71" s="380"/>
      <c r="BX71" s="380"/>
      <c r="DK71" s="380"/>
      <c r="DL71" s="380"/>
      <c r="DM71" s="380"/>
      <c r="DN71" s="380"/>
      <c r="DP71" s="364"/>
      <c r="DQ71" s="364"/>
      <c r="DR71" s="380"/>
      <c r="DS71" s="380"/>
      <c r="DT71" s="380"/>
      <c r="DU71" s="380"/>
      <c r="DV71" s="380"/>
      <c r="DW71" s="380"/>
      <c r="DX71" s="380"/>
      <c r="DY71" s="380"/>
      <c r="DZ71" s="380"/>
      <c r="EA71" s="380"/>
      <c r="EC71" s="234"/>
    </row>
    <row r="72" spans="2:142" s="221" customFormat="1" ht="11.25" customHeight="1">
      <c r="B72" s="222"/>
      <c r="S72" s="430"/>
      <c r="T72" s="430"/>
      <c r="U72" s="364"/>
      <c r="V72" s="1721"/>
      <c r="W72" s="1721"/>
      <c r="X72" s="1721"/>
      <c r="Y72" s="1721"/>
      <c r="Z72" s="1721"/>
      <c r="AA72" s="364"/>
      <c r="AB72" s="364"/>
      <c r="AC72" s="364"/>
      <c r="AD72" s="364"/>
      <c r="AE72" s="364"/>
      <c r="AF72" s="364"/>
      <c r="AG72" s="364"/>
      <c r="AH72" s="364"/>
      <c r="AI72" s="364"/>
      <c r="AJ72" s="364"/>
      <c r="AK72" s="364"/>
      <c r="AL72" s="364"/>
      <c r="AM72" s="415"/>
      <c r="BU72" s="380"/>
      <c r="BV72" s="380"/>
      <c r="BW72" s="380"/>
      <c r="BX72" s="380"/>
      <c r="BY72" s="380"/>
      <c r="BZ72" s="380"/>
      <c r="CA72" s="380"/>
      <c r="CB72" s="364"/>
      <c r="CC72" s="415"/>
      <c r="CD72" s="364"/>
      <c r="CE72" s="380"/>
      <c r="CF72" s="380"/>
      <c r="CG72" s="380"/>
      <c r="CH72" s="380"/>
      <c r="CI72" s="380"/>
      <c r="CJ72" s="380"/>
      <c r="CK72" s="380"/>
      <c r="CL72" s="380"/>
      <c r="CM72" s="380"/>
      <c r="CN72" s="380"/>
      <c r="CO72" s="380"/>
      <c r="CP72" s="380"/>
      <c r="CQ72" s="380"/>
      <c r="CR72" s="380"/>
      <c r="CS72" s="380"/>
      <c r="CT72" s="380"/>
      <c r="CU72" s="380"/>
      <c r="CV72" s="380"/>
      <c r="CW72" s="380"/>
      <c r="CX72" s="380"/>
      <c r="CY72" s="380"/>
      <c r="CZ72" s="380"/>
      <c r="DA72" s="380"/>
      <c r="DB72" s="380"/>
      <c r="DC72" s="380"/>
      <c r="DD72" s="380"/>
      <c r="DE72" s="380"/>
      <c r="DF72" s="380"/>
      <c r="DG72" s="380"/>
      <c r="DH72" s="380"/>
      <c r="DI72" s="380"/>
      <c r="DJ72" s="380"/>
      <c r="DK72" s="380"/>
      <c r="DL72" s="380"/>
      <c r="DM72" s="380"/>
      <c r="DN72" s="380"/>
      <c r="DP72" s="364"/>
      <c r="DQ72" s="364"/>
      <c r="DR72" s="380"/>
      <c r="DS72" s="380"/>
      <c r="DT72" s="380"/>
      <c r="DU72" s="380"/>
      <c r="DV72" s="380"/>
      <c r="DW72" s="380"/>
      <c r="DX72" s="380"/>
      <c r="DY72" s="380"/>
      <c r="DZ72" s="380"/>
      <c r="EA72" s="380"/>
      <c r="EC72" s="234"/>
    </row>
    <row r="73" spans="2:142" s="221" customFormat="1" ht="11.25" customHeight="1">
      <c r="B73" s="222"/>
      <c r="S73" s="430"/>
      <c r="T73" s="430"/>
      <c r="V73" s="1721"/>
      <c r="W73" s="1721"/>
      <c r="X73" s="1721"/>
      <c r="Y73" s="1721"/>
      <c r="Z73" s="1721"/>
      <c r="AH73" s="375"/>
      <c r="AI73" s="375"/>
      <c r="AJ73" s="375"/>
      <c r="AK73" s="375"/>
      <c r="AL73" s="375"/>
      <c r="AM73" s="375"/>
      <c r="AN73" s="375"/>
      <c r="AO73" s="375"/>
      <c r="AP73" s="375"/>
      <c r="AQ73" s="375"/>
      <c r="AR73" s="375"/>
      <c r="AS73" s="375"/>
      <c r="AT73" s="375"/>
      <c r="AU73" s="375"/>
      <c r="AV73" s="375"/>
      <c r="AW73" s="375"/>
      <c r="AX73" s="375"/>
      <c r="AY73" s="375"/>
      <c r="AZ73" s="375"/>
      <c r="BR73" s="380"/>
      <c r="BS73" s="380"/>
      <c r="BT73" s="380"/>
      <c r="BU73" s="380"/>
      <c r="BV73" s="380"/>
      <c r="BW73" s="380"/>
      <c r="BX73" s="380"/>
      <c r="BY73" s="380"/>
      <c r="BZ73" s="380"/>
      <c r="CA73" s="380"/>
      <c r="CB73" s="364"/>
      <c r="CC73" s="415"/>
      <c r="CD73" s="364"/>
      <c r="CE73" s="380"/>
      <c r="CF73" s="380"/>
      <c r="CG73" s="380"/>
      <c r="CH73" s="380"/>
      <c r="CI73" s="380"/>
      <c r="CJ73" s="380"/>
      <c r="CK73" s="380"/>
      <c r="CL73" s="380"/>
      <c r="CM73" s="380"/>
      <c r="CN73" s="380"/>
      <c r="CO73" s="380"/>
      <c r="CP73" s="380"/>
      <c r="CQ73" s="380"/>
      <c r="CR73" s="380"/>
      <c r="CS73" s="380"/>
      <c r="CT73" s="380"/>
      <c r="CU73" s="380"/>
      <c r="CV73" s="380"/>
      <c r="CW73" s="380"/>
      <c r="CX73" s="380"/>
      <c r="CY73" s="380"/>
      <c r="CZ73" s="380"/>
      <c r="DA73" s="380"/>
      <c r="DB73" s="380"/>
      <c r="DC73" s="380"/>
      <c r="DD73" s="380"/>
      <c r="DE73" s="380"/>
      <c r="DF73" s="380"/>
      <c r="DG73" s="380"/>
      <c r="DH73" s="380"/>
      <c r="DI73" s="380"/>
      <c r="DJ73" s="380"/>
      <c r="DK73" s="380"/>
      <c r="DL73" s="380"/>
      <c r="DM73" s="380"/>
      <c r="DN73" s="1718"/>
      <c r="DO73" s="1718"/>
      <c r="DP73" s="1718"/>
      <c r="DQ73" s="1718"/>
      <c r="DR73" s="1718"/>
      <c r="DS73" s="1718"/>
      <c r="DT73" s="1718"/>
      <c r="DU73" s="1718"/>
      <c r="DV73" s="1718"/>
      <c r="DW73" s="1718"/>
      <c r="DX73" s="1718"/>
      <c r="DY73" s="1718"/>
      <c r="DZ73" s="1718"/>
      <c r="EA73" s="1718"/>
      <c r="EC73" s="234"/>
    </row>
    <row r="74" spans="2:142" s="221" customFormat="1" ht="11.25" customHeight="1">
      <c r="B74" s="222"/>
      <c r="S74" s="430"/>
      <c r="T74" s="430"/>
      <c r="AH74" s="375"/>
      <c r="AI74" s="375"/>
      <c r="AJ74" s="375"/>
      <c r="AK74" s="375"/>
      <c r="AL74" s="375"/>
      <c r="AM74" s="375"/>
      <c r="AN74" s="375"/>
      <c r="AO74" s="375"/>
      <c r="AP74" s="375"/>
      <c r="AQ74" s="375"/>
      <c r="AR74" s="375"/>
      <c r="AS74" s="375"/>
      <c r="AT74" s="375"/>
      <c r="AU74" s="375"/>
      <c r="AV74" s="375"/>
      <c r="AW74" s="375"/>
      <c r="AX74" s="375"/>
      <c r="AY74" s="375"/>
      <c r="AZ74" s="375"/>
      <c r="BR74" s="380"/>
      <c r="BS74" s="380"/>
      <c r="BT74" s="380"/>
      <c r="BU74" s="380"/>
      <c r="BV74" s="380"/>
      <c r="BW74" s="380"/>
      <c r="BX74" s="380"/>
      <c r="BY74" s="380"/>
      <c r="BZ74" s="380"/>
      <c r="CA74" s="380"/>
      <c r="CB74" s="364"/>
      <c r="CC74" s="415"/>
      <c r="CD74" s="364"/>
      <c r="CE74" s="380"/>
      <c r="CF74" s="380"/>
      <c r="CG74" s="380"/>
      <c r="CH74" s="380"/>
      <c r="CI74" s="380"/>
      <c r="CJ74" s="380"/>
      <c r="CK74" s="380"/>
      <c r="CL74" s="380"/>
      <c r="CM74" s="380"/>
      <c r="CN74" s="380"/>
      <c r="CO74" s="380"/>
      <c r="CP74" s="380"/>
      <c r="CQ74" s="380"/>
      <c r="CR74" s="380"/>
      <c r="CS74" s="380"/>
      <c r="CT74" s="380"/>
      <c r="CU74" s="380"/>
      <c r="CV74" s="380"/>
      <c r="CW74" s="380"/>
      <c r="CX74" s="380"/>
      <c r="CY74" s="380"/>
      <c r="CZ74" s="380"/>
      <c r="DA74" s="380"/>
      <c r="DB74" s="380"/>
      <c r="DC74" s="380"/>
      <c r="DD74" s="380"/>
      <c r="DE74" s="380"/>
      <c r="DF74" s="380"/>
      <c r="DG74" s="380"/>
      <c r="DH74" s="380"/>
      <c r="DI74" s="380"/>
      <c r="DJ74" s="380"/>
      <c r="DK74" s="380"/>
      <c r="DL74" s="380"/>
      <c r="DM74" s="380"/>
      <c r="DN74" s="1718"/>
      <c r="DO74" s="1718"/>
      <c r="DP74" s="1718"/>
      <c r="DQ74" s="1718"/>
      <c r="DR74" s="1718"/>
      <c r="DS74" s="1718"/>
      <c r="DT74" s="1718"/>
      <c r="DU74" s="1718"/>
      <c r="DV74" s="1718"/>
      <c r="DW74" s="1718"/>
      <c r="DX74" s="1718"/>
      <c r="DY74" s="1718"/>
      <c r="DZ74" s="1718"/>
      <c r="EA74" s="1718"/>
      <c r="EC74" s="234"/>
    </row>
    <row r="75" spans="2:142" s="221" customFormat="1" ht="11.25" customHeight="1">
      <c r="B75" s="222"/>
      <c r="S75" s="430"/>
      <c r="T75" s="430"/>
      <c r="U75" s="364"/>
      <c r="V75" s="364"/>
      <c r="W75" s="364"/>
      <c r="X75" s="364"/>
      <c r="Y75" s="364"/>
      <c r="Z75" s="364"/>
      <c r="AA75" s="364"/>
      <c r="AB75" s="364"/>
      <c r="AC75" s="364"/>
      <c r="AD75" s="364"/>
      <c r="AE75" s="364"/>
      <c r="AF75" s="364"/>
      <c r="AG75" s="364"/>
      <c r="AH75" s="364"/>
      <c r="AI75" s="364"/>
      <c r="AJ75" s="364"/>
      <c r="AK75" s="364"/>
      <c r="AL75" s="364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4"/>
      <c r="CC75" s="415"/>
      <c r="CD75" s="364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P75" s="364"/>
      <c r="DQ75" s="364"/>
      <c r="DR75" s="364"/>
      <c r="DS75" s="364"/>
      <c r="DT75" s="364"/>
      <c r="DU75" s="364"/>
      <c r="DV75" s="364"/>
      <c r="DW75" s="364"/>
      <c r="DX75" s="364"/>
      <c r="DY75" s="364"/>
      <c r="DZ75" s="415"/>
      <c r="EA75" s="415"/>
      <c r="EC75" s="234"/>
    </row>
    <row r="76" spans="2:142" s="221" customFormat="1" ht="11.25" customHeight="1">
      <c r="B76" s="222"/>
      <c r="S76" s="430"/>
      <c r="T76" s="430"/>
      <c r="U76" s="364"/>
      <c r="V76" s="364"/>
      <c r="W76" s="364"/>
      <c r="X76" s="364"/>
      <c r="Y76" s="364"/>
      <c r="Z76" s="364"/>
      <c r="AA76" s="364"/>
      <c r="AB76" s="364"/>
      <c r="AC76" s="364"/>
      <c r="AD76" s="364"/>
      <c r="AE76" s="364"/>
      <c r="AF76" s="364"/>
      <c r="AG76" s="364"/>
      <c r="AH76" s="364"/>
      <c r="AI76" s="364"/>
      <c r="AJ76" s="364"/>
      <c r="AK76" s="364"/>
      <c r="AL76" s="364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4"/>
      <c r="CC76" s="415"/>
      <c r="CD76" s="364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P76" s="364"/>
      <c r="DQ76" s="364"/>
      <c r="DR76" s="364"/>
      <c r="DS76" s="364"/>
      <c r="DT76" s="364"/>
      <c r="DU76" s="364"/>
      <c r="DV76" s="364"/>
      <c r="DW76" s="364"/>
      <c r="DX76" s="364"/>
      <c r="DY76" s="364"/>
      <c r="DZ76" s="415"/>
      <c r="EA76" s="415"/>
      <c r="EC76" s="234"/>
    </row>
    <row r="77" spans="2:142" s="221" customFormat="1" ht="11.25" customHeight="1">
      <c r="B77" s="222"/>
      <c r="T77" s="364"/>
      <c r="U77" s="364"/>
      <c r="V77" s="1723" t="s">
        <v>221</v>
      </c>
      <c r="W77" s="1723"/>
      <c r="X77" s="1723"/>
      <c r="Y77" s="1723"/>
      <c r="Z77" s="1723"/>
      <c r="AA77" s="364"/>
      <c r="AB77" s="364"/>
      <c r="AC77" s="364"/>
      <c r="AD77" s="364"/>
      <c r="AE77" s="364"/>
      <c r="AF77" s="364"/>
      <c r="AG77" s="364"/>
      <c r="AH77" s="364"/>
      <c r="AI77" s="364"/>
      <c r="AJ77" s="364"/>
      <c r="AK77" s="364"/>
      <c r="AL77" s="364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4"/>
      <c r="CC77" s="415"/>
      <c r="CD77" s="364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P77" s="364"/>
      <c r="DQ77" s="364"/>
      <c r="DR77" s="364"/>
      <c r="DS77" s="364"/>
      <c r="DT77" s="364"/>
      <c r="DU77" s="364"/>
      <c r="DV77" s="364"/>
      <c r="DW77" s="364"/>
      <c r="DX77" s="364"/>
      <c r="DY77" s="364"/>
      <c r="DZ77" s="415"/>
      <c r="EA77" s="415"/>
      <c r="EC77" s="234"/>
    </row>
    <row r="78" spans="2:142" s="221" customFormat="1" ht="11.25" customHeight="1">
      <c r="B78" s="222"/>
      <c r="T78" s="364"/>
      <c r="U78" s="364"/>
      <c r="V78" s="1723"/>
      <c r="W78" s="1723"/>
      <c r="X78" s="1723"/>
      <c r="Y78" s="1723"/>
      <c r="Z78" s="1723"/>
      <c r="AA78" s="364"/>
      <c r="AB78" s="364"/>
      <c r="AC78" s="364"/>
      <c r="AD78" s="364"/>
      <c r="AE78" s="364"/>
      <c r="AF78" s="364"/>
      <c r="AG78" s="364"/>
      <c r="AH78" s="364"/>
      <c r="AI78" s="364"/>
      <c r="AJ78" s="364"/>
      <c r="AK78" s="364"/>
      <c r="AL78" s="364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4"/>
      <c r="CC78" s="415"/>
      <c r="CD78" s="364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P78" s="364"/>
      <c r="DQ78" s="364"/>
      <c r="DR78" s="364"/>
      <c r="DS78" s="364"/>
      <c r="DT78" s="364"/>
      <c r="DU78" s="364"/>
      <c r="DV78" s="364"/>
      <c r="DW78" s="364"/>
      <c r="DX78" s="364"/>
      <c r="DY78" s="364"/>
      <c r="DZ78" s="415"/>
      <c r="EA78" s="415"/>
      <c r="EC78" s="234"/>
    </row>
    <row r="79" spans="2:142" s="221" customFormat="1" ht="11.25" customHeight="1">
      <c r="B79" s="222"/>
      <c r="T79" s="364"/>
      <c r="U79" s="364"/>
      <c r="V79" s="364"/>
      <c r="W79" s="364"/>
      <c r="X79" s="364"/>
      <c r="Y79" s="364"/>
      <c r="Z79" s="364"/>
      <c r="AA79" s="364"/>
      <c r="AB79" s="364"/>
      <c r="AC79" s="364"/>
      <c r="AD79" s="364"/>
      <c r="AE79" s="364"/>
      <c r="AF79" s="364"/>
      <c r="AG79" s="364"/>
      <c r="AH79" s="364"/>
      <c r="AI79" s="364"/>
      <c r="AJ79" s="364"/>
      <c r="AK79" s="364"/>
      <c r="AL79" s="364"/>
      <c r="BN79" s="1762"/>
      <c r="BO79" s="1762"/>
      <c r="BP79" s="1762"/>
      <c r="BQ79" s="1762"/>
      <c r="BR79" s="1762"/>
      <c r="BS79" s="1762"/>
      <c r="BT79" s="367"/>
      <c r="BU79" s="367"/>
      <c r="BV79" s="367"/>
      <c r="BW79" s="367"/>
      <c r="BX79" s="367"/>
      <c r="BY79" s="367"/>
      <c r="BZ79" s="367"/>
      <c r="CA79" s="367"/>
      <c r="CB79" s="364"/>
      <c r="CC79" s="415"/>
      <c r="CD79" s="364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P79" s="364"/>
      <c r="DQ79" s="364"/>
      <c r="DR79" s="364"/>
      <c r="DS79" s="364"/>
      <c r="DT79" s="364"/>
      <c r="DU79" s="364"/>
      <c r="DV79" s="364"/>
      <c r="DW79" s="364"/>
      <c r="DX79" s="364"/>
      <c r="DY79" s="364"/>
      <c r="DZ79" s="415"/>
      <c r="EA79" s="415"/>
      <c r="EC79" s="234"/>
    </row>
    <row r="80" spans="2:142" s="221" customFormat="1" ht="11.25" customHeight="1">
      <c r="B80" s="222"/>
      <c r="T80" s="364"/>
      <c r="U80" s="364"/>
      <c r="V80" s="364"/>
      <c r="W80" s="364"/>
      <c r="X80" s="364"/>
      <c r="Y80" s="364"/>
      <c r="Z80" s="364"/>
      <c r="AA80" s="364"/>
      <c r="AB80" s="364"/>
      <c r="AC80" s="364"/>
      <c r="AD80" s="364"/>
      <c r="AE80" s="364"/>
      <c r="AF80" s="364"/>
      <c r="AG80" s="364"/>
      <c r="AH80" s="364"/>
      <c r="AI80" s="364"/>
      <c r="AJ80" s="364"/>
      <c r="AK80" s="364"/>
      <c r="AL80" s="364"/>
      <c r="BN80" s="1762"/>
      <c r="BO80" s="1762"/>
      <c r="BP80" s="1762"/>
      <c r="BQ80" s="1762"/>
      <c r="BR80" s="1762"/>
      <c r="BS80" s="1762"/>
      <c r="BT80" s="367"/>
      <c r="BU80" s="367"/>
      <c r="BV80" s="367"/>
      <c r="BW80" s="367"/>
      <c r="BX80" s="367"/>
      <c r="BY80" s="367"/>
      <c r="BZ80" s="367"/>
      <c r="CA80" s="367"/>
      <c r="CB80" s="364"/>
      <c r="CC80" s="415"/>
      <c r="CD80" s="364"/>
      <c r="CE80" s="367"/>
      <c r="CF80" s="367"/>
      <c r="CG80" s="367"/>
      <c r="CH80" s="367"/>
      <c r="CI80" s="367"/>
      <c r="CJ80" s="367"/>
      <c r="CK80" s="367"/>
      <c r="CL80" s="367"/>
      <c r="CM80" s="367"/>
      <c r="CN80" s="367"/>
      <c r="CO80" s="367"/>
      <c r="CP80" s="367"/>
      <c r="CQ80" s="367"/>
      <c r="CR80" s="367"/>
      <c r="CS80" s="367"/>
      <c r="CT80" s="367"/>
      <c r="CU80" s="367"/>
      <c r="CV80" s="367"/>
      <c r="CW80" s="367"/>
      <c r="CX80" s="367"/>
      <c r="CY80" s="367"/>
      <c r="CZ80" s="367"/>
      <c r="DA80" s="367"/>
      <c r="DB80" s="367"/>
      <c r="DC80" s="367"/>
      <c r="DD80" s="367"/>
      <c r="DE80" s="367"/>
      <c r="DF80" s="367"/>
      <c r="DG80" s="367"/>
      <c r="DH80" s="367"/>
      <c r="DI80" s="367"/>
      <c r="DJ80" s="367"/>
      <c r="DK80" s="367"/>
      <c r="DL80" s="367"/>
      <c r="DM80" s="367"/>
      <c r="DN80" s="367"/>
      <c r="DP80" s="364"/>
      <c r="DQ80" s="364"/>
      <c r="DR80" s="364"/>
      <c r="DS80" s="364"/>
      <c r="DT80" s="364"/>
      <c r="DU80" s="364"/>
      <c r="DV80" s="364"/>
      <c r="DW80" s="364"/>
      <c r="DX80" s="364"/>
      <c r="DY80" s="364"/>
      <c r="DZ80" s="415"/>
      <c r="EA80" s="415"/>
      <c r="EC80" s="234"/>
    </row>
    <row r="81" spans="2:133" s="221" customFormat="1" ht="11.25" customHeight="1">
      <c r="B81" s="222"/>
      <c r="T81" s="364"/>
      <c r="U81" s="364"/>
      <c r="V81" s="364"/>
      <c r="W81" s="364"/>
      <c r="X81" s="364"/>
      <c r="Y81" s="364"/>
      <c r="Z81" s="364"/>
      <c r="AA81" s="364"/>
      <c r="AB81" s="364"/>
      <c r="AC81" s="364"/>
      <c r="AD81" s="364"/>
      <c r="AE81" s="364"/>
      <c r="AF81" s="364"/>
      <c r="AG81" s="364"/>
      <c r="AH81" s="364"/>
      <c r="AI81" s="364"/>
      <c r="AJ81" s="364"/>
      <c r="AK81" s="364"/>
      <c r="AL81" s="364"/>
      <c r="BN81" s="1762"/>
      <c r="BO81" s="1762"/>
      <c r="BP81" s="1762"/>
      <c r="BQ81" s="1762"/>
      <c r="BR81" s="1762"/>
      <c r="BS81" s="1762"/>
      <c r="BT81" s="367"/>
      <c r="BU81" s="367"/>
      <c r="BV81" s="367"/>
      <c r="BW81" s="367"/>
      <c r="BX81" s="367"/>
      <c r="BY81" s="367"/>
      <c r="BZ81" s="367"/>
      <c r="CA81" s="367"/>
      <c r="CB81" s="364"/>
      <c r="CC81" s="415"/>
      <c r="CD81" s="364"/>
      <c r="CE81" s="367"/>
      <c r="CF81" s="367"/>
      <c r="CG81" s="367"/>
      <c r="CH81" s="367"/>
      <c r="CI81" s="367"/>
      <c r="CJ81" s="367"/>
      <c r="CK81" s="367"/>
      <c r="CL81" s="367"/>
      <c r="CM81" s="367"/>
      <c r="CN81" s="367"/>
      <c r="CO81" s="367"/>
      <c r="CP81" s="367"/>
      <c r="CQ81" s="367"/>
      <c r="CR81" s="367"/>
      <c r="CS81" s="367"/>
      <c r="CT81" s="367"/>
      <c r="CU81" s="367"/>
      <c r="CV81" s="367"/>
      <c r="CW81" s="367"/>
      <c r="CX81" s="367"/>
      <c r="CY81" s="367"/>
      <c r="CZ81" s="367"/>
      <c r="DA81" s="367"/>
      <c r="DB81" s="367"/>
      <c r="DC81" s="367"/>
      <c r="DD81" s="367"/>
      <c r="DE81" s="367"/>
      <c r="DF81" s="367"/>
      <c r="DG81" s="367"/>
      <c r="DH81" s="367"/>
      <c r="DI81" s="367"/>
      <c r="DJ81" s="367"/>
      <c r="DK81" s="367"/>
      <c r="DL81" s="367"/>
      <c r="DM81" s="367"/>
      <c r="DN81" s="367"/>
      <c r="DP81" s="364"/>
      <c r="DQ81" s="364"/>
      <c r="DR81" s="364"/>
      <c r="DS81" s="364"/>
      <c r="DT81" s="364"/>
      <c r="DU81" s="364"/>
      <c r="DV81" s="364"/>
      <c r="DW81" s="364"/>
      <c r="DX81" s="364"/>
      <c r="DY81" s="364"/>
      <c r="DZ81" s="415"/>
      <c r="EA81" s="415"/>
      <c r="EC81" s="234"/>
    </row>
    <row r="82" spans="2:133" s="221" customFormat="1" ht="11.25" customHeight="1">
      <c r="B82" s="222"/>
      <c r="T82" s="364"/>
      <c r="U82" s="364"/>
      <c r="V82" s="364"/>
      <c r="W82" s="364"/>
      <c r="X82" s="364"/>
      <c r="Y82" s="364"/>
      <c r="Z82" s="364"/>
      <c r="AA82" s="364"/>
      <c r="AB82" s="364"/>
      <c r="AC82" s="364"/>
      <c r="AD82" s="364"/>
      <c r="AE82" s="364"/>
      <c r="AF82" s="364"/>
      <c r="AG82" s="364"/>
      <c r="AH82" s="364"/>
      <c r="AI82" s="364"/>
      <c r="AJ82" s="364"/>
      <c r="AK82" s="364"/>
      <c r="AL82" s="364"/>
      <c r="BN82" s="1762"/>
      <c r="BO82" s="1762"/>
      <c r="BP82" s="1762"/>
      <c r="BQ82" s="1762"/>
      <c r="BR82" s="1762"/>
      <c r="BS82" s="1762"/>
      <c r="BT82" s="367"/>
      <c r="BU82" s="367"/>
      <c r="BV82" s="367"/>
      <c r="BW82" s="367"/>
      <c r="BX82" s="367"/>
      <c r="BY82" s="367"/>
      <c r="BZ82" s="367"/>
      <c r="CA82" s="367"/>
      <c r="CB82" s="364"/>
      <c r="CC82" s="415"/>
      <c r="CD82" s="364"/>
      <c r="CE82" s="367"/>
      <c r="CF82" s="367"/>
      <c r="CG82" s="367"/>
      <c r="CH82" s="367"/>
      <c r="CI82" s="367"/>
      <c r="CJ82" s="367"/>
      <c r="CK82" s="367"/>
      <c r="CL82" s="367"/>
      <c r="CM82" s="367"/>
      <c r="CN82" s="367"/>
      <c r="CO82" s="367"/>
      <c r="CP82" s="367"/>
      <c r="CQ82" s="367"/>
      <c r="CR82" s="367"/>
      <c r="CS82" s="367"/>
      <c r="CT82" s="367"/>
      <c r="CU82" s="367"/>
      <c r="CV82" s="367"/>
      <c r="CW82" s="367"/>
      <c r="CX82" s="367"/>
      <c r="CY82" s="367"/>
      <c r="CZ82" s="367"/>
      <c r="DA82" s="367"/>
      <c r="DB82" s="367"/>
      <c r="DC82" s="367"/>
      <c r="DD82" s="367"/>
      <c r="DE82" s="367"/>
      <c r="DF82" s="367"/>
      <c r="DG82" s="367"/>
      <c r="DH82" s="367"/>
      <c r="DI82" s="367"/>
      <c r="DJ82" s="367"/>
      <c r="DK82" s="367"/>
      <c r="DL82" s="367"/>
      <c r="DM82" s="367"/>
      <c r="DN82" s="367"/>
      <c r="DP82" s="364"/>
      <c r="DQ82" s="364"/>
      <c r="DR82" s="364"/>
      <c r="DS82" s="364"/>
      <c r="DT82" s="364"/>
      <c r="DU82" s="364"/>
      <c r="DV82" s="364"/>
      <c r="DW82" s="364"/>
      <c r="DX82" s="364"/>
      <c r="DY82" s="364"/>
      <c r="DZ82" s="415"/>
      <c r="EA82" s="415"/>
      <c r="EC82" s="234"/>
    </row>
    <row r="83" spans="2:133" s="221" customFormat="1" ht="11.25" customHeight="1">
      <c r="B83" s="222"/>
      <c r="T83" s="364"/>
      <c r="U83" s="364"/>
      <c r="V83" s="364"/>
      <c r="W83" s="364"/>
      <c r="X83" s="364"/>
      <c r="Y83" s="364"/>
      <c r="Z83" s="364"/>
      <c r="AA83" s="364"/>
      <c r="AB83" s="364"/>
      <c r="AC83" s="364"/>
      <c r="AD83" s="364"/>
      <c r="AE83" s="364"/>
      <c r="AF83" s="364"/>
      <c r="AG83" s="364"/>
      <c r="AH83" s="364"/>
      <c r="AI83" s="364"/>
      <c r="AJ83" s="364"/>
      <c r="AK83" s="364"/>
      <c r="AL83" s="364"/>
      <c r="BR83" s="367"/>
      <c r="BS83" s="367"/>
      <c r="BT83" s="367"/>
      <c r="BU83" s="367"/>
      <c r="BV83" s="367"/>
      <c r="BW83" s="367"/>
      <c r="BX83" s="367"/>
      <c r="BY83" s="367"/>
      <c r="BZ83" s="367"/>
      <c r="CA83" s="367"/>
      <c r="CB83" s="364"/>
      <c r="CC83" s="415"/>
      <c r="CD83" s="364"/>
      <c r="CE83" s="367"/>
      <c r="CF83" s="367"/>
      <c r="CG83" s="367"/>
      <c r="CH83" s="367"/>
      <c r="CI83" s="367"/>
      <c r="CJ83" s="367"/>
      <c r="CK83" s="367"/>
      <c r="CL83" s="367"/>
      <c r="CM83" s="367"/>
      <c r="CN83" s="367"/>
      <c r="CO83" s="367"/>
      <c r="CP83" s="367"/>
      <c r="CQ83" s="367"/>
      <c r="CR83" s="367"/>
      <c r="CS83" s="367"/>
      <c r="CT83" s="367"/>
      <c r="CU83" s="367"/>
      <c r="CV83" s="367"/>
      <c r="CW83" s="367"/>
      <c r="CX83" s="367"/>
      <c r="CY83" s="367"/>
      <c r="CZ83" s="367"/>
      <c r="DA83" s="367"/>
      <c r="DB83" s="367"/>
      <c r="DC83" s="367"/>
      <c r="DD83" s="367"/>
      <c r="DE83" s="367"/>
      <c r="DF83" s="367"/>
      <c r="DG83" s="367"/>
      <c r="DH83" s="367"/>
      <c r="DI83" s="367"/>
      <c r="DJ83" s="367"/>
      <c r="DK83" s="367"/>
      <c r="DL83" s="367"/>
      <c r="DM83" s="367"/>
      <c r="DN83" s="367"/>
      <c r="DP83" s="364"/>
      <c r="DQ83" s="364"/>
      <c r="DR83" s="364"/>
      <c r="DS83" s="364"/>
      <c r="DT83" s="364"/>
      <c r="DU83" s="364"/>
      <c r="DV83" s="364"/>
      <c r="DW83" s="364"/>
      <c r="DX83" s="364"/>
      <c r="DY83" s="364"/>
      <c r="DZ83" s="415"/>
      <c r="EA83" s="415"/>
      <c r="EC83" s="234"/>
    </row>
    <row r="84" spans="2:133" s="221" customFormat="1" ht="11.25" customHeight="1">
      <c r="B84" s="222"/>
      <c r="T84" s="364"/>
      <c r="U84" s="364"/>
      <c r="V84" s="364"/>
      <c r="W84" s="364"/>
      <c r="X84" s="364"/>
      <c r="Y84" s="364"/>
      <c r="Z84" s="364"/>
      <c r="AA84" s="364"/>
      <c r="AB84" s="364"/>
      <c r="AC84" s="364"/>
      <c r="AD84" s="364"/>
      <c r="AE84" s="364"/>
      <c r="AF84" s="364"/>
      <c r="AG84" s="364"/>
      <c r="AH84" s="364"/>
      <c r="AI84" s="364"/>
      <c r="AJ84" s="364"/>
      <c r="AK84" s="364"/>
      <c r="AL84" s="364"/>
      <c r="BR84" s="367"/>
      <c r="BS84" s="367"/>
      <c r="BT84" s="367"/>
      <c r="BU84" s="367"/>
      <c r="BV84" s="367"/>
      <c r="BW84" s="367"/>
      <c r="BX84" s="367"/>
      <c r="BY84" s="367"/>
      <c r="BZ84" s="367"/>
      <c r="CA84" s="367"/>
      <c r="CB84" s="364"/>
      <c r="CC84" s="415"/>
      <c r="CD84" s="364"/>
      <c r="CE84" s="367"/>
      <c r="CF84" s="367"/>
      <c r="CG84" s="367"/>
      <c r="CH84" s="367"/>
      <c r="CI84" s="367"/>
      <c r="CJ84" s="367"/>
      <c r="CK84" s="367"/>
      <c r="CL84" s="367"/>
      <c r="CM84" s="367"/>
      <c r="CN84" s="367"/>
      <c r="CO84" s="367"/>
      <c r="CP84" s="367"/>
      <c r="CQ84" s="367"/>
      <c r="CR84" s="367"/>
      <c r="CS84" s="367"/>
      <c r="CT84" s="367"/>
      <c r="CU84" s="367"/>
      <c r="CV84" s="367"/>
      <c r="CW84" s="367"/>
      <c r="CX84" s="367"/>
      <c r="CY84" s="367"/>
      <c r="CZ84" s="367"/>
      <c r="DA84" s="367"/>
      <c r="DB84" s="367"/>
      <c r="DC84" s="367"/>
      <c r="DD84" s="367"/>
      <c r="DE84" s="367"/>
      <c r="DF84" s="367"/>
      <c r="DG84" s="367"/>
      <c r="DH84" s="367"/>
      <c r="DI84" s="367"/>
      <c r="DJ84" s="367"/>
      <c r="DK84" s="367"/>
      <c r="DL84" s="367"/>
      <c r="DM84" s="367"/>
      <c r="DN84" s="367"/>
      <c r="DP84" s="364"/>
      <c r="DQ84" s="364"/>
      <c r="DR84" s="364"/>
      <c r="DS84" s="364"/>
      <c r="DT84" s="364"/>
      <c r="DU84" s="364"/>
      <c r="DV84" s="364"/>
      <c r="DW84" s="364"/>
      <c r="DX84" s="364"/>
      <c r="DY84" s="364"/>
      <c r="DZ84" s="415"/>
      <c r="EA84" s="415"/>
      <c r="EC84" s="234"/>
    </row>
    <row r="85" spans="2:133" s="221" customFormat="1" ht="11.25" customHeight="1">
      <c r="B85" s="222"/>
      <c r="T85" s="364"/>
      <c r="U85" s="364"/>
      <c r="V85" s="364"/>
      <c r="W85" s="364"/>
      <c r="X85" s="364"/>
      <c r="Y85" s="364"/>
      <c r="Z85" s="364"/>
      <c r="AA85" s="364"/>
      <c r="AB85" s="364"/>
      <c r="AC85" s="364"/>
      <c r="AD85" s="364"/>
      <c r="AE85" s="364"/>
      <c r="AF85" s="364"/>
      <c r="AG85" s="364"/>
      <c r="AH85" s="364"/>
      <c r="AI85" s="364"/>
      <c r="AJ85" s="364"/>
      <c r="AK85" s="364"/>
      <c r="AL85" s="364"/>
      <c r="BR85" s="367"/>
      <c r="BS85" s="367"/>
      <c r="BT85" s="367"/>
      <c r="BU85" s="367"/>
      <c r="BV85" s="367"/>
      <c r="BW85" s="367"/>
      <c r="BX85" s="367"/>
      <c r="BY85" s="367"/>
      <c r="BZ85" s="367"/>
      <c r="CA85" s="367"/>
      <c r="CB85" s="364"/>
      <c r="CC85" s="415"/>
      <c r="CD85" s="364"/>
      <c r="CE85" s="367"/>
      <c r="CF85" s="367"/>
      <c r="CG85" s="367"/>
      <c r="CH85" s="367"/>
      <c r="CI85" s="367"/>
      <c r="CJ85" s="367"/>
      <c r="CK85" s="367"/>
      <c r="CL85" s="367"/>
      <c r="CM85" s="367"/>
      <c r="CN85" s="367"/>
      <c r="CO85" s="367"/>
      <c r="CP85" s="367"/>
      <c r="CQ85" s="367"/>
      <c r="CR85" s="367"/>
      <c r="CS85" s="367"/>
      <c r="CT85" s="367"/>
      <c r="CU85" s="367"/>
      <c r="CV85" s="367"/>
      <c r="CW85" s="367"/>
      <c r="CX85" s="367"/>
      <c r="CY85" s="367"/>
      <c r="CZ85" s="367"/>
      <c r="DA85" s="367"/>
      <c r="DB85" s="367"/>
      <c r="DC85" s="367"/>
      <c r="DD85" s="367"/>
      <c r="DE85" s="367"/>
      <c r="DF85" s="367"/>
      <c r="DG85" s="367"/>
      <c r="DH85" s="367"/>
      <c r="DI85" s="367"/>
      <c r="DJ85" s="367"/>
      <c r="DK85" s="367"/>
      <c r="DL85" s="367"/>
      <c r="DM85" s="367"/>
      <c r="DN85" s="367"/>
      <c r="DP85" s="364"/>
      <c r="DQ85" s="364"/>
      <c r="DR85" s="364"/>
      <c r="DS85" s="364"/>
      <c r="DT85" s="364"/>
      <c r="DU85" s="364"/>
      <c r="DV85" s="364"/>
      <c r="DW85" s="364"/>
      <c r="DX85" s="364"/>
      <c r="DY85" s="364"/>
      <c r="DZ85" s="415"/>
      <c r="EA85" s="415"/>
      <c r="EC85" s="234"/>
    </row>
    <row r="86" spans="2:133" s="221" customFormat="1" ht="11.25" customHeight="1">
      <c r="B86" s="222"/>
      <c r="T86" s="364"/>
      <c r="U86" s="364"/>
      <c r="V86" s="364"/>
      <c r="W86" s="364"/>
      <c r="X86" s="364"/>
      <c r="Y86" s="364"/>
      <c r="Z86" s="364"/>
      <c r="AA86" s="364"/>
      <c r="AB86" s="364"/>
      <c r="AC86" s="364"/>
      <c r="AD86" s="364"/>
      <c r="AE86" s="364"/>
      <c r="AF86" s="364"/>
      <c r="AG86" s="364"/>
      <c r="AH86" s="364"/>
      <c r="AI86" s="364"/>
      <c r="AJ86" s="364"/>
      <c r="AK86" s="364"/>
      <c r="AL86" s="364"/>
      <c r="BR86" s="367"/>
      <c r="BS86" s="367"/>
      <c r="BT86" s="367"/>
      <c r="BU86" s="367"/>
      <c r="BV86" s="367"/>
      <c r="BW86" s="367"/>
      <c r="BX86" s="367"/>
      <c r="BY86" s="367"/>
      <c r="BZ86" s="367"/>
      <c r="CA86" s="367"/>
      <c r="CB86" s="364"/>
      <c r="CC86" s="415"/>
      <c r="CD86" s="364"/>
      <c r="CE86" s="367"/>
      <c r="CF86" s="367"/>
      <c r="CG86" s="367"/>
      <c r="CH86" s="367"/>
      <c r="CI86" s="367"/>
      <c r="CJ86" s="367"/>
      <c r="CK86" s="367"/>
      <c r="CL86" s="367"/>
      <c r="CM86" s="367"/>
      <c r="CN86" s="367"/>
      <c r="CO86" s="367"/>
      <c r="CP86" s="367"/>
      <c r="CQ86" s="367"/>
      <c r="CR86" s="367"/>
      <c r="CS86" s="367"/>
      <c r="CT86" s="367"/>
      <c r="CU86" s="367"/>
      <c r="CV86" s="367"/>
      <c r="CW86" s="367"/>
      <c r="CX86" s="367"/>
      <c r="CY86" s="367"/>
      <c r="CZ86" s="367"/>
      <c r="DA86" s="367"/>
      <c r="DB86" s="367"/>
      <c r="DC86" s="367"/>
      <c r="DD86" s="367"/>
      <c r="DE86" s="367"/>
      <c r="DF86" s="367"/>
      <c r="DG86" s="367"/>
      <c r="DH86" s="367"/>
      <c r="DI86" s="367"/>
      <c r="DJ86" s="367"/>
      <c r="DK86" s="367"/>
      <c r="DL86" s="367"/>
      <c r="DM86" s="367"/>
      <c r="DN86" s="367"/>
      <c r="DP86" s="364"/>
      <c r="DQ86" s="364"/>
      <c r="DR86" s="364"/>
      <c r="DS86" s="364"/>
      <c r="DT86" s="364"/>
      <c r="DU86" s="364"/>
      <c r="DV86" s="364"/>
      <c r="DW86" s="364"/>
      <c r="DX86" s="364"/>
      <c r="DY86" s="364"/>
      <c r="DZ86" s="415"/>
      <c r="EA86" s="415"/>
      <c r="EC86" s="234"/>
    </row>
    <row r="87" spans="2:133" s="221" customFormat="1" ht="11.25" customHeight="1">
      <c r="B87" s="222"/>
      <c r="T87" s="364"/>
      <c r="U87" s="364"/>
      <c r="V87" s="364"/>
      <c r="W87" s="364"/>
      <c r="X87" s="364"/>
      <c r="Y87" s="364"/>
      <c r="Z87" s="364"/>
      <c r="AA87" s="364"/>
      <c r="AB87" s="364"/>
      <c r="AC87" s="364"/>
      <c r="AD87" s="364"/>
      <c r="AE87" s="364"/>
      <c r="AF87" s="364"/>
      <c r="AG87" s="364"/>
      <c r="AH87" s="364"/>
      <c r="AI87" s="364"/>
      <c r="AJ87" s="364"/>
      <c r="AK87" s="364"/>
      <c r="AL87" s="364"/>
      <c r="BR87" s="367"/>
      <c r="BS87" s="367"/>
      <c r="BT87" s="367"/>
      <c r="BU87" s="367"/>
      <c r="BV87" s="367"/>
      <c r="BW87" s="367"/>
      <c r="BX87" s="367"/>
      <c r="BY87" s="367"/>
      <c r="BZ87" s="367"/>
      <c r="CA87" s="367"/>
      <c r="CB87" s="364"/>
      <c r="CC87" s="415"/>
      <c r="CD87" s="364"/>
      <c r="CE87" s="367"/>
      <c r="CF87" s="367"/>
      <c r="CG87" s="367"/>
      <c r="CH87" s="367"/>
      <c r="CI87" s="367"/>
      <c r="CJ87" s="367"/>
      <c r="CK87" s="367"/>
      <c r="CL87" s="367"/>
      <c r="CM87" s="367"/>
      <c r="CN87" s="367"/>
      <c r="CO87" s="367"/>
      <c r="CP87" s="367"/>
      <c r="CQ87" s="367"/>
      <c r="CR87" s="367"/>
      <c r="CS87" s="367"/>
      <c r="CT87" s="367"/>
      <c r="CU87" s="367"/>
      <c r="CV87" s="367"/>
      <c r="CW87" s="367"/>
      <c r="CX87" s="367"/>
      <c r="CY87" s="367"/>
      <c r="CZ87" s="367"/>
      <c r="DA87" s="367"/>
      <c r="DB87" s="367"/>
      <c r="DC87" s="367"/>
      <c r="DD87" s="367"/>
      <c r="DE87" s="367"/>
      <c r="DF87" s="367"/>
      <c r="DG87" s="367"/>
      <c r="DH87" s="367"/>
      <c r="DI87" s="367"/>
      <c r="DJ87" s="367"/>
      <c r="DK87" s="367"/>
      <c r="DL87" s="367"/>
      <c r="DM87" s="367"/>
      <c r="DN87" s="367"/>
      <c r="DP87" s="364"/>
      <c r="DQ87" s="364"/>
      <c r="DR87" s="364"/>
      <c r="DS87" s="364"/>
      <c r="DT87" s="364"/>
      <c r="DU87" s="364"/>
      <c r="DV87" s="364"/>
      <c r="DW87" s="364"/>
      <c r="DX87" s="364"/>
      <c r="DY87" s="364"/>
      <c r="DZ87" s="415"/>
      <c r="EA87" s="415"/>
      <c r="EC87" s="234"/>
    </row>
    <row r="88" spans="2:133" s="221" customFormat="1" ht="11.25" customHeight="1">
      <c r="B88" s="222"/>
      <c r="Q88" s="1723" t="s">
        <v>183</v>
      </c>
      <c r="R88" s="1723"/>
      <c r="S88" s="1723"/>
      <c r="T88" s="1723"/>
      <c r="U88" s="364"/>
      <c r="V88" s="364"/>
      <c r="W88" s="364"/>
      <c r="X88" s="364"/>
      <c r="Y88" s="364"/>
      <c r="Z88" s="364"/>
      <c r="AA88" s="364"/>
      <c r="AB88" s="364"/>
      <c r="AC88" s="364"/>
      <c r="AD88" s="364"/>
      <c r="AE88" s="364"/>
      <c r="AF88" s="364"/>
      <c r="AG88" s="364"/>
      <c r="AH88" s="364"/>
      <c r="AI88" s="364"/>
      <c r="AJ88" s="364"/>
      <c r="AK88" s="364"/>
      <c r="AL88" s="364"/>
      <c r="BR88" s="367"/>
      <c r="BS88" s="367"/>
      <c r="BT88" s="367"/>
      <c r="BU88" s="367"/>
      <c r="BV88" s="367"/>
      <c r="BW88" s="367"/>
      <c r="BX88" s="367"/>
      <c r="BY88" s="367"/>
      <c r="BZ88" s="367"/>
      <c r="CA88" s="367"/>
      <c r="CB88" s="364"/>
      <c r="CC88" s="415"/>
      <c r="CD88" s="364"/>
      <c r="CE88" s="367"/>
      <c r="CF88" s="367"/>
      <c r="CG88" s="367"/>
      <c r="CH88" s="367"/>
      <c r="CI88" s="367"/>
      <c r="CJ88" s="367"/>
      <c r="CK88" s="367"/>
      <c r="CL88" s="367"/>
      <c r="CM88" s="367"/>
      <c r="CN88" s="367"/>
      <c r="CO88" s="367"/>
      <c r="CP88" s="367"/>
      <c r="CQ88" s="367"/>
      <c r="CR88" s="367"/>
      <c r="CS88" s="367"/>
      <c r="CT88" s="367"/>
      <c r="CU88" s="367"/>
      <c r="CV88" s="367"/>
      <c r="CW88" s="367"/>
      <c r="CX88" s="367"/>
      <c r="CY88" s="367"/>
      <c r="CZ88" s="367"/>
      <c r="DA88" s="367"/>
      <c r="DB88" s="367"/>
      <c r="DC88" s="367"/>
      <c r="DD88" s="367"/>
      <c r="DE88" s="367"/>
      <c r="DF88" s="367"/>
      <c r="DG88" s="367"/>
      <c r="DH88" s="367"/>
      <c r="DI88" s="367"/>
      <c r="DJ88" s="367"/>
      <c r="DK88" s="367"/>
      <c r="DL88" s="367"/>
      <c r="DM88" s="367"/>
      <c r="DN88" s="367"/>
      <c r="DP88" s="364"/>
      <c r="DQ88" s="364"/>
      <c r="DR88" s="364"/>
      <c r="DS88" s="364"/>
      <c r="DT88" s="364"/>
      <c r="DU88" s="364"/>
      <c r="DV88" s="364"/>
      <c r="DW88" s="364"/>
      <c r="DX88" s="364"/>
      <c r="DY88" s="364"/>
      <c r="DZ88" s="415"/>
      <c r="EA88" s="415"/>
      <c r="EC88" s="234"/>
    </row>
    <row r="89" spans="2:133" s="221" customFormat="1" ht="11.25" customHeight="1">
      <c r="B89" s="222"/>
      <c r="T89" s="364"/>
      <c r="U89" s="364"/>
      <c r="V89" s="364"/>
      <c r="W89" s="364"/>
      <c r="X89" s="364"/>
      <c r="Y89" s="364"/>
      <c r="Z89" s="364"/>
      <c r="AA89" s="364"/>
      <c r="AB89" s="364"/>
      <c r="AC89" s="364"/>
      <c r="AD89" s="364"/>
      <c r="AE89" s="364"/>
      <c r="AF89" s="364"/>
      <c r="AG89" s="364"/>
      <c r="AH89" s="364"/>
      <c r="AI89" s="364"/>
      <c r="AJ89" s="364"/>
      <c r="AK89" s="364"/>
      <c r="AL89" s="364"/>
      <c r="BR89" s="367"/>
      <c r="BS89" s="367"/>
      <c r="BT89" s="367"/>
      <c r="BU89" s="367"/>
      <c r="BV89" s="367"/>
      <c r="BW89" s="367"/>
      <c r="BX89" s="367"/>
      <c r="BY89" s="367"/>
      <c r="BZ89" s="367"/>
      <c r="CA89" s="367"/>
      <c r="CB89" s="364"/>
      <c r="CC89" s="415"/>
      <c r="CD89" s="364"/>
      <c r="CE89" s="367"/>
      <c r="CF89" s="367"/>
      <c r="CG89" s="367"/>
      <c r="CH89" s="367"/>
      <c r="CI89" s="367"/>
      <c r="CJ89" s="367"/>
      <c r="CK89" s="367"/>
      <c r="CL89" s="367"/>
      <c r="CM89" s="367"/>
      <c r="CN89" s="367"/>
      <c r="CO89" s="367"/>
      <c r="CP89" s="367"/>
      <c r="CQ89" s="367"/>
      <c r="CR89" s="367"/>
      <c r="CS89" s="367"/>
      <c r="CT89" s="367"/>
      <c r="CU89" s="367"/>
      <c r="CV89" s="367"/>
      <c r="CW89" s="367"/>
      <c r="CX89" s="367"/>
      <c r="CY89" s="367"/>
      <c r="CZ89" s="367"/>
      <c r="DA89" s="367"/>
      <c r="DB89" s="367"/>
      <c r="DC89" s="367"/>
      <c r="DD89" s="367"/>
      <c r="DE89" s="367"/>
      <c r="DF89" s="367"/>
      <c r="DG89" s="367"/>
      <c r="DH89" s="367"/>
      <c r="DI89" s="367"/>
      <c r="DJ89" s="367"/>
      <c r="DK89" s="367"/>
      <c r="DL89" s="367"/>
      <c r="DM89" s="367"/>
      <c r="DN89" s="367"/>
      <c r="DP89" s="364"/>
      <c r="DQ89" s="364"/>
      <c r="DR89" s="364"/>
      <c r="DS89" s="364"/>
      <c r="DT89" s="364"/>
      <c r="DU89" s="364"/>
      <c r="DV89" s="364"/>
      <c r="DW89" s="364"/>
      <c r="DX89" s="364"/>
      <c r="DY89" s="364"/>
      <c r="DZ89" s="415"/>
      <c r="EA89" s="415"/>
      <c r="EC89" s="234"/>
    </row>
    <row r="90" spans="2:133" s="221" customFormat="1" ht="11.25" customHeight="1">
      <c r="B90" s="222"/>
      <c r="T90" s="364"/>
      <c r="U90" s="364"/>
      <c r="V90" s="364"/>
      <c r="W90" s="364"/>
      <c r="X90" s="364"/>
      <c r="Y90" s="364"/>
      <c r="Z90" s="364"/>
      <c r="AA90" s="364"/>
      <c r="AB90" s="364"/>
      <c r="AC90" s="364"/>
      <c r="AD90" s="364"/>
      <c r="AE90" s="364"/>
      <c r="AF90" s="364"/>
      <c r="AG90" s="364"/>
      <c r="AH90" s="364"/>
      <c r="AI90" s="364"/>
      <c r="AJ90" s="364"/>
      <c r="AK90" s="364"/>
      <c r="AL90" s="364"/>
      <c r="BR90" s="367"/>
      <c r="BS90" s="367"/>
      <c r="BT90" s="367"/>
      <c r="BU90" s="367"/>
      <c r="BV90" s="367"/>
      <c r="BW90" s="367"/>
      <c r="BX90" s="367"/>
      <c r="BY90" s="367"/>
      <c r="BZ90" s="367"/>
      <c r="CA90" s="367"/>
      <c r="CB90" s="364"/>
      <c r="CC90" s="415"/>
      <c r="CD90" s="364"/>
      <c r="CE90" s="367"/>
      <c r="CF90" s="367"/>
      <c r="CG90" s="367"/>
      <c r="CH90" s="367"/>
      <c r="CI90" s="367"/>
      <c r="CJ90" s="367"/>
      <c r="CK90" s="367"/>
      <c r="CL90" s="367"/>
      <c r="CM90" s="367"/>
      <c r="CN90" s="367"/>
      <c r="CO90" s="367"/>
      <c r="CP90" s="367"/>
      <c r="CQ90" s="367"/>
      <c r="CR90" s="367"/>
      <c r="CS90" s="367"/>
      <c r="CT90" s="367"/>
      <c r="CU90" s="367"/>
      <c r="CV90" s="367"/>
      <c r="CW90" s="367"/>
      <c r="CX90" s="367"/>
      <c r="CY90" s="367"/>
      <c r="CZ90" s="367"/>
      <c r="DA90" s="367"/>
      <c r="DB90" s="367"/>
      <c r="DC90" s="367"/>
      <c r="DD90" s="367"/>
      <c r="DE90" s="367"/>
      <c r="DF90" s="367"/>
      <c r="DG90" s="367"/>
      <c r="DH90" s="367"/>
      <c r="DI90" s="367"/>
      <c r="DJ90" s="367"/>
      <c r="DK90" s="367"/>
      <c r="DL90" s="367"/>
      <c r="DM90" s="367"/>
      <c r="DN90" s="367"/>
      <c r="DP90" s="364"/>
      <c r="DQ90" s="364"/>
      <c r="DR90" s="364"/>
      <c r="DS90" s="364"/>
      <c r="DT90" s="364"/>
      <c r="DU90" s="364"/>
      <c r="DV90" s="364"/>
      <c r="DW90" s="364"/>
      <c r="DX90" s="364"/>
      <c r="DY90" s="364"/>
      <c r="DZ90" s="415"/>
      <c r="EA90" s="415"/>
      <c r="EC90" s="234"/>
    </row>
    <row r="91" spans="2:133" s="221" customFormat="1" ht="11.25" customHeight="1">
      <c r="B91" s="222"/>
      <c r="T91" s="364"/>
      <c r="U91" s="364"/>
      <c r="V91" s="364"/>
      <c r="W91" s="364"/>
      <c r="X91" s="364"/>
      <c r="Y91" s="364"/>
      <c r="Z91" s="364"/>
      <c r="AA91" s="364"/>
      <c r="AB91" s="364"/>
      <c r="AC91" s="364"/>
      <c r="AD91" s="364"/>
      <c r="AE91" s="364"/>
      <c r="AF91" s="364"/>
      <c r="AG91" s="364"/>
      <c r="AH91" s="364"/>
      <c r="AI91" s="364"/>
      <c r="AJ91" s="364"/>
      <c r="AK91" s="364"/>
      <c r="AL91" s="364"/>
      <c r="AM91" s="415"/>
      <c r="BR91" s="380"/>
      <c r="BS91" s="380"/>
      <c r="BT91" s="380"/>
      <c r="BU91" s="380"/>
      <c r="BV91" s="380"/>
      <c r="BW91" s="380"/>
      <c r="BX91" s="380"/>
      <c r="BY91" s="380"/>
      <c r="BZ91" s="380"/>
      <c r="CA91" s="380"/>
      <c r="CB91" s="364"/>
      <c r="CC91" s="415"/>
      <c r="CD91" s="364"/>
      <c r="CE91" s="380"/>
      <c r="CF91" s="380"/>
      <c r="CG91" s="380"/>
      <c r="CH91" s="380"/>
      <c r="CI91" s="380"/>
      <c r="CJ91" s="380"/>
      <c r="CK91" s="380"/>
      <c r="CL91" s="380"/>
      <c r="CM91" s="380"/>
      <c r="CN91" s="380"/>
      <c r="CO91" s="380"/>
      <c r="CP91" s="380"/>
      <c r="CQ91" s="380"/>
      <c r="CR91" s="380"/>
      <c r="CS91" s="380"/>
      <c r="CT91" s="380"/>
      <c r="CU91" s="380"/>
      <c r="CV91" s="380"/>
      <c r="CW91" s="380"/>
      <c r="CX91" s="380"/>
      <c r="CY91" s="380"/>
      <c r="CZ91" s="380"/>
      <c r="DA91" s="380"/>
      <c r="DB91" s="380"/>
      <c r="DC91" s="380"/>
      <c r="DD91" s="380"/>
      <c r="DE91" s="380"/>
      <c r="DF91" s="380"/>
      <c r="DG91" s="380"/>
      <c r="DH91" s="380"/>
      <c r="DI91" s="380"/>
      <c r="DJ91" s="380"/>
      <c r="DK91" s="380"/>
      <c r="DL91" s="380"/>
      <c r="DM91" s="380"/>
      <c r="DN91" s="380"/>
      <c r="DP91" s="367"/>
      <c r="DQ91" s="367"/>
      <c r="DR91" s="367"/>
      <c r="DS91" s="367"/>
      <c r="DT91" s="367"/>
      <c r="DU91" s="367"/>
      <c r="DV91" s="367"/>
      <c r="DW91" s="367"/>
      <c r="DX91" s="367"/>
      <c r="DY91" s="367"/>
      <c r="DZ91" s="367"/>
      <c r="EA91" s="367"/>
      <c r="EC91" s="234"/>
    </row>
    <row r="92" spans="2:133" s="221" customFormat="1" ht="11.25" customHeight="1">
      <c r="B92" s="222"/>
      <c r="T92" s="364"/>
      <c r="U92" s="364"/>
      <c r="V92" s="364"/>
      <c r="W92" s="364"/>
      <c r="X92" s="364"/>
      <c r="Y92" s="364"/>
      <c r="Z92" s="364"/>
      <c r="AA92" s="364"/>
      <c r="AB92" s="364"/>
      <c r="AC92" s="364"/>
      <c r="AD92" s="364"/>
      <c r="AE92" s="364"/>
      <c r="AF92" s="364"/>
      <c r="AG92" s="364"/>
      <c r="AH92" s="364"/>
      <c r="AI92" s="364"/>
      <c r="AJ92" s="364"/>
      <c r="AK92" s="364"/>
      <c r="AL92" s="364"/>
      <c r="AM92" s="367"/>
      <c r="AN92" s="367"/>
      <c r="AO92" s="367"/>
      <c r="AP92" s="367"/>
      <c r="AQ92" s="367"/>
      <c r="AR92" s="367"/>
      <c r="AS92" s="367"/>
      <c r="AT92" s="367"/>
      <c r="AU92" s="367"/>
      <c r="AV92" s="367"/>
      <c r="AW92" s="367"/>
      <c r="AX92" s="367"/>
      <c r="AY92" s="367"/>
      <c r="AZ92" s="367"/>
      <c r="BA92" s="367"/>
      <c r="BB92" s="367"/>
      <c r="BC92" s="367"/>
      <c r="BD92" s="367"/>
      <c r="BE92" s="367"/>
      <c r="BF92" s="367"/>
      <c r="BG92" s="367"/>
      <c r="BH92" s="367"/>
      <c r="BI92" s="367"/>
      <c r="BJ92" s="367"/>
      <c r="BK92" s="367"/>
      <c r="BL92" s="367"/>
      <c r="BM92" s="367"/>
      <c r="BN92" s="364"/>
      <c r="BO92" s="367"/>
      <c r="BP92" s="367"/>
      <c r="BQ92" s="367"/>
      <c r="BR92" s="367"/>
      <c r="BS92" s="367"/>
      <c r="BT92" s="367"/>
      <c r="BU92" s="367"/>
      <c r="BV92" s="367"/>
      <c r="BW92" s="367"/>
      <c r="BX92" s="367"/>
      <c r="BY92" s="367"/>
      <c r="BZ92" s="367"/>
      <c r="CA92" s="367"/>
      <c r="CB92" s="364"/>
      <c r="CC92" s="367"/>
      <c r="CD92" s="367"/>
      <c r="CE92" s="367"/>
      <c r="CF92" s="367"/>
      <c r="CG92" s="367"/>
      <c r="CH92" s="367"/>
      <c r="CI92" s="367"/>
      <c r="CJ92" s="367"/>
      <c r="CK92" s="367"/>
      <c r="CL92" s="367"/>
      <c r="CM92" s="367"/>
      <c r="CN92" s="367"/>
      <c r="CO92" s="367"/>
      <c r="CP92" s="367"/>
      <c r="CQ92" s="367"/>
      <c r="CR92" s="367"/>
      <c r="CS92" s="367"/>
      <c r="CT92" s="367"/>
      <c r="CU92" s="367"/>
      <c r="CV92" s="367"/>
      <c r="CW92" s="367"/>
      <c r="CX92" s="367"/>
      <c r="CY92" s="367"/>
      <c r="CZ92" s="367"/>
      <c r="DA92" s="367"/>
      <c r="DB92" s="367"/>
      <c r="DC92" s="367"/>
      <c r="DD92" s="367"/>
      <c r="DE92" s="367"/>
      <c r="DF92" s="367"/>
      <c r="DG92" s="367"/>
      <c r="DH92" s="367"/>
      <c r="DI92" s="367"/>
      <c r="DJ92" s="367"/>
      <c r="DK92" s="367"/>
      <c r="DL92" s="367"/>
      <c r="DM92" s="367"/>
      <c r="DN92" s="367"/>
      <c r="DP92" s="364"/>
      <c r="DQ92" s="364"/>
      <c r="DR92" s="364"/>
      <c r="DS92" s="364"/>
      <c r="DT92" s="364"/>
      <c r="DU92" s="364"/>
      <c r="DV92" s="364"/>
      <c r="DW92" s="364"/>
      <c r="DX92" s="364"/>
      <c r="DY92" s="364"/>
      <c r="DZ92" s="364"/>
      <c r="EA92" s="364"/>
      <c r="EC92" s="234"/>
    </row>
    <row r="93" spans="2:133" s="221" customFormat="1" ht="14.25" customHeight="1">
      <c r="B93" s="222"/>
      <c r="T93" s="364"/>
      <c r="U93" s="364"/>
      <c r="V93" s="364"/>
      <c r="W93" s="364"/>
      <c r="X93" s="364"/>
      <c r="Y93" s="364"/>
      <c r="Z93" s="364"/>
      <c r="AA93" s="364"/>
      <c r="AB93" s="364"/>
      <c r="AC93" s="364"/>
      <c r="AD93" s="364"/>
      <c r="AE93" s="364"/>
      <c r="AF93" s="364"/>
      <c r="AG93" s="364"/>
      <c r="AH93" s="364"/>
      <c r="AI93" s="364"/>
      <c r="AJ93" s="364"/>
      <c r="AK93" s="364"/>
      <c r="AL93" s="364"/>
      <c r="AM93" s="364"/>
      <c r="AN93" s="364"/>
      <c r="AO93" s="364"/>
      <c r="AP93" s="364"/>
      <c r="AQ93" s="364"/>
      <c r="AR93" s="364"/>
      <c r="AS93" s="364"/>
      <c r="AT93" s="364"/>
      <c r="AU93" s="364"/>
      <c r="AV93" s="364"/>
      <c r="AW93" s="364"/>
      <c r="AX93" s="364"/>
      <c r="AY93" s="364"/>
      <c r="AZ93" s="364"/>
      <c r="BA93" s="364"/>
      <c r="BB93" s="364"/>
      <c r="BC93" s="364"/>
      <c r="BD93" s="364"/>
      <c r="BE93" s="364"/>
      <c r="BF93" s="364"/>
      <c r="BG93" s="364"/>
      <c r="BH93" s="364"/>
      <c r="BI93" s="364"/>
      <c r="BJ93" s="364"/>
      <c r="BK93" s="364"/>
      <c r="BL93" s="364"/>
      <c r="BM93" s="364"/>
      <c r="BN93" s="364"/>
      <c r="BO93" s="364"/>
      <c r="BP93" s="364"/>
      <c r="BQ93" s="364"/>
      <c r="BR93" s="364"/>
      <c r="BS93" s="364"/>
      <c r="BT93" s="364"/>
      <c r="BU93" s="364"/>
      <c r="BV93" s="364"/>
      <c r="BW93" s="364"/>
      <c r="BX93" s="364"/>
      <c r="BY93" s="364"/>
      <c r="BZ93" s="364"/>
      <c r="CA93" s="364"/>
      <c r="CB93" s="364"/>
      <c r="CC93" s="364"/>
      <c r="CD93" s="364"/>
      <c r="CE93" s="364"/>
      <c r="CF93" s="364"/>
      <c r="CG93" s="364"/>
      <c r="CH93" s="364"/>
      <c r="CI93" s="364"/>
      <c r="CJ93" s="364"/>
      <c r="CK93" s="364"/>
      <c r="CL93" s="364"/>
      <c r="CM93" s="364"/>
      <c r="CN93" s="364"/>
      <c r="CO93" s="364"/>
      <c r="CP93" s="364"/>
      <c r="CQ93" s="364"/>
      <c r="CR93" s="364"/>
      <c r="CS93" s="364"/>
      <c r="CT93" s="364"/>
      <c r="CU93" s="364"/>
      <c r="CV93" s="364"/>
      <c r="CW93" s="364"/>
      <c r="CX93" s="364"/>
      <c r="CY93" s="364"/>
      <c r="CZ93" s="364"/>
      <c r="DA93" s="364"/>
      <c r="DB93" s="364"/>
      <c r="DC93" s="364"/>
      <c r="DD93" s="364"/>
      <c r="DE93" s="364"/>
      <c r="DF93" s="364"/>
      <c r="DG93" s="364"/>
      <c r="DH93" s="364"/>
      <c r="DI93" s="364"/>
      <c r="DJ93" s="364"/>
      <c r="DK93" s="364"/>
      <c r="DL93" s="364"/>
      <c r="DM93" s="364"/>
      <c r="DN93" s="364"/>
      <c r="DO93" s="364"/>
      <c r="DP93" s="364"/>
      <c r="DQ93" s="364"/>
      <c r="DR93" s="364"/>
      <c r="DS93" s="364"/>
      <c r="DT93" s="364"/>
      <c r="DU93" s="364"/>
      <c r="DV93" s="364"/>
      <c r="DW93" s="364"/>
      <c r="DX93" s="364"/>
      <c r="DY93" s="364"/>
      <c r="DZ93" s="364"/>
      <c r="EA93" s="364"/>
      <c r="EB93" s="364"/>
      <c r="EC93" s="234"/>
    </row>
    <row r="94" spans="2:133" s="221" customFormat="1" ht="14.25" customHeight="1">
      <c r="B94" s="1763" t="s">
        <v>184</v>
      </c>
      <c r="C94" s="1764"/>
      <c r="D94" s="1764"/>
      <c r="E94" s="1764"/>
      <c r="F94" s="1764"/>
      <c r="G94" s="433"/>
      <c r="H94" s="433"/>
      <c r="I94" s="433"/>
      <c r="J94" s="433"/>
      <c r="K94" s="433"/>
      <c r="L94" s="433"/>
      <c r="M94" s="226"/>
      <c r="N94" s="226"/>
      <c r="O94" s="226"/>
      <c r="P94" s="226"/>
      <c r="Q94" s="226"/>
      <c r="R94" s="226"/>
      <c r="S94" s="226"/>
      <c r="T94" s="433"/>
      <c r="U94" s="433"/>
      <c r="V94" s="433"/>
      <c r="W94" s="433"/>
      <c r="X94" s="433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260"/>
      <c r="BD94" s="260"/>
      <c r="BE94" s="260"/>
      <c r="BF94" s="260"/>
      <c r="BG94" s="260"/>
      <c r="BH94" s="260"/>
      <c r="BI94" s="260"/>
      <c r="BJ94" s="260"/>
      <c r="BK94" s="260"/>
      <c r="BL94" s="260"/>
      <c r="BM94" s="260"/>
      <c r="BN94" s="260"/>
      <c r="BO94" s="260"/>
      <c r="BP94" s="260"/>
      <c r="BQ94" s="260"/>
      <c r="BR94" s="260"/>
      <c r="BS94" s="260"/>
      <c r="BT94" s="260"/>
      <c r="BU94" s="260"/>
      <c r="BV94" s="260"/>
      <c r="BW94" s="260"/>
      <c r="BX94" s="260"/>
      <c r="BY94" s="260"/>
      <c r="BZ94" s="260"/>
      <c r="CA94" s="260"/>
      <c r="CB94" s="260"/>
      <c r="CC94" s="260"/>
      <c r="CD94" s="260"/>
      <c r="CE94" s="260"/>
      <c r="CF94" s="260"/>
      <c r="CG94" s="260"/>
      <c r="CH94" s="260"/>
      <c r="CI94" s="260"/>
      <c r="CJ94" s="260"/>
      <c r="CK94" s="260"/>
      <c r="CL94" s="260"/>
      <c r="CM94" s="260"/>
      <c r="CN94" s="260"/>
      <c r="CO94" s="260"/>
      <c r="CP94" s="260"/>
      <c r="CQ94" s="260"/>
      <c r="CR94" s="260"/>
      <c r="CS94" s="260"/>
      <c r="CT94" s="260"/>
      <c r="CU94" s="260"/>
      <c r="CV94" s="260"/>
      <c r="CW94" s="260"/>
      <c r="CX94" s="260"/>
      <c r="CY94" s="260"/>
      <c r="CZ94" s="260"/>
      <c r="DA94" s="260"/>
      <c r="DB94" s="260"/>
      <c r="DC94" s="260"/>
      <c r="DD94" s="260"/>
      <c r="DE94" s="260"/>
      <c r="DF94" s="260"/>
      <c r="DG94" s="260"/>
      <c r="DH94" s="260"/>
      <c r="DI94" s="260"/>
      <c r="DJ94" s="260"/>
      <c r="DK94" s="1767"/>
      <c r="DL94" s="1767"/>
      <c r="DM94" s="1767"/>
      <c r="DN94" s="1767"/>
      <c r="DO94" s="1767"/>
      <c r="DP94" s="1767"/>
      <c r="DQ94" s="1767"/>
      <c r="DR94" s="1767"/>
      <c r="DS94" s="1767"/>
      <c r="DT94" s="1767"/>
      <c r="DU94" s="1767"/>
      <c r="DV94" s="1767"/>
      <c r="DW94" s="1767"/>
      <c r="DX94" s="1767"/>
      <c r="DY94" s="1767"/>
      <c r="DZ94" s="1767"/>
      <c r="EA94" s="1767"/>
      <c r="EB94" s="1767"/>
      <c r="EC94" s="1768"/>
    </row>
    <row r="95" spans="2:133" s="262" customFormat="1" ht="15" customHeight="1">
      <c r="B95" s="1765"/>
      <c r="C95" s="1766"/>
      <c r="D95" s="1766"/>
      <c r="E95" s="1766"/>
      <c r="F95" s="1766"/>
      <c r="G95" s="435"/>
      <c r="H95" s="247"/>
      <c r="I95" s="248"/>
      <c r="J95" s="367" t="s">
        <v>185</v>
      </c>
      <c r="K95" s="375" t="s">
        <v>186</v>
      </c>
      <c r="L95" s="380"/>
      <c r="M95" s="380"/>
      <c r="N95" s="380"/>
      <c r="O95" s="380"/>
      <c r="P95" s="417"/>
      <c r="Q95" s="417"/>
      <c r="R95" s="415"/>
      <c r="T95" s="435"/>
      <c r="U95" s="435"/>
      <c r="V95" s="435"/>
      <c r="W95" s="435"/>
      <c r="X95" s="435"/>
      <c r="AW95" s="415"/>
      <c r="AY95" s="1769"/>
      <c r="AZ95" s="1769"/>
      <c r="BA95" s="1769"/>
      <c r="BB95" s="1770"/>
      <c r="BC95" s="1770"/>
      <c r="BD95" s="1770"/>
      <c r="BE95" s="1770"/>
      <c r="BF95" s="1770"/>
      <c r="BG95" s="1770"/>
      <c r="BH95" s="1770"/>
      <c r="BI95" s="1770"/>
      <c r="BJ95" s="1770"/>
      <c r="BK95" s="1770"/>
      <c r="BL95" s="1770"/>
      <c r="BO95" s="375"/>
      <c r="BP95" s="375"/>
      <c r="BQ95" s="375"/>
      <c r="BR95" s="375"/>
      <c r="BS95" s="375"/>
      <c r="BT95" s="375"/>
      <c r="BU95" s="375"/>
      <c r="BV95" s="375"/>
      <c r="BW95" s="375"/>
      <c r="BX95" s="375"/>
      <c r="BY95" s="375"/>
      <c r="BZ95" s="375"/>
      <c r="CA95" s="375"/>
      <c r="CB95" s="375"/>
      <c r="CC95" s="375"/>
      <c r="CD95" s="375"/>
      <c r="CE95" s="375"/>
      <c r="CF95" s="375"/>
      <c r="CG95" s="375"/>
      <c r="CH95" s="375"/>
      <c r="CI95" s="375"/>
      <c r="CJ95" s="375"/>
      <c r="CK95" s="375"/>
      <c r="CL95" s="1771" t="s">
        <v>188</v>
      </c>
      <c r="CM95" s="1771"/>
      <c r="CN95" s="1771"/>
      <c r="CO95" s="1771"/>
      <c r="CP95" s="1771"/>
      <c r="CQ95" s="1771"/>
      <c r="CR95" s="1771"/>
      <c r="CS95" s="1771"/>
      <c r="CT95" s="418"/>
      <c r="CU95" s="418"/>
      <c r="CV95" s="418"/>
      <c r="CW95" s="1772" t="s">
        <v>189</v>
      </c>
      <c r="CX95" s="1772"/>
      <c r="CY95" s="1772"/>
      <c r="CZ95" s="1772"/>
      <c r="DA95" s="1772"/>
      <c r="DB95" s="1772"/>
      <c r="DC95" s="1772"/>
      <c r="DD95" s="1772"/>
      <c r="DE95" s="1772"/>
      <c r="DF95" s="1772"/>
      <c r="DG95" s="1772"/>
      <c r="DH95" s="1772"/>
      <c r="DI95" s="1772"/>
      <c r="DJ95" s="1772"/>
      <c r="DK95" s="1772"/>
      <c r="DL95" s="1772"/>
      <c r="DM95" s="1772"/>
      <c r="DN95" s="1772"/>
      <c r="DO95" s="1772"/>
      <c r="DP95" s="1772"/>
      <c r="DQ95" s="1772" t="s">
        <v>190</v>
      </c>
      <c r="DR95" s="1772"/>
      <c r="DS95" s="1772"/>
      <c r="DT95" s="1772"/>
      <c r="DU95" s="1772"/>
      <c r="DV95" s="1772"/>
      <c r="DW95" s="1772"/>
      <c r="DX95" s="1772"/>
      <c r="DY95" s="1772"/>
      <c r="DZ95" s="1772"/>
      <c r="EA95" s="1772"/>
      <c r="EB95" s="375"/>
      <c r="EC95" s="263"/>
    </row>
    <row r="96" spans="2:133" s="262" customFormat="1" ht="7.5" customHeight="1">
      <c r="B96" s="434"/>
      <c r="C96" s="435"/>
      <c r="D96" s="435"/>
      <c r="E96" s="435"/>
      <c r="F96" s="435"/>
      <c r="G96" s="435"/>
      <c r="K96" s="419"/>
      <c r="R96" s="364"/>
      <c r="T96" s="435"/>
      <c r="U96" s="435"/>
      <c r="V96" s="435"/>
      <c r="W96" s="435"/>
      <c r="X96" s="435"/>
      <c r="AW96" s="415"/>
      <c r="AX96" s="364"/>
      <c r="AY96" s="420"/>
      <c r="AZ96" s="420"/>
      <c r="BA96" s="420"/>
      <c r="BC96" s="435"/>
      <c r="BD96" s="435"/>
      <c r="BE96" s="435"/>
      <c r="BF96" s="435"/>
      <c r="BG96" s="1718" t="s">
        <v>222</v>
      </c>
      <c r="BH96" s="1718"/>
      <c r="BI96" s="1718"/>
      <c r="BJ96" s="1718"/>
      <c r="BK96" s="1718"/>
      <c r="BL96" s="1718"/>
      <c r="BM96" s="1718"/>
      <c r="BN96" s="1718"/>
      <c r="BO96" s="1718"/>
      <c r="BP96" s="1718"/>
      <c r="BQ96" s="375"/>
      <c r="BR96" s="375"/>
      <c r="BS96" s="375"/>
      <c r="BT96" s="375"/>
      <c r="BU96" s="375"/>
      <c r="BV96" s="375"/>
      <c r="BW96" s="375"/>
      <c r="BX96" s="375"/>
      <c r="BY96" s="375"/>
      <c r="BZ96" s="375"/>
      <c r="CA96" s="375"/>
      <c r="CB96" s="375"/>
      <c r="CC96" s="375"/>
      <c r="CD96" s="375"/>
      <c r="CE96" s="375"/>
      <c r="CF96" s="375"/>
      <c r="CG96" s="375"/>
      <c r="CH96" s="375"/>
      <c r="CI96" s="375"/>
      <c r="CJ96" s="375"/>
      <c r="CK96" s="375"/>
      <c r="CL96" s="1771"/>
      <c r="CM96" s="1771"/>
      <c r="CN96" s="1771"/>
      <c r="CO96" s="1771"/>
      <c r="CP96" s="1771"/>
      <c r="CQ96" s="1771"/>
      <c r="CR96" s="1771"/>
      <c r="CS96" s="1771"/>
      <c r="CT96" s="418"/>
      <c r="CU96" s="418"/>
      <c r="CV96" s="418"/>
      <c r="CW96" s="1772"/>
      <c r="CX96" s="1772"/>
      <c r="CY96" s="1772"/>
      <c r="CZ96" s="1772"/>
      <c r="DA96" s="1772"/>
      <c r="DB96" s="1772"/>
      <c r="DC96" s="1772"/>
      <c r="DD96" s="1772"/>
      <c r="DE96" s="1772"/>
      <c r="DF96" s="1772"/>
      <c r="DG96" s="1772"/>
      <c r="DH96" s="1772"/>
      <c r="DI96" s="1772"/>
      <c r="DJ96" s="1772"/>
      <c r="DK96" s="1772"/>
      <c r="DL96" s="1772"/>
      <c r="DM96" s="1772"/>
      <c r="DN96" s="1772"/>
      <c r="DO96" s="1772"/>
      <c r="DP96" s="1772"/>
      <c r="DQ96" s="1772"/>
      <c r="DR96" s="1772"/>
      <c r="DS96" s="1772"/>
      <c r="DT96" s="1772"/>
      <c r="DU96" s="1772"/>
      <c r="DV96" s="1772"/>
      <c r="DW96" s="1772"/>
      <c r="DX96" s="1772"/>
      <c r="DY96" s="1772"/>
      <c r="DZ96" s="1772"/>
      <c r="EA96" s="1772"/>
      <c r="EB96" s="375"/>
      <c r="EC96" s="263"/>
    </row>
    <row r="97" spans="2:134" s="262" customFormat="1" ht="15" customHeight="1">
      <c r="B97" s="261"/>
      <c r="H97" s="264"/>
      <c r="I97" s="265"/>
      <c r="J97" s="367" t="s">
        <v>185</v>
      </c>
      <c r="K97" s="1519" t="s">
        <v>191</v>
      </c>
      <c r="R97" s="364"/>
      <c r="T97" s="367"/>
      <c r="U97" s="367"/>
      <c r="V97" s="367"/>
      <c r="W97" s="367"/>
      <c r="Y97" s="1773" t="s">
        <v>224</v>
      </c>
      <c r="Z97" s="1773"/>
      <c r="AA97" s="1773"/>
      <c r="AB97" s="1773"/>
      <c r="AC97" s="1773"/>
      <c r="AD97" s="1773"/>
      <c r="AE97" s="1773"/>
      <c r="AF97" s="1773"/>
      <c r="AG97" s="1773"/>
      <c r="AH97" s="1773"/>
      <c r="AI97" s="1773"/>
      <c r="AQ97" s="1766" t="s">
        <v>223</v>
      </c>
      <c r="AR97" s="1766"/>
      <c r="AS97" s="1766"/>
      <c r="AT97" s="1766"/>
      <c r="AU97" s="1766"/>
      <c r="AV97" s="1766"/>
      <c r="AW97" s="1766"/>
      <c r="AX97" s="1766"/>
      <c r="AY97" s="1766"/>
      <c r="AZ97" s="1766"/>
      <c r="BA97" s="1766"/>
      <c r="BB97" s="1766"/>
      <c r="BC97" s="435"/>
      <c r="BD97" s="435"/>
      <c r="BE97" s="435"/>
      <c r="BF97" s="435"/>
      <c r="BG97" s="1718"/>
      <c r="BH97" s="1718"/>
      <c r="BI97" s="1718"/>
      <c r="BJ97" s="1718"/>
      <c r="BK97" s="1718"/>
      <c r="BL97" s="1718"/>
      <c r="BM97" s="1718"/>
      <c r="BN97" s="1718"/>
      <c r="BO97" s="1718"/>
      <c r="BP97" s="1718"/>
      <c r="BQ97" s="375"/>
      <c r="BR97" s="375"/>
      <c r="BS97" s="375"/>
      <c r="BT97" s="375"/>
      <c r="BU97" s="375"/>
      <c r="BV97" s="375"/>
      <c r="BW97" s="375" t="s">
        <v>187</v>
      </c>
      <c r="BX97" s="375"/>
      <c r="BY97" s="375"/>
      <c r="BZ97" s="375"/>
      <c r="CA97" s="375"/>
      <c r="CB97" s="375"/>
      <c r="CC97" s="375"/>
      <c r="CD97" s="375"/>
      <c r="CE97" s="375"/>
      <c r="CF97" s="375"/>
      <c r="CG97" s="375"/>
      <c r="CH97" s="375"/>
      <c r="CI97" s="375"/>
      <c r="CJ97" s="375"/>
      <c r="CK97" s="375"/>
      <c r="CL97" s="1771"/>
      <c r="CM97" s="1771"/>
      <c r="CN97" s="1771"/>
      <c r="CO97" s="1771"/>
      <c r="CP97" s="1771"/>
      <c r="CQ97" s="1771"/>
      <c r="CR97" s="1771"/>
      <c r="CS97" s="1771"/>
      <c r="CT97" s="418"/>
      <c r="CU97" s="418"/>
      <c r="CV97" s="418"/>
      <c r="CW97" s="1772"/>
      <c r="CX97" s="1772"/>
      <c r="CY97" s="1772"/>
      <c r="CZ97" s="1772"/>
      <c r="DA97" s="1772"/>
      <c r="DB97" s="1772"/>
      <c r="DC97" s="1772"/>
      <c r="DD97" s="1772"/>
      <c r="DE97" s="1772"/>
      <c r="DF97" s="1772"/>
      <c r="DG97" s="1772"/>
      <c r="DH97" s="1772"/>
      <c r="DI97" s="1772"/>
      <c r="DJ97" s="1772"/>
      <c r="DK97" s="1772"/>
      <c r="DL97" s="1772"/>
      <c r="DM97" s="1772"/>
      <c r="DN97" s="1772"/>
      <c r="DO97" s="1772"/>
      <c r="DP97" s="1772"/>
      <c r="DQ97" s="1772"/>
      <c r="DR97" s="1772"/>
      <c r="DS97" s="1772"/>
      <c r="DT97" s="1772"/>
      <c r="DU97" s="1772"/>
      <c r="DV97" s="1772"/>
      <c r="DW97" s="1772"/>
      <c r="DX97" s="1772"/>
      <c r="DY97" s="1772"/>
      <c r="DZ97" s="1772"/>
      <c r="EA97" s="1772"/>
      <c r="EB97" s="375"/>
      <c r="EC97" s="263"/>
    </row>
    <row r="98" spans="2:134" s="262" customFormat="1" ht="6" customHeight="1">
      <c r="B98" s="261"/>
      <c r="H98" s="364"/>
      <c r="I98" s="364"/>
      <c r="J98" s="367"/>
      <c r="K98" s="375"/>
      <c r="L98" s="380"/>
      <c r="M98" s="380"/>
      <c r="N98" s="380"/>
      <c r="O98" s="380"/>
      <c r="P98" s="417"/>
      <c r="Q98" s="417"/>
      <c r="R98" s="364"/>
      <c r="T98" s="367"/>
      <c r="U98" s="367"/>
      <c r="V98" s="367"/>
      <c r="W98" s="367"/>
      <c r="Y98" s="1773"/>
      <c r="Z98" s="1773"/>
      <c r="AA98" s="1773"/>
      <c r="AB98" s="1773"/>
      <c r="AC98" s="1773"/>
      <c r="AD98" s="1773"/>
      <c r="AE98" s="1773"/>
      <c r="AF98" s="1773"/>
      <c r="AG98" s="1773"/>
      <c r="AH98" s="1773"/>
      <c r="AI98" s="1773"/>
      <c r="AQ98" s="1766"/>
      <c r="AR98" s="1766"/>
      <c r="AS98" s="1766"/>
      <c r="AT98" s="1766"/>
      <c r="AU98" s="1766"/>
      <c r="AV98" s="1766"/>
      <c r="AW98" s="1766"/>
      <c r="AX98" s="1766"/>
      <c r="AY98" s="1766"/>
      <c r="AZ98" s="1766"/>
      <c r="BA98" s="1766"/>
      <c r="BB98" s="1766"/>
      <c r="BC98" s="435"/>
      <c r="BD98" s="435"/>
      <c r="BE98" s="435"/>
      <c r="BF98" s="435"/>
      <c r="BG98" s="1718"/>
      <c r="BH98" s="1718"/>
      <c r="BI98" s="1718"/>
      <c r="BJ98" s="1718"/>
      <c r="BK98" s="1718"/>
      <c r="BL98" s="1718"/>
      <c r="BM98" s="1718"/>
      <c r="BN98" s="1718"/>
      <c r="BO98" s="1718"/>
      <c r="BP98" s="1718"/>
      <c r="BQ98" s="375"/>
      <c r="BR98" s="375"/>
      <c r="BS98" s="375"/>
      <c r="BT98" s="375"/>
      <c r="BU98" s="375"/>
      <c r="BV98" s="375"/>
      <c r="BW98" s="375"/>
      <c r="BX98" s="375"/>
      <c r="BY98" s="375"/>
      <c r="BZ98" s="375"/>
      <c r="CA98" s="375"/>
      <c r="CB98" s="375"/>
      <c r="CC98" s="375"/>
      <c r="CD98" s="375"/>
      <c r="CE98" s="375"/>
      <c r="CF98" s="375"/>
      <c r="CG98" s="375"/>
      <c r="CH98" s="375"/>
      <c r="CI98" s="375"/>
      <c r="CJ98" s="375"/>
      <c r="CK98" s="375"/>
      <c r="CL98" s="1771"/>
      <c r="CM98" s="1771"/>
      <c r="CN98" s="1771"/>
      <c r="CO98" s="1771"/>
      <c r="CP98" s="1771"/>
      <c r="CQ98" s="1771"/>
      <c r="CR98" s="1771"/>
      <c r="CS98" s="1771"/>
      <c r="CT98" s="418"/>
      <c r="CU98" s="418"/>
      <c r="CV98" s="418"/>
      <c r="CW98" s="1772"/>
      <c r="CX98" s="1772"/>
      <c r="CY98" s="1772"/>
      <c r="CZ98" s="1772"/>
      <c r="DA98" s="1772"/>
      <c r="DB98" s="1772"/>
      <c r="DC98" s="1772"/>
      <c r="DD98" s="1772"/>
      <c r="DE98" s="1772"/>
      <c r="DF98" s="1772"/>
      <c r="DG98" s="1772"/>
      <c r="DH98" s="1772"/>
      <c r="DI98" s="1772"/>
      <c r="DJ98" s="1772"/>
      <c r="DK98" s="1772"/>
      <c r="DL98" s="1772"/>
      <c r="DM98" s="1772"/>
      <c r="DN98" s="1772"/>
      <c r="DO98" s="1772"/>
      <c r="DP98" s="1772"/>
      <c r="DQ98" s="1772"/>
      <c r="DR98" s="1772"/>
      <c r="DS98" s="1772"/>
      <c r="DT98" s="1772"/>
      <c r="DU98" s="1772"/>
      <c r="DV98" s="1772"/>
      <c r="DW98" s="1772"/>
      <c r="DX98" s="1772"/>
      <c r="DY98" s="1772"/>
      <c r="DZ98" s="1772"/>
      <c r="EA98" s="1772"/>
      <c r="EB98" s="375"/>
      <c r="EC98" s="263"/>
    </row>
    <row r="99" spans="2:134" s="262" customFormat="1" ht="15" customHeight="1">
      <c r="B99" s="261"/>
      <c r="H99" s="431"/>
      <c r="I99" s="432"/>
      <c r="J99" s="367" t="s">
        <v>185</v>
      </c>
      <c r="K99" s="1519" t="s">
        <v>192</v>
      </c>
      <c r="L99" s="367"/>
      <c r="M99" s="367"/>
      <c r="N99" s="367"/>
      <c r="O99" s="367"/>
      <c r="P99" s="367"/>
      <c r="Q99" s="367"/>
      <c r="R99" s="364"/>
      <c r="T99" s="367"/>
      <c r="U99" s="367"/>
      <c r="V99" s="367"/>
      <c r="W99" s="367"/>
      <c r="Y99" s="1773"/>
      <c r="Z99" s="1773"/>
      <c r="AA99" s="1773"/>
      <c r="AB99" s="1773"/>
      <c r="AC99" s="1773"/>
      <c r="AD99" s="1773"/>
      <c r="AE99" s="1773"/>
      <c r="AF99" s="1773"/>
      <c r="AG99" s="1773"/>
      <c r="AH99" s="1773"/>
      <c r="AI99" s="1773"/>
      <c r="AQ99" s="1766"/>
      <c r="AR99" s="1766"/>
      <c r="AS99" s="1766"/>
      <c r="AT99" s="1766"/>
      <c r="AU99" s="1766"/>
      <c r="AV99" s="1766"/>
      <c r="AW99" s="1766"/>
      <c r="AX99" s="1766"/>
      <c r="AY99" s="1766"/>
      <c r="AZ99" s="1766"/>
      <c r="BA99" s="1766"/>
      <c r="BB99" s="1766"/>
      <c r="BC99" s="380"/>
      <c r="BD99" s="380"/>
      <c r="BE99" s="380"/>
      <c r="BF99" s="380"/>
      <c r="BG99" s="1718"/>
      <c r="BH99" s="1718"/>
      <c r="BI99" s="1718"/>
      <c r="BJ99" s="1718"/>
      <c r="BK99" s="1718"/>
      <c r="BL99" s="1718"/>
      <c r="BM99" s="1718"/>
      <c r="BN99" s="1718"/>
      <c r="BO99" s="1718"/>
      <c r="BP99" s="1718"/>
      <c r="BQ99" s="375"/>
      <c r="BR99" s="375"/>
      <c r="BS99" s="375"/>
      <c r="BT99" s="375"/>
      <c r="BU99" s="375"/>
      <c r="BV99" s="375"/>
      <c r="BW99" s="375"/>
      <c r="BX99" s="375"/>
      <c r="BY99" s="375"/>
      <c r="BZ99" s="375"/>
      <c r="CA99" s="375"/>
      <c r="CB99" s="375"/>
      <c r="CC99" s="375"/>
      <c r="CD99" s="375"/>
      <c r="CE99" s="375"/>
      <c r="CF99" s="375"/>
      <c r="CG99" s="375"/>
      <c r="CH99" s="375"/>
      <c r="CI99" s="375"/>
      <c r="CJ99" s="375"/>
      <c r="CK99" s="375"/>
      <c r="CL99" s="1771"/>
      <c r="CM99" s="1771"/>
      <c r="CN99" s="1771"/>
      <c r="CO99" s="1771"/>
      <c r="CP99" s="1771"/>
      <c r="CQ99" s="1771"/>
      <c r="CR99" s="1771"/>
      <c r="CS99" s="1771"/>
      <c r="CT99" s="418"/>
      <c r="CU99" s="418"/>
      <c r="CV99" s="418"/>
      <c r="CW99" s="1772"/>
      <c r="CX99" s="1772"/>
      <c r="CY99" s="1772"/>
      <c r="CZ99" s="1772"/>
      <c r="DA99" s="1772"/>
      <c r="DB99" s="1772"/>
      <c r="DC99" s="1772"/>
      <c r="DD99" s="1772"/>
      <c r="DE99" s="1772"/>
      <c r="DF99" s="1772"/>
      <c r="DG99" s="1772"/>
      <c r="DH99" s="1772"/>
      <c r="DI99" s="1772"/>
      <c r="DJ99" s="1772"/>
      <c r="DK99" s="1772"/>
      <c r="DL99" s="1772"/>
      <c r="DM99" s="1772"/>
      <c r="DN99" s="1772"/>
      <c r="DO99" s="1772"/>
      <c r="DP99" s="1772"/>
      <c r="DQ99" s="1772"/>
      <c r="DR99" s="1772"/>
      <c r="DS99" s="1772"/>
      <c r="DT99" s="1772"/>
      <c r="DU99" s="1772"/>
      <c r="DV99" s="1772"/>
      <c r="DW99" s="1772"/>
      <c r="DX99" s="1772"/>
      <c r="DY99" s="1772"/>
      <c r="DZ99" s="1772"/>
      <c r="EA99" s="1772"/>
      <c r="EB99" s="375"/>
      <c r="EC99" s="263"/>
    </row>
    <row r="100" spans="2:134" s="262" customFormat="1" ht="6" customHeight="1">
      <c r="B100" s="261"/>
      <c r="T100" s="367"/>
      <c r="U100" s="367"/>
      <c r="V100" s="367"/>
      <c r="W100" s="367"/>
      <c r="AL100" s="388"/>
      <c r="AM100" s="388"/>
      <c r="AN100" s="367"/>
      <c r="AO100" s="367"/>
      <c r="AP100" s="367"/>
      <c r="AQ100" s="1766"/>
      <c r="AR100" s="1766"/>
      <c r="AS100" s="1766"/>
      <c r="AT100" s="1766"/>
      <c r="AU100" s="1766"/>
      <c r="AV100" s="1766"/>
      <c r="AW100" s="1766"/>
      <c r="AX100" s="1766"/>
      <c r="AY100" s="1766"/>
      <c r="AZ100" s="1766"/>
      <c r="BA100" s="1766"/>
      <c r="BB100" s="1766"/>
      <c r="BC100" s="380"/>
      <c r="BD100" s="380"/>
      <c r="BE100" s="380"/>
      <c r="BF100" s="380"/>
      <c r="BG100" s="380"/>
      <c r="BH100" s="380"/>
      <c r="BI100" s="380"/>
      <c r="BJ100" s="380"/>
      <c r="BK100" s="380"/>
      <c r="BL100" s="380"/>
      <c r="BM100" s="380"/>
      <c r="BR100" s="380"/>
      <c r="BS100" s="380"/>
      <c r="BT100" s="418"/>
      <c r="BU100" s="418"/>
      <c r="BV100" s="418"/>
      <c r="BW100" s="418"/>
      <c r="BX100" s="418"/>
      <c r="BY100" s="418"/>
      <c r="BZ100" s="418"/>
      <c r="CA100" s="418"/>
      <c r="CB100" s="418"/>
      <c r="CC100" s="418"/>
      <c r="CD100" s="418"/>
      <c r="CE100" s="418"/>
      <c r="CF100" s="418"/>
      <c r="CG100" s="418"/>
      <c r="CH100" s="418"/>
      <c r="CI100" s="418"/>
      <c r="CJ100" s="418"/>
      <c r="CK100" s="418"/>
      <c r="CL100" s="418"/>
      <c r="CM100" s="418"/>
      <c r="CN100" s="418"/>
      <c r="CO100" s="418"/>
      <c r="CP100" s="418"/>
      <c r="CQ100" s="418"/>
      <c r="CR100" s="418"/>
      <c r="CS100" s="418"/>
      <c r="CT100" s="418"/>
      <c r="CU100" s="418"/>
      <c r="CV100" s="418"/>
      <c r="CW100" s="418"/>
      <c r="CX100" s="418"/>
      <c r="CY100" s="418"/>
      <c r="CZ100" s="418"/>
      <c r="DA100" s="418"/>
      <c r="DB100" s="418"/>
      <c r="DC100" s="418"/>
      <c r="DD100" s="418"/>
      <c r="DE100" s="418"/>
      <c r="DF100" s="418"/>
      <c r="DG100" s="418"/>
      <c r="DH100" s="418"/>
      <c r="DI100" s="418"/>
      <c r="DJ100" s="418"/>
      <c r="DK100" s="418"/>
      <c r="DL100" s="418"/>
      <c r="DM100" s="418"/>
      <c r="DN100" s="418"/>
      <c r="DO100" s="418"/>
      <c r="DP100" s="418"/>
      <c r="DQ100" s="1772"/>
      <c r="DR100" s="1772"/>
      <c r="DS100" s="1772"/>
      <c r="DT100" s="1772"/>
      <c r="DU100" s="1772"/>
      <c r="DV100" s="1772"/>
      <c r="DW100" s="1772"/>
      <c r="DX100" s="1772"/>
      <c r="DY100" s="1772"/>
      <c r="DZ100" s="1772"/>
      <c r="EA100" s="1772"/>
      <c r="EB100" s="418"/>
      <c r="EC100" s="266"/>
    </row>
    <row r="101" spans="2:134" s="262" customFormat="1" ht="15" customHeight="1">
      <c r="B101" s="261"/>
      <c r="T101" s="367"/>
      <c r="U101" s="367"/>
      <c r="V101" s="367"/>
      <c r="W101" s="367"/>
      <c r="AL101" s="416"/>
      <c r="AM101" s="416"/>
      <c r="AN101" s="421"/>
      <c r="AO101" s="421"/>
      <c r="AP101" s="422"/>
      <c r="AQ101" s="1766"/>
      <c r="AR101" s="1766"/>
      <c r="AS101" s="1766"/>
      <c r="AT101" s="1766"/>
      <c r="AU101" s="1766"/>
      <c r="AV101" s="1766"/>
      <c r="AW101" s="1766"/>
      <c r="AX101" s="1766"/>
      <c r="AY101" s="1766"/>
      <c r="AZ101" s="1766"/>
      <c r="BA101" s="1766"/>
      <c r="BB101" s="1766"/>
      <c r="BC101" s="380"/>
      <c r="BD101" s="380"/>
      <c r="BE101" s="380"/>
      <c r="BF101" s="380"/>
      <c r="BJ101" s="380"/>
      <c r="BK101" s="380"/>
      <c r="BL101" s="380"/>
      <c r="BM101" s="380"/>
      <c r="BR101" s="380"/>
      <c r="BS101" s="380"/>
      <c r="BT101" s="418"/>
      <c r="BU101" s="418"/>
      <c r="BV101" s="418"/>
      <c r="BW101" s="418"/>
      <c r="BX101" s="418"/>
      <c r="BY101" s="418"/>
      <c r="BZ101" s="418"/>
      <c r="CA101" s="418"/>
      <c r="CB101" s="418"/>
      <c r="CC101" s="418"/>
      <c r="CD101" s="418"/>
      <c r="CE101" s="418"/>
      <c r="CF101" s="418"/>
      <c r="CG101" s="418"/>
      <c r="CH101" s="418"/>
      <c r="CI101" s="418"/>
      <c r="CJ101" s="418"/>
      <c r="CK101" s="418"/>
      <c r="CL101" s="418"/>
      <c r="CM101" s="418"/>
      <c r="CN101" s="418"/>
      <c r="CO101" s="418"/>
      <c r="CP101" s="418"/>
      <c r="CQ101" s="418"/>
      <c r="CR101" s="418"/>
      <c r="CS101" s="418"/>
      <c r="CT101" s="418"/>
      <c r="CU101" s="418"/>
      <c r="CV101" s="418"/>
      <c r="CW101" s="418"/>
      <c r="CX101" s="418"/>
      <c r="CY101" s="418"/>
      <c r="CZ101" s="418"/>
      <c r="DA101" s="418"/>
      <c r="DB101" s="418"/>
      <c r="DC101" s="418"/>
      <c r="DD101" s="418"/>
      <c r="DE101" s="418"/>
      <c r="DF101" s="418"/>
      <c r="DG101" s="418"/>
      <c r="DH101" s="418"/>
      <c r="DI101" s="418"/>
      <c r="DJ101" s="418"/>
      <c r="DK101" s="418"/>
      <c r="DL101" s="418"/>
      <c r="DM101" s="418"/>
      <c r="DN101" s="418"/>
      <c r="DO101" s="418"/>
      <c r="DP101" s="418"/>
      <c r="DQ101" s="418"/>
      <c r="DR101" s="418"/>
      <c r="DS101" s="418"/>
      <c r="DT101" s="418"/>
      <c r="DU101" s="418"/>
      <c r="DV101" s="418"/>
      <c r="DW101" s="418"/>
      <c r="DX101" s="418"/>
      <c r="DY101" s="418"/>
      <c r="DZ101" s="418"/>
      <c r="EA101" s="418"/>
      <c r="EB101" s="418"/>
      <c r="EC101" s="266"/>
    </row>
    <row r="102" spans="2:134" s="262" customFormat="1" ht="15" customHeight="1" thickBot="1">
      <c r="B102" s="267"/>
      <c r="C102" s="268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  <c r="Q102" s="268"/>
      <c r="R102" s="268"/>
      <c r="S102" s="268"/>
      <c r="T102" s="269"/>
      <c r="U102" s="269"/>
      <c r="V102" s="269"/>
      <c r="W102" s="269"/>
      <c r="X102" s="270"/>
      <c r="Y102" s="270"/>
      <c r="Z102" s="270"/>
      <c r="AA102" s="270"/>
      <c r="AB102" s="270"/>
      <c r="AC102" s="270"/>
      <c r="AD102" s="270"/>
      <c r="AE102" s="270"/>
      <c r="AF102" s="270"/>
      <c r="AG102" s="270"/>
      <c r="AH102" s="270"/>
      <c r="AI102" s="270"/>
      <c r="AJ102" s="270"/>
      <c r="AK102" s="270"/>
      <c r="AL102" s="269"/>
      <c r="AM102" s="269"/>
      <c r="AN102" s="271"/>
      <c r="AO102" s="268"/>
      <c r="AP102" s="271"/>
      <c r="AQ102" s="272"/>
      <c r="AR102" s="272"/>
      <c r="AS102" s="272"/>
      <c r="AT102" s="272"/>
      <c r="AU102" s="269"/>
      <c r="AV102" s="272"/>
      <c r="AW102" s="273"/>
      <c r="AX102" s="274"/>
      <c r="AY102" s="272"/>
      <c r="AZ102" s="273"/>
      <c r="BA102" s="274"/>
      <c r="BB102" s="275"/>
      <c r="BC102" s="275"/>
      <c r="BD102" s="275"/>
      <c r="BE102" s="275"/>
      <c r="BF102" s="275"/>
      <c r="BG102" s="268"/>
      <c r="BH102" s="268"/>
      <c r="BI102" s="268"/>
      <c r="BJ102" s="275"/>
      <c r="BK102" s="275"/>
      <c r="BL102" s="275"/>
      <c r="BM102" s="275"/>
      <c r="BN102" s="268"/>
      <c r="BO102" s="268"/>
      <c r="BP102" s="268"/>
      <c r="BQ102" s="268"/>
      <c r="BR102" s="275"/>
      <c r="BS102" s="275"/>
      <c r="BT102" s="276"/>
      <c r="BU102" s="276"/>
      <c r="BV102" s="276"/>
      <c r="BW102" s="276"/>
      <c r="BX102" s="276"/>
      <c r="BY102" s="276"/>
      <c r="BZ102" s="276"/>
      <c r="CA102" s="276"/>
      <c r="CB102" s="276"/>
      <c r="CC102" s="276"/>
      <c r="CD102" s="276"/>
      <c r="CE102" s="276"/>
      <c r="CF102" s="276"/>
      <c r="CG102" s="276"/>
      <c r="CH102" s="276"/>
      <c r="CI102" s="276"/>
      <c r="CJ102" s="276"/>
      <c r="CK102" s="276"/>
      <c r="CL102" s="276"/>
      <c r="CM102" s="276"/>
      <c r="CN102" s="276"/>
      <c r="CO102" s="276"/>
      <c r="CP102" s="276"/>
      <c r="CQ102" s="276"/>
      <c r="CR102" s="276"/>
      <c r="CS102" s="276"/>
      <c r="CT102" s="276"/>
      <c r="CU102" s="276"/>
      <c r="CV102" s="276"/>
      <c r="CW102" s="276"/>
      <c r="CX102" s="276"/>
      <c r="CY102" s="276"/>
      <c r="CZ102" s="276"/>
      <c r="DA102" s="276"/>
      <c r="DB102" s="276"/>
      <c r="DC102" s="276"/>
      <c r="DD102" s="276"/>
      <c r="DE102" s="276"/>
      <c r="DF102" s="276"/>
      <c r="DG102" s="276"/>
      <c r="DH102" s="276"/>
      <c r="DI102" s="276"/>
      <c r="DJ102" s="276"/>
      <c r="DK102" s="276"/>
      <c r="DL102" s="276"/>
      <c r="DM102" s="276"/>
      <c r="DN102" s="276"/>
      <c r="DO102" s="276"/>
      <c r="DP102" s="276"/>
      <c r="DQ102" s="276"/>
      <c r="DR102" s="276"/>
      <c r="DS102" s="276"/>
      <c r="DT102" s="276"/>
      <c r="DU102" s="276"/>
      <c r="DV102" s="276"/>
      <c r="DW102" s="276"/>
      <c r="DX102" s="276"/>
      <c r="DY102" s="276"/>
      <c r="DZ102" s="276"/>
      <c r="EA102" s="276"/>
      <c r="EB102" s="276"/>
      <c r="EC102" s="277"/>
      <c r="ED102" s="268"/>
    </row>
    <row r="103" spans="2:134" s="278" customFormat="1"/>
    <row r="104" spans="2:134" s="278" customFormat="1"/>
    <row r="105" spans="2:134" s="278" customFormat="1"/>
    <row r="106" spans="2:134" s="278" customFormat="1"/>
    <row r="107" spans="2:134" s="278" customFormat="1"/>
    <row r="108" spans="2:134" s="278" customFormat="1"/>
    <row r="109" spans="2:134" s="278" customFormat="1"/>
    <row r="110" spans="2:134" s="278" customFormat="1"/>
    <row r="111" spans="2:134" s="278" customFormat="1"/>
    <row r="112" spans="2:134" s="278" customFormat="1"/>
    <row r="113" s="278" customFormat="1"/>
    <row r="114" s="278" customFormat="1"/>
    <row r="115" s="278" customFormat="1" ht="20.25" customHeight="1"/>
    <row r="116" s="278" customFormat="1"/>
    <row r="117" s="278" customFormat="1"/>
    <row r="118" s="278" customFormat="1"/>
    <row r="119" s="278" customFormat="1"/>
    <row r="120" s="278" customFormat="1"/>
    <row r="121" s="278" customFormat="1"/>
    <row r="122" s="278" customFormat="1"/>
    <row r="123" s="278" customFormat="1"/>
    <row r="124" s="278" customFormat="1"/>
    <row r="125" s="278" customFormat="1"/>
    <row r="126" s="278" customFormat="1"/>
    <row r="127" s="278" customFormat="1" ht="20.25" customHeight="1"/>
    <row r="128" s="278" customFormat="1"/>
    <row r="129" s="278" customFormat="1"/>
    <row r="130" s="278" customFormat="1"/>
    <row r="131" s="278" customFormat="1"/>
    <row r="132" s="278" customFormat="1"/>
    <row r="133" s="278" customFormat="1"/>
    <row r="134" s="278" customFormat="1"/>
    <row r="135" s="278" customFormat="1"/>
    <row r="136" s="278" customFormat="1"/>
    <row r="137" s="278" customFormat="1"/>
    <row r="138" s="278" customFormat="1" ht="20.25" customHeight="1"/>
    <row r="139" s="278" customFormat="1"/>
    <row r="140" s="278" customFormat="1"/>
    <row r="141" s="278" customFormat="1"/>
    <row r="142" s="278" customFormat="1"/>
    <row r="143" s="278" customFormat="1"/>
    <row r="144" s="278" customFormat="1"/>
    <row r="145" s="278" customFormat="1"/>
    <row r="146" s="278" customFormat="1"/>
    <row r="147" s="278" customFormat="1"/>
    <row r="148" s="278" customFormat="1"/>
    <row r="149" s="278" customFormat="1"/>
    <row r="150" s="278" customFormat="1" ht="20.25" customHeight="1"/>
    <row r="151" s="278" customFormat="1"/>
    <row r="152" s="278" customFormat="1"/>
    <row r="153" s="278" customFormat="1"/>
    <row r="154" s="278" customFormat="1"/>
    <row r="155" s="278" customFormat="1"/>
    <row r="156" s="278" customFormat="1"/>
    <row r="157" s="278" customFormat="1"/>
    <row r="158" s="278" customFormat="1"/>
    <row r="159" s="278" customFormat="1"/>
    <row r="160" s="278" customFormat="1"/>
    <row r="161" s="278" customFormat="1"/>
    <row r="162" s="278" customFormat="1"/>
    <row r="163" s="278" customFormat="1"/>
    <row r="164" s="278" customFormat="1"/>
    <row r="165" s="278" customFormat="1"/>
    <row r="166" s="278" customFormat="1"/>
    <row r="167" s="278" customFormat="1"/>
    <row r="168" s="278" customFormat="1"/>
    <row r="169" s="278" customFormat="1"/>
    <row r="170" s="278" customFormat="1"/>
    <row r="171" s="278" customFormat="1"/>
    <row r="172" s="278" customFormat="1"/>
    <row r="173" s="278" customFormat="1"/>
    <row r="174" s="278" customFormat="1"/>
    <row r="175" s="278" customFormat="1"/>
    <row r="176" s="278" customFormat="1"/>
    <row r="177" s="278" customFormat="1"/>
    <row r="178" s="278" customFormat="1"/>
    <row r="179" s="278" customFormat="1"/>
    <row r="180" s="278" customFormat="1"/>
    <row r="181" s="278" customFormat="1"/>
    <row r="182" s="278" customFormat="1"/>
    <row r="183" s="278" customFormat="1"/>
    <row r="184" s="278" customFormat="1"/>
    <row r="185" s="278" customFormat="1"/>
    <row r="186" s="278" customFormat="1"/>
    <row r="187" s="278" customFormat="1"/>
    <row r="188" s="278" customFormat="1"/>
    <row r="189" s="278" customFormat="1"/>
    <row r="190" s="278" customFormat="1"/>
    <row r="191" s="278" customFormat="1"/>
    <row r="192" s="278" customFormat="1"/>
    <row r="193" s="278" customFormat="1"/>
    <row r="194" s="278" customFormat="1"/>
    <row r="195" s="278" customFormat="1"/>
    <row r="196" s="278" customFormat="1"/>
    <row r="197" s="278" customFormat="1"/>
    <row r="198" s="278" customFormat="1"/>
    <row r="199" s="278" customFormat="1"/>
    <row r="200" s="278" customFormat="1"/>
    <row r="201" s="278" customFormat="1"/>
    <row r="202" s="278" customFormat="1"/>
    <row r="203" s="278" customFormat="1"/>
    <row r="204" s="278" customFormat="1"/>
    <row r="205" s="278" customFormat="1"/>
    <row r="206" s="278" customFormat="1"/>
    <row r="207" s="278" customFormat="1"/>
    <row r="208" s="278" customFormat="1"/>
    <row r="209" s="278" customFormat="1"/>
    <row r="210" s="278" customFormat="1"/>
    <row r="211" s="278" customFormat="1"/>
    <row r="212" s="278" customFormat="1"/>
    <row r="213" s="278" customFormat="1"/>
    <row r="214" s="278" customFormat="1"/>
    <row r="215" s="278" customFormat="1"/>
    <row r="216" s="278" customFormat="1"/>
    <row r="217" s="278" customFormat="1"/>
    <row r="218" s="278" customFormat="1"/>
    <row r="219" s="278" customFormat="1"/>
    <row r="220" s="278" customFormat="1"/>
    <row r="221" s="278" customFormat="1"/>
    <row r="222" s="278" customFormat="1"/>
    <row r="223" s="278" customFormat="1"/>
    <row r="224" s="278" customFormat="1"/>
    <row r="225" s="278" customFormat="1"/>
    <row r="226" s="278" customFormat="1"/>
    <row r="227" s="278" customFormat="1"/>
    <row r="228" s="278" customFormat="1"/>
    <row r="229" s="278" customFormat="1"/>
    <row r="230" s="278" customFormat="1"/>
    <row r="231" s="278" customFormat="1"/>
    <row r="232" s="278" customFormat="1"/>
    <row r="233" s="278" customFormat="1"/>
    <row r="234" s="278" customFormat="1"/>
    <row r="235" s="278" customFormat="1"/>
    <row r="236" s="278" customFormat="1"/>
    <row r="237" s="278" customFormat="1"/>
    <row r="238" s="278" customFormat="1"/>
    <row r="239" s="278" customFormat="1"/>
    <row r="240" s="278" customFormat="1"/>
    <row r="241" s="278" customFormat="1"/>
    <row r="242" s="278" customFormat="1"/>
    <row r="243" s="278" customFormat="1"/>
    <row r="244" s="278" customFormat="1"/>
    <row r="245" s="278" customFormat="1"/>
    <row r="246" s="278" customFormat="1"/>
    <row r="247" s="278" customFormat="1"/>
    <row r="248" s="278" customFormat="1"/>
    <row r="249" s="278" customFormat="1"/>
    <row r="250" s="278" customFormat="1"/>
    <row r="251" s="278" customFormat="1"/>
    <row r="252" s="278" customFormat="1"/>
    <row r="253" s="278" customFormat="1"/>
    <row r="254" s="278" customFormat="1"/>
    <row r="255" s="278" customFormat="1"/>
    <row r="256" s="278" customFormat="1"/>
    <row r="257" s="278" customFormat="1"/>
    <row r="258" s="278" customFormat="1"/>
    <row r="259" s="278" customFormat="1"/>
    <row r="260" s="278" customFormat="1"/>
    <row r="261" s="278" customFormat="1"/>
    <row r="262" s="278" customFormat="1"/>
    <row r="263" s="278" customFormat="1"/>
    <row r="264" s="278" customFormat="1"/>
    <row r="265" s="278" customFormat="1"/>
    <row r="266" s="278" customFormat="1"/>
    <row r="267" s="278" customFormat="1"/>
    <row r="268" s="278" customFormat="1"/>
    <row r="269" s="278" customFormat="1"/>
    <row r="270" s="278" customFormat="1"/>
    <row r="271" s="278" customFormat="1"/>
    <row r="272" s="278" customFormat="1"/>
    <row r="273" s="278" customFormat="1"/>
    <row r="274" s="278" customFormat="1"/>
    <row r="275" s="278" customFormat="1"/>
    <row r="276" s="278" customFormat="1"/>
    <row r="277" s="278" customFormat="1"/>
    <row r="278" s="278" customFormat="1"/>
    <row r="279" s="278" customFormat="1"/>
    <row r="280" s="278" customFormat="1"/>
    <row r="281" s="278" customFormat="1"/>
    <row r="282" s="278" customFormat="1"/>
    <row r="283" s="278" customFormat="1"/>
    <row r="284" s="278" customFormat="1"/>
    <row r="285" s="278" customFormat="1"/>
    <row r="286" s="278" customFormat="1"/>
    <row r="287" s="278" customFormat="1"/>
    <row r="288" s="278" customFormat="1"/>
    <row r="289" s="278" customFormat="1"/>
    <row r="290" s="278" customFormat="1"/>
    <row r="291" s="278" customFormat="1"/>
    <row r="292" s="278" customFormat="1"/>
    <row r="293" s="278" customFormat="1"/>
    <row r="294" s="278" customFormat="1"/>
    <row r="295" s="278" customFormat="1"/>
    <row r="296" s="278" customFormat="1"/>
    <row r="297" s="278" customFormat="1"/>
    <row r="298" s="278" customFormat="1"/>
    <row r="299" s="278" customFormat="1"/>
    <row r="300" s="278" customFormat="1"/>
    <row r="301" s="278" customFormat="1"/>
    <row r="302" s="278" customFormat="1"/>
    <row r="303" s="278" customFormat="1"/>
    <row r="304" s="278" customFormat="1"/>
    <row r="305" s="278" customFormat="1"/>
    <row r="306" s="278" customFormat="1"/>
    <row r="307" s="278" customFormat="1"/>
    <row r="308" s="278" customFormat="1"/>
    <row r="309" s="278" customFormat="1"/>
    <row r="310" s="278" customFormat="1"/>
    <row r="311" s="278" customFormat="1"/>
    <row r="312" s="278" customFormat="1"/>
    <row r="313" s="278" customFormat="1"/>
    <row r="314" s="278" customFormat="1"/>
    <row r="315" s="278" customFormat="1"/>
    <row r="316" s="278" customFormat="1"/>
    <row r="317" s="278" customFormat="1"/>
    <row r="318" s="278" customFormat="1"/>
    <row r="319" s="278" customFormat="1"/>
    <row r="320" s="278" customFormat="1"/>
    <row r="321" s="278" customFormat="1"/>
    <row r="322" s="278" customFormat="1"/>
    <row r="323" s="278" customFormat="1"/>
    <row r="324" s="278" customFormat="1"/>
    <row r="325" s="278" customFormat="1"/>
    <row r="326" s="278" customFormat="1"/>
    <row r="327" s="278" customFormat="1"/>
    <row r="328" s="278" customFormat="1"/>
    <row r="329" s="278" customFormat="1"/>
    <row r="330" s="278" customFormat="1"/>
    <row r="331" s="278" customFormat="1"/>
    <row r="332" s="278" customFormat="1"/>
    <row r="333" s="278" customFormat="1"/>
    <row r="334" s="278" customFormat="1"/>
    <row r="335" s="278" customFormat="1"/>
    <row r="336" s="278" customFormat="1"/>
    <row r="337" s="278" customFormat="1"/>
    <row r="338" s="278" customFormat="1"/>
    <row r="339" s="278" customFormat="1"/>
    <row r="340" s="278" customFormat="1"/>
    <row r="341" s="278" customFormat="1"/>
    <row r="342" s="278" customFormat="1"/>
    <row r="343" s="278" customFormat="1"/>
    <row r="344" s="278" customFormat="1"/>
    <row r="345" s="278" customFormat="1"/>
    <row r="346" s="278" customFormat="1"/>
    <row r="347" s="278" customFormat="1"/>
    <row r="348" s="278" customFormat="1"/>
    <row r="349" s="278" customFormat="1"/>
    <row r="350" s="278" customFormat="1"/>
    <row r="351" s="278" customFormat="1"/>
    <row r="352" s="278" customFormat="1"/>
    <row r="353" s="278" customFormat="1"/>
    <row r="354" s="278" customFormat="1"/>
    <row r="355" s="278" customFormat="1"/>
    <row r="356" s="278" customFormat="1"/>
    <row r="357" s="278" customFormat="1"/>
    <row r="358" s="278" customFormat="1"/>
    <row r="359" s="278" customFormat="1"/>
    <row r="360" s="278" customFormat="1"/>
    <row r="361" s="278" customFormat="1"/>
    <row r="362" s="278" customFormat="1"/>
    <row r="363" s="278" customFormat="1"/>
    <row r="364" s="278" customFormat="1"/>
    <row r="365" s="278" customFormat="1"/>
    <row r="366" s="278" customFormat="1"/>
    <row r="367" s="278" customFormat="1"/>
    <row r="368" s="278" customFormat="1"/>
    <row r="369" s="278" customFormat="1"/>
    <row r="370" s="278" customFormat="1"/>
    <row r="371" s="278" customFormat="1"/>
    <row r="372" s="278" customFormat="1"/>
    <row r="373" s="278" customFormat="1"/>
    <row r="374" s="278" customFormat="1"/>
    <row r="375" s="278" customFormat="1"/>
    <row r="376" s="278" customFormat="1"/>
    <row r="377" s="278" customFormat="1"/>
    <row r="378" s="278" customFormat="1"/>
    <row r="379" s="278" customFormat="1"/>
    <row r="380" s="278" customFormat="1"/>
    <row r="381" s="278" customFormat="1"/>
    <row r="382" s="278" customFormat="1"/>
    <row r="383" s="278" customFormat="1"/>
    <row r="384" s="278" customFormat="1"/>
    <row r="385" s="278" customFormat="1"/>
    <row r="386" s="278" customFormat="1"/>
    <row r="387" s="278" customFormat="1"/>
    <row r="388" s="278" customFormat="1"/>
    <row r="389" s="278" customFormat="1"/>
    <row r="390" s="278" customFormat="1"/>
    <row r="391" s="278" customFormat="1"/>
    <row r="392" s="278" customFormat="1"/>
    <row r="393" s="278" customFormat="1"/>
    <row r="394" s="278" customFormat="1"/>
    <row r="395" s="278" customFormat="1"/>
    <row r="396" s="278" customFormat="1"/>
    <row r="397" s="278" customFormat="1"/>
    <row r="398" s="278" customFormat="1"/>
    <row r="399" s="278" customFormat="1"/>
    <row r="400" s="278" customFormat="1"/>
    <row r="401" s="278" customFormat="1"/>
    <row r="402" s="278" customFormat="1"/>
    <row r="403" s="278" customFormat="1"/>
    <row r="404" s="278" customFormat="1"/>
    <row r="405" s="278" customFormat="1"/>
    <row r="406" s="278" customFormat="1"/>
    <row r="407" s="278" customFormat="1"/>
    <row r="408" s="278" customFormat="1"/>
    <row r="409" s="278" customFormat="1"/>
    <row r="410" s="278" customFormat="1"/>
    <row r="411" s="278" customFormat="1"/>
    <row r="412" s="278" customFormat="1"/>
    <row r="413" s="278" customFormat="1"/>
    <row r="414" s="278" customFormat="1"/>
    <row r="415" s="278" customFormat="1"/>
    <row r="416" s="278" customFormat="1"/>
    <row r="417" s="278" customFormat="1"/>
    <row r="418" s="278" customFormat="1"/>
    <row r="419" s="278" customFormat="1"/>
    <row r="420" s="278" customFormat="1"/>
    <row r="421" s="278" customFormat="1"/>
    <row r="422" s="278" customFormat="1"/>
    <row r="423" s="278" customFormat="1"/>
    <row r="424" s="278" customFormat="1"/>
    <row r="425" s="278" customFormat="1"/>
    <row r="426" s="278" customFormat="1"/>
    <row r="427" s="278" customFormat="1"/>
    <row r="428" s="278" customFormat="1"/>
    <row r="429" s="278" customFormat="1"/>
    <row r="430" s="278" customFormat="1"/>
    <row r="431" s="278" customFormat="1"/>
    <row r="432" s="278" customFormat="1"/>
    <row r="433" s="278" customFormat="1"/>
    <row r="434" s="278" customFormat="1"/>
    <row r="435" s="278" customFormat="1"/>
    <row r="436" s="278" customFormat="1"/>
    <row r="437" s="278" customFormat="1"/>
    <row r="438" s="278" customFormat="1"/>
    <row r="439" s="278" customFormat="1"/>
    <row r="440" s="278" customFormat="1"/>
    <row r="441" s="278" customFormat="1"/>
    <row r="442" s="278" customFormat="1"/>
    <row r="443" s="278" customFormat="1"/>
    <row r="444" s="278" customFormat="1"/>
    <row r="445" s="278" customFormat="1"/>
    <row r="446" s="278" customFormat="1"/>
    <row r="447" s="278" customFormat="1"/>
    <row r="448" s="278" customFormat="1"/>
    <row r="449" s="278" customFormat="1"/>
    <row r="450" s="278" customFormat="1"/>
    <row r="451" s="278" customFormat="1"/>
    <row r="452" s="278" customFormat="1"/>
    <row r="453" s="278" customFormat="1"/>
    <row r="454" s="278" customFormat="1"/>
    <row r="455" s="278" customFormat="1"/>
    <row r="456" s="278" customFormat="1"/>
    <row r="457" s="278" customFormat="1"/>
    <row r="458" s="278" customFormat="1"/>
    <row r="459" s="278" customFormat="1"/>
    <row r="460" s="278" customFormat="1"/>
    <row r="461" s="278" customFormat="1"/>
    <row r="462" s="278" customFormat="1"/>
    <row r="463" s="278" customFormat="1"/>
    <row r="464" s="278" customFormat="1"/>
    <row r="465" s="278" customFormat="1"/>
    <row r="466" s="278" customFormat="1"/>
    <row r="467" s="278" customFormat="1"/>
    <row r="468" s="278" customFormat="1"/>
    <row r="469" s="278" customFormat="1"/>
    <row r="470" s="278" customFormat="1"/>
    <row r="471" s="278" customFormat="1"/>
    <row r="472" s="278" customFormat="1"/>
    <row r="473" s="278" customFormat="1"/>
    <row r="474" s="278" customFormat="1"/>
    <row r="475" s="278" customFormat="1"/>
    <row r="476" s="278" customFormat="1"/>
    <row r="477" s="278" customFormat="1"/>
    <row r="478" s="278" customFormat="1"/>
    <row r="479" s="278" customFormat="1"/>
    <row r="480" s="278" customFormat="1"/>
    <row r="481" s="278" customFormat="1"/>
    <row r="482" s="278" customFormat="1"/>
    <row r="483" s="278" customFormat="1"/>
    <row r="484" s="278" customFormat="1"/>
    <row r="485" s="278" customFormat="1"/>
    <row r="486" s="278" customFormat="1"/>
    <row r="487" s="278" customFormat="1"/>
    <row r="488" s="278" customFormat="1"/>
    <row r="489" s="278" customFormat="1"/>
    <row r="490" s="278" customFormat="1"/>
    <row r="491" s="278" customFormat="1"/>
    <row r="492" s="278" customFormat="1"/>
    <row r="493" s="278" customFormat="1"/>
    <row r="494" s="278" customFormat="1"/>
    <row r="495" s="278" customFormat="1"/>
    <row r="496" s="278" customFormat="1"/>
    <row r="497" s="278" customFormat="1"/>
    <row r="498" s="278" customFormat="1"/>
    <row r="499" s="278" customFormat="1"/>
    <row r="500" s="278" customFormat="1"/>
    <row r="501" s="278" customFormat="1"/>
    <row r="502" s="278" customFormat="1"/>
    <row r="503" s="278" customFormat="1"/>
    <row r="504" s="278" customFormat="1"/>
    <row r="505" s="278" customFormat="1"/>
    <row r="506" s="278" customFormat="1"/>
    <row r="507" s="278" customFormat="1"/>
    <row r="508" s="278" customFormat="1"/>
    <row r="509" s="278" customFormat="1"/>
    <row r="510" s="278" customFormat="1"/>
    <row r="511" s="278" customFormat="1"/>
    <row r="512" s="278" customFormat="1"/>
    <row r="513" s="278" customFormat="1"/>
    <row r="514" s="278" customFormat="1"/>
    <row r="515" s="278" customFormat="1"/>
    <row r="516" s="278" customFormat="1"/>
    <row r="517" s="278" customFormat="1"/>
    <row r="518" s="278" customFormat="1"/>
    <row r="519" s="278" customFormat="1"/>
    <row r="520" s="278" customFormat="1"/>
    <row r="521" s="278" customFormat="1"/>
    <row r="522" s="278" customFormat="1"/>
    <row r="523" s="278" customFormat="1"/>
    <row r="524" s="278" customFormat="1"/>
    <row r="525" s="278" customFormat="1"/>
    <row r="526" s="278" customFormat="1"/>
    <row r="527" s="278" customFormat="1"/>
    <row r="528" s="278" customFormat="1"/>
    <row r="529" s="278" customFormat="1"/>
    <row r="530" s="278" customFormat="1"/>
    <row r="531" s="278" customFormat="1"/>
    <row r="532" s="278" customFormat="1"/>
    <row r="533" s="278" customFormat="1"/>
    <row r="534" s="278" customFormat="1"/>
    <row r="535" s="278" customFormat="1"/>
    <row r="536" s="278" customFormat="1"/>
    <row r="537" s="278" customFormat="1"/>
    <row r="538" s="278" customFormat="1"/>
    <row r="539" s="278" customFormat="1"/>
    <row r="540" s="278" customFormat="1"/>
    <row r="541" s="278" customFormat="1"/>
    <row r="542" s="278" customFormat="1"/>
    <row r="543" s="278" customFormat="1"/>
    <row r="544" s="278" customFormat="1"/>
    <row r="545" s="278" customFormat="1"/>
    <row r="546" s="278" customFormat="1"/>
    <row r="547" s="278" customFormat="1"/>
    <row r="548" s="278" customFormat="1"/>
    <row r="549" s="278" customFormat="1"/>
    <row r="550" s="278" customFormat="1"/>
    <row r="551" s="278" customFormat="1"/>
    <row r="552" s="278" customFormat="1"/>
    <row r="553" s="278" customFormat="1"/>
    <row r="554" s="278" customFormat="1"/>
    <row r="555" s="278" customFormat="1"/>
    <row r="556" s="278" customFormat="1"/>
    <row r="557" s="278" customFormat="1"/>
    <row r="558" s="278" customFormat="1"/>
    <row r="559" s="278" customFormat="1"/>
    <row r="560" s="278" customFormat="1"/>
    <row r="561" s="278" customFormat="1"/>
    <row r="562" s="278" customFormat="1"/>
    <row r="563" s="278" customFormat="1"/>
    <row r="564" s="278" customFormat="1"/>
    <row r="565" s="278" customFormat="1"/>
    <row r="566" s="278" customFormat="1"/>
    <row r="567" s="278" customFormat="1"/>
    <row r="568" s="278" customFormat="1"/>
    <row r="569" s="278" customFormat="1"/>
    <row r="570" s="278" customFormat="1"/>
    <row r="571" s="278" customFormat="1"/>
    <row r="572" s="278" customFormat="1"/>
    <row r="573" s="278" customFormat="1"/>
    <row r="574" s="278" customFormat="1"/>
    <row r="575" s="278" customFormat="1"/>
    <row r="576" s="278" customFormat="1"/>
    <row r="577" s="278" customFormat="1"/>
    <row r="578" s="278" customFormat="1"/>
    <row r="579" s="278" customFormat="1"/>
    <row r="580" s="278" customFormat="1"/>
    <row r="581" s="278" customFormat="1"/>
    <row r="582" s="278" customFormat="1"/>
    <row r="583" s="278" customFormat="1"/>
    <row r="584" s="278" customFormat="1"/>
    <row r="585" s="278" customFormat="1"/>
    <row r="586" s="278" customFormat="1"/>
    <row r="587" s="278" customFormat="1"/>
    <row r="588" s="278" customFormat="1"/>
    <row r="589" s="278" customFormat="1"/>
    <row r="590" s="278" customFormat="1"/>
    <row r="591" s="278" customFormat="1"/>
    <row r="592" s="278" customFormat="1"/>
    <row r="593" s="278" customFormat="1"/>
    <row r="594" s="278" customFormat="1"/>
    <row r="595" s="278" customFormat="1"/>
    <row r="596" s="278" customFormat="1"/>
    <row r="597" s="278" customFormat="1"/>
    <row r="598" s="278" customFormat="1"/>
    <row r="599" s="278" customFormat="1"/>
    <row r="600" s="278" customFormat="1"/>
    <row r="601" s="278" customFormat="1"/>
    <row r="602" s="278" customFormat="1"/>
    <row r="603" s="278" customFormat="1"/>
    <row r="604" s="278" customFormat="1"/>
    <row r="605" s="278" customFormat="1"/>
    <row r="606" s="278" customFormat="1"/>
    <row r="607" s="278" customFormat="1"/>
    <row r="608" s="278" customFormat="1"/>
    <row r="609" s="278" customFormat="1"/>
    <row r="610" s="278" customFormat="1"/>
    <row r="611" s="278" customFormat="1"/>
    <row r="612" s="278" customFormat="1"/>
    <row r="613" s="278" customFormat="1"/>
    <row r="614" s="278" customFormat="1"/>
    <row r="615" s="278" customFormat="1"/>
    <row r="616" s="278" customFormat="1"/>
    <row r="617" s="278" customFormat="1"/>
    <row r="618" s="278" customFormat="1"/>
    <row r="619" s="278" customFormat="1"/>
    <row r="620" s="278" customFormat="1"/>
    <row r="621" s="278" customFormat="1"/>
    <row r="622" s="278" customFormat="1"/>
    <row r="623" s="278" customFormat="1"/>
    <row r="624" s="278" customFormat="1"/>
    <row r="625" s="278" customFormat="1"/>
    <row r="626" s="278" customFormat="1"/>
    <row r="627" s="278" customFormat="1"/>
    <row r="628" s="278" customFormat="1"/>
    <row r="629" s="278" customFormat="1"/>
    <row r="630" s="278" customFormat="1"/>
    <row r="631" s="278" customFormat="1"/>
    <row r="632" s="278" customFormat="1"/>
    <row r="633" s="278" customFormat="1"/>
    <row r="634" s="278" customFormat="1"/>
    <row r="635" s="278" customFormat="1"/>
    <row r="636" s="278" customFormat="1"/>
    <row r="637" s="278" customFormat="1"/>
    <row r="638" s="278" customFormat="1"/>
    <row r="639" s="278" customFormat="1"/>
    <row r="640" s="278" customFormat="1"/>
    <row r="641" s="278" customFormat="1"/>
    <row r="642" s="278" customFormat="1"/>
    <row r="643" s="278" customFormat="1"/>
    <row r="644" s="278" customFormat="1"/>
    <row r="645" s="278" customFormat="1"/>
    <row r="646" s="278" customFormat="1"/>
    <row r="647" s="278" customFormat="1"/>
    <row r="648" s="278" customFormat="1"/>
    <row r="649" s="278" customFormat="1"/>
    <row r="650" s="278" customFormat="1"/>
    <row r="651" s="278" customFormat="1"/>
    <row r="652" s="278" customFormat="1"/>
    <row r="653" s="278" customFormat="1"/>
    <row r="654" s="278" customFormat="1"/>
    <row r="655" s="278" customFormat="1"/>
    <row r="656" s="278" customFormat="1"/>
    <row r="657" s="278" customFormat="1"/>
    <row r="658" s="278" customFormat="1"/>
    <row r="659" s="278" customFormat="1"/>
    <row r="660" s="278" customFormat="1"/>
    <row r="661" s="278" customFormat="1"/>
    <row r="662" s="278" customFormat="1"/>
    <row r="663" s="278" customFormat="1"/>
    <row r="664" s="278" customFormat="1"/>
    <row r="665" s="278" customFormat="1"/>
    <row r="666" s="278" customFormat="1"/>
    <row r="667" s="278" customFormat="1"/>
    <row r="668" s="278" customFormat="1"/>
    <row r="669" s="278" customFormat="1"/>
    <row r="670" s="278" customFormat="1"/>
    <row r="671" s="278" customFormat="1"/>
    <row r="672" s="278" customFormat="1"/>
    <row r="673" s="278" customFormat="1"/>
    <row r="674" s="278" customFormat="1"/>
    <row r="675" s="278" customFormat="1"/>
    <row r="676" s="278" customFormat="1"/>
    <row r="677" s="278" customFormat="1"/>
    <row r="678" s="278" customFormat="1"/>
    <row r="679" s="278" customFormat="1"/>
    <row r="680" s="278" customFormat="1"/>
    <row r="681" s="278" customFormat="1"/>
    <row r="682" s="278" customFormat="1"/>
    <row r="683" s="278" customFormat="1"/>
    <row r="684" s="278" customFormat="1"/>
    <row r="685" s="278" customFormat="1"/>
    <row r="686" s="278" customFormat="1"/>
    <row r="687" s="278" customFormat="1"/>
    <row r="688" s="278" customFormat="1"/>
    <row r="689" s="278" customFormat="1"/>
    <row r="690" s="278" customFormat="1"/>
    <row r="691" s="278" customFormat="1"/>
    <row r="692" s="278" customFormat="1"/>
    <row r="693" s="278" customFormat="1"/>
    <row r="694" s="278" customFormat="1"/>
    <row r="695" s="278" customFormat="1"/>
    <row r="696" s="278" customFormat="1"/>
    <row r="697" s="278" customFormat="1"/>
    <row r="698" s="278" customFormat="1"/>
    <row r="699" s="278" customFormat="1"/>
    <row r="700" s="278" customFormat="1"/>
    <row r="701" s="278" customFormat="1"/>
    <row r="702" s="278" customFormat="1"/>
    <row r="703" s="278" customFormat="1"/>
    <row r="704" s="278" customFormat="1"/>
    <row r="705" s="278" customFormat="1"/>
    <row r="706" s="278" customFormat="1"/>
    <row r="707" s="278" customFormat="1"/>
    <row r="708" s="278" customFormat="1"/>
    <row r="709" s="278" customFormat="1"/>
    <row r="710" s="278" customFormat="1"/>
    <row r="711" s="278" customFormat="1"/>
    <row r="712" s="278" customFormat="1"/>
    <row r="713" s="278" customFormat="1"/>
    <row r="714" s="278" customFormat="1"/>
    <row r="715" s="278" customFormat="1"/>
    <row r="716" s="278" customFormat="1"/>
    <row r="717" s="278" customFormat="1"/>
    <row r="718" s="278" customFormat="1"/>
    <row r="719" s="278" customFormat="1"/>
    <row r="720" s="278" customFormat="1"/>
    <row r="721" s="278" customFormat="1"/>
    <row r="722" s="278" customFormat="1"/>
    <row r="723" s="278" customFormat="1"/>
    <row r="724" s="278" customFormat="1"/>
    <row r="725" s="278" customFormat="1"/>
    <row r="726" s="278" customFormat="1"/>
    <row r="727" s="278" customFormat="1"/>
    <row r="728" s="278" customFormat="1"/>
    <row r="729" s="278" customFormat="1"/>
    <row r="730" s="278" customFormat="1"/>
    <row r="731" s="278" customFormat="1"/>
    <row r="732" s="278" customFormat="1"/>
    <row r="733" s="278" customFormat="1"/>
    <row r="734" s="278" customFormat="1"/>
    <row r="735" s="278" customFormat="1"/>
    <row r="736" s="278" customFormat="1"/>
    <row r="737" s="278" customFormat="1"/>
    <row r="738" s="278" customFormat="1"/>
    <row r="739" s="278" customFormat="1"/>
    <row r="740" s="278" customFormat="1"/>
    <row r="741" s="278" customFormat="1"/>
    <row r="742" s="278" customFormat="1"/>
    <row r="743" s="278" customFormat="1"/>
    <row r="744" s="278" customFormat="1"/>
    <row r="745" s="278" customFormat="1"/>
    <row r="746" s="278" customFormat="1"/>
    <row r="747" s="278" customFormat="1"/>
    <row r="748" s="278" customFormat="1"/>
    <row r="749" s="278" customFormat="1"/>
    <row r="750" s="278" customFormat="1"/>
    <row r="751" s="278" customFormat="1"/>
    <row r="752" s="278" customFormat="1"/>
  </sheetData>
  <mergeCells count="109">
    <mergeCell ref="B94:F95"/>
    <mergeCell ref="DK94:EC94"/>
    <mergeCell ref="AY95:BA95"/>
    <mergeCell ref="BB95:BL95"/>
    <mergeCell ref="CL95:CS99"/>
    <mergeCell ref="CW95:DP99"/>
    <mergeCell ref="DQ95:EA100"/>
    <mergeCell ref="BG96:BP99"/>
    <mergeCell ref="Y97:AI99"/>
    <mergeCell ref="AQ97:BB101"/>
    <mergeCell ref="O66:T67"/>
    <mergeCell ref="V72:Z73"/>
    <mergeCell ref="DN73:EA74"/>
    <mergeCell ref="V77:Z78"/>
    <mergeCell ref="BN79:BS82"/>
    <mergeCell ref="Q88:T88"/>
    <mergeCell ref="DT64:DU69"/>
    <mergeCell ref="DV64:DW69"/>
    <mergeCell ref="DZ64:DZ69"/>
    <mergeCell ref="EA64:EB69"/>
    <mergeCell ref="BZ64:CA69"/>
    <mergeCell ref="CB64:CC69"/>
    <mergeCell ref="CD64:CE69"/>
    <mergeCell ref="CH64:CI69"/>
    <mergeCell ref="CJ64:CK69"/>
    <mergeCell ref="CL64:CM69"/>
    <mergeCell ref="BL64:BM69"/>
    <mergeCell ref="BN64:BO69"/>
    <mergeCell ref="BP64:BQ69"/>
    <mergeCell ref="BR64:BS69"/>
    <mergeCell ref="BV64:BW69"/>
    <mergeCell ref="BX64:BY69"/>
    <mergeCell ref="AP64:AQ69"/>
    <mergeCell ref="AT64:AU69"/>
    <mergeCell ref="EE64:EF69"/>
    <mergeCell ref="EG64:EH69"/>
    <mergeCell ref="DF64:DG69"/>
    <mergeCell ref="DJ64:DK69"/>
    <mergeCell ref="DL64:DM69"/>
    <mergeCell ref="DN64:DO69"/>
    <mergeCell ref="DP64:DQ69"/>
    <mergeCell ref="DR64:DS69"/>
    <mergeCell ref="CN64:CO69"/>
    <mergeCell ref="CP64:CQ69"/>
    <mergeCell ref="CR64:CS69"/>
    <mergeCell ref="CT64:CU69"/>
    <mergeCell ref="CX64:CY69"/>
    <mergeCell ref="DB64:DC69"/>
    <mergeCell ref="EB52:EC53"/>
    <mergeCell ref="V55:Z56"/>
    <mergeCell ref="EB47:EC49"/>
    <mergeCell ref="DZ48:DZ49"/>
    <mergeCell ref="BF51:BF60"/>
    <mergeCell ref="BI51:BI60"/>
    <mergeCell ref="BZ51:CA60"/>
    <mergeCell ref="AQ52:AQ60"/>
    <mergeCell ref="AT52:AT60"/>
    <mergeCell ref="AW52:AW60"/>
    <mergeCell ref="AX52:AX60"/>
    <mergeCell ref="AY52:AY60"/>
    <mergeCell ref="S46:T64"/>
    <mergeCell ref="AU46:AU48"/>
    <mergeCell ref="BX46:BZ46"/>
    <mergeCell ref="CE46:CE48"/>
    <mergeCell ref="DQ46:DR61"/>
    <mergeCell ref="AX47:AX51"/>
    <mergeCell ref="AZ47:AZ49"/>
    <mergeCell ref="BJ47:BJ49"/>
    <mergeCell ref="BR52:BR60"/>
    <mergeCell ref="BS52:BS60"/>
    <mergeCell ref="CB52:CC61"/>
    <mergeCell ref="CF52:CF60"/>
    <mergeCell ref="CH52:CI60"/>
    <mergeCell ref="CX52:CX60"/>
    <mergeCell ref="AX64:AY69"/>
    <mergeCell ref="BB64:BC69"/>
    <mergeCell ref="BF64:BG69"/>
    <mergeCell ref="BJ64:BK69"/>
    <mergeCell ref="V64:W69"/>
    <mergeCell ref="X64:Y69"/>
    <mergeCell ref="Z64:AA69"/>
    <mergeCell ref="AD64:AE69"/>
    <mergeCell ref="AH64:AI69"/>
    <mergeCell ref="AL64:AM69"/>
    <mergeCell ref="AL41:AQ42"/>
    <mergeCell ref="BW41:BZ42"/>
    <mergeCell ref="DL41:DO42"/>
    <mergeCell ref="DW42:DZ43"/>
    <mergeCell ref="EB43:EC46"/>
    <mergeCell ref="BJ44:BK44"/>
    <mergeCell ref="BW34:CA35"/>
    <mergeCell ref="EB34:EB42"/>
    <mergeCell ref="U35:Z37"/>
    <mergeCell ref="BT37:BX38"/>
    <mergeCell ref="DR37:EA37"/>
    <mergeCell ref="U38:Y39"/>
    <mergeCell ref="CI38:CJ44"/>
    <mergeCell ref="BG39:BG44"/>
    <mergeCell ref="CA39:CA43"/>
    <mergeCell ref="CB39:CB43"/>
    <mergeCell ref="B2:EC9"/>
    <mergeCell ref="Y17:AG17"/>
    <mergeCell ref="BT21:BX22"/>
    <mergeCell ref="EM22:EM29"/>
    <mergeCell ref="EL27:EL31"/>
    <mergeCell ref="DQ29:EA29"/>
    <mergeCell ref="U30:Y31"/>
    <mergeCell ref="DX31:DZ32"/>
    <mergeCell ref="V32:Z33"/>
  </mergeCells>
  <printOptions horizontalCentered="1" verticalCentered="1"/>
  <pageMargins left="0.82677165354330717" right="0.23622047244094491" top="0.62992125984251968" bottom="0.47244094488188981" header="0.51181102362204722" footer="0.27559055118110237"/>
  <pageSetup paperSize="8" scale="43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35C0-E9C1-4206-8171-7368A285EC2A}">
  <sheetPr>
    <tabColor rgb="FF00FF00"/>
  </sheetPr>
  <dimension ref="A1:H14"/>
  <sheetViews>
    <sheetView showGridLines="0" defaultGridColor="0" colorId="23" zoomScaleNormal="100" workbookViewId="0">
      <pane ySplit="7" topLeftCell="A8" activePane="bottomLeft" state="frozen"/>
      <selection activeCell="DQ46" sqref="DQ46:DR61"/>
      <selection pane="bottomLeft" activeCell="J14" sqref="J14"/>
    </sheetView>
  </sheetViews>
  <sheetFormatPr defaultColWidth="9.140625" defaultRowHeight="11.25"/>
  <cols>
    <col min="1" max="1" width="28.140625" style="302" customWidth="1"/>
    <col min="2" max="8" width="13.7109375" style="302" customWidth="1"/>
    <col min="9" max="9" width="11" style="302" bestFit="1" customWidth="1"/>
    <col min="10" max="16384" width="9.140625" style="302"/>
  </cols>
  <sheetData>
    <row r="1" spans="1:8" s="219" customFormat="1" ht="19.5" customHeight="1" thickBot="1">
      <c r="A1" s="1774" t="s">
        <v>193</v>
      </c>
      <c r="B1" s="1775"/>
      <c r="C1" s="1775"/>
      <c r="D1" s="1775"/>
      <c r="E1" s="1775"/>
      <c r="F1" s="1775"/>
      <c r="G1" s="1775"/>
      <c r="H1" s="1776"/>
    </row>
    <row r="2" spans="1:8" s="219" customFormat="1" ht="19.5" customHeight="1">
      <c r="A2" s="279" t="s">
        <v>194</v>
      </c>
      <c r="B2" s="1777" t="s">
        <v>229</v>
      </c>
      <c r="C2" s="1777"/>
      <c r="D2" s="280"/>
      <c r="E2" s="280"/>
      <c r="F2" s="280"/>
      <c r="G2" s="281" t="s">
        <v>207</v>
      </c>
      <c r="H2" s="282" t="s">
        <v>1545</v>
      </c>
    </row>
    <row r="3" spans="1:8" s="219" customFormat="1" ht="19.5" customHeight="1">
      <c r="A3" s="283" t="s">
        <v>195</v>
      </c>
      <c r="B3" s="449" t="s">
        <v>202</v>
      </c>
      <c r="C3" s="449"/>
      <c r="D3" s="312"/>
      <c r="E3" s="312"/>
      <c r="F3" s="312"/>
      <c r="G3" s="309" t="s">
        <v>208</v>
      </c>
      <c r="H3" s="284" t="s">
        <v>209</v>
      </c>
    </row>
    <row r="4" spans="1:8" s="219" customFormat="1" ht="19.5" customHeight="1" thickBot="1">
      <c r="A4" s="285"/>
      <c r="B4" s="310"/>
      <c r="C4" s="286"/>
      <c r="D4" s="287"/>
      <c r="E4" s="287"/>
      <c r="F4" s="287"/>
      <c r="G4" s="287"/>
      <c r="H4" s="288"/>
    </row>
    <row r="5" spans="1:8" s="219" customFormat="1" ht="21.75" customHeight="1" thickBot="1">
      <c r="A5" s="1778" t="s">
        <v>196</v>
      </c>
      <c r="B5" s="1779"/>
      <c r="C5" s="1779"/>
      <c r="D5" s="1779"/>
      <c r="E5" s="1779"/>
      <c r="F5" s="1779"/>
      <c r="G5" s="1779"/>
      <c r="H5" s="1780"/>
    </row>
    <row r="6" spans="1:8" s="289" customFormat="1" ht="27.75" customHeight="1">
      <c r="A6" s="1781" t="s">
        <v>197</v>
      </c>
      <c r="B6" s="1783" t="s">
        <v>205</v>
      </c>
      <c r="C6" s="1783" t="s">
        <v>198</v>
      </c>
      <c r="D6" s="1783" t="s">
        <v>206</v>
      </c>
      <c r="E6" s="1785" t="s">
        <v>199</v>
      </c>
      <c r="F6" s="1786"/>
      <c r="G6" s="1787" t="s">
        <v>204</v>
      </c>
      <c r="H6" s="1788"/>
    </row>
    <row r="7" spans="1:8" s="289" customFormat="1" ht="27.75" customHeight="1" thickBot="1">
      <c r="A7" s="1782"/>
      <c r="B7" s="1784"/>
      <c r="C7" s="1784"/>
      <c r="D7" s="1784"/>
      <c r="E7" s="290" t="s">
        <v>200</v>
      </c>
      <c r="F7" s="290" t="s">
        <v>201</v>
      </c>
      <c r="G7" s="290" t="s">
        <v>200</v>
      </c>
      <c r="H7" s="291" t="s">
        <v>203</v>
      </c>
    </row>
    <row r="8" spans="1:8" s="298" customFormat="1" ht="21" customHeight="1" thickBot="1">
      <c r="A8" s="292" t="s">
        <v>229</v>
      </c>
      <c r="B8" s="311">
        <f>'MC BGTC'!O56</f>
        <v>2846.05735</v>
      </c>
      <c r="C8" s="293">
        <f>'MC Reg_Subleito'!L76</f>
        <v>16227.598000000002</v>
      </c>
      <c r="D8" s="294">
        <f>'MC BGTC'!O117</f>
        <v>1841.5646999999999</v>
      </c>
      <c r="E8" s="295">
        <f>'Quant. Pav Rodovia'!D5</f>
        <v>17974.556000000004</v>
      </c>
      <c r="F8" s="295">
        <f>'MC IMPR'!Q16</f>
        <v>50.761140300000008</v>
      </c>
      <c r="G8" s="296">
        <f>'MC CCP'!M27</f>
        <v>39047.031000000003</v>
      </c>
      <c r="H8" s="297">
        <f>'MC CCP'!O27</f>
        <v>7809.4</v>
      </c>
    </row>
    <row r="9" spans="1:8" s="298" customFormat="1" ht="18" customHeight="1" thickBot="1">
      <c r="A9" s="299" t="s">
        <v>0</v>
      </c>
      <c r="B9" s="300">
        <f t="shared" ref="B9:G9" si="0">SUM(B8:B8)</f>
        <v>2846.05735</v>
      </c>
      <c r="C9" s="300">
        <f t="shared" si="0"/>
        <v>16227.598000000002</v>
      </c>
      <c r="D9" s="300">
        <f t="shared" si="0"/>
        <v>1841.5646999999999</v>
      </c>
      <c r="E9" s="300">
        <f t="shared" si="0"/>
        <v>17974.556000000004</v>
      </c>
      <c r="F9" s="300">
        <f t="shared" si="0"/>
        <v>50.761140300000008</v>
      </c>
      <c r="G9" s="300">
        <f t="shared" si="0"/>
        <v>39047.031000000003</v>
      </c>
      <c r="H9" s="301">
        <f>SUM(H8:H8)</f>
        <v>7809.4</v>
      </c>
    </row>
    <row r="11" spans="1:8">
      <c r="C11" s="303"/>
      <c r="D11" s="303"/>
      <c r="E11" s="303"/>
      <c r="F11" s="303"/>
      <c r="G11" s="303"/>
    </row>
    <row r="12" spans="1:8">
      <c r="C12" s="303"/>
      <c r="D12" s="303"/>
      <c r="E12" s="303"/>
      <c r="F12" s="303"/>
      <c r="G12" s="303"/>
    </row>
    <row r="13" spans="1:8">
      <c r="C13" s="303"/>
      <c r="D13" s="303"/>
      <c r="E13" s="303"/>
      <c r="F13" s="303"/>
      <c r="G13" s="303"/>
    </row>
    <row r="14" spans="1:8" s="307" customFormat="1" ht="20.25" customHeight="1">
      <c r="A14" s="304"/>
      <c r="B14" s="304"/>
      <c r="C14" s="305"/>
      <c r="D14" s="306"/>
      <c r="E14" s="308"/>
    </row>
  </sheetData>
  <mergeCells count="9">
    <mergeCell ref="A1:H1"/>
    <mergeCell ref="B2:C2"/>
    <mergeCell ref="A5:H5"/>
    <mergeCell ref="A6:A7"/>
    <mergeCell ref="B6:B7"/>
    <mergeCell ref="C6:C7"/>
    <mergeCell ref="D6:D7"/>
    <mergeCell ref="E6:F6"/>
    <mergeCell ref="G6:H6"/>
  </mergeCells>
  <printOptions horizontalCentered="1"/>
  <pageMargins left="0.59055118110236227" right="0.39370078740157483" top="0.98425196850393704" bottom="0.78740157480314965" header="0.39370078740157483" footer="0.39370078740157483"/>
  <pageSetup paperSize="9" scale="85" orientation="portrait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15F9-98F3-4046-AD0E-19435A87B35F}">
  <sheetPr>
    <tabColor rgb="FF00FF00"/>
  </sheetPr>
  <dimension ref="A1:W84"/>
  <sheetViews>
    <sheetView zoomScale="75" zoomScaleNormal="75" zoomScaleSheetLayoutView="70" workbookViewId="0">
      <selection activeCell="DQ46" sqref="DQ46:DR6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9.140625" style="3" customWidth="1"/>
    <col min="4" max="4" width="30.85546875" style="3" customWidth="1"/>
    <col min="5" max="8" width="6.7109375" style="3" customWidth="1"/>
    <col min="9" max="9" width="11.140625" style="3" bestFit="1" customWidth="1"/>
    <col min="10" max="10" width="6.28515625" style="3" customWidth="1"/>
    <col min="11" max="11" width="12.85546875" style="3" customWidth="1"/>
    <col min="12" max="12" width="13.42578125" style="3" bestFit="1" customWidth="1"/>
    <col min="13" max="13" width="1.7109375" style="107" customWidth="1"/>
    <col min="14" max="14" width="11.42578125" style="357"/>
    <col min="15" max="19" width="11.42578125" style="3"/>
    <col min="20" max="20" width="18.140625" style="3" customWidth="1"/>
    <col min="21" max="245" width="11.42578125" style="3"/>
    <col min="246" max="246" width="23.7109375" style="3" customWidth="1"/>
    <col min="247" max="247" width="0" style="3" hidden="1" customWidth="1"/>
    <col min="248" max="248" width="41.42578125" style="3" customWidth="1"/>
    <col min="249" max="249" width="19.140625" style="3" customWidth="1"/>
    <col min="250" max="250" width="6.28515625" style="3" customWidth="1"/>
    <col min="251" max="251" width="6" style="3" customWidth="1"/>
    <col min="252" max="252" width="7.42578125" style="3" customWidth="1"/>
    <col min="253" max="253" width="5.7109375" style="3" customWidth="1"/>
    <col min="254" max="254" width="5.28515625" style="3" customWidth="1"/>
    <col min="255" max="255" width="10" style="3" customWidth="1"/>
    <col min="256" max="256" width="6.28515625" style="3" customWidth="1"/>
    <col min="257" max="257" width="8.28515625" style="3" customWidth="1"/>
    <col min="258" max="258" width="12.42578125" style="3" customWidth="1"/>
    <col min="259" max="259" width="5.28515625" style="3" customWidth="1"/>
    <col min="260" max="260" width="10.85546875" style="3" customWidth="1"/>
    <col min="261" max="261" width="4.85546875" style="3" customWidth="1"/>
    <col min="262" max="262" width="5.140625" style="3" customWidth="1"/>
    <col min="263" max="263" width="10.5703125" style="3" customWidth="1"/>
    <col min="264" max="264" width="6.28515625" style="3" customWidth="1"/>
    <col min="265" max="265" width="6.5703125" style="3" customWidth="1"/>
    <col min="266" max="266" width="7.42578125" style="3" customWidth="1"/>
    <col min="267" max="267" width="6.85546875" style="3" customWidth="1"/>
    <col min="268" max="268" width="10.7109375" style="3" customWidth="1"/>
    <col min="269" max="269" width="5.140625" style="3" customWidth="1"/>
    <col min="270" max="501" width="11.42578125" style="3"/>
    <col min="502" max="502" width="23.7109375" style="3" customWidth="1"/>
    <col min="503" max="503" width="0" style="3" hidden="1" customWidth="1"/>
    <col min="504" max="504" width="41.42578125" style="3" customWidth="1"/>
    <col min="505" max="505" width="19.140625" style="3" customWidth="1"/>
    <col min="506" max="506" width="6.28515625" style="3" customWidth="1"/>
    <col min="507" max="507" width="6" style="3" customWidth="1"/>
    <col min="508" max="508" width="7.42578125" style="3" customWidth="1"/>
    <col min="509" max="509" width="5.7109375" style="3" customWidth="1"/>
    <col min="510" max="510" width="5.28515625" style="3" customWidth="1"/>
    <col min="511" max="511" width="10" style="3" customWidth="1"/>
    <col min="512" max="512" width="6.28515625" style="3" customWidth="1"/>
    <col min="513" max="513" width="8.28515625" style="3" customWidth="1"/>
    <col min="514" max="514" width="12.42578125" style="3" customWidth="1"/>
    <col min="515" max="515" width="5.28515625" style="3" customWidth="1"/>
    <col min="516" max="516" width="10.85546875" style="3" customWidth="1"/>
    <col min="517" max="517" width="4.85546875" style="3" customWidth="1"/>
    <col min="518" max="518" width="5.140625" style="3" customWidth="1"/>
    <col min="519" max="519" width="10.5703125" style="3" customWidth="1"/>
    <col min="520" max="520" width="6.28515625" style="3" customWidth="1"/>
    <col min="521" max="521" width="6.5703125" style="3" customWidth="1"/>
    <col min="522" max="522" width="7.42578125" style="3" customWidth="1"/>
    <col min="523" max="523" width="6.85546875" style="3" customWidth="1"/>
    <col min="524" max="524" width="10.7109375" style="3" customWidth="1"/>
    <col min="525" max="525" width="5.140625" style="3" customWidth="1"/>
    <col min="526" max="757" width="11.42578125" style="3"/>
    <col min="758" max="758" width="23.7109375" style="3" customWidth="1"/>
    <col min="759" max="759" width="0" style="3" hidden="1" customWidth="1"/>
    <col min="760" max="760" width="41.42578125" style="3" customWidth="1"/>
    <col min="761" max="761" width="19.140625" style="3" customWidth="1"/>
    <col min="762" max="762" width="6.28515625" style="3" customWidth="1"/>
    <col min="763" max="763" width="6" style="3" customWidth="1"/>
    <col min="764" max="764" width="7.42578125" style="3" customWidth="1"/>
    <col min="765" max="765" width="5.7109375" style="3" customWidth="1"/>
    <col min="766" max="766" width="5.28515625" style="3" customWidth="1"/>
    <col min="767" max="767" width="10" style="3" customWidth="1"/>
    <col min="768" max="768" width="6.28515625" style="3" customWidth="1"/>
    <col min="769" max="769" width="8.28515625" style="3" customWidth="1"/>
    <col min="770" max="770" width="12.42578125" style="3" customWidth="1"/>
    <col min="771" max="771" width="5.28515625" style="3" customWidth="1"/>
    <col min="772" max="772" width="10.85546875" style="3" customWidth="1"/>
    <col min="773" max="773" width="4.85546875" style="3" customWidth="1"/>
    <col min="774" max="774" width="5.140625" style="3" customWidth="1"/>
    <col min="775" max="775" width="10.5703125" style="3" customWidth="1"/>
    <col min="776" max="776" width="6.28515625" style="3" customWidth="1"/>
    <col min="777" max="777" width="6.5703125" style="3" customWidth="1"/>
    <col min="778" max="778" width="7.42578125" style="3" customWidth="1"/>
    <col min="779" max="779" width="6.85546875" style="3" customWidth="1"/>
    <col min="780" max="780" width="10.7109375" style="3" customWidth="1"/>
    <col min="781" max="781" width="5.140625" style="3" customWidth="1"/>
    <col min="782" max="1013" width="11.42578125" style="3"/>
    <col min="1014" max="1014" width="23.7109375" style="3" customWidth="1"/>
    <col min="1015" max="1015" width="0" style="3" hidden="1" customWidth="1"/>
    <col min="1016" max="1016" width="41.42578125" style="3" customWidth="1"/>
    <col min="1017" max="1017" width="19.140625" style="3" customWidth="1"/>
    <col min="1018" max="1018" width="6.28515625" style="3" customWidth="1"/>
    <col min="1019" max="1019" width="6" style="3" customWidth="1"/>
    <col min="1020" max="1020" width="7.42578125" style="3" customWidth="1"/>
    <col min="1021" max="1021" width="5.7109375" style="3" customWidth="1"/>
    <col min="1022" max="1022" width="5.28515625" style="3" customWidth="1"/>
    <col min="1023" max="1023" width="10" style="3" customWidth="1"/>
    <col min="1024" max="1024" width="6.28515625" style="3" customWidth="1"/>
    <col min="1025" max="1025" width="8.28515625" style="3" customWidth="1"/>
    <col min="1026" max="1026" width="12.42578125" style="3" customWidth="1"/>
    <col min="1027" max="1027" width="5.28515625" style="3" customWidth="1"/>
    <col min="1028" max="1028" width="10.85546875" style="3" customWidth="1"/>
    <col min="1029" max="1029" width="4.85546875" style="3" customWidth="1"/>
    <col min="1030" max="1030" width="5.140625" style="3" customWidth="1"/>
    <col min="1031" max="1031" width="10.5703125" style="3" customWidth="1"/>
    <col min="1032" max="1032" width="6.28515625" style="3" customWidth="1"/>
    <col min="1033" max="1033" width="6.5703125" style="3" customWidth="1"/>
    <col min="1034" max="1034" width="7.42578125" style="3" customWidth="1"/>
    <col min="1035" max="1035" width="6.85546875" style="3" customWidth="1"/>
    <col min="1036" max="1036" width="10.7109375" style="3" customWidth="1"/>
    <col min="1037" max="1037" width="5.140625" style="3" customWidth="1"/>
    <col min="1038" max="1269" width="11.42578125" style="3"/>
    <col min="1270" max="1270" width="23.7109375" style="3" customWidth="1"/>
    <col min="1271" max="1271" width="0" style="3" hidden="1" customWidth="1"/>
    <col min="1272" max="1272" width="41.42578125" style="3" customWidth="1"/>
    <col min="1273" max="1273" width="19.140625" style="3" customWidth="1"/>
    <col min="1274" max="1274" width="6.28515625" style="3" customWidth="1"/>
    <col min="1275" max="1275" width="6" style="3" customWidth="1"/>
    <col min="1276" max="1276" width="7.42578125" style="3" customWidth="1"/>
    <col min="1277" max="1277" width="5.7109375" style="3" customWidth="1"/>
    <col min="1278" max="1278" width="5.28515625" style="3" customWidth="1"/>
    <col min="1279" max="1279" width="10" style="3" customWidth="1"/>
    <col min="1280" max="1280" width="6.28515625" style="3" customWidth="1"/>
    <col min="1281" max="1281" width="8.28515625" style="3" customWidth="1"/>
    <col min="1282" max="1282" width="12.42578125" style="3" customWidth="1"/>
    <col min="1283" max="1283" width="5.28515625" style="3" customWidth="1"/>
    <col min="1284" max="1284" width="10.85546875" style="3" customWidth="1"/>
    <col min="1285" max="1285" width="4.85546875" style="3" customWidth="1"/>
    <col min="1286" max="1286" width="5.140625" style="3" customWidth="1"/>
    <col min="1287" max="1287" width="10.5703125" style="3" customWidth="1"/>
    <col min="1288" max="1288" width="6.28515625" style="3" customWidth="1"/>
    <col min="1289" max="1289" width="6.5703125" style="3" customWidth="1"/>
    <col min="1290" max="1290" width="7.42578125" style="3" customWidth="1"/>
    <col min="1291" max="1291" width="6.85546875" style="3" customWidth="1"/>
    <col min="1292" max="1292" width="10.7109375" style="3" customWidth="1"/>
    <col min="1293" max="1293" width="5.140625" style="3" customWidth="1"/>
    <col min="1294" max="1525" width="11.42578125" style="3"/>
    <col min="1526" max="1526" width="23.7109375" style="3" customWidth="1"/>
    <col min="1527" max="1527" width="0" style="3" hidden="1" customWidth="1"/>
    <col min="1528" max="1528" width="41.42578125" style="3" customWidth="1"/>
    <col min="1529" max="1529" width="19.140625" style="3" customWidth="1"/>
    <col min="1530" max="1530" width="6.28515625" style="3" customWidth="1"/>
    <col min="1531" max="1531" width="6" style="3" customWidth="1"/>
    <col min="1532" max="1532" width="7.42578125" style="3" customWidth="1"/>
    <col min="1533" max="1533" width="5.7109375" style="3" customWidth="1"/>
    <col min="1534" max="1534" width="5.28515625" style="3" customWidth="1"/>
    <col min="1535" max="1535" width="10" style="3" customWidth="1"/>
    <col min="1536" max="1536" width="6.28515625" style="3" customWidth="1"/>
    <col min="1537" max="1537" width="8.28515625" style="3" customWidth="1"/>
    <col min="1538" max="1538" width="12.42578125" style="3" customWidth="1"/>
    <col min="1539" max="1539" width="5.28515625" style="3" customWidth="1"/>
    <col min="1540" max="1540" width="10.85546875" style="3" customWidth="1"/>
    <col min="1541" max="1541" width="4.85546875" style="3" customWidth="1"/>
    <col min="1542" max="1542" width="5.140625" style="3" customWidth="1"/>
    <col min="1543" max="1543" width="10.5703125" style="3" customWidth="1"/>
    <col min="1544" max="1544" width="6.28515625" style="3" customWidth="1"/>
    <col min="1545" max="1545" width="6.5703125" style="3" customWidth="1"/>
    <col min="1546" max="1546" width="7.42578125" style="3" customWidth="1"/>
    <col min="1547" max="1547" width="6.85546875" style="3" customWidth="1"/>
    <col min="1548" max="1548" width="10.7109375" style="3" customWidth="1"/>
    <col min="1549" max="1549" width="5.140625" style="3" customWidth="1"/>
    <col min="1550" max="1781" width="11.42578125" style="3"/>
    <col min="1782" max="1782" width="23.7109375" style="3" customWidth="1"/>
    <col min="1783" max="1783" width="0" style="3" hidden="1" customWidth="1"/>
    <col min="1784" max="1784" width="41.42578125" style="3" customWidth="1"/>
    <col min="1785" max="1785" width="19.140625" style="3" customWidth="1"/>
    <col min="1786" max="1786" width="6.28515625" style="3" customWidth="1"/>
    <col min="1787" max="1787" width="6" style="3" customWidth="1"/>
    <col min="1788" max="1788" width="7.42578125" style="3" customWidth="1"/>
    <col min="1789" max="1789" width="5.7109375" style="3" customWidth="1"/>
    <col min="1790" max="1790" width="5.28515625" style="3" customWidth="1"/>
    <col min="1791" max="1791" width="10" style="3" customWidth="1"/>
    <col min="1792" max="1792" width="6.28515625" style="3" customWidth="1"/>
    <col min="1793" max="1793" width="8.28515625" style="3" customWidth="1"/>
    <col min="1794" max="1794" width="12.42578125" style="3" customWidth="1"/>
    <col min="1795" max="1795" width="5.28515625" style="3" customWidth="1"/>
    <col min="1796" max="1796" width="10.85546875" style="3" customWidth="1"/>
    <col min="1797" max="1797" width="4.85546875" style="3" customWidth="1"/>
    <col min="1798" max="1798" width="5.140625" style="3" customWidth="1"/>
    <col min="1799" max="1799" width="10.5703125" style="3" customWidth="1"/>
    <col min="1800" max="1800" width="6.28515625" style="3" customWidth="1"/>
    <col min="1801" max="1801" width="6.5703125" style="3" customWidth="1"/>
    <col min="1802" max="1802" width="7.42578125" style="3" customWidth="1"/>
    <col min="1803" max="1803" width="6.85546875" style="3" customWidth="1"/>
    <col min="1804" max="1804" width="10.7109375" style="3" customWidth="1"/>
    <col min="1805" max="1805" width="5.140625" style="3" customWidth="1"/>
    <col min="1806" max="2037" width="11.42578125" style="3"/>
    <col min="2038" max="2038" width="23.7109375" style="3" customWidth="1"/>
    <col min="2039" max="2039" width="0" style="3" hidden="1" customWidth="1"/>
    <col min="2040" max="2040" width="41.42578125" style="3" customWidth="1"/>
    <col min="2041" max="2041" width="19.140625" style="3" customWidth="1"/>
    <col min="2042" max="2042" width="6.28515625" style="3" customWidth="1"/>
    <col min="2043" max="2043" width="6" style="3" customWidth="1"/>
    <col min="2044" max="2044" width="7.42578125" style="3" customWidth="1"/>
    <col min="2045" max="2045" width="5.7109375" style="3" customWidth="1"/>
    <col min="2046" max="2046" width="5.28515625" style="3" customWidth="1"/>
    <col min="2047" max="2047" width="10" style="3" customWidth="1"/>
    <col min="2048" max="2048" width="6.28515625" style="3" customWidth="1"/>
    <col min="2049" max="2049" width="8.28515625" style="3" customWidth="1"/>
    <col min="2050" max="2050" width="12.42578125" style="3" customWidth="1"/>
    <col min="2051" max="2051" width="5.28515625" style="3" customWidth="1"/>
    <col min="2052" max="2052" width="10.85546875" style="3" customWidth="1"/>
    <col min="2053" max="2053" width="4.85546875" style="3" customWidth="1"/>
    <col min="2054" max="2054" width="5.140625" style="3" customWidth="1"/>
    <col min="2055" max="2055" width="10.5703125" style="3" customWidth="1"/>
    <col min="2056" max="2056" width="6.28515625" style="3" customWidth="1"/>
    <col min="2057" max="2057" width="6.5703125" style="3" customWidth="1"/>
    <col min="2058" max="2058" width="7.42578125" style="3" customWidth="1"/>
    <col min="2059" max="2059" width="6.85546875" style="3" customWidth="1"/>
    <col min="2060" max="2060" width="10.7109375" style="3" customWidth="1"/>
    <col min="2061" max="2061" width="5.140625" style="3" customWidth="1"/>
    <col min="2062" max="2293" width="11.42578125" style="3"/>
    <col min="2294" max="2294" width="23.7109375" style="3" customWidth="1"/>
    <col min="2295" max="2295" width="0" style="3" hidden="1" customWidth="1"/>
    <col min="2296" max="2296" width="41.42578125" style="3" customWidth="1"/>
    <col min="2297" max="2297" width="19.140625" style="3" customWidth="1"/>
    <col min="2298" max="2298" width="6.28515625" style="3" customWidth="1"/>
    <col min="2299" max="2299" width="6" style="3" customWidth="1"/>
    <col min="2300" max="2300" width="7.42578125" style="3" customWidth="1"/>
    <col min="2301" max="2301" width="5.7109375" style="3" customWidth="1"/>
    <col min="2302" max="2302" width="5.28515625" style="3" customWidth="1"/>
    <col min="2303" max="2303" width="10" style="3" customWidth="1"/>
    <col min="2304" max="2304" width="6.28515625" style="3" customWidth="1"/>
    <col min="2305" max="2305" width="8.28515625" style="3" customWidth="1"/>
    <col min="2306" max="2306" width="12.42578125" style="3" customWidth="1"/>
    <col min="2307" max="2307" width="5.28515625" style="3" customWidth="1"/>
    <col min="2308" max="2308" width="10.85546875" style="3" customWidth="1"/>
    <col min="2309" max="2309" width="4.85546875" style="3" customWidth="1"/>
    <col min="2310" max="2310" width="5.140625" style="3" customWidth="1"/>
    <col min="2311" max="2311" width="10.5703125" style="3" customWidth="1"/>
    <col min="2312" max="2312" width="6.28515625" style="3" customWidth="1"/>
    <col min="2313" max="2313" width="6.5703125" style="3" customWidth="1"/>
    <col min="2314" max="2314" width="7.42578125" style="3" customWidth="1"/>
    <col min="2315" max="2315" width="6.85546875" style="3" customWidth="1"/>
    <col min="2316" max="2316" width="10.7109375" style="3" customWidth="1"/>
    <col min="2317" max="2317" width="5.140625" style="3" customWidth="1"/>
    <col min="2318" max="2549" width="11.42578125" style="3"/>
    <col min="2550" max="2550" width="23.7109375" style="3" customWidth="1"/>
    <col min="2551" max="2551" width="0" style="3" hidden="1" customWidth="1"/>
    <col min="2552" max="2552" width="41.42578125" style="3" customWidth="1"/>
    <col min="2553" max="2553" width="19.140625" style="3" customWidth="1"/>
    <col min="2554" max="2554" width="6.28515625" style="3" customWidth="1"/>
    <col min="2555" max="2555" width="6" style="3" customWidth="1"/>
    <col min="2556" max="2556" width="7.42578125" style="3" customWidth="1"/>
    <col min="2557" max="2557" width="5.7109375" style="3" customWidth="1"/>
    <col min="2558" max="2558" width="5.28515625" style="3" customWidth="1"/>
    <col min="2559" max="2559" width="10" style="3" customWidth="1"/>
    <col min="2560" max="2560" width="6.28515625" style="3" customWidth="1"/>
    <col min="2561" max="2561" width="8.28515625" style="3" customWidth="1"/>
    <col min="2562" max="2562" width="12.42578125" style="3" customWidth="1"/>
    <col min="2563" max="2563" width="5.28515625" style="3" customWidth="1"/>
    <col min="2564" max="2564" width="10.85546875" style="3" customWidth="1"/>
    <col min="2565" max="2565" width="4.85546875" style="3" customWidth="1"/>
    <col min="2566" max="2566" width="5.140625" style="3" customWidth="1"/>
    <col min="2567" max="2567" width="10.5703125" style="3" customWidth="1"/>
    <col min="2568" max="2568" width="6.28515625" style="3" customWidth="1"/>
    <col min="2569" max="2569" width="6.5703125" style="3" customWidth="1"/>
    <col min="2570" max="2570" width="7.42578125" style="3" customWidth="1"/>
    <col min="2571" max="2571" width="6.85546875" style="3" customWidth="1"/>
    <col min="2572" max="2572" width="10.7109375" style="3" customWidth="1"/>
    <col min="2573" max="2573" width="5.140625" style="3" customWidth="1"/>
    <col min="2574" max="2805" width="11.42578125" style="3"/>
    <col min="2806" max="2806" width="23.7109375" style="3" customWidth="1"/>
    <col min="2807" max="2807" width="0" style="3" hidden="1" customWidth="1"/>
    <col min="2808" max="2808" width="41.42578125" style="3" customWidth="1"/>
    <col min="2809" max="2809" width="19.140625" style="3" customWidth="1"/>
    <col min="2810" max="2810" width="6.28515625" style="3" customWidth="1"/>
    <col min="2811" max="2811" width="6" style="3" customWidth="1"/>
    <col min="2812" max="2812" width="7.42578125" style="3" customWidth="1"/>
    <col min="2813" max="2813" width="5.7109375" style="3" customWidth="1"/>
    <col min="2814" max="2814" width="5.28515625" style="3" customWidth="1"/>
    <col min="2815" max="2815" width="10" style="3" customWidth="1"/>
    <col min="2816" max="2816" width="6.28515625" style="3" customWidth="1"/>
    <col min="2817" max="2817" width="8.28515625" style="3" customWidth="1"/>
    <col min="2818" max="2818" width="12.42578125" style="3" customWidth="1"/>
    <col min="2819" max="2819" width="5.28515625" style="3" customWidth="1"/>
    <col min="2820" max="2820" width="10.85546875" style="3" customWidth="1"/>
    <col min="2821" max="2821" width="4.85546875" style="3" customWidth="1"/>
    <col min="2822" max="2822" width="5.140625" style="3" customWidth="1"/>
    <col min="2823" max="2823" width="10.5703125" style="3" customWidth="1"/>
    <col min="2824" max="2824" width="6.28515625" style="3" customWidth="1"/>
    <col min="2825" max="2825" width="6.5703125" style="3" customWidth="1"/>
    <col min="2826" max="2826" width="7.42578125" style="3" customWidth="1"/>
    <col min="2827" max="2827" width="6.85546875" style="3" customWidth="1"/>
    <col min="2828" max="2828" width="10.7109375" style="3" customWidth="1"/>
    <col min="2829" max="2829" width="5.140625" style="3" customWidth="1"/>
    <col min="2830" max="3061" width="11.42578125" style="3"/>
    <col min="3062" max="3062" width="23.7109375" style="3" customWidth="1"/>
    <col min="3063" max="3063" width="0" style="3" hidden="1" customWidth="1"/>
    <col min="3064" max="3064" width="41.42578125" style="3" customWidth="1"/>
    <col min="3065" max="3065" width="19.140625" style="3" customWidth="1"/>
    <col min="3066" max="3066" width="6.28515625" style="3" customWidth="1"/>
    <col min="3067" max="3067" width="6" style="3" customWidth="1"/>
    <col min="3068" max="3068" width="7.42578125" style="3" customWidth="1"/>
    <col min="3069" max="3069" width="5.7109375" style="3" customWidth="1"/>
    <col min="3070" max="3070" width="5.28515625" style="3" customWidth="1"/>
    <col min="3071" max="3071" width="10" style="3" customWidth="1"/>
    <col min="3072" max="3072" width="6.28515625" style="3" customWidth="1"/>
    <col min="3073" max="3073" width="8.28515625" style="3" customWidth="1"/>
    <col min="3074" max="3074" width="12.42578125" style="3" customWidth="1"/>
    <col min="3075" max="3075" width="5.28515625" style="3" customWidth="1"/>
    <col min="3076" max="3076" width="10.85546875" style="3" customWidth="1"/>
    <col min="3077" max="3077" width="4.85546875" style="3" customWidth="1"/>
    <col min="3078" max="3078" width="5.140625" style="3" customWidth="1"/>
    <col min="3079" max="3079" width="10.5703125" style="3" customWidth="1"/>
    <col min="3080" max="3080" width="6.28515625" style="3" customWidth="1"/>
    <col min="3081" max="3081" width="6.5703125" style="3" customWidth="1"/>
    <col min="3082" max="3082" width="7.42578125" style="3" customWidth="1"/>
    <col min="3083" max="3083" width="6.85546875" style="3" customWidth="1"/>
    <col min="3084" max="3084" width="10.7109375" style="3" customWidth="1"/>
    <col min="3085" max="3085" width="5.140625" style="3" customWidth="1"/>
    <col min="3086" max="3317" width="11.42578125" style="3"/>
    <col min="3318" max="3318" width="23.7109375" style="3" customWidth="1"/>
    <col min="3319" max="3319" width="0" style="3" hidden="1" customWidth="1"/>
    <col min="3320" max="3320" width="41.42578125" style="3" customWidth="1"/>
    <col min="3321" max="3321" width="19.140625" style="3" customWidth="1"/>
    <col min="3322" max="3322" width="6.28515625" style="3" customWidth="1"/>
    <col min="3323" max="3323" width="6" style="3" customWidth="1"/>
    <col min="3324" max="3324" width="7.42578125" style="3" customWidth="1"/>
    <col min="3325" max="3325" width="5.7109375" style="3" customWidth="1"/>
    <col min="3326" max="3326" width="5.28515625" style="3" customWidth="1"/>
    <col min="3327" max="3327" width="10" style="3" customWidth="1"/>
    <col min="3328" max="3328" width="6.28515625" style="3" customWidth="1"/>
    <col min="3329" max="3329" width="8.28515625" style="3" customWidth="1"/>
    <col min="3330" max="3330" width="12.42578125" style="3" customWidth="1"/>
    <col min="3331" max="3331" width="5.28515625" style="3" customWidth="1"/>
    <col min="3332" max="3332" width="10.85546875" style="3" customWidth="1"/>
    <col min="3333" max="3333" width="4.85546875" style="3" customWidth="1"/>
    <col min="3334" max="3334" width="5.140625" style="3" customWidth="1"/>
    <col min="3335" max="3335" width="10.5703125" style="3" customWidth="1"/>
    <col min="3336" max="3336" width="6.28515625" style="3" customWidth="1"/>
    <col min="3337" max="3337" width="6.5703125" style="3" customWidth="1"/>
    <col min="3338" max="3338" width="7.42578125" style="3" customWidth="1"/>
    <col min="3339" max="3339" width="6.85546875" style="3" customWidth="1"/>
    <col min="3340" max="3340" width="10.7109375" style="3" customWidth="1"/>
    <col min="3341" max="3341" width="5.140625" style="3" customWidth="1"/>
    <col min="3342" max="3573" width="11.42578125" style="3"/>
    <col min="3574" max="3574" width="23.7109375" style="3" customWidth="1"/>
    <col min="3575" max="3575" width="0" style="3" hidden="1" customWidth="1"/>
    <col min="3576" max="3576" width="41.42578125" style="3" customWidth="1"/>
    <col min="3577" max="3577" width="19.140625" style="3" customWidth="1"/>
    <col min="3578" max="3578" width="6.28515625" style="3" customWidth="1"/>
    <col min="3579" max="3579" width="6" style="3" customWidth="1"/>
    <col min="3580" max="3580" width="7.42578125" style="3" customWidth="1"/>
    <col min="3581" max="3581" width="5.7109375" style="3" customWidth="1"/>
    <col min="3582" max="3582" width="5.28515625" style="3" customWidth="1"/>
    <col min="3583" max="3583" width="10" style="3" customWidth="1"/>
    <col min="3584" max="3584" width="6.28515625" style="3" customWidth="1"/>
    <col min="3585" max="3585" width="8.28515625" style="3" customWidth="1"/>
    <col min="3586" max="3586" width="12.42578125" style="3" customWidth="1"/>
    <col min="3587" max="3587" width="5.28515625" style="3" customWidth="1"/>
    <col min="3588" max="3588" width="10.85546875" style="3" customWidth="1"/>
    <col min="3589" max="3589" width="4.85546875" style="3" customWidth="1"/>
    <col min="3590" max="3590" width="5.140625" style="3" customWidth="1"/>
    <col min="3591" max="3591" width="10.5703125" style="3" customWidth="1"/>
    <col min="3592" max="3592" width="6.28515625" style="3" customWidth="1"/>
    <col min="3593" max="3593" width="6.5703125" style="3" customWidth="1"/>
    <col min="3594" max="3594" width="7.42578125" style="3" customWidth="1"/>
    <col min="3595" max="3595" width="6.85546875" style="3" customWidth="1"/>
    <col min="3596" max="3596" width="10.7109375" style="3" customWidth="1"/>
    <col min="3597" max="3597" width="5.140625" style="3" customWidth="1"/>
    <col min="3598" max="3829" width="11.42578125" style="3"/>
    <col min="3830" max="3830" width="23.7109375" style="3" customWidth="1"/>
    <col min="3831" max="3831" width="0" style="3" hidden="1" customWidth="1"/>
    <col min="3832" max="3832" width="41.42578125" style="3" customWidth="1"/>
    <col min="3833" max="3833" width="19.140625" style="3" customWidth="1"/>
    <col min="3834" max="3834" width="6.28515625" style="3" customWidth="1"/>
    <col min="3835" max="3835" width="6" style="3" customWidth="1"/>
    <col min="3836" max="3836" width="7.42578125" style="3" customWidth="1"/>
    <col min="3837" max="3837" width="5.7109375" style="3" customWidth="1"/>
    <col min="3838" max="3838" width="5.28515625" style="3" customWidth="1"/>
    <col min="3839" max="3839" width="10" style="3" customWidth="1"/>
    <col min="3840" max="3840" width="6.28515625" style="3" customWidth="1"/>
    <col min="3841" max="3841" width="8.28515625" style="3" customWidth="1"/>
    <col min="3842" max="3842" width="12.42578125" style="3" customWidth="1"/>
    <col min="3843" max="3843" width="5.28515625" style="3" customWidth="1"/>
    <col min="3844" max="3844" width="10.85546875" style="3" customWidth="1"/>
    <col min="3845" max="3845" width="4.85546875" style="3" customWidth="1"/>
    <col min="3846" max="3846" width="5.140625" style="3" customWidth="1"/>
    <col min="3847" max="3847" width="10.5703125" style="3" customWidth="1"/>
    <col min="3848" max="3848" width="6.28515625" style="3" customWidth="1"/>
    <col min="3849" max="3849" width="6.5703125" style="3" customWidth="1"/>
    <col min="3850" max="3850" width="7.42578125" style="3" customWidth="1"/>
    <col min="3851" max="3851" width="6.85546875" style="3" customWidth="1"/>
    <col min="3852" max="3852" width="10.7109375" style="3" customWidth="1"/>
    <col min="3853" max="3853" width="5.140625" style="3" customWidth="1"/>
    <col min="3854" max="4085" width="11.42578125" style="3"/>
    <col min="4086" max="4086" width="23.7109375" style="3" customWidth="1"/>
    <col min="4087" max="4087" width="0" style="3" hidden="1" customWidth="1"/>
    <col min="4088" max="4088" width="41.42578125" style="3" customWidth="1"/>
    <col min="4089" max="4089" width="19.140625" style="3" customWidth="1"/>
    <col min="4090" max="4090" width="6.28515625" style="3" customWidth="1"/>
    <col min="4091" max="4091" width="6" style="3" customWidth="1"/>
    <col min="4092" max="4092" width="7.42578125" style="3" customWidth="1"/>
    <col min="4093" max="4093" width="5.7109375" style="3" customWidth="1"/>
    <col min="4094" max="4094" width="5.28515625" style="3" customWidth="1"/>
    <col min="4095" max="4095" width="10" style="3" customWidth="1"/>
    <col min="4096" max="4096" width="6.28515625" style="3" customWidth="1"/>
    <col min="4097" max="4097" width="8.28515625" style="3" customWidth="1"/>
    <col min="4098" max="4098" width="12.42578125" style="3" customWidth="1"/>
    <col min="4099" max="4099" width="5.28515625" style="3" customWidth="1"/>
    <col min="4100" max="4100" width="10.85546875" style="3" customWidth="1"/>
    <col min="4101" max="4101" width="4.85546875" style="3" customWidth="1"/>
    <col min="4102" max="4102" width="5.140625" style="3" customWidth="1"/>
    <col min="4103" max="4103" width="10.5703125" style="3" customWidth="1"/>
    <col min="4104" max="4104" width="6.28515625" style="3" customWidth="1"/>
    <col min="4105" max="4105" width="6.5703125" style="3" customWidth="1"/>
    <col min="4106" max="4106" width="7.42578125" style="3" customWidth="1"/>
    <col min="4107" max="4107" width="6.85546875" style="3" customWidth="1"/>
    <col min="4108" max="4108" width="10.7109375" style="3" customWidth="1"/>
    <col min="4109" max="4109" width="5.140625" style="3" customWidth="1"/>
    <col min="4110" max="4341" width="11.42578125" style="3"/>
    <col min="4342" max="4342" width="23.7109375" style="3" customWidth="1"/>
    <col min="4343" max="4343" width="0" style="3" hidden="1" customWidth="1"/>
    <col min="4344" max="4344" width="41.42578125" style="3" customWidth="1"/>
    <col min="4345" max="4345" width="19.140625" style="3" customWidth="1"/>
    <col min="4346" max="4346" width="6.28515625" style="3" customWidth="1"/>
    <col min="4347" max="4347" width="6" style="3" customWidth="1"/>
    <col min="4348" max="4348" width="7.42578125" style="3" customWidth="1"/>
    <col min="4349" max="4349" width="5.7109375" style="3" customWidth="1"/>
    <col min="4350" max="4350" width="5.28515625" style="3" customWidth="1"/>
    <col min="4351" max="4351" width="10" style="3" customWidth="1"/>
    <col min="4352" max="4352" width="6.28515625" style="3" customWidth="1"/>
    <col min="4353" max="4353" width="8.28515625" style="3" customWidth="1"/>
    <col min="4354" max="4354" width="12.42578125" style="3" customWidth="1"/>
    <col min="4355" max="4355" width="5.28515625" style="3" customWidth="1"/>
    <col min="4356" max="4356" width="10.85546875" style="3" customWidth="1"/>
    <col min="4357" max="4357" width="4.85546875" style="3" customWidth="1"/>
    <col min="4358" max="4358" width="5.140625" style="3" customWidth="1"/>
    <col min="4359" max="4359" width="10.5703125" style="3" customWidth="1"/>
    <col min="4360" max="4360" width="6.28515625" style="3" customWidth="1"/>
    <col min="4361" max="4361" width="6.5703125" style="3" customWidth="1"/>
    <col min="4362" max="4362" width="7.42578125" style="3" customWidth="1"/>
    <col min="4363" max="4363" width="6.85546875" style="3" customWidth="1"/>
    <col min="4364" max="4364" width="10.7109375" style="3" customWidth="1"/>
    <col min="4365" max="4365" width="5.140625" style="3" customWidth="1"/>
    <col min="4366" max="4597" width="11.42578125" style="3"/>
    <col min="4598" max="4598" width="23.7109375" style="3" customWidth="1"/>
    <col min="4599" max="4599" width="0" style="3" hidden="1" customWidth="1"/>
    <col min="4600" max="4600" width="41.42578125" style="3" customWidth="1"/>
    <col min="4601" max="4601" width="19.140625" style="3" customWidth="1"/>
    <col min="4602" max="4602" width="6.28515625" style="3" customWidth="1"/>
    <col min="4603" max="4603" width="6" style="3" customWidth="1"/>
    <col min="4604" max="4604" width="7.42578125" style="3" customWidth="1"/>
    <col min="4605" max="4605" width="5.7109375" style="3" customWidth="1"/>
    <col min="4606" max="4606" width="5.28515625" style="3" customWidth="1"/>
    <col min="4607" max="4607" width="10" style="3" customWidth="1"/>
    <col min="4608" max="4608" width="6.28515625" style="3" customWidth="1"/>
    <col min="4609" max="4609" width="8.28515625" style="3" customWidth="1"/>
    <col min="4610" max="4610" width="12.42578125" style="3" customWidth="1"/>
    <col min="4611" max="4611" width="5.28515625" style="3" customWidth="1"/>
    <col min="4612" max="4612" width="10.85546875" style="3" customWidth="1"/>
    <col min="4613" max="4613" width="4.85546875" style="3" customWidth="1"/>
    <col min="4614" max="4614" width="5.140625" style="3" customWidth="1"/>
    <col min="4615" max="4615" width="10.5703125" style="3" customWidth="1"/>
    <col min="4616" max="4616" width="6.28515625" style="3" customWidth="1"/>
    <col min="4617" max="4617" width="6.5703125" style="3" customWidth="1"/>
    <col min="4618" max="4618" width="7.42578125" style="3" customWidth="1"/>
    <col min="4619" max="4619" width="6.85546875" style="3" customWidth="1"/>
    <col min="4620" max="4620" width="10.7109375" style="3" customWidth="1"/>
    <col min="4621" max="4621" width="5.140625" style="3" customWidth="1"/>
    <col min="4622" max="4853" width="11.42578125" style="3"/>
    <col min="4854" max="4854" width="23.7109375" style="3" customWidth="1"/>
    <col min="4855" max="4855" width="0" style="3" hidden="1" customWidth="1"/>
    <col min="4856" max="4856" width="41.42578125" style="3" customWidth="1"/>
    <col min="4857" max="4857" width="19.140625" style="3" customWidth="1"/>
    <col min="4858" max="4858" width="6.28515625" style="3" customWidth="1"/>
    <col min="4859" max="4859" width="6" style="3" customWidth="1"/>
    <col min="4860" max="4860" width="7.42578125" style="3" customWidth="1"/>
    <col min="4861" max="4861" width="5.7109375" style="3" customWidth="1"/>
    <col min="4862" max="4862" width="5.28515625" style="3" customWidth="1"/>
    <col min="4863" max="4863" width="10" style="3" customWidth="1"/>
    <col min="4864" max="4864" width="6.28515625" style="3" customWidth="1"/>
    <col min="4865" max="4865" width="8.28515625" style="3" customWidth="1"/>
    <col min="4866" max="4866" width="12.42578125" style="3" customWidth="1"/>
    <col min="4867" max="4867" width="5.28515625" style="3" customWidth="1"/>
    <col min="4868" max="4868" width="10.85546875" style="3" customWidth="1"/>
    <col min="4869" max="4869" width="4.85546875" style="3" customWidth="1"/>
    <col min="4870" max="4870" width="5.140625" style="3" customWidth="1"/>
    <col min="4871" max="4871" width="10.5703125" style="3" customWidth="1"/>
    <col min="4872" max="4872" width="6.28515625" style="3" customWidth="1"/>
    <col min="4873" max="4873" width="6.5703125" style="3" customWidth="1"/>
    <col min="4874" max="4874" width="7.42578125" style="3" customWidth="1"/>
    <col min="4875" max="4875" width="6.85546875" style="3" customWidth="1"/>
    <col min="4876" max="4876" width="10.7109375" style="3" customWidth="1"/>
    <col min="4877" max="4877" width="5.140625" style="3" customWidth="1"/>
    <col min="4878" max="5109" width="11.42578125" style="3"/>
    <col min="5110" max="5110" width="23.7109375" style="3" customWidth="1"/>
    <col min="5111" max="5111" width="0" style="3" hidden="1" customWidth="1"/>
    <col min="5112" max="5112" width="41.42578125" style="3" customWidth="1"/>
    <col min="5113" max="5113" width="19.140625" style="3" customWidth="1"/>
    <col min="5114" max="5114" width="6.28515625" style="3" customWidth="1"/>
    <col min="5115" max="5115" width="6" style="3" customWidth="1"/>
    <col min="5116" max="5116" width="7.42578125" style="3" customWidth="1"/>
    <col min="5117" max="5117" width="5.7109375" style="3" customWidth="1"/>
    <col min="5118" max="5118" width="5.28515625" style="3" customWidth="1"/>
    <col min="5119" max="5119" width="10" style="3" customWidth="1"/>
    <col min="5120" max="5120" width="6.28515625" style="3" customWidth="1"/>
    <col min="5121" max="5121" width="8.28515625" style="3" customWidth="1"/>
    <col min="5122" max="5122" width="12.42578125" style="3" customWidth="1"/>
    <col min="5123" max="5123" width="5.28515625" style="3" customWidth="1"/>
    <col min="5124" max="5124" width="10.85546875" style="3" customWidth="1"/>
    <col min="5125" max="5125" width="4.85546875" style="3" customWidth="1"/>
    <col min="5126" max="5126" width="5.140625" style="3" customWidth="1"/>
    <col min="5127" max="5127" width="10.5703125" style="3" customWidth="1"/>
    <col min="5128" max="5128" width="6.28515625" style="3" customWidth="1"/>
    <col min="5129" max="5129" width="6.5703125" style="3" customWidth="1"/>
    <col min="5130" max="5130" width="7.42578125" style="3" customWidth="1"/>
    <col min="5131" max="5131" width="6.85546875" style="3" customWidth="1"/>
    <col min="5132" max="5132" width="10.7109375" style="3" customWidth="1"/>
    <col min="5133" max="5133" width="5.140625" style="3" customWidth="1"/>
    <col min="5134" max="5365" width="11.42578125" style="3"/>
    <col min="5366" max="5366" width="23.7109375" style="3" customWidth="1"/>
    <col min="5367" max="5367" width="0" style="3" hidden="1" customWidth="1"/>
    <col min="5368" max="5368" width="41.42578125" style="3" customWidth="1"/>
    <col min="5369" max="5369" width="19.140625" style="3" customWidth="1"/>
    <col min="5370" max="5370" width="6.28515625" style="3" customWidth="1"/>
    <col min="5371" max="5371" width="6" style="3" customWidth="1"/>
    <col min="5372" max="5372" width="7.42578125" style="3" customWidth="1"/>
    <col min="5373" max="5373" width="5.7109375" style="3" customWidth="1"/>
    <col min="5374" max="5374" width="5.28515625" style="3" customWidth="1"/>
    <col min="5375" max="5375" width="10" style="3" customWidth="1"/>
    <col min="5376" max="5376" width="6.28515625" style="3" customWidth="1"/>
    <col min="5377" max="5377" width="8.28515625" style="3" customWidth="1"/>
    <col min="5378" max="5378" width="12.42578125" style="3" customWidth="1"/>
    <col min="5379" max="5379" width="5.28515625" style="3" customWidth="1"/>
    <col min="5380" max="5380" width="10.85546875" style="3" customWidth="1"/>
    <col min="5381" max="5381" width="4.85546875" style="3" customWidth="1"/>
    <col min="5382" max="5382" width="5.140625" style="3" customWidth="1"/>
    <col min="5383" max="5383" width="10.5703125" style="3" customWidth="1"/>
    <col min="5384" max="5384" width="6.28515625" style="3" customWidth="1"/>
    <col min="5385" max="5385" width="6.5703125" style="3" customWidth="1"/>
    <col min="5386" max="5386" width="7.42578125" style="3" customWidth="1"/>
    <col min="5387" max="5387" width="6.85546875" style="3" customWidth="1"/>
    <col min="5388" max="5388" width="10.7109375" style="3" customWidth="1"/>
    <col min="5389" max="5389" width="5.140625" style="3" customWidth="1"/>
    <col min="5390" max="5621" width="11.42578125" style="3"/>
    <col min="5622" max="5622" width="23.7109375" style="3" customWidth="1"/>
    <col min="5623" max="5623" width="0" style="3" hidden="1" customWidth="1"/>
    <col min="5624" max="5624" width="41.42578125" style="3" customWidth="1"/>
    <col min="5625" max="5625" width="19.140625" style="3" customWidth="1"/>
    <col min="5626" max="5626" width="6.28515625" style="3" customWidth="1"/>
    <col min="5627" max="5627" width="6" style="3" customWidth="1"/>
    <col min="5628" max="5628" width="7.42578125" style="3" customWidth="1"/>
    <col min="5629" max="5629" width="5.7109375" style="3" customWidth="1"/>
    <col min="5630" max="5630" width="5.28515625" style="3" customWidth="1"/>
    <col min="5631" max="5631" width="10" style="3" customWidth="1"/>
    <col min="5632" max="5632" width="6.28515625" style="3" customWidth="1"/>
    <col min="5633" max="5633" width="8.28515625" style="3" customWidth="1"/>
    <col min="5634" max="5634" width="12.42578125" style="3" customWidth="1"/>
    <col min="5635" max="5635" width="5.28515625" style="3" customWidth="1"/>
    <col min="5636" max="5636" width="10.85546875" style="3" customWidth="1"/>
    <col min="5637" max="5637" width="4.85546875" style="3" customWidth="1"/>
    <col min="5638" max="5638" width="5.140625" style="3" customWidth="1"/>
    <col min="5639" max="5639" width="10.5703125" style="3" customWidth="1"/>
    <col min="5640" max="5640" width="6.28515625" style="3" customWidth="1"/>
    <col min="5641" max="5641" width="6.5703125" style="3" customWidth="1"/>
    <col min="5642" max="5642" width="7.42578125" style="3" customWidth="1"/>
    <col min="5643" max="5643" width="6.85546875" style="3" customWidth="1"/>
    <col min="5644" max="5644" width="10.7109375" style="3" customWidth="1"/>
    <col min="5645" max="5645" width="5.140625" style="3" customWidth="1"/>
    <col min="5646" max="5877" width="11.42578125" style="3"/>
    <col min="5878" max="5878" width="23.7109375" style="3" customWidth="1"/>
    <col min="5879" max="5879" width="0" style="3" hidden="1" customWidth="1"/>
    <col min="5880" max="5880" width="41.42578125" style="3" customWidth="1"/>
    <col min="5881" max="5881" width="19.140625" style="3" customWidth="1"/>
    <col min="5882" max="5882" width="6.28515625" style="3" customWidth="1"/>
    <col min="5883" max="5883" width="6" style="3" customWidth="1"/>
    <col min="5884" max="5884" width="7.42578125" style="3" customWidth="1"/>
    <col min="5885" max="5885" width="5.7109375" style="3" customWidth="1"/>
    <col min="5886" max="5886" width="5.28515625" style="3" customWidth="1"/>
    <col min="5887" max="5887" width="10" style="3" customWidth="1"/>
    <col min="5888" max="5888" width="6.28515625" style="3" customWidth="1"/>
    <col min="5889" max="5889" width="8.28515625" style="3" customWidth="1"/>
    <col min="5890" max="5890" width="12.42578125" style="3" customWidth="1"/>
    <col min="5891" max="5891" width="5.28515625" style="3" customWidth="1"/>
    <col min="5892" max="5892" width="10.85546875" style="3" customWidth="1"/>
    <col min="5893" max="5893" width="4.85546875" style="3" customWidth="1"/>
    <col min="5894" max="5894" width="5.140625" style="3" customWidth="1"/>
    <col min="5895" max="5895" width="10.5703125" style="3" customWidth="1"/>
    <col min="5896" max="5896" width="6.28515625" style="3" customWidth="1"/>
    <col min="5897" max="5897" width="6.5703125" style="3" customWidth="1"/>
    <col min="5898" max="5898" width="7.42578125" style="3" customWidth="1"/>
    <col min="5899" max="5899" width="6.85546875" style="3" customWidth="1"/>
    <col min="5900" max="5900" width="10.7109375" style="3" customWidth="1"/>
    <col min="5901" max="5901" width="5.140625" style="3" customWidth="1"/>
    <col min="5902" max="6133" width="11.42578125" style="3"/>
    <col min="6134" max="6134" width="23.7109375" style="3" customWidth="1"/>
    <col min="6135" max="6135" width="0" style="3" hidden="1" customWidth="1"/>
    <col min="6136" max="6136" width="41.42578125" style="3" customWidth="1"/>
    <col min="6137" max="6137" width="19.140625" style="3" customWidth="1"/>
    <col min="6138" max="6138" width="6.28515625" style="3" customWidth="1"/>
    <col min="6139" max="6139" width="6" style="3" customWidth="1"/>
    <col min="6140" max="6140" width="7.42578125" style="3" customWidth="1"/>
    <col min="6141" max="6141" width="5.7109375" style="3" customWidth="1"/>
    <col min="6142" max="6142" width="5.28515625" style="3" customWidth="1"/>
    <col min="6143" max="6143" width="10" style="3" customWidth="1"/>
    <col min="6144" max="6144" width="6.28515625" style="3" customWidth="1"/>
    <col min="6145" max="6145" width="8.28515625" style="3" customWidth="1"/>
    <col min="6146" max="6146" width="12.42578125" style="3" customWidth="1"/>
    <col min="6147" max="6147" width="5.28515625" style="3" customWidth="1"/>
    <col min="6148" max="6148" width="10.85546875" style="3" customWidth="1"/>
    <col min="6149" max="6149" width="4.85546875" style="3" customWidth="1"/>
    <col min="6150" max="6150" width="5.140625" style="3" customWidth="1"/>
    <col min="6151" max="6151" width="10.5703125" style="3" customWidth="1"/>
    <col min="6152" max="6152" width="6.28515625" style="3" customWidth="1"/>
    <col min="6153" max="6153" width="6.5703125" style="3" customWidth="1"/>
    <col min="6154" max="6154" width="7.42578125" style="3" customWidth="1"/>
    <col min="6155" max="6155" width="6.85546875" style="3" customWidth="1"/>
    <col min="6156" max="6156" width="10.7109375" style="3" customWidth="1"/>
    <col min="6157" max="6157" width="5.140625" style="3" customWidth="1"/>
    <col min="6158" max="6389" width="11.42578125" style="3"/>
    <col min="6390" max="6390" width="23.7109375" style="3" customWidth="1"/>
    <col min="6391" max="6391" width="0" style="3" hidden="1" customWidth="1"/>
    <col min="6392" max="6392" width="41.42578125" style="3" customWidth="1"/>
    <col min="6393" max="6393" width="19.140625" style="3" customWidth="1"/>
    <col min="6394" max="6394" width="6.28515625" style="3" customWidth="1"/>
    <col min="6395" max="6395" width="6" style="3" customWidth="1"/>
    <col min="6396" max="6396" width="7.42578125" style="3" customWidth="1"/>
    <col min="6397" max="6397" width="5.7109375" style="3" customWidth="1"/>
    <col min="6398" max="6398" width="5.28515625" style="3" customWidth="1"/>
    <col min="6399" max="6399" width="10" style="3" customWidth="1"/>
    <col min="6400" max="6400" width="6.28515625" style="3" customWidth="1"/>
    <col min="6401" max="6401" width="8.28515625" style="3" customWidth="1"/>
    <col min="6402" max="6402" width="12.42578125" style="3" customWidth="1"/>
    <col min="6403" max="6403" width="5.28515625" style="3" customWidth="1"/>
    <col min="6404" max="6404" width="10.85546875" style="3" customWidth="1"/>
    <col min="6405" max="6405" width="4.85546875" style="3" customWidth="1"/>
    <col min="6406" max="6406" width="5.140625" style="3" customWidth="1"/>
    <col min="6407" max="6407" width="10.5703125" style="3" customWidth="1"/>
    <col min="6408" max="6408" width="6.28515625" style="3" customWidth="1"/>
    <col min="6409" max="6409" width="6.5703125" style="3" customWidth="1"/>
    <col min="6410" max="6410" width="7.42578125" style="3" customWidth="1"/>
    <col min="6411" max="6411" width="6.85546875" style="3" customWidth="1"/>
    <col min="6412" max="6412" width="10.7109375" style="3" customWidth="1"/>
    <col min="6413" max="6413" width="5.140625" style="3" customWidth="1"/>
    <col min="6414" max="6645" width="11.42578125" style="3"/>
    <col min="6646" max="6646" width="23.7109375" style="3" customWidth="1"/>
    <col min="6647" max="6647" width="0" style="3" hidden="1" customWidth="1"/>
    <col min="6648" max="6648" width="41.42578125" style="3" customWidth="1"/>
    <col min="6649" max="6649" width="19.140625" style="3" customWidth="1"/>
    <col min="6650" max="6650" width="6.28515625" style="3" customWidth="1"/>
    <col min="6651" max="6651" width="6" style="3" customWidth="1"/>
    <col min="6652" max="6652" width="7.42578125" style="3" customWidth="1"/>
    <col min="6653" max="6653" width="5.7109375" style="3" customWidth="1"/>
    <col min="6654" max="6654" width="5.28515625" style="3" customWidth="1"/>
    <col min="6655" max="6655" width="10" style="3" customWidth="1"/>
    <col min="6656" max="6656" width="6.28515625" style="3" customWidth="1"/>
    <col min="6657" max="6657" width="8.28515625" style="3" customWidth="1"/>
    <col min="6658" max="6658" width="12.42578125" style="3" customWidth="1"/>
    <col min="6659" max="6659" width="5.28515625" style="3" customWidth="1"/>
    <col min="6660" max="6660" width="10.85546875" style="3" customWidth="1"/>
    <col min="6661" max="6661" width="4.85546875" style="3" customWidth="1"/>
    <col min="6662" max="6662" width="5.140625" style="3" customWidth="1"/>
    <col min="6663" max="6663" width="10.5703125" style="3" customWidth="1"/>
    <col min="6664" max="6664" width="6.28515625" style="3" customWidth="1"/>
    <col min="6665" max="6665" width="6.5703125" style="3" customWidth="1"/>
    <col min="6666" max="6666" width="7.42578125" style="3" customWidth="1"/>
    <col min="6667" max="6667" width="6.85546875" style="3" customWidth="1"/>
    <col min="6668" max="6668" width="10.7109375" style="3" customWidth="1"/>
    <col min="6669" max="6669" width="5.140625" style="3" customWidth="1"/>
    <col min="6670" max="6901" width="11.42578125" style="3"/>
    <col min="6902" max="6902" width="23.7109375" style="3" customWidth="1"/>
    <col min="6903" max="6903" width="0" style="3" hidden="1" customWidth="1"/>
    <col min="6904" max="6904" width="41.42578125" style="3" customWidth="1"/>
    <col min="6905" max="6905" width="19.140625" style="3" customWidth="1"/>
    <col min="6906" max="6906" width="6.28515625" style="3" customWidth="1"/>
    <col min="6907" max="6907" width="6" style="3" customWidth="1"/>
    <col min="6908" max="6908" width="7.42578125" style="3" customWidth="1"/>
    <col min="6909" max="6909" width="5.7109375" style="3" customWidth="1"/>
    <col min="6910" max="6910" width="5.28515625" style="3" customWidth="1"/>
    <col min="6911" max="6911" width="10" style="3" customWidth="1"/>
    <col min="6912" max="6912" width="6.28515625" style="3" customWidth="1"/>
    <col min="6913" max="6913" width="8.28515625" style="3" customWidth="1"/>
    <col min="6914" max="6914" width="12.42578125" style="3" customWidth="1"/>
    <col min="6915" max="6915" width="5.28515625" style="3" customWidth="1"/>
    <col min="6916" max="6916" width="10.85546875" style="3" customWidth="1"/>
    <col min="6917" max="6917" width="4.85546875" style="3" customWidth="1"/>
    <col min="6918" max="6918" width="5.140625" style="3" customWidth="1"/>
    <col min="6919" max="6919" width="10.5703125" style="3" customWidth="1"/>
    <col min="6920" max="6920" width="6.28515625" style="3" customWidth="1"/>
    <col min="6921" max="6921" width="6.5703125" style="3" customWidth="1"/>
    <col min="6922" max="6922" width="7.42578125" style="3" customWidth="1"/>
    <col min="6923" max="6923" width="6.85546875" style="3" customWidth="1"/>
    <col min="6924" max="6924" width="10.7109375" style="3" customWidth="1"/>
    <col min="6925" max="6925" width="5.140625" style="3" customWidth="1"/>
    <col min="6926" max="7157" width="11.42578125" style="3"/>
    <col min="7158" max="7158" width="23.7109375" style="3" customWidth="1"/>
    <col min="7159" max="7159" width="0" style="3" hidden="1" customWidth="1"/>
    <col min="7160" max="7160" width="41.42578125" style="3" customWidth="1"/>
    <col min="7161" max="7161" width="19.140625" style="3" customWidth="1"/>
    <col min="7162" max="7162" width="6.28515625" style="3" customWidth="1"/>
    <col min="7163" max="7163" width="6" style="3" customWidth="1"/>
    <col min="7164" max="7164" width="7.42578125" style="3" customWidth="1"/>
    <col min="7165" max="7165" width="5.7109375" style="3" customWidth="1"/>
    <col min="7166" max="7166" width="5.28515625" style="3" customWidth="1"/>
    <col min="7167" max="7167" width="10" style="3" customWidth="1"/>
    <col min="7168" max="7168" width="6.28515625" style="3" customWidth="1"/>
    <col min="7169" max="7169" width="8.28515625" style="3" customWidth="1"/>
    <col min="7170" max="7170" width="12.42578125" style="3" customWidth="1"/>
    <col min="7171" max="7171" width="5.28515625" style="3" customWidth="1"/>
    <col min="7172" max="7172" width="10.85546875" style="3" customWidth="1"/>
    <col min="7173" max="7173" width="4.85546875" style="3" customWidth="1"/>
    <col min="7174" max="7174" width="5.140625" style="3" customWidth="1"/>
    <col min="7175" max="7175" width="10.5703125" style="3" customWidth="1"/>
    <col min="7176" max="7176" width="6.28515625" style="3" customWidth="1"/>
    <col min="7177" max="7177" width="6.5703125" style="3" customWidth="1"/>
    <col min="7178" max="7178" width="7.42578125" style="3" customWidth="1"/>
    <col min="7179" max="7179" width="6.85546875" style="3" customWidth="1"/>
    <col min="7180" max="7180" width="10.7109375" style="3" customWidth="1"/>
    <col min="7181" max="7181" width="5.140625" style="3" customWidth="1"/>
    <col min="7182" max="7413" width="11.42578125" style="3"/>
    <col min="7414" max="7414" width="23.7109375" style="3" customWidth="1"/>
    <col min="7415" max="7415" width="0" style="3" hidden="1" customWidth="1"/>
    <col min="7416" max="7416" width="41.42578125" style="3" customWidth="1"/>
    <col min="7417" max="7417" width="19.140625" style="3" customWidth="1"/>
    <col min="7418" max="7418" width="6.28515625" style="3" customWidth="1"/>
    <col min="7419" max="7419" width="6" style="3" customWidth="1"/>
    <col min="7420" max="7420" width="7.42578125" style="3" customWidth="1"/>
    <col min="7421" max="7421" width="5.7109375" style="3" customWidth="1"/>
    <col min="7422" max="7422" width="5.28515625" style="3" customWidth="1"/>
    <col min="7423" max="7423" width="10" style="3" customWidth="1"/>
    <col min="7424" max="7424" width="6.28515625" style="3" customWidth="1"/>
    <col min="7425" max="7425" width="8.28515625" style="3" customWidth="1"/>
    <col min="7426" max="7426" width="12.42578125" style="3" customWidth="1"/>
    <col min="7427" max="7427" width="5.28515625" style="3" customWidth="1"/>
    <col min="7428" max="7428" width="10.85546875" style="3" customWidth="1"/>
    <col min="7429" max="7429" width="4.85546875" style="3" customWidth="1"/>
    <col min="7430" max="7430" width="5.140625" style="3" customWidth="1"/>
    <col min="7431" max="7431" width="10.5703125" style="3" customWidth="1"/>
    <col min="7432" max="7432" width="6.28515625" style="3" customWidth="1"/>
    <col min="7433" max="7433" width="6.5703125" style="3" customWidth="1"/>
    <col min="7434" max="7434" width="7.42578125" style="3" customWidth="1"/>
    <col min="7435" max="7435" width="6.85546875" style="3" customWidth="1"/>
    <col min="7436" max="7436" width="10.7109375" style="3" customWidth="1"/>
    <col min="7437" max="7437" width="5.140625" style="3" customWidth="1"/>
    <col min="7438" max="7669" width="11.42578125" style="3"/>
    <col min="7670" max="7670" width="23.7109375" style="3" customWidth="1"/>
    <col min="7671" max="7671" width="0" style="3" hidden="1" customWidth="1"/>
    <col min="7672" max="7672" width="41.42578125" style="3" customWidth="1"/>
    <col min="7673" max="7673" width="19.140625" style="3" customWidth="1"/>
    <col min="7674" max="7674" width="6.28515625" style="3" customWidth="1"/>
    <col min="7675" max="7675" width="6" style="3" customWidth="1"/>
    <col min="7676" max="7676" width="7.42578125" style="3" customWidth="1"/>
    <col min="7677" max="7677" width="5.7109375" style="3" customWidth="1"/>
    <col min="7678" max="7678" width="5.28515625" style="3" customWidth="1"/>
    <col min="7679" max="7679" width="10" style="3" customWidth="1"/>
    <col min="7680" max="7680" width="6.28515625" style="3" customWidth="1"/>
    <col min="7681" max="7681" width="8.28515625" style="3" customWidth="1"/>
    <col min="7682" max="7682" width="12.42578125" style="3" customWidth="1"/>
    <col min="7683" max="7683" width="5.28515625" style="3" customWidth="1"/>
    <col min="7684" max="7684" width="10.85546875" style="3" customWidth="1"/>
    <col min="7685" max="7685" width="4.85546875" style="3" customWidth="1"/>
    <col min="7686" max="7686" width="5.140625" style="3" customWidth="1"/>
    <col min="7687" max="7687" width="10.5703125" style="3" customWidth="1"/>
    <col min="7688" max="7688" width="6.28515625" style="3" customWidth="1"/>
    <col min="7689" max="7689" width="6.5703125" style="3" customWidth="1"/>
    <col min="7690" max="7690" width="7.42578125" style="3" customWidth="1"/>
    <col min="7691" max="7691" width="6.85546875" style="3" customWidth="1"/>
    <col min="7692" max="7692" width="10.7109375" style="3" customWidth="1"/>
    <col min="7693" max="7693" width="5.140625" style="3" customWidth="1"/>
    <col min="7694" max="7925" width="11.42578125" style="3"/>
    <col min="7926" max="7926" width="23.7109375" style="3" customWidth="1"/>
    <col min="7927" max="7927" width="0" style="3" hidden="1" customWidth="1"/>
    <col min="7928" max="7928" width="41.42578125" style="3" customWidth="1"/>
    <col min="7929" max="7929" width="19.140625" style="3" customWidth="1"/>
    <col min="7930" max="7930" width="6.28515625" style="3" customWidth="1"/>
    <col min="7931" max="7931" width="6" style="3" customWidth="1"/>
    <col min="7932" max="7932" width="7.42578125" style="3" customWidth="1"/>
    <col min="7933" max="7933" width="5.7109375" style="3" customWidth="1"/>
    <col min="7934" max="7934" width="5.28515625" style="3" customWidth="1"/>
    <col min="7935" max="7935" width="10" style="3" customWidth="1"/>
    <col min="7936" max="7936" width="6.28515625" style="3" customWidth="1"/>
    <col min="7937" max="7937" width="8.28515625" style="3" customWidth="1"/>
    <col min="7938" max="7938" width="12.42578125" style="3" customWidth="1"/>
    <col min="7939" max="7939" width="5.28515625" style="3" customWidth="1"/>
    <col min="7940" max="7940" width="10.85546875" style="3" customWidth="1"/>
    <col min="7941" max="7941" width="4.85546875" style="3" customWidth="1"/>
    <col min="7942" max="7942" width="5.140625" style="3" customWidth="1"/>
    <col min="7943" max="7943" width="10.5703125" style="3" customWidth="1"/>
    <col min="7944" max="7944" width="6.28515625" style="3" customWidth="1"/>
    <col min="7945" max="7945" width="6.5703125" style="3" customWidth="1"/>
    <col min="7946" max="7946" width="7.42578125" style="3" customWidth="1"/>
    <col min="7947" max="7947" width="6.85546875" style="3" customWidth="1"/>
    <col min="7948" max="7948" width="10.7109375" style="3" customWidth="1"/>
    <col min="7949" max="7949" width="5.140625" style="3" customWidth="1"/>
    <col min="7950" max="8181" width="11.42578125" style="3"/>
    <col min="8182" max="8182" width="23.7109375" style="3" customWidth="1"/>
    <col min="8183" max="8183" width="0" style="3" hidden="1" customWidth="1"/>
    <col min="8184" max="8184" width="41.42578125" style="3" customWidth="1"/>
    <col min="8185" max="8185" width="19.140625" style="3" customWidth="1"/>
    <col min="8186" max="8186" width="6.28515625" style="3" customWidth="1"/>
    <col min="8187" max="8187" width="6" style="3" customWidth="1"/>
    <col min="8188" max="8188" width="7.42578125" style="3" customWidth="1"/>
    <col min="8189" max="8189" width="5.7109375" style="3" customWidth="1"/>
    <col min="8190" max="8190" width="5.28515625" style="3" customWidth="1"/>
    <col min="8191" max="8191" width="10" style="3" customWidth="1"/>
    <col min="8192" max="8192" width="6.28515625" style="3" customWidth="1"/>
    <col min="8193" max="8193" width="8.28515625" style="3" customWidth="1"/>
    <col min="8194" max="8194" width="12.42578125" style="3" customWidth="1"/>
    <col min="8195" max="8195" width="5.28515625" style="3" customWidth="1"/>
    <col min="8196" max="8196" width="10.85546875" style="3" customWidth="1"/>
    <col min="8197" max="8197" width="4.85546875" style="3" customWidth="1"/>
    <col min="8198" max="8198" width="5.140625" style="3" customWidth="1"/>
    <col min="8199" max="8199" width="10.5703125" style="3" customWidth="1"/>
    <col min="8200" max="8200" width="6.28515625" style="3" customWidth="1"/>
    <col min="8201" max="8201" width="6.5703125" style="3" customWidth="1"/>
    <col min="8202" max="8202" width="7.42578125" style="3" customWidth="1"/>
    <col min="8203" max="8203" width="6.85546875" style="3" customWidth="1"/>
    <col min="8204" max="8204" width="10.7109375" style="3" customWidth="1"/>
    <col min="8205" max="8205" width="5.140625" style="3" customWidth="1"/>
    <col min="8206" max="8437" width="11.42578125" style="3"/>
    <col min="8438" max="8438" width="23.7109375" style="3" customWidth="1"/>
    <col min="8439" max="8439" width="0" style="3" hidden="1" customWidth="1"/>
    <col min="8440" max="8440" width="41.42578125" style="3" customWidth="1"/>
    <col min="8441" max="8441" width="19.140625" style="3" customWidth="1"/>
    <col min="8442" max="8442" width="6.28515625" style="3" customWidth="1"/>
    <col min="8443" max="8443" width="6" style="3" customWidth="1"/>
    <col min="8444" max="8444" width="7.42578125" style="3" customWidth="1"/>
    <col min="8445" max="8445" width="5.7109375" style="3" customWidth="1"/>
    <col min="8446" max="8446" width="5.28515625" style="3" customWidth="1"/>
    <col min="8447" max="8447" width="10" style="3" customWidth="1"/>
    <col min="8448" max="8448" width="6.28515625" style="3" customWidth="1"/>
    <col min="8449" max="8449" width="8.28515625" style="3" customWidth="1"/>
    <col min="8450" max="8450" width="12.42578125" style="3" customWidth="1"/>
    <col min="8451" max="8451" width="5.28515625" style="3" customWidth="1"/>
    <col min="8452" max="8452" width="10.85546875" style="3" customWidth="1"/>
    <col min="8453" max="8453" width="4.85546875" style="3" customWidth="1"/>
    <col min="8454" max="8454" width="5.140625" style="3" customWidth="1"/>
    <col min="8455" max="8455" width="10.5703125" style="3" customWidth="1"/>
    <col min="8456" max="8456" width="6.28515625" style="3" customWidth="1"/>
    <col min="8457" max="8457" width="6.5703125" style="3" customWidth="1"/>
    <col min="8458" max="8458" width="7.42578125" style="3" customWidth="1"/>
    <col min="8459" max="8459" width="6.85546875" style="3" customWidth="1"/>
    <col min="8460" max="8460" width="10.7109375" style="3" customWidth="1"/>
    <col min="8461" max="8461" width="5.140625" style="3" customWidth="1"/>
    <col min="8462" max="8693" width="11.42578125" style="3"/>
    <col min="8694" max="8694" width="23.7109375" style="3" customWidth="1"/>
    <col min="8695" max="8695" width="0" style="3" hidden="1" customWidth="1"/>
    <col min="8696" max="8696" width="41.42578125" style="3" customWidth="1"/>
    <col min="8697" max="8697" width="19.140625" style="3" customWidth="1"/>
    <col min="8698" max="8698" width="6.28515625" style="3" customWidth="1"/>
    <col min="8699" max="8699" width="6" style="3" customWidth="1"/>
    <col min="8700" max="8700" width="7.42578125" style="3" customWidth="1"/>
    <col min="8701" max="8701" width="5.7109375" style="3" customWidth="1"/>
    <col min="8702" max="8702" width="5.28515625" style="3" customWidth="1"/>
    <col min="8703" max="8703" width="10" style="3" customWidth="1"/>
    <col min="8704" max="8704" width="6.28515625" style="3" customWidth="1"/>
    <col min="8705" max="8705" width="8.28515625" style="3" customWidth="1"/>
    <col min="8706" max="8706" width="12.42578125" style="3" customWidth="1"/>
    <col min="8707" max="8707" width="5.28515625" style="3" customWidth="1"/>
    <col min="8708" max="8708" width="10.85546875" style="3" customWidth="1"/>
    <col min="8709" max="8709" width="4.85546875" style="3" customWidth="1"/>
    <col min="8710" max="8710" width="5.140625" style="3" customWidth="1"/>
    <col min="8711" max="8711" width="10.5703125" style="3" customWidth="1"/>
    <col min="8712" max="8712" width="6.28515625" style="3" customWidth="1"/>
    <col min="8713" max="8713" width="6.5703125" style="3" customWidth="1"/>
    <col min="8714" max="8714" width="7.42578125" style="3" customWidth="1"/>
    <col min="8715" max="8715" width="6.85546875" style="3" customWidth="1"/>
    <col min="8716" max="8716" width="10.7109375" style="3" customWidth="1"/>
    <col min="8717" max="8717" width="5.140625" style="3" customWidth="1"/>
    <col min="8718" max="8949" width="11.42578125" style="3"/>
    <col min="8950" max="8950" width="23.7109375" style="3" customWidth="1"/>
    <col min="8951" max="8951" width="0" style="3" hidden="1" customWidth="1"/>
    <col min="8952" max="8952" width="41.42578125" style="3" customWidth="1"/>
    <col min="8953" max="8953" width="19.140625" style="3" customWidth="1"/>
    <col min="8954" max="8954" width="6.28515625" style="3" customWidth="1"/>
    <col min="8955" max="8955" width="6" style="3" customWidth="1"/>
    <col min="8956" max="8956" width="7.42578125" style="3" customWidth="1"/>
    <col min="8957" max="8957" width="5.7109375" style="3" customWidth="1"/>
    <col min="8958" max="8958" width="5.28515625" style="3" customWidth="1"/>
    <col min="8959" max="8959" width="10" style="3" customWidth="1"/>
    <col min="8960" max="8960" width="6.28515625" style="3" customWidth="1"/>
    <col min="8961" max="8961" width="8.28515625" style="3" customWidth="1"/>
    <col min="8962" max="8962" width="12.42578125" style="3" customWidth="1"/>
    <col min="8963" max="8963" width="5.28515625" style="3" customWidth="1"/>
    <col min="8964" max="8964" width="10.85546875" style="3" customWidth="1"/>
    <col min="8965" max="8965" width="4.85546875" style="3" customWidth="1"/>
    <col min="8966" max="8966" width="5.140625" style="3" customWidth="1"/>
    <col min="8967" max="8967" width="10.5703125" style="3" customWidth="1"/>
    <col min="8968" max="8968" width="6.28515625" style="3" customWidth="1"/>
    <col min="8969" max="8969" width="6.5703125" style="3" customWidth="1"/>
    <col min="8970" max="8970" width="7.42578125" style="3" customWidth="1"/>
    <col min="8971" max="8971" width="6.85546875" style="3" customWidth="1"/>
    <col min="8972" max="8972" width="10.7109375" style="3" customWidth="1"/>
    <col min="8973" max="8973" width="5.140625" style="3" customWidth="1"/>
    <col min="8974" max="9205" width="11.42578125" style="3"/>
    <col min="9206" max="9206" width="23.7109375" style="3" customWidth="1"/>
    <col min="9207" max="9207" width="0" style="3" hidden="1" customWidth="1"/>
    <col min="9208" max="9208" width="41.42578125" style="3" customWidth="1"/>
    <col min="9209" max="9209" width="19.140625" style="3" customWidth="1"/>
    <col min="9210" max="9210" width="6.28515625" style="3" customWidth="1"/>
    <col min="9211" max="9211" width="6" style="3" customWidth="1"/>
    <col min="9212" max="9212" width="7.42578125" style="3" customWidth="1"/>
    <col min="9213" max="9213" width="5.7109375" style="3" customWidth="1"/>
    <col min="9214" max="9214" width="5.28515625" style="3" customWidth="1"/>
    <col min="9215" max="9215" width="10" style="3" customWidth="1"/>
    <col min="9216" max="9216" width="6.28515625" style="3" customWidth="1"/>
    <col min="9217" max="9217" width="8.28515625" style="3" customWidth="1"/>
    <col min="9218" max="9218" width="12.42578125" style="3" customWidth="1"/>
    <col min="9219" max="9219" width="5.28515625" style="3" customWidth="1"/>
    <col min="9220" max="9220" width="10.85546875" style="3" customWidth="1"/>
    <col min="9221" max="9221" width="4.85546875" style="3" customWidth="1"/>
    <col min="9222" max="9222" width="5.140625" style="3" customWidth="1"/>
    <col min="9223" max="9223" width="10.5703125" style="3" customWidth="1"/>
    <col min="9224" max="9224" width="6.28515625" style="3" customWidth="1"/>
    <col min="9225" max="9225" width="6.5703125" style="3" customWidth="1"/>
    <col min="9226" max="9226" width="7.42578125" style="3" customWidth="1"/>
    <col min="9227" max="9227" width="6.85546875" style="3" customWidth="1"/>
    <col min="9228" max="9228" width="10.7109375" style="3" customWidth="1"/>
    <col min="9229" max="9229" width="5.140625" style="3" customWidth="1"/>
    <col min="9230" max="9461" width="11.42578125" style="3"/>
    <col min="9462" max="9462" width="23.7109375" style="3" customWidth="1"/>
    <col min="9463" max="9463" width="0" style="3" hidden="1" customWidth="1"/>
    <col min="9464" max="9464" width="41.42578125" style="3" customWidth="1"/>
    <col min="9465" max="9465" width="19.140625" style="3" customWidth="1"/>
    <col min="9466" max="9466" width="6.28515625" style="3" customWidth="1"/>
    <col min="9467" max="9467" width="6" style="3" customWidth="1"/>
    <col min="9468" max="9468" width="7.42578125" style="3" customWidth="1"/>
    <col min="9469" max="9469" width="5.7109375" style="3" customWidth="1"/>
    <col min="9470" max="9470" width="5.28515625" style="3" customWidth="1"/>
    <col min="9471" max="9471" width="10" style="3" customWidth="1"/>
    <col min="9472" max="9472" width="6.28515625" style="3" customWidth="1"/>
    <col min="9473" max="9473" width="8.28515625" style="3" customWidth="1"/>
    <col min="9474" max="9474" width="12.42578125" style="3" customWidth="1"/>
    <col min="9475" max="9475" width="5.28515625" style="3" customWidth="1"/>
    <col min="9476" max="9476" width="10.85546875" style="3" customWidth="1"/>
    <col min="9477" max="9477" width="4.85546875" style="3" customWidth="1"/>
    <col min="9478" max="9478" width="5.140625" style="3" customWidth="1"/>
    <col min="9479" max="9479" width="10.5703125" style="3" customWidth="1"/>
    <col min="9480" max="9480" width="6.28515625" style="3" customWidth="1"/>
    <col min="9481" max="9481" width="6.5703125" style="3" customWidth="1"/>
    <col min="9482" max="9482" width="7.42578125" style="3" customWidth="1"/>
    <col min="9483" max="9483" width="6.85546875" style="3" customWidth="1"/>
    <col min="9484" max="9484" width="10.7109375" style="3" customWidth="1"/>
    <col min="9485" max="9485" width="5.140625" style="3" customWidth="1"/>
    <col min="9486" max="9717" width="11.42578125" style="3"/>
    <col min="9718" max="9718" width="23.7109375" style="3" customWidth="1"/>
    <col min="9719" max="9719" width="0" style="3" hidden="1" customWidth="1"/>
    <col min="9720" max="9720" width="41.42578125" style="3" customWidth="1"/>
    <col min="9721" max="9721" width="19.140625" style="3" customWidth="1"/>
    <col min="9722" max="9722" width="6.28515625" style="3" customWidth="1"/>
    <col min="9723" max="9723" width="6" style="3" customWidth="1"/>
    <col min="9724" max="9724" width="7.42578125" style="3" customWidth="1"/>
    <col min="9725" max="9725" width="5.7109375" style="3" customWidth="1"/>
    <col min="9726" max="9726" width="5.28515625" style="3" customWidth="1"/>
    <col min="9727" max="9727" width="10" style="3" customWidth="1"/>
    <col min="9728" max="9728" width="6.28515625" style="3" customWidth="1"/>
    <col min="9729" max="9729" width="8.28515625" style="3" customWidth="1"/>
    <col min="9730" max="9730" width="12.42578125" style="3" customWidth="1"/>
    <col min="9731" max="9731" width="5.28515625" style="3" customWidth="1"/>
    <col min="9732" max="9732" width="10.85546875" style="3" customWidth="1"/>
    <col min="9733" max="9733" width="4.85546875" style="3" customWidth="1"/>
    <col min="9734" max="9734" width="5.140625" style="3" customWidth="1"/>
    <col min="9735" max="9735" width="10.5703125" style="3" customWidth="1"/>
    <col min="9736" max="9736" width="6.28515625" style="3" customWidth="1"/>
    <col min="9737" max="9737" width="6.5703125" style="3" customWidth="1"/>
    <col min="9738" max="9738" width="7.42578125" style="3" customWidth="1"/>
    <col min="9739" max="9739" width="6.85546875" style="3" customWidth="1"/>
    <col min="9740" max="9740" width="10.7109375" style="3" customWidth="1"/>
    <col min="9741" max="9741" width="5.140625" style="3" customWidth="1"/>
    <col min="9742" max="9973" width="11.42578125" style="3"/>
    <col min="9974" max="9974" width="23.7109375" style="3" customWidth="1"/>
    <col min="9975" max="9975" width="0" style="3" hidden="1" customWidth="1"/>
    <col min="9976" max="9976" width="41.42578125" style="3" customWidth="1"/>
    <col min="9977" max="9977" width="19.140625" style="3" customWidth="1"/>
    <col min="9978" max="9978" width="6.28515625" style="3" customWidth="1"/>
    <col min="9979" max="9979" width="6" style="3" customWidth="1"/>
    <col min="9980" max="9980" width="7.42578125" style="3" customWidth="1"/>
    <col min="9981" max="9981" width="5.7109375" style="3" customWidth="1"/>
    <col min="9982" max="9982" width="5.28515625" style="3" customWidth="1"/>
    <col min="9983" max="9983" width="10" style="3" customWidth="1"/>
    <col min="9984" max="9984" width="6.28515625" style="3" customWidth="1"/>
    <col min="9985" max="9985" width="8.28515625" style="3" customWidth="1"/>
    <col min="9986" max="9986" width="12.42578125" style="3" customWidth="1"/>
    <col min="9987" max="9987" width="5.28515625" style="3" customWidth="1"/>
    <col min="9988" max="9988" width="10.85546875" style="3" customWidth="1"/>
    <col min="9989" max="9989" width="4.85546875" style="3" customWidth="1"/>
    <col min="9990" max="9990" width="5.140625" style="3" customWidth="1"/>
    <col min="9991" max="9991" width="10.5703125" style="3" customWidth="1"/>
    <col min="9992" max="9992" width="6.28515625" style="3" customWidth="1"/>
    <col min="9993" max="9993" width="6.5703125" style="3" customWidth="1"/>
    <col min="9994" max="9994" width="7.42578125" style="3" customWidth="1"/>
    <col min="9995" max="9995" width="6.85546875" style="3" customWidth="1"/>
    <col min="9996" max="9996" width="10.7109375" style="3" customWidth="1"/>
    <col min="9997" max="9997" width="5.140625" style="3" customWidth="1"/>
    <col min="9998" max="10229" width="11.42578125" style="3"/>
    <col min="10230" max="10230" width="23.7109375" style="3" customWidth="1"/>
    <col min="10231" max="10231" width="0" style="3" hidden="1" customWidth="1"/>
    <col min="10232" max="10232" width="41.42578125" style="3" customWidth="1"/>
    <col min="10233" max="10233" width="19.140625" style="3" customWidth="1"/>
    <col min="10234" max="10234" width="6.28515625" style="3" customWidth="1"/>
    <col min="10235" max="10235" width="6" style="3" customWidth="1"/>
    <col min="10236" max="10236" width="7.42578125" style="3" customWidth="1"/>
    <col min="10237" max="10237" width="5.7109375" style="3" customWidth="1"/>
    <col min="10238" max="10238" width="5.28515625" style="3" customWidth="1"/>
    <col min="10239" max="10239" width="10" style="3" customWidth="1"/>
    <col min="10240" max="10240" width="6.28515625" style="3" customWidth="1"/>
    <col min="10241" max="10241" width="8.28515625" style="3" customWidth="1"/>
    <col min="10242" max="10242" width="12.42578125" style="3" customWidth="1"/>
    <col min="10243" max="10243" width="5.28515625" style="3" customWidth="1"/>
    <col min="10244" max="10244" width="10.85546875" style="3" customWidth="1"/>
    <col min="10245" max="10245" width="4.85546875" style="3" customWidth="1"/>
    <col min="10246" max="10246" width="5.140625" style="3" customWidth="1"/>
    <col min="10247" max="10247" width="10.5703125" style="3" customWidth="1"/>
    <col min="10248" max="10248" width="6.28515625" style="3" customWidth="1"/>
    <col min="10249" max="10249" width="6.5703125" style="3" customWidth="1"/>
    <col min="10250" max="10250" width="7.42578125" style="3" customWidth="1"/>
    <col min="10251" max="10251" width="6.85546875" style="3" customWidth="1"/>
    <col min="10252" max="10252" width="10.7109375" style="3" customWidth="1"/>
    <col min="10253" max="10253" width="5.140625" style="3" customWidth="1"/>
    <col min="10254" max="10485" width="11.42578125" style="3"/>
    <col min="10486" max="10486" width="23.7109375" style="3" customWidth="1"/>
    <col min="10487" max="10487" width="0" style="3" hidden="1" customWidth="1"/>
    <col min="10488" max="10488" width="41.42578125" style="3" customWidth="1"/>
    <col min="10489" max="10489" width="19.140625" style="3" customWidth="1"/>
    <col min="10490" max="10490" width="6.28515625" style="3" customWidth="1"/>
    <col min="10491" max="10491" width="6" style="3" customWidth="1"/>
    <col min="10492" max="10492" width="7.42578125" style="3" customWidth="1"/>
    <col min="10493" max="10493" width="5.7109375" style="3" customWidth="1"/>
    <col min="10494" max="10494" width="5.28515625" style="3" customWidth="1"/>
    <col min="10495" max="10495" width="10" style="3" customWidth="1"/>
    <col min="10496" max="10496" width="6.28515625" style="3" customWidth="1"/>
    <col min="10497" max="10497" width="8.28515625" style="3" customWidth="1"/>
    <col min="10498" max="10498" width="12.42578125" style="3" customWidth="1"/>
    <col min="10499" max="10499" width="5.28515625" style="3" customWidth="1"/>
    <col min="10500" max="10500" width="10.85546875" style="3" customWidth="1"/>
    <col min="10501" max="10501" width="4.85546875" style="3" customWidth="1"/>
    <col min="10502" max="10502" width="5.140625" style="3" customWidth="1"/>
    <col min="10503" max="10503" width="10.5703125" style="3" customWidth="1"/>
    <col min="10504" max="10504" width="6.28515625" style="3" customWidth="1"/>
    <col min="10505" max="10505" width="6.5703125" style="3" customWidth="1"/>
    <col min="10506" max="10506" width="7.42578125" style="3" customWidth="1"/>
    <col min="10507" max="10507" width="6.85546875" style="3" customWidth="1"/>
    <col min="10508" max="10508" width="10.7109375" style="3" customWidth="1"/>
    <col min="10509" max="10509" width="5.140625" style="3" customWidth="1"/>
    <col min="10510" max="10741" width="11.42578125" style="3"/>
    <col min="10742" max="10742" width="23.7109375" style="3" customWidth="1"/>
    <col min="10743" max="10743" width="0" style="3" hidden="1" customWidth="1"/>
    <col min="10744" max="10744" width="41.42578125" style="3" customWidth="1"/>
    <col min="10745" max="10745" width="19.140625" style="3" customWidth="1"/>
    <col min="10746" max="10746" width="6.28515625" style="3" customWidth="1"/>
    <col min="10747" max="10747" width="6" style="3" customWidth="1"/>
    <col min="10748" max="10748" width="7.42578125" style="3" customWidth="1"/>
    <col min="10749" max="10749" width="5.7109375" style="3" customWidth="1"/>
    <col min="10750" max="10750" width="5.28515625" style="3" customWidth="1"/>
    <col min="10751" max="10751" width="10" style="3" customWidth="1"/>
    <col min="10752" max="10752" width="6.28515625" style="3" customWidth="1"/>
    <col min="10753" max="10753" width="8.28515625" style="3" customWidth="1"/>
    <col min="10754" max="10754" width="12.42578125" style="3" customWidth="1"/>
    <col min="10755" max="10755" width="5.28515625" style="3" customWidth="1"/>
    <col min="10756" max="10756" width="10.85546875" style="3" customWidth="1"/>
    <col min="10757" max="10757" width="4.85546875" style="3" customWidth="1"/>
    <col min="10758" max="10758" width="5.140625" style="3" customWidth="1"/>
    <col min="10759" max="10759" width="10.5703125" style="3" customWidth="1"/>
    <col min="10760" max="10760" width="6.28515625" style="3" customWidth="1"/>
    <col min="10761" max="10761" width="6.5703125" style="3" customWidth="1"/>
    <col min="10762" max="10762" width="7.42578125" style="3" customWidth="1"/>
    <col min="10763" max="10763" width="6.85546875" style="3" customWidth="1"/>
    <col min="10764" max="10764" width="10.7109375" style="3" customWidth="1"/>
    <col min="10765" max="10765" width="5.140625" style="3" customWidth="1"/>
    <col min="10766" max="10997" width="11.42578125" style="3"/>
    <col min="10998" max="10998" width="23.7109375" style="3" customWidth="1"/>
    <col min="10999" max="10999" width="0" style="3" hidden="1" customWidth="1"/>
    <col min="11000" max="11000" width="41.42578125" style="3" customWidth="1"/>
    <col min="11001" max="11001" width="19.140625" style="3" customWidth="1"/>
    <col min="11002" max="11002" width="6.28515625" style="3" customWidth="1"/>
    <col min="11003" max="11003" width="6" style="3" customWidth="1"/>
    <col min="11004" max="11004" width="7.42578125" style="3" customWidth="1"/>
    <col min="11005" max="11005" width="5.7109375" style="3" customWidth="1"/>
    <col min="11006" max="11006" width="5.28515625" style="3" customWidth="1"/>
    <col min="11007" max="11007" width="10" style="3" customWidth="1"/>
    <col min="11008" max="11008" width="6.28515625" style="3" customWidth="1"/>
    <col min="11009" max="11009" width="8.28515625" style="3" customWidth="1"/>
    <col min="11010" max="11010" width="12.42578125" style="3" customWidth="1"/>
    <col min="11011" max="11011" width="5.28515625" style="3" customWidth="1"/>
    <col min="11012" max="11012" width="10.85546875" style="3" customWidth="1"/>
    <col min="11013" max="11013" width="4.85546875" style="3" customWidth="1"/>
    <col min="11014" max="11014" width="5.140625" style="3" customWidth="1"/>
    <col min="11015" max="11015" width="10.5703125" style="3" customWidth="1"/>
    <col min="11016" max="11016" width="6.28515625" style="3" customWidth="1"/>
    <col min="11017" max="11017" width="6.5703125" style="3" customWidth="1"/>
    <col min="11018" max="11018" width="7.42578125" style="3" customWidth="1"/>
    <col min="11019" max="11019" width="6.85546875" style="3" customWidth="1"/>
    <col min="11020" max="11020" width="10.7109375" style="3" customWidth="1"/>
    <col min="11021" max="11021" width="5.140625" style="3" customWidth="1"/>
    <col min="11022" max="11253" width="11.42578125" style="3"/>
    <col min="11254" max="11254" width="23.7109375" style="3" customWidth="1"/>
    <col min="11255" max="11255" width="0" style="3" hidden="1" customWidth="1"/>
    <col min="11256" max="11256" width="41.42578125" style="3" customWidth="1"/>
    <col min="11257" max="11257" width="19.140625" style="3" customWidth="1"/>
    <col min="11258" max="11258" width="6.28515625" style="3" customWidth="1"/>
    <col min="11259" max="11259" width="6" style="3" customWidth="1"/>
    <col min="11260" max="11260" width="7.42578125" style="3" customWidth="1"/>
    <col min="11261" max="11261" width="5.7109375" style="3" customWidth="1"/>
    <col min="11262" max="11262" width="5.28515625" style="3" customWidth="1"/>
    <col min="11263" max="11263" width="10" style="3" customWidth="1"/>
    <col min="11264" max="11264" width="6.28515625" style="3" customWidth="1"/>
    <col min="11265" max="11265" width="8.28515625" style="3" customWidth="1"/>
    <col min="11266" max="11266" width="12.42578125" style="3" customWidth="1"/>
    <col min="11267" max="11267" width="5.28515625" style="3" customWidth="1"/>
    <col min="11268" max="11268" width="10.85546875" style="3" customWidth="1"/>
    <col min="11269" max="11269" width="4.85546875" style="3" customWidth="1"/>
    <col min="11270" max="11270" width="5.140625" style="3" customWidth="1"/>
    <col min="11271" max="11271" width="10.5703125" style="3" customWidth="1"/>
    <col min="11272" max="11272" width="6.28515625" style="3" customWidth="1"/>
    <col min="11273" max="11273" width="6.5703125" style="3" customWidth="1"/>
    <col min="11274" max="11274" width="7.42578125" style="3" customWidth="1"/>
    <col min="11275" max="11275" width="6.85546875" style="3" customWidth="1"/>
    <col min="11276" max="11276" width="10.7109375" style="3" customWidth="1"/>
    <col min="11277" max="11277" width="5.140625" style="3" customWidth="1"/>
    <col min="11278" max="11509" width="11.42578125" style="3"/>
    <col min="11510" max="11510" width="23.7109375" style="3" customWidth="1"/>
    <col min="11511" max="11511" width="0" style="3" hidden="1" customWidth="1"/>
    <col min="11512" max="11512" width="41.42578125" style="3" customWidth="1"/>
    <col min="11513" max="11513" width="19.140625" style="3" customWidth="1"/>
    <col min="11514" max="11514" width="6.28515625" style="3" customWidth="1"/>
    <col min="11515" max="11515" width="6" style="3" customWidth="1"/>
    <col min="11516" max="11516" width="7.42578125" style="3" customWidth="1"/>
    <col min="11517" max="11517" width="5.7109375" style="3" customWidth="1"/>
    <col min="11518" max="11518" width="5.28515625" style="3" customWidth="1"/>
    <col min="11519" max="11519" width="10" style="3" customWidth="1"/>
    <col min="11520" max="11520" width="6.28515625" style="3" customWidth="1"/>
    <col min="11521" max="11521" width="8.28515625" style="3" customWidth="1"/>
    <col min="11522" max="11522" width="12.42578125" style="3" customWidth="1"/>
    <col min="11523" max="11523" width="5.28515625" style="3" customWidth="1"/>
    <col min="11524" max="11524" width="10.85546875" style="3" customWidth="1"/>
    <col min="11525" max="11525" width="4.85546875" style="3" customWidth="1"/>
    <col min="11526" max="11526" width="5.140625" style="3" customWidth="1"/>
    <col min="11527" max="11527" width="10.5703125" style="3" customWidth="1"/>
    <col min="11528" max="11528" width="6.28515625" style="3" customWidth="1"/>
    <col min="11529" max="11529" width="6.5703125" style="3" customWidth="1"/>
    <col min="11530" max="11530" width="7.42578125" style="3" customWidth="1"/>
    <col min="11531" max="11531" width="6.85546875" style="3" customWidth="1"/>
    <col min="11532" max="11532" width="10.7109375" style="3" customWidth="1"/>
    <col min="11533" max="11533" width="5.140625" style="3" customWidth="1"/>
    <col min="11534" max="11765" width="11.42578125" style="3"/>
    <col min="11766" max="11766" width="23.7109375" style="3" customWidth="1"/>
    <col min="11767" max="11767" width="0" style="3" hidden="1" customWidth="1"/>
    <col min="11768" max="11768" width="41.42578125" style="3" customWidth="1"/>
    <col min="11769" max="11769" width="19.140625" style="3" customWidth="1"/>
    <col min="11770" max="11770" width="6.28515625" style="3" customWidth="1"/>
    <col min="11771" max="11771" width="6" style="3" customWidth="1"/>
    <col min="11772" max="11772" width="7.42578125" style="3" customWidth="1"/>
    <col min="11773" max="11773" width="5.7109375" style="3" customWidth="1"/>
    <col min="11774" max="11774" width="5.28515625" style="3" customWidth="1"/>
    <col min="11775" max="11775" width="10" style="3" customWidth="1"/>
    <col min="11776" max="11776" width="6.28515625" style="3" customWidth="1"/>
    <col min="11777" max="11777" width="8.28515625" style="3" customWidth="1"/>
    <col min="11778" max="11778" width="12.42578125" style="3" customWidth="1"/>
    <col min="11779" max="11779" width="5.28515625" style="3" customWidth="1"/>
    <col min="11780" max="11780" width="10.85546875" style="3" customWidth="1"/>
    <col min="11781" max="11781" width="4.85546875" style="3" customWidth="1"/>
    <col min="11782" max="11782" width="5.140625" style="3" customWidth="1"/>
    <col min="11783" max="11783" width="10.5703125" style="3" customWidth="1"/>
    <col min="11784" max="11784" width="6.28515625" style="3" customWidth="1"/>
    <col min="11785" max="11785" width="6.5703125" style="3" customWidth="1"/>
    <col min="11786" max="11786" width="7.42578125" style="3" customWidth="1"/>
    <col min="11787" max="11787" width="6.85546875" style="3" customWidth="1"/>
    <col min="11788" max="11788" width="10.7109375" style="3" customWidth="1"/>
    <col min="11789" max="11789" width="5.140625" style="3" customWidth="1"/>
    <col min="11790" max="12021" width="11.42578125" style="3"/>
    <col min="12022" max="12022" width="23.7109375" style="3" customWidth="1"/>
    <col min="12023" max="12023" width="0" style="3" hidden="1" customWidth="1"/>
    <col min="12024" max="12024" width="41.42578125" style="3" customWidth="1"/>
    <col min="12025" max="12025" width="19.140625" style="3" customWidth="1"/>
    <col min="12026" max="12026" width="6.28515625" style="3" customWidth="1"/>
    <col min="12027" max="12027" width="6" style="3" customWidth="1"/>
    <col min="12028" max="12028" width="7.42578125" style="3" customWidth="1"/>
    <col min="12029" max="12029" width="5.7109375" style="3" customWidth="1"/>
    <col min="12030" max="12030" width="5.28515625" style="3" customWidth="1"/>
    <col min="12031" max="12031" width="10" style="3" customWidth="1"/>
    <col min="12032" max="12032" width="6.28515625" style="3" customWidth="1"/>
    <col min="12033" max="12033" width="8.28515625" style="3" customWidth="1"/>
    <col min="12034" max="12034" width="12.42578125" style="3" customWidth="1"/>
    <col min="12035" max="12035" width="5.28515625" style="3" customWidth="1"/>
    <col min="12036" max="12036" width="10.85546875" style="3" customWidth="1"/>
    <col min="12037" max="12037" width="4.85546875" style="3" customWidth="1"/>
    <col min="12038" max="12038" width="5.140625" style="3" customWidth="1"/>
    <col min="12039" max="12039" width="10.5703125" style="3" customWidth="1"/>
    <col min="12040" max="12040" width="6.28515625" style="3" customWidth="1"/>
    <col min="12041" max="12041" width="6.5703125" style="3" customWidth="1"/>
    <col min="12042" max="12042" width="7.42578125" style="3" customWidth="1"/>
    <col min="12043" max="12043" width="6.85546875" style="3" customWidth="1"/>
    <col min="12044" max="12044" width="10.7109375" style="3" customWidth="1"/>
    <col min="12045" max="12045" width="5.140625" style="3" customWidth="1"/>
    <col min="12046" max="12277" width="11.42578125" style="3"/>
    <col min="12278" max="12278" width="23.7109375" style="3" customWidth="1"/>
    <col min="12279" max="12279" width="0" style="3" hidden="1" customWidth="1"/>
    <col min="12280" max="12280" width="41.42578125" style="3" customWidth="1"/>
    <col min="12281" max="12281" width="19.140625" style="3" customWidth="1"/>
    <col min="12282" max="12282" width="6.28515625" style="3" customWidth="1"/>
    <col min="12283" max="12283" width="6" style="3" customWidth="1"/>
    <col min="12284" max="12284" width="7.42578125" style="3" customWidth="1"/>
    <col min="12285" max="12285" width="5.7109375" style="3" customWidth="1"/>
    <col min="12286" max="12286" width="5.28515625" style="3" customWidth="1"/>
    <col min="12287" max="12287" width="10" style="3" customWidth="1"/>
    <col min="12288" max="12288" width="6.28515625" style="3" customWidth="1"/>
    <col min="12289" max="12289" width="8.28515625" style="3" customWidth="1"/>
    <col min="12290" max="12290" width="12.42578125" style="3" customWidth="1"/>
    <col min="12291" max="12291" width="5.28515625" style="3" customWidth="1"/>
    <col min="12292" max="12292" width="10.85546875" style="3" customWidth="1"/>
    <col min="12293" max="12293" width="4.85546875" style="3" customWidth="1"/>
    <col min="12294" max="12294" width="5.140625" style="3" customWidth="1"/>
    <col min="12295" max="12295" width="10.5703125" style="3" customWidth="1"/>
    <col min="12296" max="12296" width="6.28515625" style="3" customWidth="1"/>
    <col min="12297" max="12297" width="6.5703125" style="3" customWidth="1"/>
    <col min="12298" max="12298" width="7.42578125" style="3" customWidth="1"/>
    <col min="12299" max="12299" width="6.85546875" style="3" customWidth="1"/>
    <col min="12300" max="12300" width="10.7109375" style="3" customWidth="1"/>
    <col min="12301" max="12301" width="5.140625" style="3" customWidth="1"/>
    <col min="12302" max="12533" width="11.42578125" style="3"/>
    <col min="12534" max="12534" width="23.7109375" style="3" customWidth="1"/>
    <col min="12535" max="12535" width="0" style="3" hidden="1" customWidth="1"/>
    <col min="12536" max="12536" width="41.42578125" style="3" customWidth="1"/>
    <col min="12537" max="12537" width="19.140625" style="3" customWidth="1"/>
    <col min="12538" max="12538" width="6.28515625" style="3" customWidth="1"/>
    <col min="12539" max="12539" width="6" style="3" customWidth="1"/>
    <col min="12540" max="12540" width="7.42578125" style="3" customWidth="1"/>
    <col min="12541" max="12541" width="5.7109375" style="3" customWidth="1"/>
    <col min="12542" max="12542" width="5.28515625" style="3" customWidth="1"/>
    <col min="12543" max="12543" width="10" style="3" customWidth="1"/>
    <col min="12544" max="12544" width="6.28515625" style="3" customWidth="1"/>
    <col min="12545" max="12545" width="8.28515625" style="3" customWidth="1"/>
    <col min="12546" max="12546" width="12.42578125" style="3" customWidth="1"/>
    <col min="12547" max="12547" width="5.28515625" style="3" customWidth="1"/>
    <col min="12548" max="12548" width="10.85546875" style="3" customWidth="1"/>
    <col min="12549" max="12549" width="4.85546875" style="3" customWidth="1"/>
    <col min="12550" max="12550" width="5.140625" style="3" customWidth="1"/>
    <col min="12551" max="12551" width="10.5703125" style="3" customWidth="1"/>
    <col min="12552" max="12552" width="6.28515625" style="3" customWidth="1"/>
    <col min="12553" max="12553" width="6.5703125" style="3" customWidth="1"/>
    <col min="12554" max="12554" width="7.42578125" style="3" customWidth="1"/>
    <col min="12555" max="12555" width="6.85546875" style="3" customWidth="1"/>
    <col min="12556" max="12556" width="10.7109375" style="3" customWidth="1"/>
    <col min="12557" max="12557" width="5.140625" style="3" customWidth="1"/>
    <col min="12558" max="12789" width="11.42578125" style="3"/>
    <col min="12790" max="12790" width="23.7109375" style="3" customWidth="1"/>
    <col min="12791" max="12791" width="0" style="3" hidden="1" customWidth="1"/>
    <col min="12792" max="12792" width="41.42578125" style="3" customWidth="1"/>
    <col min="12793" max="12793" width="19.140625" style="3" customWidth="1"/>
    <col min="12794" max="12794" width="6.28515625" style="3" customWidth="1"/>
    <col min="12795" max="12795" width="6" style="3" customWidth="1"/>
    <col min="12796" max="12796" width="7.42578125" style="3" customWidth="1"/>
    <col min="12797" max="12797" width="5.7109375" style="3" customWidth="1"/>
    <col min="12798" max="12798" width="5.28515625" style="3" customWidth="1"/>
    <col min="12799" max="12799" width="10" style="3" customWidth="1"/>
    <col min="12800" max="12800" width="6.28515625" style="3" customWidth="1"/>
    <col min="12801" max="12801" width="8.28515625" style="3" customWidth="1"/>
    <col min="12802" max="12802" width="12.42578125" style="3" customWidth="1"/>
    <col min="12803" max="12803" width="5.28515625" style="3" customWidth="1"/>
    <col min="12804" max="12804" width="10.85546875" style="3" customWidth="1"/>
    <col min="12805" max="12805" width="4.85546875" style="3" customWidth="1"/>
    <col min="12806" max="12806" width="5.140625" style="3" customWidth="1"/>
    <col min="12807" max="12807" width="10.5703125" style="3" customWidth="1"/>
    <col min="12808" max="12808" width="6.28515625" style="3" customWidth="1"/>
    <col min="12809" max="12809" width="6.5703125" style="3" customWidth="1"/>
    <col min="12810" max="12810" width="7.42578125" style="3" customWidth="1"/>
    <col min="12811" max="12811" width="6.85546875" style="3" customWidth="1"/>
    <col min="12812" max="12812" width="10.7109375" style="3" customWidth="1"/>
    <col min="12813" max="12813" width="5.140625" style="3" customWidth="1"/>
    <col min="12814" max="13045" width="11.42578125" style="3"/>
    <col min="13046" max="13046" width="23.7109375" style="3" customWidth="1"/>
    <col min="13047" max="13047" width="0" style="3" hidden="1" customWidth="1"/>
    <col min="13048" max="13048" width="41.42578125" style="3" customWidth="1"/>
    <col min="13049" max="13049" width="19.140625" style="3" customWidth="1"/>
    <col min="13050" max="13050" width="6.28515625" style="3" customWidth="1"/>
    <col min="13051" max="13051" width="6" style="3" customWidth="1"/>
    <col min="13052" max="13052" width="7.42578125" style="3" customWidth="1"/>
    <col min="13053" max="13053" width="5.7109375" style="3" customWidth="1"/>
    <col min="13054" max="13054" width="5.28515625" style="3" customWidth="1"/>
    <col min="13055" max="13055" width="10" style="3" customWidth="1"/>
    <col min="13056" max="13056" width="6.28515625" style="3" customWidth="1"/>
    <col min="13057" max="13057" width="8.28515625" style="3" customWidth="1"/>
    <col min="13058" max="13058" width="12.42578125" style="3" customWidth="1"/>
    <col min="13059" max="13059" width="5.28515625" style="3" customWidth="1"/>
    <col min="13060" max="13060" width="10.85546875" style="3" customWidth="1"/>
    <col min="13061" max="13061" width="4.85546875" style="3" customWidth="1"/>
    <col min="13062" max="13062" width="5.140625" style="3" customWidth="1"/>
    <col min="13063" max="13063" width="10.5703125" style="3" customWidth="1"/>
    <col min="13064" max="13064" width="6.28515625" style="3" customWidth="1"/>
    <col min="13065" max="13065" width="6.5703125" style="3" customWidth="1"/>
    <col min="13066" max="13066" width="7.42578125" style="3" customWidth="1"/>
    <col min="13067" max="13067" width="6.85546875" style="3" customWidth="1"/>
    <col min="13068" max="13068" width="10.7109375" style="3" customWidth="1"/>
    <col min="13069" max="13069" width="5.140625" style="3" customWidth="1"/>
    <col min="13070" max="13301" width="11.42578125" style="3"/>
    <col min="13302" max="13302" width="23.7109375" style="3" customWidth="1"/>
    <col min="13303" max="13303" width="0" style="3" hidden="1" customWidth="1"/>
    <col min="13304" max="13304" width="41.42578125" style="3" customWidth="1"/>
    <col min="13305" max="13305" width="19.140625" style="3" customWidth="1"/>
    <col min="13306" max="13306" width="6.28515625" style="3" customWidth="1"/>
    <col min="13307" max="13307" width="6" style="3" customWidth="1"/>
    <col min="13308" max="13308" width="7.42578125" style="3" customWidth="1"/>
    <col min="13309" max="13309" width="5.7109375" style="3" customWidth="1"/>
    <col min="13310" max="13310" width="5.28515625" style="3" customWidth="1"/>
    <col min="13311" max="13311" width="10" style="3" customWidth="1"/>
    <col min="13312" max="13312" width="6.28515625" style="3" customWidth="1"/>
    <col min="13313" max="13313" width="8.28515625" style="3" customWidth="1"/>
    <col min="13314" max="13314" width="12.42578125" style="3" customWidth="1"/>
    <col min="13315" max="13315" width="5.28515625" style="3" customWidth="1"/>
    <col min="13316" max="13316" width="10.85546875" style="3" customWidth="1"/>
    <col min="13317" max="13317" width="4.85546875" style="3" customWidth="1"/>
    <col min="13318" max="13318" width="5.140625" style="3" customWidth="1"/>
    <col min="13319" max="13319" width="10.5703125" style="3" customWidth="1"/>
    <col min="13320" max="13320" width="6.28515625" style="3" customWidth="1"/>
    <col min="13321" max="13321" width="6.5703125" style="3" customWidth="1"/>
    <col min="13322" max="13322" width="7.42578125" style="3" customWidth="1"/>
    <col min="13323" max="13323" width="6.85546875" style="3" customWidth="1"/>
    <col min="13324" max="13324" width="10.7109375" style="3" customWidth="1"/>
    <col min="13325" max="13325" width="5.140625" style="3" customWidth="1"/>
    <col min="13326" max="13557" width="11.42578125" style="3"/>
    <col min="13558" max="13558" width="23.7109375" style="3" customWidth="1"/>
    <col min="13559" max="13559" width="0" style="3" hidden="1" customWidth="1"/>
    <col min="13560" max="13560" width="41.42578125" style="3" customWidth="1"/>
    <col min="13561" max="13561" width="19.140625" style="3" customWidth="1"/>
    <col min="13562" max="13562" width="6.28515625" style="3" customWidth="1"/>
    <col min="13563" max="13563" width="6" style="3" customWidth="1"/>
    <col min="13564" max="13564" width="7.42578125" style="3" customWidth="1"/>
    <col min="13565" max="13565" width="5.7109375" style="3" customWidth="1"/>
    <col min="13566" max="13566" width="5.28515625" style="3" customWidth="1"/>
    <col min="13567" max="13567" width="10" style="3" customWidth="1"/>
    <col min="13568" max="13568" width="6.28515625" style="3" customWidth="1"/>
    <col min="13569" max="13569" width="8.28515625" style="3" customWidth="1"/>
    <col min="13570" max="13570" width="12.42578125" style="3" customWidth="1"/>
    <col min="13571" max="13571" width="5.28515625" style="3" customWidth="1"/>
    <col min="13572" max="13572" width="10.85546875" style="3" customWidth="1"/>
    <col min="13573" max="13573" width="4.85546875" style="3" customWidth="1"/>
    <col min="13574" max="13574" width="5.140625" style="3" customWidth="1"/>
    <col min="13575" max="13575" width="10.5703125" style="3" customWidth="1"/>
    <col min="13576" max="13576" width="6.28515625" style="3" customWidth="1"/>
    <col min="13577" max="13577" width="6.5703125" style="3" customWidth="1"/>
    <col min="13578" max="13578" width="7.42578125" style="3" customWidth="1"/>
    <col min="13579" max="13579" width="6.85546875" style="3" customWidth="1"/>
    <col min="13580" max="13580" width="10.7109375" style="3" customWidth="1"/>
    <col min="13581" max="13581" width="5.140625" style="3" customWidth="1"/>
    <col min="13582" max="13813" width="11.42578125" style="3"/>
    <col min="13814" max="13814" width="23.7109375" style="3" customWidth="1"/>
    <col min="13815" max="13815" width="0" style="3" hidden="1" customWidth="1"/>
    <col min="13816" max="13816" width="41.42578125" style="3" customWidth="1"/>
    <col min="13817" max="13817" width="19.140625" style="3" customWidth="1"/>
    <col min="13818" max="13818" width="6.28515625" style="3" customWidth="1"/>
    <col min="13819" max="13819" width="6" style="3" customWidth="1"/>
    <col min="13820" max="13820" width="7.42578125" style="3" customWidth="1"/>
    <col min="13821" max="13821" width="5.7109375" style="3" customWidth="1"/>
    <col min="13822" max="13822" width="5.28515625" style="3" customWidth="1"/>
    <col min="13823" max="13823" width="10" style="3" customWidth="1"/>
    <col min="13824" max="13824" width="6.28515625" style="3" customWidth="1"/>
    <col min="13825" max="13825" width="8.28515625" style="3" customWidth="1"/>
    <col min="13826" max="13826" width="12.42578125" style="3" customWidth="1"/>
    <col min="13827" max="13827" width="5.28515625" style="3" customWidth="1"/>
    <col min="13828" max="13828" width="10.85546875" style="3" customWidth="1"/>
    <col min="13829" max="13829" width="4.85546875" style="3" customWidth="1"/>
    <col min="13830" max="13830" width="5.140625" style="3" customWidth="1"/>
    <col min="13831" max="13831" width="10.5703125" style="3" customWidth="1"/>
    <col min="13832" max="13832" width="6.28515625" style="3" customWidth="1"/>
    <col min="13833" max="13833" width="6.5703125" style="3" customWidth="1"/>
    <col min="13834" max="13834" width="7.42578125" style="3" customWidth="1"/>
    <col min="13835" max="13835" width="6.85546875" style="3" customWidth="1"/>
    <col min="13836" max="13836" width="10.7109375" style="3" customWidth="1"/>
    <col min="13837" max="13837" width="5.140625" style="3" customWidth="1"/>
    <col min="13838" max="14069" width="11.42578125" style="3"/>
    <col min="14070" max="14070" width="23.7109375" style="3" customWidth="1"/>
    <col min="14071" max="14071" width="0" style="3" hidden="1" customWidth="1"/>
    <col min="14072" max="14072" width="41.42578125" style="3" customWidth="1"/>
    <col min="14073" max="14073" width="19.140625" style="3" customWidth="1"/>
    <col min="14074" max="14074" width="6.28515625" style="3" customWidth="1"/>
    <col min="14075" max="14075" width="6" style="3" customWidth="1"/>
    <col min="14076" max="14076" width="7.42578125" style="3" customWidth="1"/>
    <col min="14077" max="14077" width="5.7109375" style="3" customWidth="1"/>
    <col min="14078" max="14078" width="5.28515625" style="3" customWidth="1"/>
    <col min="14079" max="14079" width="10" style="3" customWidth="1"/>
    <col min="14080" max="14080" width="6.28515625" style="3" customWidth="1"/>
    <col min="14081" max="14081" width="8.28515625" style="3" customWidth="1"/>
    <col min="14082" max="14082" width="12.42578125" style="3" customWidth="1"/>
    <col min="14083" max="14083" width="5.28515625" style="3" customWidth="1"/>
    <col min="14084" max="14084" width="10.85546875" style="3" customWidth="1"/>
    <col min="14085" max="14085" width="4.85546875" style="3" customWidth="1"/>
    <col min="14086" max="14086" width="5.140625" style="3" customWidth="1"/>
    <col min="14087" max="14087" width="10.5703125" style="3" customWidth="1"/>
    <col min="14088" max="14088" width="6.28515625" style="3" customWidth="1"/>
    <col min="14089" max="14089" width="6.5703125" style="3" customWidth="1"/>
    <col min="14090" max="14090" width="7.42578125" style="3" customWidth="1"/>
    <col min="14091" max="14091" width="6.85546875" style="3" customWidth="1"/>
    <col min="14092" max="14092" width="10.7109375" style="3" customWidth="1"/>
    <col min="14093" max="14093" width="5.140625" style="3" customWidth="1"/>
    <col min="14094" max="14325" width="11.42578125" style="3"/>
    <col min="14326" max="14326" width="23.7109375" style="3" customWidth="1"/>
    <col min="14327" max="14327" width="0" style="3" hidden="1" customWidth="1"/>
    <col min="14328" max="14328" width="41.42578125" style="3" customWidth="1"/>
    <col min="14329" max="14329" width="19.140625" style="3" customWidth="1"/>
    <col min="14330" max="14330" width="6.28515625" style="3" customWidth="1"/>
    <col min="14331" max="14331" width="6" style="3" customWidth="1"/>
    <col min="14332" max="14332" width="7.42578125" style="3" customWidth="1"/>
    <col min="14333" max="14333" width="5.7109375" style="3" customWidth="1"/>
    <col min="14334" max="14334" width="5.28515625" style="3" customWidth="1"/>
    <col min="14335" max="14335" width="10" style="3" customWidth="1"/>
    <col min="14336" max="14336" width="6.28515625" style="3" customWidth="1"/>
    <col min="14337" max="14337" width="8.28515625" style="3" customWidth="1"/>
    <col min="14338" max="14338" width="12.42578125" style="3" customWidth="1"/>
    <col min="14339" max="14339" width="5.28515625" style="3" customWidth="1"/>
    <col min="14340" max="14340" width="10.85546875" style="3" customWidth="1"/>
    <col min="14341" max="14341" width="4.85546875" style="3" customWidth="1"/>
    <col min="14342" max="14342" width="5.140625" style="3" customWidth="1"/>
    <col min="14343" max="14343" width="10.5703125" style="3" customWidth="1"/>
    <col min="14344" max="14344" width="6.28515625" style="3" customWidth="1"/>
    <col min="14345" max="14345" width="6.5703125" style="3" customWidth="1"/>
    <col min="14346" max="14346" width="7.42578125" style="3" customWidth="1"/>
    <col min="14347" max="14347" width="6.85546875" style="3" customWidth="1"/>
    <col min="14348" max="14348" width="10.7109375" style="3" customWidth="1"/>
    <col min="14349" max="14349" width="5.140625" style="3" customWidth="1"/>
    <col min="14350" max="14581" width="11.42578125" style="3"/>
    <col min="14582" max="14582" width="23.7109375" style="3" customWidth="1"/>
    <col min="14583" max="14583" width="0" style="3" hidden="1" customWidth="1"/>
    <col min="14584" max="14584" width="41.42578125" style="3" customWidth="1"/>
    <col min="14585" max="14585" width="19.140625" style="3" customWidth="1"/>
    <col min="14586" max="14586" width="6.28515625" style="3" customWidth="1"/>
    <col min="14587" max="14587" width="6" style="3" customWidth="1"/>
    <col min="14588" max="14588" width="7.42578125" style="3" customWidth="1"/>
    <col min="14589" max="14589" width="5.7109375" style="3" customWidth="1"/>
    <col min="14590" max="14590" width="5.28515625" style="3" customWidth="1"/>
    <col min="14591" max="14591" width="10" style="3" customWidth="1"/>
    <col min="14592" max="14592" width="6.28515625" style="3" customWidth="1"/>
    <col min="14593" max="14593" width="8.28515625" style="3" customWidth="1"/>
    <col min="14594" max="14594" width="12.42578125" style="3" customWidth="1"/>
    <col min="14595" max="14595" width="5.28515625" style="3" customWidth="1"/>
    <col min="14596" max="14596" width="10.85546875" style="3" customWidth="1"/>
    <col min="14597" max="14597" width="4.85546875" style="3" customWidth="1"/>
    <col min="14598" max="14598" width="5.140625" style="3" customWidth="1"/>
    <col min="14599" max="14599" width="10.5703125" style="3" customWidth="1"/>
    <col min="14600" max="14600" width="6.28515625" style="3" customWidth="1"/>
    <col min="14601" max="14601" width="6.5703125" style="3" customWidth="1"/>
    <col min="14602" max="14602" width="7.42578125" style="3" customWidth="1"/>
    <col min="14603" max="14603" width="6.85546875" style="3" customWidth="1"/>
    <col min="14604" max="14604" width="10.7109375" style="3" customWidth="1"/>
    <col min="14605" max="14605" width="5.140625" style="3" customWidth="1"/>
    <col min="14606" max="14837" width="11.42578125" style="3"/>
    <col min="14838" max="14838" width="23.7109375" style="3" customWidth="1"/>
    <col min="14839" max="14839" width="0" style="3" hidden="1" customWidth="1"/>
    <col min="14840" max="14840" width="41.42578125" style="3" customWidth="1"/>
    <col min="14841" max="14841" width="19.140625" style="3" customWidth="1"/>
    <col min="14842" max="14842" width="6.28515625" style="3" customWidth="1"/>
    <col min="14843" max="14843" width="6" style="3" customWidth="1"/>
    <col min="14844" max="14844" width="7.42578125" style="3" customWidth="1"/>
    <col min="14845" max="14845" width="5.7109375" style="3" customWidth="1"/>
    <col min="14846" max="14846" width="5.28515625" style="3" customWidth="1"/>
    <col min="14847" max="14847" width="10" style="3" customWidth="1"/>
    <col min="14848" max="14848" width="6.28515625" style="3" customWidth="1"/>
    <col min="14849" max="14849" width="8.28515625" style="3" customWidth="1"/>
    <col min="14850" max="14850" width="12.42578125" style="3" customWidth="1"/>
    <col min="14851" max="14851" width="5.28515625" style="3" customWidth="1"/>
    <col min="14852" max="14852" width="10.85546875" style="3" customWidth="1"/>
    <col min="14853" max="14853" width="4.85546875" style="3" customWidth="1"/>
    <col min="14854" max="14854" width="5.140625" style="3" customWidth="1"/>
    <col min="14855" max="14855" width="10.5703125" style="3" customWidth="1"/>
    <col min="14856" max="14856" width="6.28515625" style="3" customWidth="1"/>
    <col min="14857" max="14857" width="6.5703125" style="3" customWidth="1"/>
    <col min="14858" max="14858" width="7.42578125" style="3" customWidth="1"/>
    <col min="14859" max="14859" width="6.85546875" style="3" customWidth="1"/>
    <col min="14860" max="14860" width="10.7109375" style="3" customWidth="1"/>
    <col min="14861" max="14861" width="5.140625" style="3" customWidth="1"/>
    <col min="14862" max="15093" width="11.42578125" style="3"/>
    <col min="15094" max="15094" width="23.7109375" style="3" customWidth="1"/>
    <col min="15095" max="15095" width="0" style="3" hidden="1" customWidth="1"/>
    <col min="15096" max="15096" width="41.42578125" style="3" customWidth="1"/>
    <col min="15097" max="15097" width="19.140625" style="3" customWidth="1"/>
    <col min="15098" max="15098" width="6.28515625" style="3" customWidth="1"/>
    <col min="15099" max="15099" width="6" style="3" customWidth="1"/>
    <col min="15100" max="15100" width="7.42578125" style="3" customWidth="1"/>
    <col min="15101" max="15101" width="5.7109375" style="3" customWidth="1"/>
    <col min="15102" max="15102" width="5.28515625" style="3" customWidth="1"/>
    <col min="15103" max="15103" width="10" style="3" customWidth="1"/>
    <col min="15104" max="15104" width="6.28515625" style="3" customWidth="1"/>
    <col min="15105" max="15105" width="8.28515625" style="3" customWidth="1"/>
    <col min="15106" max="15106" width="12.42578125" style="3" customWidth="1"/>
    <col min="15107" max="15107" width="5.28515625" style="3" customWidth="1"/>
    <col min="15108" max="15108" width="10.85546875" style="3" customWidth="1"/>
    <col min="15109" max="15109" width="4.85546875" style="3" customWidth="1"/>
    <col min="15110" max="15110" width="5.140625" style="3" customWidth="1"/>
    <col min="15111" max="15111" width="10.5703125" style="3" customWidth="1"/>
    <col min="15112" max="15112" width="6.28515625" style="3" customWidth="1"/>
    <col min="15113" max="15113" width="6.5703125" style="3" customWidth="1"/>
    <col min="15114" max="15114" width="7.42578125" style="3" customWidth="1"/>
    <col min="15115" max="15115" width="6.85546875" style="3" customWidth="1"/>
    <col min="15116" max="15116" width="10.7109375" style="3" customWidth="1"/>
    <col min="15117" max="15117" width="5.140625" style="3" customWidth="1"/>
    <col min="15118" max="15349" width="11.42578125" style="3"/>
    <col min="15350" max="15350" width="23.7109375" style="3" customWidth="1"/>
    <col min="15351" max="15351" width="0" style="3" hidden="1" customWidth="1"/>
    <col min="15352" max="15352" width="41.42578125" style="3" customWidth="1"/>
    <col min="15353" max="15353" width="19.140625" style="3" customWidth="1"/>
    <col min="15354" max="15354" width="6.28515625" style="3" customWidth="1"/>
    <col min="15355" max="15355" width="6" style="3" customWidth="1"/>
    <col min="15356" max="15356" width="7.42578125" style="3" customWidth="1"/>
    <col min="15357" max="15357" width="5.7109375" style="3" customWidth="1"/>
    <col min="15358" max="15358" width="5.28515625" style="3" customWidth="1"/>
    <col min="15359" max="15359" width="10" style="3" customWidth="1"/>
    <col min="15360" max="15360" width="6.28515625" style="3" customWidth="1"/>
    <col min="15361" max="15361" width="8.28515625" style="3" customWidth="1"/>
    <col min="15362" max="15362" width="12.42578125" style="3" customWidth="1"/>
    <col min="15363" max="15363" width="5.28515625" style="3" customWidth="1"/>
    <col min="15364" max="15364" width="10.85546875" style="3" customWidth="1"/>
    <col min="15365" max="15365" width="4.85546875" style="3" customWidth="1"/>
    <col min="15366" max="15366" width="5.140625" style="3" customWidth="1"/>
    <col min="15367" max="15367" width="10.5703125" style="3" customWidth="1"/>
    <col min="15368" max="15368" width="6.28515625" style="3" customWidth="1"/>
    <col min="15369" max="15369" width="6.5703125" style="3" customWidth="1"/>
    <col min="15370" max="15370" width="7.42578125" style="3" customWidth="1"/>
    <col min="15371" max="15371" width="6.85546875" style="3" customWidth="1"/>
    <col min="15372" max="15372" width="10.7109375" style="3" customWidth="1"/>
    <col min="15373" max="15373" width="5.140625" style="3" customWidth="1"/>
    <col min="15374" max="15605" width="11.42578125" style="3"/>
    <col min="15606" max="15606" width="23.7109375" style="3" customWidth="1"/>
    <col min="15607" max="15607" width="0" style="3" hidden="1" customWidth="1"/>
    <col min="15608" max="15608" width="41.42578125" style="3" customWidth="1"/>
    <col min="15609" max="15609" width="19.140625" style="3" customWidth="1"/>
    <col min="15610" max="15610" width="6.28515625" style="3" customWidth="1"/>
    <col min="15611" max="15611" width="6" style="3" customWidth="1"/>
    <col min="15612" max="15612" width="7.42578125" style="3" customWidth="1"/>
    <col min="15613" max="15613" width="5.7109375" style="3" customWidth="1"/>
    <col min="15614" max="15614" width="5.28515625" style="3" customWidth="1"/>
    <col min="15615" max="15615" width="10" style="3" customWidth="1"/>
    <col min="15616" max="15616" width="6.28515625" style="3" customWidth="1"/>
    <col min="15617" max="15617" width="8.28515625" style="3" customWidth="1"/>
    <col min="15618" max="15618" width="12.42578125" style="3" customWidth="1"/>
    <col min="15619" max="15619" width="5.28515625" style="3" customWidth="1"/>
    <col min="15620" max="15620" width="10.85546875" style="3" customWidth="1"/>
    <col min="15621" max="15621" width="4.85546875" style="3" customWidth="1"/>
    <col min="15622" max="15622" width="5.140625" style="3" customWidth="1"/>
    <col min="15623" max="15623" width="10.5703125" style="3" customWidth="1"/>
    <col min="15624" max="15624" width="6.28515625" style="3" customWidth="1"/>
    <col min="15625" max="15625" width="6.5703125" style="3" customWidth="1"/>
    <col min="15626" max="15626" width="7.42578125" style="3" customWidth="1"/>
    <col min="15627" max="15627" width="6.85546875" style="3" customWidth="1"/>
    <col min="15628" max="15628" width="10.7109375" style="3" customWidth="1"/>
    <col min="15629" max="15629" width="5.140625" style="3" customWidth="1"/>
    <col min="15630" max="15861" width="11.42578125" style="3"/>
    <col min="15862" max="15862" width="23.7109375" style="3" customWidth="1"/>
    <col min="15863" max="15863" width="0" style="3" hidden="1" customWidth="1"/>
    <col min="15864" max="15864" width="41.42578125" style="3" customWidth="1"/>
    <col min="15865" max="15865" width="19.140625" style="3" customWidth="1"/>
    <col min="15866" max="15866" width="6.28515625" style="3" customWidth="1"/>
    <col min="15867" max="15867" width="6" style="3" customWidth="1"/>
    <col min="15868" max="15868" width="7.42578125" style="3" customWidth="1"/>
    <col min="15869" max="15869" width="5.7109375" style="3" customWidth="1"/>
    <col min="15870" max="15870" width="5.28515625" style="3" customWidth="1"/>
    <col min="15871" max="15871" width="10" style="3" customWidth="1"/>
    <col min="15872" max="15872" width="6.28515625" style="3" customWidth="1"/>
    <col min="15873" max="15873" width="8.28515625" style="3" customWidth="1"/>
    <col min="15874" max="15874" width="12.42578125" style="3" customWidth="1"/>
    <col min="15875" max="15875" width="5.28515625" style="3" customWidth="1"/>
    <col min="15876" max="15876" width="10.85546875" style="3" customWidth="1"/>
    <col min="15877" max="15877" width="4.85546875" style="3" customWidth="1"/>
    <col min="15878" max="15878" width="5.140625" style="3" customWidth="1"/>
    <col min="15879" max="15879" width="10.5703125" style="3" customWidth="1"/>
    <col min="15880" max="15880" width="6.28515625" style="3" customWidth="1"/>
    <col min="15881" max="15881" width="6.5703125" style="3" customWidth="1"/>
    <col min="15882" max="15882" width="7.42578125" style="3" customWidth="1"/>
    <col min="15883" max="15883" width="6.85546875" style="3" customWidth="1"/>
    <col min="15884" max="15884" width="10.7109375" style="3" customWidth="1"/>
    <col min="15885" max="15885" width="5.140625" style="3" customWidth="1"/>
    <col min="15886" max="16117" width="11.42578125" style="3"/>
    <col min="16118" max="16118" width="23.7109375" style="3" customWidth="1"/>
    <col min="16119" max="16119" width="0" style="3" hidden="1" customWidth="1"/>
    <col min="16120" max="16120" width="41.42578125" style="3" customWidth="1"/>
    <col min="16121" max="16121" width="19.140625" style="3" customWidth="1"/>
    <col min="16122" max="16122" width="6.28515625" style="3" customWidth="1"/>
    <col min="16123" max="16123" width="6" style="3" customWidth="1"/>
    <col min="16124" max="16124" width="7.42578125" style="3" customWidth="1"/>
    <col min="16125" max="16125" width="5.7109375" style="3" customWidth="1"/>
    <col min="16126" max="16126" width="5.28515625" style="3" customWidth="1"/>
    <col min="16127" max="16127" width="10" style="3" customWidth="1"/>
    <col min="16128" max="16128" width="6.28515625" style="3" customWidth="1"/>
    <col min="16129" max="16129" width="8.28515625" style="3" customWidth="1"/>
    <col min="16130" max="16130" width="12.42578125" style="3" customWidth="1"/>
    <col min="16131" max="16131" width="5.28515625" style="3" customWidth="1"/>
    <col min="16132" max="16132" width="10.85546875" style="3" customWidth="1"/>
    <col min="16133" max="16133" width="4.85546875" style="3" customWidth="1"/>
    <col min="16134" max="16134" width="5.140625" style="3" customWidth="1"/>
    <col min="16135" max="16135" width="10.5703125" style="3" customWidth="1"/>
    <col min="16136" max="16136" width="6.28515625" style="3" customWidth="1"/>
    <col min="16137" max="16137" width="6.5703125" style="3" customWidth="1"/>
    <col min="16138" max="16138" width="7.42578125" style="3" customWidth="1"/>
    <col min="16139" max="16139" width="6.85546875" style="3" customWidth="1"/>
    <col min="16140" max="16140" width="10.7109375" style="3" customWidth="1"/>
    <col min="16141" max="16141" width="5.140625" style="3" customWidth="1"/>
    <col min="16142" max="16384" width="11.42578125" style="3"/>
  </cols>
  <sheetData>
    <row r="1" spans="1:23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</row>
    <row r="2" spans="1:23" s="2" customFormat="1" ht="22.5" customHeight="1">
      <c r="A2" s="6"/>
      <c r="B2" s="194"/>
      <c r="C2" s="1522" t="s">
        <v>4</v>
      </c>
      <c r="D2" s="1789" t="s">
        <v>5</v>
      </c>
      <c r="E2" s="195" t="s">
        <v>6</v>
      </c>
      <c r="F2" s="195"/>
      <c r="G2" s="195"/>
      <c r="H2" s="196"/>
      <c r="I2" s="1520" t="s">
        <v>7</v>
      </c>
      <c r="J2" s="1520" t="s">
        <v>8</v>
      </c>
      <c r="K2" s="1520" t="s">
        <v>9</v>
      </c>
      <c r="L2" s="1520" t="s">
        <v>9</v>
      </c>
      <c r="M2" s="14"/>
      <c r="N2" s="358"/>
    </row>
    <row r="3" spans="1:23" s="2" customFormat="1" ht="22.5" customHeight="1">
      <c r="A3" s="6"/>
      <c r="B3" s="176" t="s">
        <v>228</v>
      </c>
      <c r="C3" s="1789" t="s">
        <v>14</v>
      </c>
      <c r="D3" s="1790"/>
      <c r="E3" s="200" t="s">
        <v>16</v>
      </c>
      <c r="F3" s="201"/>
      <c r="G3" s="199" t="s">
        <v>17</v>
      </c>
      <c r="H3" s="201"/>
      <c r="I3" s="1521" t="s">
        <v>18</v>
      </c>
      <c r="J3" s="1521" t="s">
        <v>19</v>
      </c>
      <c r="K3" s="1521" t="s">
        <v>127</v>
      </c>
      <c r="L3" s="1521" t="s">
        <v>0</v>
      </c>
      <c r="M3" s="14"/>
      <c r="N3" s="358"/>
    </row>
    <row r="4" spans="1:23" s="2" customFormat="1" ht="22.5" customHeight="1">
      <c r="A4" s="6"/>
      <c r="B4" s="176"/>
      <c r="C4" s="1790"/>
      <c r="D4" s="1790"/>
      <c r="E4" s="178" t="s">
        <v>32</v>
      </c>
      <c r="F4" s="1520" t="s">
        <v>33</v>
      </c>
      <c r="G4" s="1520" t="s">
        <v>32</v>
      </c>
      <c r="H4" s="1520" t="s">
        <v>33</v>
      </c>
      <c r="I4" s="1521" t="s">
        <v>34</v>
      </c>
      <c r="J4" s="1521" t="s">
        <v>34</v>
      </c>
      <c r="K4" s="1521" t="s">
        <v>35</v>
      </c>
      <c r="L4" s="1521" t="s">
        <v>35</v>
      </c>
      <c r="M4" s="14"/>
      <c r="N4" s="358"/>
    </row>
    <row r="5" spans="1:23" s="2" customFormat="1" ht="18" customHeight="1">
      <c r="A5" s="6"/>
      <c r="B5" s="1791" t="s">
        <v>136</v>
      </c>
      <c r="C5" s="38" t="s">
        <v>132</v>
      </c>
      <c r="D5" s="113" t="s">
        <v>131</v>
      </c>
      <c r="E5" s="39">
        <v>15</v>
      </c>
      <c r="F5" s="40">
        <v>9.67</v>
      </c>
      <c r="G5" s="1543">
        <v>92</v>
      </c>
      <c r="H5" s="1544">
        <v>1.55</v>
      </c>
      <c r="I5" s="187">
        <f t="shared" ref="I5" si="0">IF(E5="","",((G5-E5)*20)+H5-F5)</f>
        <v>1531.8799999999999</v>
      </c>
      <c r="J5" s="40"/>
      <c r="K5" s="460">
        <v>24316.75</v>
      </c>
      <c r="L5" s="41">
        <f t="shared" ref="L5:L7" si="1">IF(E5="","",(I5*J5)+K5)</f>
        <v>24316.75</v>
      </c>
      <c r="M5" s="29"/>
      <c r="N5" s="359"/>
      <c r="O5" s="455">
        <v>0</v>
      </c>
      <c r="P5" s="454" t="s">
        <v>234</v>
      </c>
      <c r="S5" s="456" t="s">
        <v>235</v>
      </c>
      <c r="T5" s="456"/>
    </row>
    <row r="6" spans="1:23" s="2" customFormat="1" ht="18" customHeight="1">
      <c r="A6" s="6"/>
      <c r="B6" s="1792"/>
      <c r="C6" s="184" t="s">
        <v>132</v>
      </c>
      <c r="D6" s="193" t="s">
        <v>231</v>
      </c>
      <c r="E6" s="185">
        <v>92</v>
      </c>
      <c r="F6" s="186">
        <v>1.55</v>
      </c>
      <c r="G6" s="185">
        <v>132</v>
      </c>
      <c r="H6" s="186">
        <v>12.12</v>
      </c>
      <c r="I6" s="187">
        <v>810.57</v>
      </c>
      <c r="J6" s="186">
        <v>12.4</v>
      </c>
      <c r="K6" s="187"/>
      <c r="L6" s="187">
        <f>IF(E6="","",(I6*J6)+K6)</f>
        <v>10051.068000000001</v>
      </c>
      <c r="M6" s="29"/>
      <c r="N6" s="359"/>
      <c r="W6" s="2">
        <f>I6*J6</f>
        <v>10051.068000000001</v>
      </c>
    </row>
    <row r="7" spans="1:23" s="2" customFormat="1" ht="18" customHeight="1">
      <c r="A7" s="6"/>
      <c r="B7" s="1792"/>
      <c r="C7" s="38" t="s">
        <v>132</v>
      </c>
      <c r="D7" s="451" t="s">
        <v>1359</v>
      </c>
      <c r="E7" s="39">
        <v>132</v>
      </c>
      <c r="F7" s="40">
        <v>12.12</v>
      </c>
      <c r="G7" s="457">
        <v>176</v>
      </c>
      <c r="H7" s="458">
        <v>12.12</v>
      </c>
      <c r="I7" s="187">
        <f t="shared" ref="I7" si="2">IF(E7="","",((G7-E7)*20)+H7-F7)</f>
        <v>880</v>
      </c>
      <c r="J7" s="40"/>
      <c r="K7" s="460">
        <v>13733.72</v>
      </c>
      <c r="L7" s="450">
        <f t="shared" si="1"/>
        <v>13733.72</v>
      </c>
      <c r="M7" s="29"/>
      <c r="N7" s="359"/>
      <c r="O7" s="455">
        <v>0</v>
      </c>
      <c r="P7" s="454">
        <v>57</v>
      </c>
      <c r="Q7" s="2" t="s">
        <v>239</v>
      </c>
      <c r="R7" s="459">
        <v>1140</v>
      </c>
    </row>
    <row r="8" spans="1:23" s="2" customFormat="1" ht="18" customHeight="1">
      <c r="A8" s="6"/>
      <c r="B8" s="1792"/>
      <c r="C8" s="38"/>
      <c r="D8" s="113"/>
      <c r="E8" s="39"/>
      <c r="F8" s="40"/>
      <c r="G8" s="39"/>
      <c r="H8" s="40"/>
      <c r="I8" s="41"/>
      <c r="J8" s="40"/>
      <c r="K8" s="41"/>
      <c r="L8" s="41"/>
      <c r="M8" s="29"/>
      <c r="N8" s="359"/>
    </row>
    <row r="9" spans="1:23" s="2" customFormat="1" ht="18" customHeight="1">
      <c r="A9" s="6"/>
      <c r="B9" s="48"/>
      <c r="C9" s="184"/>
      <c r="D9" s="193"/>
      <c r="E9" s="185"/>
      <c r="F9" s="186"/>
      <c r="G9" s="185"/>
      <c r="H9" s="186"/>
      <c r="I9" s="187"/>
      <c r="J9" s="186"/>
      <c r="K9" s="187"/>
      <c r="L9" s="188"/>
      <c r="M9" s="29"/>
      <c r="N9" s="359"/>
    </row>
    <row r="10" spans="1:23" s="2" customFormat="1" ht="18" customHeight="1">
      <c r="A10" s="6"/>
      <c r="B10" s="48"/>
      <c r="C10" s="38"/>
      <c r="D10" s="113"/>
      <c r="E10" s="39"/>
      <c r="F10" s="40"/>
      <c r="G10" s="39"/>
      <c r="H10" s="40"/>
      <c r="I10" s="41"/>
      <c r="J10" s="40"/>
      <c r="K10" s="41"/>
      <c r="L10" s="42"/>
      <c r="M10" s="29"/>
      <c r="N10" s="359"/>
    </row>
    <row r="11" spans="1:23" s="2" customFormat="1" ht="18" hidden="1" customHeight="1">
      <c r="A11" s="6"/>
      <c r="B11" s="48"/>
      <c r="C11" s="184"/>
      <c r="D11" s="193"/>
      <c r="E11" s="185"/>
      <c r="F11" s="186"/>
      <c r="G11" s="185"/>
      <c r="H11" s="186"/>
      <c r="I11" s="187"/>
      <c r="J11" s="186"/>
      <c r="K11" s="187"/>
      <c r="L11" s="188"/>
      <c r="M11" s="29"/>
      <c r="N11" s="359"/>
    </row>
    <row r="12" spans="1:23" s="2" customFormat="1" ht="18" hidden="1" customHeight="1">
      <c r="A12" s="6"/>
      <c r="B12" s="48"/>
      <c r="C12" s="38"/>
      <c r="D12" s="113"/>
      <c r="E12" s="39"/>
      <c r="F12" s="40"/>
      <c r="G12" s="39"/>
      <c r="H12" s="40"/>
      <c r="I12" s="41"/>
      <c r="J12" s="40"/>
      <c r="K12" s="41"/>
      <c r="L12" s="42"/>
      <c r="M12" s="29"/>
      <c r="N12" s="359"/>
    </row>
    <row r="13" spans="1:23" s="2" customFormat="1" ht="18" hidden="1" customHeight="1">
      <c r="A13" s="6"/>
      <c r="B13" s="48"/>
      <c r="C13" s="184"/>
      <c r="D13" s="193"/>
      <c r="E13" s="185"/>
      <c r="F13" s="186"/>
      <c r="G13" s="185"/>
      <c r="H13" s="186"/>
      <c r="I13" s="187"/>
      <c r="J13" s="186"/>
      <c r="K13" s="187"/>
      <c r="L13" s="188"/>
      <c r="M13" s="29"/>
      <c r="N13" s="359"/>
    </row>
    <row r="14" spans="1:23" s="2" customFormat="1" ht="18" hidden="1" customHeight="1">
      <c r="A14" s="6"/>
      <c r="B14" s="48"/>
      <c r="C14" s="38"/>
      <c r="D14" s="113"/>
      <c r="E14" s="39"/>
      <c r="F14" s="40"/>
      <c r="G14" s="39"/>
      <c r="H14" s="40"/>
      <c r="I14" s="41"/>
      <c r="J14" s="40"/>
      <c r="K14" s="41"/>
      <c r="L14" s="42"/>
      <c r="M14" s="29"/>
      <c r="N14" s="359"/>
    </row>
    <row r="15" spans="1:23" s="2" customFormat="1" ht="18" hidden="1" customHeight="1">
      <c r="A15" s="6"/>
      <c r="B15" s="48"/>
      <c r="C15" s="184"/>
      <c r="D15" s="193"/>
      <c r="E15" s="185"/>
      <c r="F15" s="186"/>
      <c r="G15" s="185"/>
      <c r="H15" s="186"/>
      <c r="I15" s="187"/>
      <c r="J15" s="186"/>
      <c r="K15" s="187"/>
      <c r="L15" s="188"/>
      <c r="M15" s="29"/>
      <c r="N15" s="359"/>
    </row>
    <row r="16" spans="1:23" s="2" customFormat="1" ht="18" hidden="1" customHeight="1">
      <c r="A16" s="6"/>
      <c r="B16" s="48"/>
      <c r="C16" s="38"/>
      <c r="D16" s="113"/>
      <c r="E16" s="39"/>
      <c r="F16" s="40"/>
      <c r="G16" s="39"/>
      <c r="H16" s="40"/>
      <c r="I16" s="41"/>
      <c r="J16" s="40"/>
      <c r="K16" s="41"/>
      <c r="L16" s="42"/>
      <c r="M16" s="29"/>
      <c r="N16" s="359"/>
    </row>
    <row r="17" spans="1:14" s="2" customFormat="1" ht="18" hidden="1" customHeight="1">
      <c r="A17" s="6"/>
      <c r="B17" s="48"/>
      <c r="C17" s="184"/>
      <c r="D17" s="193"/>
      <c r="E17" s="185"/>
      <c r="F17" s="186"/>
      <c r="G17" s="185"/>
      <c r="H17" s="186"/>
      <c r="I17" s="187"/>
      <c r="J17" s="186"/>
      <c r="K17" s="187"/>
      <c r="L17" s="188"/>
      <c r="M17" s="29"/>
      <c r="N17" s="359"/>
    </row>
    <row r="18" spans="1:14" s="2" customFormat="1" ht="18" hidden="1" customHeight="1">
      <c r="A18" s="6"/>
      <c r="B18" s="48"/>
      <c r="C18" s="38"/>
      <c r="D18" s="113"/>
      <c r="E18" s="39"/>
      <c r="F18" s="40"/>
      <c r="G18" s="39"/>
      <c r="H18" s="40"/>
      <c r="I18" s="41"/>
      <c r="J18" s="40"/>
      <c r="K18" s="41"/>
      <c r="L18" s="42"/>
      <c r="M18" s="29"/>
      <c r="N18" s="359"/>
    </row>
    <row r="19" spans="1:14" s="2" customFormat="1" ht="18" hidden="1" customHeight="1">
      <c r="A19" s="6"/>
      <c r="B19" s="48"/>
      <c r="C19" s="184"/>
      <c r="D19" s="193"/>
      <c r="E19" s="185"/>
      <c r="F19" s="186"/>
      <c r="G19" s="185"/>
      <c r="H19" s="186"/>
      <c r="I19" s="187"/>
      <c r="J19" s="186"/>
      <c r="K19" s="187"/>
      <c r="L19" s="188"/>
      <c r="M19" s="29"/>
      <c r="N19" s="359"/>
    </row>
    <row r="20" spans="1:14" s="2" customFormat="1" ht="18" hidden="1" customHeight="1">
      <c r="A20" s="6"/>
      <c r="B20" s="48"/>
      <c r="C20" s="38"/>
      <c r="D20" s="113"/>
      <c r="E20" s="39"/>
      <c r="F20" s="40"/>
      <c r="G20" s="39"/>
      <c r="H20" s="40"/>
      <c r="I20" s="41"/>
      <c r="J20" s="40"/>
      <c r="K20" s="41"/>
      <c r="L20" s="42"/>
      <c r="M20" s="29"/>
      <c r="N20" s="359"/>
    </row>
    <row r="21" spans="1:14" s="2" customFormat="1" ht="18" hidden="1" customHeight="1">
      <c r="A21" s="6"/>
      <c r="B21" s="48"/>
      <c r="C21" s="184"/>
      <c r="D21" s="193"/>
      <c r="E21" s="185"/>
      <c r="F21" s="186"/>
      <c r="G21" s="185"/>
      <c r="H21" s="186"/>
      <c r="I21" s="187"/>
      <c r="J21" s="186"/>
      <c r="K21" s="187"/>
      <c r="L21" s="188"/>
      <c r="M21" s="29"/>
      <c r="N21" s="359"/>
    </row>
    <row r="22" spans="1:14" s="2" customFormat="1" ht="18" hidden="1" customHeight="1">
      <c r="A22" s="6"/>
      <c r="B22" s="48"/>
      <c r="C22" s="38"/>
      <c r="D22" s="113"/>
      <c r="E22" s="39"/>
      <c r="F22" s="40"/>
      <c r="G22" s="39"/>
      <c r="H22" s="40"/>
      <c r="I22" s="41"/>
      <c r="J22" s="40"/>
      <c r="K22" s="41"/>
      <c r="L22" s="42"/>
      <c r="M22" s="29"/>
      <c r="N22" s="359"/>
    </row>
    <row r="23" spans="1:14" s="2" customFormat="1" ht="18" hidden="1" customHeight="1">
      <c r="A23" s="6"/>
      <c r="B23" s="48"/>
      <c r="C23" s="184"/>
      <c r="D23" s="193"/>
      <c r="E23" s="185"/>
      <c r="F23" s="186"/>
      <c r="G23" s="185"/>
      <c r="H23" s="186"/>
      <c r="I23" s="187"/>
      <c r="J23" s="186"/>
      <c r="K23" s="187"/>
      <c r="L23" s="188"/>
      <c r="M23" s="29"/>
      <c r="N23" s="359"/>
    </row>
    <row r="24" spans="1:14" s="2" customFormat="1" ht="18" hidden="1" customHeight="1">
      <c r="A24" s="6"/>
      <c r="B24" s="48"/>
      <c r="C24" s="38"/>
      <c r="D24" s="113"/>
      <c r="E24" s="39"/>
      <c r="F24" s="40"/>
      <c r="G24" s="39"/>
      <c r="H24" s="40"/>
      <c r="I24" s="41"/>
      <c r="J24" s="40"/>
      <c r="K24" s="41"/>
      <c r="L24" s="42"/>
      <c r="M24" s="29"/>
      <c r="N24" s="359"/>
    </row>
    <row r="25" spans="1:14" s="2" customFormat="1" ht="18" hidden="1" customHeight="1">
      <c r="A25" s="6"/>
      <c r="B25" s="48"/>
      <c r="C25" s="184"/>
      <c r="D25" s="193"/>
      <c r="E25" s="185"/>
      <c r="F25" s="186"/>
      <c r="G25" s="185"/>
      <c r="H25" s="186"/>
      <c r="I25" s="187"/>
      <c r="J25" s="186"/>
      <c r="K25" s="187"/>
      <c r="L25" s="188"/>
      <c r="M25" s="29"/>
      <c r="N25" s="359"/>
    </row>
    <row r="26" spans="1:14" s="2" customFormat="1" ht="18" hidden="1" customHeight="1">
      <c r="A26" s="6"/>
      <c r="B26" s="48"/>
      <c r="C26" s="38"/>
      <c r="D26" s="113"/>
      <c r="E26" s="39"/>
      <c r="F26" s="40"/>
      <c r="G26" s="39"/>
      <c r="H26" s="40"/>
      <c r="I26" s="41"/>
      <c r="J26" s="40"/>
      <c r="K26" s="41"/>
      <c r="L26" s="42"/>
      <c r="M26" s="29"/>
      <c r="N26" s="359"/>
    </row>
    <row r="27" spans="1:14" s="2" customFormat="1" ht="18" hidden="1" customHeight="1">
      <c r="A27" s="6"/>
      <c r="B27" s="48"/>
      <c r="C27" s="184"/>
      <c r="D27" s="193"/>
      <c r="E27" s="185"/>
      <c r="F27" s="186"/>
      <c r="G27" s="185"/>
      <c r="H27" s="186"/>
      <c r="I27" s="187"/>
      <c r="J27" s="186"/>
      <c r="K27" s="187"/>
      <c r="L27" s="188"/>
      <c r="M27" s="29"/>
      <c r="N27" s="359"/>
    </row>
    <row r="28" spans="1:14" s="2" customFormat="1" ht="18" hidden="1" customHeight="1">
      <c r="A28" s="6"/>
      <c r="B28" s="48"/>
      <c r="C28" s="38"/>
      <c r="D28" s="113"/>
      <c r="E28" s="39"/>
      <c r="F28" s="40"/>
      <c r="G28" s="39"/>
      <c r="H28" s="40"/>
      <c r="I28" s="41"/>
      <c r="J28" s="40"/>
      <c r="K28" s="41"/>
      <c r="L28" s="42"/>
      <c r="M28" s="29"/>
      <c r="N28" s="359"/>
    </row>
    <row r="29" spans="1:14" s="2" customFormat="1" ht="18" hidden="1" customHeight="1">
      <c r="A29" s="6"/>
      <c r="B29" s="48"/>
      <c r="C29" s="184"/>
      <c r="D29" s="193"/>
      <c r="E29" s="185"/>
      <c r="F29" s="186"/>
      <c r="G29" s="185"/>
      <c r="H29" s="186"/>
      <c r="I29" s="187"/>
      <c r="J29" s="186"/>
      <c r="K29" s="187"/>
      <c r="L29" s="188"/>
      <c r="M29" s="29"/>
      <c r="N29" s="359"/>
    </row>
    <row r="30" spans="1:14" s="2" customFormat="1" ht="18" hidden="1" customHeight="1">
      <c r="A30" s="6"/>
      <c r="B30" s="48"/>
      <c r="C30" s="38"/>
      <c r="D30" s="113"/>
      <c r="E30" s="39"/>
      <c r="F30" s="40"/>
      <c r="G30" s="39"/>
      <c r="H30" s="40"/>
      <c r="I30" s="41"/>
      <c r="J30" s="40"/>
      <c r="K30" s="41"/>
      <c r="L30" s="42"/>
      <c r="M30" s="29"/>
      <c r="N30" s="359"/>
    </row>
    <row r="31" spans="1:14" s="2" customFormat="1" ht="18" hidden="1" customHeight="1">
      <c r="A31" s="6"/>
      <c r="B31" s="48"/>
      <c r="C31" s="184"/>
      <c r="D31" s="193"/>
      <c r="E31" s="185"/>
      <c r="F31" s="186"/>
      <c r="G31" s="185"/>
      <c r="H31" s="186"/>
      <c r="I31" s="187"/>
      <c r="J31" s="186"/>
      <c r="K31" s="187"/>
      <c r="L31" s="188"/>
      <c r="M31" s="29"/>
      <c r="N31" s="359"/>
    </row>
    <row r="32" spans="1:14" s="2" customFormat="1" ht="18" hidden="1" customHeight="1">
      <c r="A32" s="6"/>
      <c r="B32" s="48"/>
      <c r="C32" s="38"/>
      <c r="D32" s="113"/>
      <c r="E32" s="39"/>
      <c r="F32" s="40"/>
      <c r="G32" s="39"/>
      <c r="H32" s="40"/>
      <c r="I32" s="41"/>
      <c r="J32" s="40"/>
      <c r="K32" s="41"/>
      <c r="L32" s="42"/>
      <c r="M32" s="29"/>
      <c r="N32" s="359"/>
    </row>
    <row r="33" spans="1:23" s="2" customFormat="1" ht="18" customHeight="1">
      <c r="A33" s="6"/>
      <c r="B33" s="48"/>
      <c r="C33" s="1793"/>
      <c r="D33" s="1793"/>
      <c r="E33" s="1793"/>
      <c r="F33" s="1793"/>
      <c r="G33" s="1793"/>
      <c r="H33" s="1794"/>
      <c r="I33" s="114">
        <f>SUM(I5:I32)</f>
        <v>3222.45</v>
      </c>
      <c r="J33" s="58"/>
      <c r="K33" s="57"/>
      <c r="L33" s="114">
        <f>SUM(L5:L32)</f>
        <v>48101.538</v>
      </c>
      <c r="M33" s="29"/>
      <c r="N33" s="358"/>
    </row>
    <row r="34" spans="1:23" s="76" customFormat="1" ht="6" customHeight="1">
      <c r="A34" s="71"/>
      <c r="B34" s="72"/>
      <c r="C34" s="73"/>
      <c r="D34" s="73"/>
      <c r="E34" s="73"/>
      <c r="F34" s="73"/>
      <c r="G34" s="73"/>
      <c r="H34" s="74"/>
      <c r="I34" s="74"/>
      <c r="J34" s="74"/>
      <c r="K34" s="74"/>
      <c r="L34" s="74"/>
      <c r="M34" s="29"/>
      <c r="N34" s="358"/>
      <c r="O34" s="2"/>
      <c r="P34" s="2"/>
      <c r="Q34" s="2"/>
      <c r="R34" s="2"/>
    </row>
    <row r="35" spans="1:23" s="76" customFormat="1">
      <c r="A35" s="71"/>
      <c r="B35" s="1795" t="s">
        <v>212</v>
      </c>
      <c r="C35" s="1796"/>
      <c r="D35" s="1796"/>
      <c r="E35" s="1796"/>
      <c r="F35" s="1796"/>
      <c r="G35" s="1796"/>
      <c r="H35" s="1796"/>
      <c r="I35" s="1796"/>
      <c r="J35" s="1796"/>
      <c r="K35" s="1796"/>
      <c r="L35" s="1797"/>
      <c r="M35" s="443"/>
      <c r="N35" s="105"/>
      <c r="O35" s="2"/>
    </row>
    <row r="36" spans="1:23" s="76" customFormat="1">
      <c r="A36" s="71"/>
      <c r="B36" s="1798"/>
      <c r="C36" s="1799"/>
      <c r="D36" s="1799"/>
      <c r="E36" s="1799"/>
      <c r="F36" s="1799"/>
      <c r="G36" s="1799"/>
      <c r="H36" s="1799"/>
      <c r="I36" s="1799"/>
      <c r="J36" s="1799"/>
      <c r="K36" s="1799"/>
      <c r="L36" s="1800"/>
      <c r="M36" s="443"/>
      <c r="N36" s="105"/>
      <c r="O36" s="2"/>
    </row>
    <row r="37" spans="1:23" ht="6.75" customHeight="1">
      <c r="A37" s="444"/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6"/>
    </row>
    <row r="41" spans="1:23">
      <c r="B41" s="194"/>
      <c r="C41" s="1522" t="s">
        <v>4</v>
      </c>
      <c r="D41" s="1789" t="s">
        <v>5</v>
      </c>
      <c r="E41" s="195" t="s">
        <v>6</v>
      </c>
      <c r="F41" s="195"/>
      <c r="G41" s="195"/>
      <c r="H41" s="196"/>
      <c r="I41" s="1520" t="s">
        <v>7</v>
      </c>
      <c r="J41" s="1520" t="s">
        <v>8</v>
      </c>
      <c r="K41" s="1520" t="s">
        <v>9</v>
      </c>
      <c r="L41" s="1520" t="s">
        <v>9</v>
      </c>
      <c r="M41" s="14"/>
    </row>
    <row r="42" spans="1:23">
      <c r="B42" s="176" t="s">
        <v>228</v>
      </c>
      <c r="C42" s="1789" t="s">
        <v>14</v>
      </c>
      <c r="D42" s="1790"/>
      <c r="E42" s="200" t="s">
        <v>16</v>
      </c>
      <c r="F42" s="201"/>
      <c r="G42" s="199" t="s">
        <v>17</v>
      </c>
      <c r="H42" s="201"/>
      <c r="I42" s="1521" t="s">
        <v>18</v>
      </c>
      <c r="J42" s="1521" t="s">
        <v>19</v>
      </c>
      <c r="K42" s="1521" t="s">
        <v>127</v>
      </c>
      <c r="L42" s="1521" t="s">
        <v>0</v>
      </c>
      <c r="M42" s="14"/>
    </row>
    <row r="43" spans="1:23">
      <c r="B43" s="176"/>
      <c r="C43" s="1790"/>
      <c r="D43" s="1790"/>
      <c r="E43" s="178" t="s">
        <v>32</v>
      </c>
      <c r="F43" s="1520" t="s">
        <v>33</v>
      </c>
      <c r="G43" s="1520" t="s">
        <v>32</v>
      </c>
      <c r="H43" s="1520" t="s">
        <v>33</v>
      </c>
      <c r="I43" s="1521" t="s">
        <v>34</v>
      </c>
      <c r="J43" s="1521" t="s">
        <v>34</v>
      </c>
      <c r="K43" s="1521" t="s">
        <v>35</v>
      </c>
      <c r="L43" s="1521" t="s">
        <v>35</v>
      </c>
      <c r="M43" s="14"/>
    </row>
    <row r="44" spans="1:23">
      <c r="B44" s="1791" t="s">
        <v>136</v>
      </c>
      <c r="C44" s="38" t="s">
        <v>132</v>
      </c>
      <c r="D44" s="113" t="s">
        <v>131</v>
      </c>
      <c r="E44" s="39">
        <v>15</v>
      </c>
      <c r="F44" s="40">
        <v>9.67</v>
      </c>
      <c r="G44" s="452">
        <v>61</v>
      </c>
      <c r="H44" s="453">
        <v>1.67</v>
      </c>
      <c r="I44" s="187">
        <f t="shared" ref="I44:I45" si="3">IF(E44="","",((G44-E44)*20)+H44-F44)</f>
        <v>912</v>
      </c>
      <c r="J44" s="453"/>
      <c r="K44" s="460">
        <v>13217.29</v>
      </c>
      <c r="L44" s="460">
        <f t="shared" ref="L44:L47" si="4">IF(E44="","",(I44*J44)+K44)</f>
        <v>13217.29</v>
      </c>
      <c r="M44" s="29"/>
    </row>
    <row r="45" spans="1:23">
      <c r="B45" s="1792"/>
      <c r="C45" s="38" t="s">
        <v>132</v>
      </c>
      <c r="D45" s="113" t="s">
        <v>131</v>
      </c>
      <c r="E45" s="39">
        <v>80</v>
      </c>
      <c r="F45" s="40">
        <v>14.67</v>
      </c>
      <c r="G45" s="452">
        <v>92</v>
      </c>
      <c r="H45" s="453">
        <v>1.55</v>
      </c>
      <c r="I45" s="187">
        <f t="shared" si="3"/>
        <v>226.88000000000002</v>
      </c>
      <c r="J45" s="453"/>
      <c r="K45" s="460">
        <v>2597.9299999999998</v>
      </c>
      <c r="L45" s="460">
        <f t="shared" si="4"/>
        <v>2597.9299999999998</v>
      </c>
      <c r="M45" s="29"/>
    </row>
    <row r="46" spans="1:23">
      <c r="B46" s="1792"/>
      <c r="C46" s="184" t="s">
        <v>132</v>
      </c>
      <c r="D46" s="193" t="s">
        <v>231</v>
      </c>
      <c r="E46" s="185">
        <v>92</v>
      </c>
      <c r="F46" s="186">
        <v>1.55</v>
      </c>
      <c r="G46" s="185">
        <v>120</v>
      </c>
      <c r="H46" s="186">
        <v>0</v>
      </c>
      <c r="I46" s="460">
        <f>(G46-E46)*20+H46-F46</f>
        <v>558.45000000000005</v>
      </c>
      <c r="J46" s="186">
        <v>12.4</v>
      </c>
      <c r="K46" s="187"/>
      <c r="L46" s="187">
        <f t="shared" si="4"/>
        <v>6924.7800000000007</v>
      </c>
      <c r="M46" s="29"/>
      <c r="W46" s="2">
        <f>I46*J46</f>
        <v>6924.7800000000007</v>
      </c>
    </row>
    <row r="47" spans="1:23">
      <c r="B47" s="1792"/>
      <c r="C47" s="38" t="s">
        <v>132</v>
      </c>
      <c r="D47" s="451" t="s">
        <v>1359</v>
      </c>
      <c r="E47" s="452">
        <v>142</v>
      </c>
      <c r="F47" s="453">
        <v>0</v>
      </c>
      <c r="G47" s="452">
        <v>170</v>
      </c>
      <c r="H47" s="453">
        <v>12.12</v>
      </c>
      <c r="I47" s="187">
        <f t="shared" ref="I47" si="5">IF(E47="","",((G47-E47)*20)+H47-F47)</f>
        <v>572.12</v>
      </c>
      <c r="J47" s="40"/>
      <c r="K47" s="460">
        <v>9133.94</v>
      </c>
      <c r="L47" s="460">
        <f t="shared" si="4"/>
        <v>9133.94</v>
      </c>
      <c r="M47" s="29"/>
    </row>
    <row r="48" spans="1:23">
      <c r="B48" s="1792"/>
      <c r="C48" s="38"/>
      <c r="D48" s="113"/>
      <c r="E48" s="39"/>
      <c r="F48" s="40"/>
      <c r="G48" s="39"/>
      <c r="H48" s="40"/>
      <c r="I48" s="41"/>
      <c r="J48" s="40"/>
      <c r="K48" s="41"/>
      <c r="L48" s="41"/>
      <c r="M48" s="29"/>
    </row>
    <row r="49" spans="2:22">
      <c r="B49" s="48"/>
      <c r="C49" s="184"/>
      <c r="D49" s="193"/>
      <c r="E49" s="185"/>
      <c r="F49" s="186"/>
      <c r="G49" s="185"/>
      <c r="H49" s="186"/>
      <c r="I49" s="187"/>
      <c r="J49" s="186"/>
      <c r="K49" s="187"/>
      <c r="L49" s="188"/>
      <c r="M49" s="29"/>
    </row>
    <row r="50" spans="2:22">
      <c r="B50" s="48"/>
      <c r="C50" s="38"/>
      <c r="D50" s="113"/>
      <c r="E50" s="39"/>
      <c r="F50" s="40"/>
      <c r="G50" s="39"/>
      <c r="H50" s="40"/>
      <c r="I50" s="41"/>
      <c r="J50" s="40"/>
      <c r="K50" s="41"/>
      <c r="L50" s="42"/>
      <c r="M50" s="29"/>
      <c r="S50" s="456" t="s">
        <v>236</v>
      </c>
      <c r="T50" s="456"/>
    </row>
    <row r="51" spans="2:22">
      <c r="B51" s="48"/>
      <c r="C51" s="184"/>
      <c r="D51" s="193"/>
      <c r="E51" s="185"/>
      <c r="F51" s="186"/>
      <c r="G51" s="185"/>
      <c r="H51" s="186"/>
      <c r="I51" s="187"/>
      <c r="J51" s="186"/>
      <c r="K51" s="187"/>
      <c r="L51" s="188"/>
      <c r="M51" s="29"/>
    </row>
    <row r="52" spans="2:22">
      <c r="B52" s="48"/>
      <c r="C52" s="38"/>
      <c r="D52" s="113"/>
      <c r="E52" s="39"/>
      <c r="F52" s="40"/>
      <c r="G52" s="39"/>
      <c r="H52" s="40"/>
      <c r="I52" s="41"/>
      <c r="J52" s="40"/>
      <c r="K52" s="41"/>
      <c r="L52" s="42"/>
      <c r="M52" s="29"/>
    </row>
    <row r="53" spans="2:22">
      <c r="B53" s="48"/>
      <c r="C53" s="184"/>
      <c r="D53" s="193"/>
      <c r="E53" s="185"/>
      <c r="F53" s="186"/>
      <c r="G53" s="185"/>
      <c r="H53" s="186"/>
      <c r="I53" s="187"/>
      <c r="J53" s="186"/>
      <c r="K53" s="187"/>
      <c r="L53" s="188"/>
      <c r="M53" s="29"/>
    </row>
    <row r="54" spans="2:22">
      <c r="B54" s="48"/>
      <c r="C54" s="38"/>
      <c r="D54" s="113"/>
      <c r="E54" s="39"/>
      <c r="F54" s="40"/>
      <c r="G54" s="39"/>
      <c r="H54" s="40"/>
      <c r="I54" s="41"/>
      <c r="J54" s="40"/>
      <c r="K54" s="41"/>
      <c r="L54" s="42"/>
      <c r="M54" s="29"/>
    </row>
    <row r="55" spans="2:22">
      <c r="B55" s="48"/>
      <c r="C55" s="1793"/>
      <c r="D55" s="1793"/>
      <c r="E55" s="1793"/>
      <c r="F55" s="1793"/>
      <c r="G55" s="1793"/>
      <c r="H55" s="1794"/>
      <c r="I55" s="114">
        <f>SUM(I44:I54)</f>
        <v>2269.4500000000003</v>
      </c>
      <c r="J55" s="58"/>
      <c r="K55" s="57"/>
      <c r="L55" s="114">
        <f>SUM(L44:L54)</f>
        <v>31873.940000000002</v>
      </c>
      <c r="M55" s="29"/>
    </row>
    <row r="56" spans="2:22">
      <c r="B56" s="72"/>
      <c r="C56" s="73"/>
      <c r="D56" s="73"/>
      <c r="E56" s="73"/>
      <c r="F56" s="73"/>
      <c r="G56" s="73"/>
      <c r="H56" s="74"/>
      <c r="I56" s="74"/>
      <c r="J56" s="74"/>
      <c r="K56" s="74"/>
      <c r="L56" s="74"/>
      <c r="M56" s="29"/>
    </row>
    <row r="57" spans="2:22">
      <c r="B57" s="1795" t="s">
        <v>212</v>
      </c>
      <c r="C57" s="1796"/>
      <c r="D57" s="1796"/>
      <c r="E57" s="1796"/>
      <c r="F57" s="1796"/>
      <c r="G57" s="1796"/>
      <c r="H57" s="1796"/>
      <c r="I57" s="1796"/>
      <c r="J57" s="1796"/>
      <c r="K57" s="1796"/>
      <c r="L57" s="1797"/>
      <c r="M57" s="443"/>
    </row>
    <row r="58" spans="2:22">
      <c r="B58" s="1798"/>
      <c r="C58" s="1799"/>
      <c r="D58" s="1799"/>
      <c r="E58" s="1799"/>
      <c r="F58" s="1799"/>
      <c r="G58" s="1799"/>
      <c r="H58" s="1799"/>
      <c r="I58" s="1799"/>
      <c r="J58" s="1799"/>
      <c r="K58" s="1799"/>
      <c r="L58" s="1800"/>
      <c r="M58" s="443"/>
    </row>
    <row r="59" spans="2:22">
      <c r="B59" s="445"/>
      <c r="C59" s="445"/>
      <c r="D59" s="445"/>
      <c r="E59" s="445"/>
      <c r="F59" s="445"/>
      <c r="G59" s="445"/>
      <c r="H59" s="445"/>
      <c r="I59" s="445"/>
      <c r="J59" s="445"/>
      <c r="K59" s="445"/>
      <c r="L59" s="445"/>
      <c r="M59" s="446"/>
    </row>
    <row r="60" spans="2:22">
      <c r="V60" s="3" t="s">
        <v>238</v>
      </c>
    </row>
    <row r="63" spans="2:22">
      <c r="B63" s="194"/>
      <c r="C63" s="1522" t="s">
        <v>4</v>
      </c>
      <c r="D63" s="1789" t="s">
        <v>5</v>
      </c>
      <c r="E63" s="195" t="s">
        <v>6</v>
      </c>
      <c r="F63" s="195"/>
      <c r="G63" s="195"/>
      <c r="H63" s="196"/>
      <c r="I63" s="1520" t="s">
        <v>7</v>
      </c>
      <c r="J63" s="1520" t="s">
        <v>8</v>
      </c>
      <c r="K63" s="1520" t="s">
        <v>9</v>
      </c>
      <c r="L63" s="1520" t="s">
        <v>9</v>
      </c>
      <c r="M63" s="14"/>
    </row>
    <row r="64" spans="2:22">
      <c r="B64" s="176" t="s">
        <v>228</v>
      </c>
      <c r="C64" s="1789" t="s">
        <v>14</v>
      </c>
      <c r="D64" s="1790"/>
      <c r="E64" s="200" t="s">
        <v>16</v>
      </c>
      <c r="F64" s="201"/>
      <c r="G64" s="199" t="s">
        <v>17</v>
      </c>
      <c r="H64" s="201"/>
      <c r="I64" s="1521" t="s">
        <v>18</v>
      </c>
      <c r="J64" s="1521" t="s">
        <v>19</v>
      </c>
      <c r="K64" s="1521" t="s">
        <v>127</v>
      </c>
      <c r="L64" s="1521" t="s">
        <v>0</v>
      </c>
      <c r="M64" s="14"/>
    </row>
    <row r="65" spans="2:20">
      <c r="B65" s="176"/>
      <c r="C65" s="1790"/>
      <c r="D65" s="1790"/>
      <c r="E65" s="178" t="s">
        <v>32</v>
      </c>
      <c r="F65" s="1520" t="s">
        <v>33</v>
      </c>
      <c r="G65" s="1520" t="s">
        <v>32</v>
      </c>
      <c r="H65" s="1520" t="s">
        <v>33</v>
      </c>
      <c r="I65" s="1521" t="s">
        <v>34</v>
      </c>
      <c r="J65" s="1521" t="s">
        <v>34</v>
      </c>
      <c r="K65" s="1521" t="s">
        <v>35</v>
      </c>
      <c r="L65" s="1521" t="s">
        <v>35</v>
      </c>
      <c r="M65" s="14"/>
    </row>
    <row r="66" spans="2:20">
      <c r="B66" s="1791" t="s">
        <v>136</v>
      </c>
      <c r="C66" s="38" t="s">
        <v>132</v>
      </c>
      <c r="D66" s="113" t="s">
        <v>131</v>
      </c>
      <c r="E66" s="39">
        <v>61</v>
      </c>
      <c r="F66" s="40">
        <v>1.67</v>
      </c>
      <c r="G66" s="39">
        <v>80</v>
      </c>
      <c r="H66" s="40">
        <v>14.67</v>
      </c>
      <c r="I66" s="41">
        <f t="shared" ref="I66" si="6">IF(E66="","",((G66-E66)*20)+H66-F66)</f>
        <v>393</v>
      </c>
      <c r="J66" s="40"/>
      <c r="K66" s="41">
        <v>8501.5300000000007</v>
      </c>
      <c r="L66" s="41">
        <f t="shared" ref="L66:L69" si="7">IF(E66="","",(I66*J66)+K66)</f>
        <v>8501.5300000000007</v>
      </c>
      <c r="M66" s="29"/>
    </row>
    <row r="67" spans="2:20">
      <c r="B67" s="1792"/>
      <c r="C67" s="184" t="s">
        <v>132</v>
      </c>
      <c r="D67" s="113" t="s">
        <v>231</v>
      </c>
      <c r="E67" s="39">
        <v>120</v>
      </c>
      <c r="F67" s="40">
        <v>0</v>
      </c>
      <c r="G67" s="39">
        <v>132</v>
      </c>
      <c r="H67" s="40">
        <v>12.12</v>
      </c>
      <c r="I67" s="41">
        <f>(G67-E67)*20+H67-F67</f>
        <v>252.12</v>
      </c>
      <c r="J67" s="40">
        <v>12.4</v>
      </c>
      <c r="K67" s="41"/>
      <c r="L67" s="41">
        <f t="shared" si="7"/>
        <v>3126.288</v>
      </c>
      <c r="M67" s="29"/>
    </row>
    <row r="68" spans="2:20">
      <c r="B68" s="1792"/>
      <c r="C68" s="38" t="s">
        <v>132</v>
      </c>
      <c r="D68" s="113" t="s">
        <v>1359</v>
      </c>
      <c r="E68" s="39">
        <v>132</v>
      </c>
      <c r="F68" s="40">
        <v>12.12</v>
      </c>
      <c r="G68" s="39">
        <v>142</v>
      </c>
      <c r="H68" s="40">
        <v>0</v>
      </c>
      <c r="I68" s="41">
        <f t="shared" ref="I68:I69" si="8">IF(E68="","",((G68-E68)*20)+H68-F68)</f>
        <v>187.88</v>
      </c>
      <c r="J68" s="40"/>
      <c r="K68" s="41">
        <v>2700.03</v>
      </c>
      <c r="L68" s="41">
        <f t="shared" si="7"/>
        <v>2700.03</v>
      </c>
      <c r="M68" s="29"/>
    </row>
    <row r="69" spans="2:20">
      <c r="B69" s="1792"/>
      <c r="C69" s="38" t="s">
        <v>132</v>
      </c>
      <c r="D69" s="113" t="s">
        <v>1359</v>
      </c>
      <c r="E69" s="39">
        <v>170</v>
      </c>
      <c r="F69" s="40">
        <v>12.12</v>
      </c>
      <c r="G69" s="39">
        <v>176</v>
      </c>
      <c r="H69" s="40">
        <v>12.12</v>
      </c>
      <c r="I69" s="41">
        <f t="shared" si="8"/>
        <v>120</v>
      </c>
      <c r="J69" s="40"/>
      <c r="K69" s="41">
        <v>1899.75</v>
      </c>
      <c r="L69" s="41">
        <f t="shared" si="7"/>
        <v>1899.75</v>
      </c>
      <c r="M69" s="29"/>
      <c r="S69" s="456" t="s">
        <v>237</v>
      </c>
      <c r="T69" s="456"/>
    </row>
    <row r="70" spans="2:20">
      <c r="B70" s="48"/>
      <c r="C70" s="184"/>
      <c r="D70" s="113"/>
      <c r="E70" s="39"/>
      <c r="F70" s="40"/>
      <c r="G70" s="39"/>
      <c r="H70" s="40"/>
      <c r="I70" s="41"/>
      <c r="J70" s="40"/>
      <c r="K70" s="41"/>
      <c r="L70" s="42"/>
      <c r="M70" s="29"/>
    </row>
    <row r="71" spans="2:20">
      <c r="B71" s="48"/>
      <c r="C71" s="38"/>
      <c r="D71" s="113"/>
      <c r="E71" s="39"/>
      <c r="F71" s="40"/>
      <c r="G71" s="39"/>
      <c r="H71" s="40"/>
      <c r="I71" s="41"/>
      <c r="J71" s="40"/>
      <c r="K71" s="41"/>
      <c r="L71" s="42"/>
      <c r="M71" s="29"/>
    </row>
    <row r="72" spans="2:20">
      <c r="B72" s="48"/>
      <c r="C72" s="184"/>
      <c r="D72" s="193"/>
      <c r="E72" s="185"/>
      <c r="F72" s="186"/>
      <c r="G72" s="185"/>
      <c r="H72" s="186"/>
      <c r="I72" s="187"/>
      <c r="J72" s="186"/>
      <c r="K72" s="187"/>
      <c r="L72" s="188"/>
      <c r="M72" s="29"/>
    </row>
    <row r="73" spans="2:20">
      <c r="B73" s="48"/>
      <c r="C73" s="38"/>
      <c r="D73" s="113"/>
      <c r="E73" s="39"/>
      <c r="F73" s="40"/>
      <c r="G73" s="39"/>
      <c r="H73" s="40"/>
      <c r="I73" s="41"/>
      <c r="J73" s="40"/>
      <c r="K73" s="41"/>
      <c r="L73" s="42"/>
      <c r="M73" s="29"/>
    </row>
    <row r="74" spans="2:20">
      <c r="B74" s="48"/>
      <c r="C74" s="184"/>
      <c r="D74" s="193"/>
      <c r="E74" s="185"/>
      <c r="F74" s="186"/>
      <c r="G74" s="185"/>
      <c r="H74" s="186"/>
      <c r="I74" s="187"/>
      <c r="J74" s="186"/>
      <c r="K74" s="187"/>
      <c r="L74" s="188"/>
      <c r="M74" s="29"/>
    </row>
    <row r="75" spans="2:20">
      <c r="B75" s="48"/>
      <c r="C75" s="38"/>
      <c r="D75" s="113"/>
      <c r="E75" s="39"/>
      <c r="F75" s="40"/>
      <c r="G75" s="39"/>
      <c r="H75" s="40"/>
      <c r="I75" s="41"/>
      <c r="J75" s="40"/>
      <c r="K75" s="41"/>
      <c r="L75" s="42"/>
      <c r="M75" s="29"/>
    </row>
    <row r="76" spans="2:20">
      <c r="B76" s="48"/>
      <c r="C76" s="1793"/>
      <c r="D76" s="1793"/>
      <c r="E76" s="1793"/>
      <c r="F76" s="1793"/>
      <c r="G76" s="1793"/>
      <c r="H76" s="1794"/>
      <c r="I76" s="114">
        <f>SUM(I66:I75)</f>
        <v>953</v>
      </c>
      <c r="J76" s="58"/>
      <c r="K76" s="57"/>
      <c r="L76" s="114">
        <f>SUM(L66:L75)</f>
        <v>16227.598000000002</v>
      </c>
      <c r="M76" s="29"/>
    </row>
    <row r="77" spans="2:20">
      <c r="B77" s="72"/>
      <c r="C77" s="73"/>
      <c r="D77" s="73"/>
      <c r="E77" s="73"/>
      <c r="F77" s="73"/>
      <c r="G77" s="73"/>
      <c r="H77" s="74"/>
      <c r="I77" s="74"/>
      <c r="J77" s="74"/>
      <c r="K77" s="74"/>
      <c r="L77" s="74"/>
      <c r="M77" s="29"/>
    </row>
    <row r="78" spans="2:20">
      <c r="B78" s="1795" t="s">
        <v>212</v>
      </c>
      <c r="C78" s="1796"/>
      <c r="D78" s="1796"/>
      <c r="E78" s="1796"/>
      <c r="F78" s="1796"/>
      <c r="G78" s="1796"/>
      <c r="H78" s="1796"/>
      <c r="I78" s="1796"/>
      <c r="J78" s="1796"/>
      <c r="K78" s="1796"/>
      <c r="L78" s="1797"/>
      <c r="M78" s="443"/>
    </row>
    <row r="79" spans="2:20">
      <c r="B79" s="1798"/>
      <c r="C79" s="1799"/>
      <c r="D79" s="1799"/>
      <c r="E79" s="1799"/>
      <c r="F79" s="1799"/>
      <c r="G79" s="1799"/>
      <c r="H79" s="1799"/>
      <c r="I79" s="1799"/>
      <c r="J79" s="1799"/>
      <c r="K79" s="1799"/>
      <c r="L79" s="1800"/>
      <c r="M79" s="443"/>
    </row>
    <row r="80" spans="2:20">
      <c r="B80" s="445"/>
      <c r="C80" s="445"/>
      <c r="D80" s="445"/>
      <c r="E80" s="445"/>
      <c r="F80" s="445"/>
      <c r="G80" s="445"/>
      <c r="H80" s="445"/>
      <c r="I80" s="445"/>
      <c r="J80" s="445"/>
      <c r="K80" s="445"/>
      <c r="L80" s="445"/>
      <c r="M80" s="446"/>
    </row>
    <row r="82" spans="9:12">
      <c r="K82" s="335">
        <f>K44+K45+K66</f>
        <v>24316.75</v>
      </c>
      <c r="L82" s="335">
        <f>L55+L76</f>
        <v>48101.538</v>
      </c>
    </row>
    <row r="84" spans="9:12">
      <c r="I84" s="3" t="s">
        <v>185</v>
      </c>
    </row>
  </sheetData>
  <mergeCells count="15">
    <mergeCell ref="C76:H76"/>
    <mergeCell ref="B78:L79"/>
    <mergeCell ref="B44:B48"/>
    <mergeCell ref="C55:H55"/>
    <mergeCell ref="B57:L58"/>
    <mergeCell ref="D63:D65"/>
    <mergeCell ref="C64:C65"/>
    <mergeCell ref="B66:B69"/>
    <mergeCell ref="D41:D43"/>
    <mergeCell ref="C42:C43"/>
    <mergeCell ref="D2:D4"/>
    <mergeCell ref="C3:C4"/>
    <mergeCell ref="B5:B8"/>
    <mergeCell ref="C33:H33"/>
    <mergeCell ref="B35:L36"/>
  </mergeCells>
  <conditionalFormatting sqref="K5 K7:K8 K10 K12 K14 K16 K18 K20 K22 K24 K26 K28 K30 K32">
    <cfRule type="cellIs" dxfId="250" priority="7" operator="equal">
      <formula>0</formula>
    </cfRule>
  </conditionalFormatting>
  <conditionalFormatting sqref="K6 K9 K11 K13 K15 K17 K19 K21 K23 K25 K27 K29 K31">
    <cfRule type="cellIs" dxfId="249" priority="6" operator="equal">
      <formula>0</formula>
    </cfRule>
  </conditionalFormatting>
  <conditionalFormatting sqref="K44:K45 K47:K48 K50 K52 K54">
    <cfRule type="cellIs" dxfId="248" priority="5" operator="equal">
      <formula>0</formula>
    </cfRule>
  </conditionalFormatting>
  <conditionalFormatting sqref="K46 K49 K51 K53">
    <cfRule type="cellIs" dxfId="247" priority="4" operator="equal">
      <formula>0</formula>
    </cfRule>
  </conditionalFormatting>
  <conditionalFormatting sqref="K66 K71 K73 K75">
    <cfRule type="cellIs" dxfId="246" priority="3" operator="equal">
      <formula>0</formula>
    </cfRule>
  </conditionalFormatting>
  <conditionalFormatting sqref="K67 K70 K72 K74">
    <cfRule type="cellIs" dxfId="245" priority="2" operator="equal">
      <formula>0</formula>
    </cfRule>
  </conditionalFormatting>
  <conditionalFormatting sqref="K68:K69">
    <cfRule type="cellIs" dxfId="244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1" fitToHeight="10" orientation="portrait" horizontalDpi="4294967294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6639-95E6-4C38-8365-AFB70692C667}">
  <sheetPr>
    <tabColor rgb="FF00FF00"/>
  </sheetPr>
  <dimension ref="A1:AI152"/>
  <sheetViews>
    <sheetView topLeftCell="A56" zoomScale="85" zoomScaleNormal="85" zoomScaleSheetLayoutView="70" workbookViewId="0">
      <selection activeCell="W98" sqref="W98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0.42578125" style="3" bestFit="1" customWidth="1"/>
    <col min="4" max="4" width="8.85546875" style="3" customWidth="1"/>
    <col min="5" max="5" width="43.7109375" style="3" customWidth="1"/>
    <col min="6" max="9" width="6.7109375" style="3" customWidth="1"/>
    <col min="10" max="10" width="10.7109375" style="3" bestFit="1" customWidth="1"/>
    <col min="11" max="11" width="6.85546875" style="3" customWidth="1"/>
    <col min="12" max="12" width="12.85546875" style="3" customWidth="1"/>
    <col min="13" max="13" width="12.7109375" style="3" customWidth="1"/>
    <col min="14" max="14" width="5.28515625" style="3" bestFit="1" customWidth="1"/>
    <col min="15" max="15" width="9.28515625" style="3" bestFit="1" customWidth="1"/>
    <col min="16" max="17" width="6.7109375" style="3" customWidth="1"/>
    <col min="18" max="18" width="11.42578125" style="3" customWidth="1"/>
    <col min="19" max="19" width="7.7109375" style="3" customWidth="1"/>
    <col min="20" max="20" width="10.140625" style="3" customWidth="1"/>
    <col min="21" max="22" width="7.7109375" style="3" customWidth="1"/>
    <col min="23" max="23" width="12.85546875" style="3" customWidth="1"/>
    <col min="24" max="24" width="1.7109375" style="107" customWidth="1"/>
    <col min="25" max="32" width="11.42578125" style="107"/>
    <col min="33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1:32" ht="6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5"/>
    </row>
    <row r="2" spans="1:32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520" t="s">
        <v>7</v>
      </c>
      <c r="K2" s="1520" t="s">
        <v>8</v>
      </c>
      <c r="L2" s="1520" t="s">
        <v>9</v>
      </c>
      <c r="M2" s="1520" t="s">
        <v>9</v>
      </c>
      <c r="N2" s="197"/>
      <c r="O2" s="1520"/>
      <c r="P2" s="198" t="s">
        <v>10</v>
      </c>
      <c r="Q2" s="196"/>
      <c r="R2" s="1520"/>
      <c r="S2" s="199" t="s">
        <v>11</v>
      </c>
      <c r="T2" s="200"/>
      <c r="U2" s="200"/>
      <c r="V2" s="201"/>
      <c r="W2" s="1520" t="s">
        <v>12</v>
      </c>
      <c r="X2" s="14"/>
      <c r="Y2" s="105"/>
      <c r="Z2" s="105"/>
      <c r="AA2" s="105"/>
      <c r="AB2" s="105"/>
      <c r="AC2" s="105"/>
      <c r="AD2" s="105"/>
      <c r="AE2" s="105"/>
      <c r="AF2" s="105"/>
    </row>
    <row r="3" spans="1:32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521" t="s">
        <v>18</v>
      </c>
      <c r="K3" s="1521" t="s">
        <v>19</v>
      </c>
      <c r="L3" s="1527" t="s">
        <v>127</v>
      </c>
      <c r="M3" s="1521" t="s">
        <v>0</v>
      </c>
      <c r="N3" s="1521" t="s">
        <v>21</v>
      </c>
      <c r="O3" s="1521" t="s">
        <v>22</v>
      </c>
      <c r="P3" s="202" t="s">
        <v>23</v>
      </c>
      <c r="Q3" s="203"/>
      <c r="R3" s="1521" t="s">
        <v>24</v>
      </c>
      <c r="S3" s="1520" t="s">
        <v>25</v>
      </c>
      <c r="T3" s="1520" t="s">
        <v>26</v>
      </c>
      <c r="U3" s="1520" t="s">
        <v>27</v>
      </c>
      <c r="V3" s="1520" t="s">
        <v>28</v>
      </c>
      <c r="W3" s="1521" t="s">
        <v>29</v>
      </c>
      <c r="X3" s="14"/>
      <c r="Y3" s="105"/>
      <c r="Z3" s="105"/>
      <c r="AA3" s="105"/>
      <c r="AB3" s="105"/>
      <c r="AC3" s="105"/>
      <c r="AD3" s="105"/>
      <c r="AE3" s="105"/>
      <c r="AF3" s="105"/>
    </row>
    <row r="4" spans="1:32" s="2" customFormat="1" ht="22.5" customHeight="1">
      <c r="A4" s="6"/>
      <c r="B4" s="176"/>
      <c r="C4" s="1806"/>
      <c r="D4" s="464" t="s">
        <v>31</v>
      </c>
      <c r="E4" s="1806"/>
      <c r="F4" s="1523" t="s">
        <v>32</v>
      </c>
      <c r="G4" s="465" t="s">
        <v>33</v>
      </c>
      <c r="H4" s="465" t="s">
        <v>32</v>
      </c>
      <c r="I4" s="465" t="s">
        <v>33</v>
      </c>
      <c r="J4" s="1524" t="s">
        <v>34</v>
      </c>
      <c r="K4" s="1524" t="s">
        <v>34</v>
      </c>
      <c r="L4" s="1524" t="s">
        <v>35</v>
      </c>
      <c r="M4" s="1524" t="s">
        <v>35</v>
      </c>
      <c r="N4" s="1524" t="s">
        <v>36</v>
      </c>
      <c r="O4" s="1524" t="s">
        <v>37</v>
      </c>
      <c r="P4" s="466" t="s">
        <v>38</v>
      </c>
      <c r="Q4" s="467"/>
      <c r="R4" s="1524" t="s">
        <v>39</v>
      </c>
      <c r="S4" s="1524"/>
      <c r="T4" s="1524" t="s">
        <v>40</v>
      </c>
      <c r="U4" s="1524" t="s">
        <v>41</v>
      </c>
      <c r="V4" s="1524" t="s">
        <v>41</v>
      </c>
      <c r="W4" s="1524" t="s">
        <v>42</v>
      </c>
      <c r="X4" s="14"/>
      <c r="Y4" s="105"/>
      <c r="Z4" s="448"/>
      <c r="AA4" s="105"/>
      <c r="AB4" s="105"/>
      <c r="AC4" s="105"/>
      <c r="AD4" s="105"/>
      <c r="AE4" s="105"/>
      <c r="AF4" s="105"/>
    </row>
    <row r="5" spans="1:32" s="2" customFormat="1" ht="18" customHeight="1">
      <c r="A5" s="6"/>
      <c r="B5" s="1792" t="s">
        <v>135</v>
      </c>
      <c r="C5" s="184" t="s">
        <v>101</v>
      </c>
      <c r="D5" s="185">
        <v>187</v>
      </c>
      <c r="E5" s="193" t="s">
        <v>128</v>
      </c>
      <c r="F5" s="185">
        <v>15</v>
      </c>
      <c r="G5" s="186">
        <v>9.67</v>
      </c>
      <c r="H5" s="185">
        <v>92</v>
      </c>
      <c r="I5" s="186">
        <v>1.55</v>
      </c>
      <c r="J5" s="187">
        <f t="shared" ref="J5:J7" si="0">IF(F5="","",((H5-F5)*20)+I5-G5)</f>
        <v>1531.8799999999999</v>
      </c>
      <c r="K5" s="186"/>
      <c r="L5" s="460">
        <v>19478.98</v>
      </c>
      <c r="M5" s="187">
        <f t="shared" ref="M5:M7" si="1">+J5*K5+L5</f>
        <v>19478.98</v>
      </c>
      <c r="N5" s="188">
        <v>10</v>
      </c>
      <c r="O5" s="187">
        <f t="shared" ref="O5:O7" si="2">IF(F5="","",M5*N5/100)</f>
        <v>1947.8979999999999</v>
      </c>
      <c r="P5" s="215">
        <v>2.2480000000000002</v>
      </c>
      <c r="Q5" s="191" t="s">
        <v>70</v>
      </c>
      <c r="R5" s="187">
        <f t="shared" ref="R5:R7" si="3">+P5*O5</f>
        <v>4378.8747039999998</v>
      </c>
      <c r="S5" s="187">
        <v>0.04</v>
      </c>
      <c r="T5" s="187">
        <f t="shared" ref="T5:T7" si="4">IF(F5="","",IF(D5&gt;H5,((D5-H5)*0.02),IF(D5&lt;F5,((F5-D5)*0.02),IF(F5="","",0))))</f>
        <v>1.9000000000000001</v>
      </c>
      <c r="U5" s="187">
        <f t="shared" ref="U5:U7" si="5">IF(F5="","",IF(D5&gt;H5,((((H5-F5)*20)+I5-G5)/2000),IF(D5&gt;F5,((((D5-F5)*0.02)^2)+(((H5-D5)*0.02)^2))/(2*((H5-F5)*0.02)),((((H5-F5)*20)+I5-G5)/2000))))</f>
        <v>0.76593999999999995</v>
      </c>
      <c r="V5" s="187">
        <f t="shared" ref="V5:V7" si="6">IF(F5="","",S5+T5+U5)</f>
        <v>2.70594</v>
      </c>
      <c r="W5" s="187">
        <f>IF(F5="","",O5*V5*1.48)</f>
        <v>7800.9247688975993</v>
      </c>
      <c r="X5" s="29"/>
      <c r="Y5" s="105"/>
      <c r="Z5" s="448"/>
      <c r="AA5" s="105"/>
      <c r="AB5" s="447"/>
      <c r="AC5" s="456" t="s">
        <v>235</v>
      </c>
      <c r="AD5" s="456"/>
      <c r="AE5" s="105"/>
      <c r="AF5" s="105"/>
    </row>
    <row r="6" spans="1:32" s="2" customFormat="1" ht="18" customHeight="1">
      <c r="A6" s="6"/>
      <c r="B6" s="1792"/>
      <c r="C6" s="38" t="str">
        <f t="shared" ref="C6:C7" si="7">+C5</f>
        <v>Canteiro</v>
      </c>
      <c r="D6" s="39">
        <v>187</v>
      </c>
      <c r="E6" s="113" t="s">
        <v>130</v>
      </c>
      <c r="F6" s="39">
        <v>92</v>
      </c>
      <c r="G6" s="40">
        <v>1.55</v>
      </c>
      <c r="H6" s="39">
        <v>132</v>
      </c>
      <c r="I6" s="40">
        <v>12.12</v>
      </c>
      <c r="J6" s="41">
        <f t="shared" si="0"/>
        <v>810.57</v>
      </c>
      <c r="K6" s="40">
        <v>10.83</v>
      </c>
      <c r="L6" s="41"/>
      <c r="M6" s="41">
        <f t="shared" si="1"/>
        <v>8778.4731000000011</v>
      </c>
      <c r="N6" s="42">
        <v>10</v>
      </c>
      <c r="O6" s="41">
        <f t="shared" si="2"/>
        <v>877.84731000000011</v>
      </c>
      <c r="P6" s="215">
        <v>2.2480000000000002</v>
      </c>
      <c r="Q6" s="45" t="s">
        <v>70</v>
      </c>
      <c r="R6" s="41">
        <f t="shared" si="3"/>
        <v>1973.4007528800005</v>
      </c>
      <c r="S6" s="41">
        <v>0.04</v>
      </c>
      <c r="T6" s="41">
        <f t="shared" si="4"/>
        <v>1.1000000000000001</v>
      </c>
      <c r="U6" s="41">
        <f t="shared" si="5"/>
        <v>0.40528500000000001</v>
      </c>
      <c r="V6" s="41">
        <f t="shared" si="6"/>
        <v>1.5452850000000002</v>
      </c>
      <c r="W6" s="187">
        <f t="shared" ref="W6:W7" si="8">IF(F6="","",O6*V6*1.48)</f>
        <v>2007.6559350413586</v>
      </c>
      <c r="X6" s="29"/>
      <c r="Y6" s="105"/>
      <c r="Z6" s="448"/>
      <c r="AA6" s="105"/>
      <c r="AB6" s="447"/>
      <c r="AE6" s="105"/>
      <c r="AF6" s="105"/>
    </row>
    <row r="7" spans="1:32" s="2" customFormat="1" ht="18" customHeight="1">
      <c r="A7" s="6"/>
      <c r="B7" s="1792"/>
      <c r="C7" s="184" t="str">
        <f t="shared" si="7"/>
        <v>Canteiro</v>
      </c>
      <c r="D7" s="185">
        <v>187</v>
      </c>
      <c r="E7" s="461" t="s">
        <v>129</v>
      </c>
      <c r="F7" s="185">
        <v>132</v>
      </c>
      <c r="G7" s="186">
        <v>12.12</v>
      </c>
      <c r="H7" s="185">
        <v>176</v>
      </c>
      <c r="I7" s="186">
        <v>12.12</v>
      </c>
      <c r="J7" s="187">
        <f t="shared" si="0"/>
        <v>880</v>
      </c>
      <c r="K7" s="186"/>
      <c r="L7" s="460">
        <v>12362.26</v>
      </c>
      <c r="M7" s="460">
        <f t="shared" si="1"/>
        <v>12362.26</v>
      </c>
      <c r="N7" s="188">
        <v>10</v>
      </c>
      <c r="O7" s="187">
        <f t="shared" si="2"/>
        <v>1236.2260000000001</v>
      </c>
      <c r="P7" s="215">
        <v>2.2480000000000002</v>
      </c>
      <c r="Q7" s="191" t="s">
        <v>70</v>
      </c>
      <c r="R7" s="187">
        <f t="shared" si="3"/>
        <v>2779.0360480000004</v>
      </c>
      <c r="S7" s="187">
        <v>0.04</v>
      </c>
      <c r="T7" s="187">
        <f t="shared" si="4"/>
        <v>0.22</v>
      </c>
      <c r="U7" s="187">
        <f t="shared" si="5"/>
        <v>0.44</v>
      </c>
      <c r="V7" s="187">
        <f t="shared" si="6"/>
        <v>0.7</v>
      </c>
      <c r="W7" s="187">
        <f t="shared" si="8"/>
        <v>1280.7301359999999</v>
      </c>
      <c r="X7" s="29"/>
      <c r="Y7" s="105"/>
      <c r="Z7" s="448"/>
      <c r="AA7" s="105"/>
      <c r="AB7" s="447"/>
      <c r="AE7" s="105"/>
      <c r="AF7" s="105"/>
    </row>
    <row r="8" spans="1:32" s="2" customFormat="1" ht="18" customHeight="1">
      <c r="A8" s="6"/>
      <c r="B8" s="47"/>
      <c r="C8" s="38"/>
      <c r="D8" s="39"/>
      <c r="E8" s="113"/>
      <c r="F8" s="39"/>
      <c r="G8" s="40"/>
      <c r="H8" s="39"/>
      <c r="I8" s="40"/>
      <c r="J8" s="41"/>
      <c r="K8" s="40"/>
      <c r="L8" s="41"/>
      <c r="M8" s="41"/>
      <c r="N8" s="42"/>
      <c r="O8" s="41"/>
      <c r="P8" s="327"/>
      <c r="Q8" s="45"/>
      <c r="R8" s="41"/>
      <c r="S8" s="41"/>
      <c r="T8" s="41"/>
      <c r="U8" s="41"/>
      <c r="V8" s="41"/>
      <c r="W8" s="41"/>
      <c r="X8" s="29"/>
      <c r="Y8" s="105"/>
      <c r="Z8" s="448"/>
      <c r="AA8" s="105"/>
      <c r="AB8" s="105"/>
      <c r="AE8" s="105"/>
      <c r="AF8" s="105"/>
    </row>
    <row r="9" spans="1:32" s="2" customFormat="1" ht="18" hidden="1" customHeight="1">
      <c r="A9" s="6"/>
      <c r="B9" s="48"/>
      <c r="C9" s="38"/>
      <c r="D9" s="39"/>
      <c r="E9" s="113"/>
      <c r="F9" s="39"/>
      <c r="G9" s="40"/>
      <c r="H9" s="39"/>
      <c r="I9" s="40"/>
      <c r="J9" s="41"/>
      <c r="K9" s="40"/>
      <c r="L9" s="40"/>
      <c r="M9" s="41"/>
      <c r="N9" s="42"/>
      <c r="O9" s="41"/>
      <c r="P9" s="327"/>
      <c r="Q9" s="45"/>
      <c r="R9" s="41"/>
      <c r="S9" s="41"/>
      <c r="T9" s="41"/>
      <c r="U9" s="41"/>
      <c r="V9" s="41"/>
      <c r="W9" s="41"/>
      <c r="X9" s="29"/>
      <c r="Y9" s="105"/>
      <c r="Z9" s="448"/>
      <c r="AA9" s="105"/>
      <c r="AB9" s="105"/>
      <c r="AE9" s="105"/>
      <c r="AF9" s="105"/>
    </row>
    <row r="10" spans="1:32" s="2" customFormat="1" ht="18" hidden="1" customHeight="1">
      <c r="A10" s="6"/>
      <c r="B10" s="48"/>
      <c r="C10" s="184"/>
      <c r="D10" s="185"/>
      <c r="E10" s="193"/>
      <c r="F10" s="185"/>
      <c r="G10" s="186"/>
      <c r="H10" s="185"/>
      <c r="I10" s="186"/>
      <c r="J10" s="187"/>
      <c r="K10" s="186"/>
      <c r="L10" s="186"/>
      <c r="M10" s="187"/>
      <c r="N10" s="188"/>
      <c r="O10" s="187"/>
      <c r="P10" s="326"/>
      <c r="Q10" s="191"/>
      <c r="R10" s="187"/>
      <c r="S10" s="187"/>
      <c r="T10" s="187"/>
      <c r="U10" s="187"/>
      <c r="V10" s="187"/>
      <c r="W10" s="187"/>
      <c r="X10" s="29"/>
      <c r="Y10" s="105"/>
      <c r="Z10" s="448">
        <v>11954.217087378622</v>
      </c>
      <c r="AA10" s="105"/>
      <c r="AB10" s="105"/>
      <c r="AE10" s="105"/>
      <c r="AF10" s="105"/>
    </row>
    <row r="11" spans="1:32" s="2" customFormat="1" ht="18" hidden="1" customHeight="1">
      <c r="A11" s="6"/>
      <c r="B11" s="48"/>
      <c r="C11" s="38"/>
      <c r="D11" s="39"/>
      <c r="E11" s="113"/>
      <c r="F11" s="39"/>
      <c r="G11" s="40"/>
      <c r="H11" s="39"/>
      <c r="I11" s="40"/>
      <c r="J11" s="41"/>
      <c r="K11" s="40"/>
      <c r="L11" s="40"/>
      <c r="M11" s="41"/>
      <c r="N11" s="42"/>
      <c r="O11" s="41"/>
      <c r="P11" s="327"/>
      <c r="Q11" s="45"/>
      <c r="R11" s="41"/>
      <c r="S11" s="41"/>
      <c r="T11" s="41"/>
      <c r="U11" s="41"/>
      <c r="V11" s="41"/>
      <c r="W11" s="41"/>
      <c r="X11" s="29"/>
      <c r="Y11" s="105"/>
      <c r="Z11" s="105"/>
      <c r="AA11" s="105"/>
      <c r="AB11" s="105"/>
      <c r="AE11" s="105"/>
      <c r="AF11" s="105"/>
    </row>
    <row r="12" spans="1:32" s="2" customFormat="1" ht="18" hidden="1" customHeight="1">
      <c r="A12" s="6"/>
      <c r="B12" s="48"/>
      <c r="C12" s="184"/>
      <c r="D12" s="185"/>
      <c r="E12" s="193"/>
      <c r="F12" s="185"/>
      <c r="G12" s="186"/>
      <c r="H12" s="185"/>
      <c r="I12" s="186"/>
      <c r="J12" s="187"/>
      <c r="K12" s="186"/>
      <c r="L12" s="186"/>
      <c r="M12" s="187"/>
      <c r="N12" s="188"/>
      <c r="O12" s="187"/>
      <c r="P12" s="326"/>
      <c r="Q12" s="191"/>
      <c r="R12" s="187"/>
      <c r="S12" s="187"/>
      <c r="T12" s="187"/>
      <c r="U12" s="187"/>
      <c r="V12" s="187"/>
      <c r="W12" s="187"/>
      <c r="X12" s="29"/>
      <c r="Y12" s="105"/>
      <c r="Z12" s="105"/>
      <c r="AA12" s="105"/>
      <c r="AB12" s="105"/>
      <c r="AE12" s="105"/>
      <c r="AF12" s="105"/>
    </row>
    <row r="13" spans="1:32" s="2" customFormat="1" ht="18" hidden="1" customHeight="1">
      <c r="A13" s="6"/>
      <c r="B13" s="48"/>
      <c r="C13" s="38"/>
      <c r="D13" s="39"/>
      <c r="E13" s="113"/>
      <c r="F13" s="39"/>
      <c r="G13" s="40"/>
      <c r="H13" s="39"/>
      <c r="I13" s="40"/>
      <c r="J13" s="41"/>
      <c r="K13" s="40"/>
      <c r="L13" s="40"/>
      <c r="M13" s="41"/>
      <c r="N13" s="42"/>
      <c r="O13" s="41"/>
      <c r="P13" s="327"/>
      <c r="Q13" s="45"/>
      <c r="R13" s="41"/>
      <c r="S13" s="41"/>
      <c r="T13" s="41"/>
      <c r="U13" s="41"/>
      <c r="V13" s="41"/>
      <c r="W13" s="41"/>
      <c r="X13" s="29"/>
      <c r="Y13" s="105"/>
      <c r="Z13" s="105"/>
      <c r="AA13" s="105"/>
      <c r="AB13" s="105"/>
      <c r="AE13" s="105"/>
      <c r="AF13" s="105"/>
    </row>
    <row r="14" spans="1:32" s="2" customFormat="1" ht="18" hidden="1" customHeight="1">
      <c r="A14" s="6"/>
      <c r="B14" s="48"/>
      <c r="C14" s="184"/>
      <c r="D14" s="185"/>
      <c r="E14" s="193"/>
      <c r="F14" s="185"/>
      <c r="G14" s="186"/>
      <c r="H14" s="185"/>
      <c r="I14" s="186"/>
      <c r="J14" s="187"/>
      <c r="K14" s="186"/>
      <c r="L14" s="186"/>
      <c r="M14" s="187"/>
      <c r="N14" s="188"/>
      <c r="O14" s="187"/>
      <c r="P14" s="326"/>
      <c r="Q14" s="191"/>
      <c r="R14" s="187"/>
      <c r="S14" s="187"/>
      <c r="T14" s="187"/>
      <c r="U14" s="187"/>
      <c r="V14" s="187"/>
      <c r="W14" s="187"/>
      <c r="X14" s="29"/>
      <c r="Y14" s="105"/>
      <c r="Z14" s="105"/>
      <c r="AA14" s="105"/>
      <c r="AB14" s="105"/>
      <c r="AE14" s="105"/>
      <c r="AF14" s="105"/>
    </row>
    <row r="15" spans="1:32" s="2" customFormat="1" ht="18" hidden="1" customHeight="1">
      <c r="A15" s="6"/>
      <c r="B15" s="48"/>
      <c r="C15" s="38"/>
      <c r="D15" s="39"/>
      <c r="E15" s="113"/>
      <c r="F15" s="39"/>
      <c r="G15" s="40"/>
      <c r="H15" s="39"/>
      <c r="I15" s="40"/>
      <c r="J15" s="41"/>
      <c r="K15" s="40"/>
      <c r="L15" s="40"/>
      <c r="M15" s="41"/>
      <c r="N15" s="42"/>
      <c r="O15" s="41"/>
      <c r="P15" s="327"/>
      <c r="Q15" s="45"/>
      <c r="R15" s="41"/>
      <c r="S15" s="41"/>
      <c r="T15" s="41"/>
      <c r="U15" s="41"/>
      <c r="V15" s="41"/>
      <c r="W15" s="41"/>
      <c r="X15" s="29"/>
      <c r="Y15" s="105"/>
      <c r="Z15" s="105"/>
      <c r="AA15" s="105"/>
      <c r="AB15" s="105"/>
      <c r="AE15" s="105"/>
      <c r="AF15" s="105"/>
    </row>
    <row r="16" spans="1:32" s="2" customFormat="1" ht="18" hidden="1" customHeight="1">
      <c r="A16" s="6"/>
      <c r="B16" s="48"/>
      <c r="C16" s="184"/>
      <c r="D16" s="185"/>
      <c r="E16" s="193"/>
      <c r="F16" s="185"/>
      <c r="G16" s="186"/>
      <c r="H16" s="185"/>
      <c r="I16" s="186"/>
      <c r="J16" s="187"/>
      <c r="K16" s="186"/>
      <c r="L16" s="186"/>
      <c r="M16" s="187"/>
      <c r="N16" s="188"/>
      <c r="O16" s="187"/>
      <c r="P16" s="326"/>
      <c r="Q16" s="191"/>
      <c r="R16" s="187"/>
      <c r="S16" s="187"/>
      <c r="T16" s="187"/>
      <c r="U16" s="187"/>
      <c r="V16" s="187"/>
      <c r="W16" s="187"/>
      <c r="X16" s="29"/>
      <c r="Y16" s="105"/>
      <c r="Z16" s="105"/>
      <c r="AA16" s="105"/>
      <c r="AB16" s="105"/>
      <c r="AE16" s="105"/>
      <c r="AF16" s="105"/>
    </row>
    <row r="17" spans="1:32" s="2" customFormat="1" ht="18" hidden="1" customHeight="1">
      <c r="A17" s="6"/>
      <c r="B17" s="48"/>
      <c r="C17" s="38"/>
      <c r="D17" s="39"/>
      <c r="E17" s="113"/>
      <c r="F17" s="39"/>
      <c r="G17" s="40"/>
      <c r="H17" s="39"/>
      <c r="I17" s="40"/>
      <c r="J17" s="41"/>
      <c r="K17" s="40"/>
      <c r="L17" s="40"/>
      <c r="M17" s="41"/>
      <c r="N17" s="42"/>
      <c r="O17" s="41"/>
      <c r="P17" s="327"/>
      <c r="Q17" s="45"/>
      <c r="R17" s="41"/>
      <c r="S17" s="41"/>
      <c r="T17" s="41"/>
      <c r="U17" s="41"/>
      <c r="V17" s="41"/>
      <c r="W17" s="41"/>
      <c r="X17" s="29"/>
      <c r="Y17" s="105"/>
      <c r="Z17" s="105"/>
      <c r="AA17" s="105"/>
      <c r="AB17" s="105"/>
      <c r="AE17" s="105"/>
      <c r="AF17" s="105"/>
    </row>
    <row r="18" spans="1:32" s="2" customFormat="1" ht="18" hidden="1" customHeight="1">
      <c r="A18" s="6"/>
      <c r="B18" s="48"/>
      <c r="C18" s="184"/>
      <c r="D18" s="185"/>
      <c r="E18" s="193"/>
      <c r="F18" s="185"/>
      <c r="G18" s="186"/>
      <c r="H18" s="185"/>
      <c r="I18" s="186"/>
      <c r="J18" s="187"/>
      <c r="K18" s="186"/>
      <c r="L18" s="186"/>
      <c r="M18" s="187"/>
      <c r="N18" s="188"/>
      <c r="O18" s="187"/>
      <c r="P18" s="326"/>
      <c r="Q18" s="191"/>
      <c r="R18" s="187"/>
      <c r="S18" s="187"/>
      <c r="T18" s="187"/>
      <c r="U18" s="187"/>
      <c r="V18" s="187"/>
      <c r="W18" s="187"/>
      <c r="X18" s="29"/>
      <c r="Y18" s="105"/>
      <c r="Z18" s="105"/>
      <c r="AA18" s="105"/>
      <c r="AB18" s="105"/>
      <c r="AE18" s="105"/>
      <c r="AF18" s="105"/>
    </row>
    <row r="19" spans="1:32" s="2" customFormat="1" ht="18" hidden="1" customHeight="1">
      <c r="A19" s="6"/>
      <c r="B19" s="48"/>
      <c r="C19" s="38"/>
      <c r="D19" s="39"/>
      <c r="E19" s="113"/>
      <c r="F19" s="39"/>
      <c r="G19" s="40"/>
      <c r="H19" s="39"/>
      <c r="I19" s="40"/>
      <c r="J19" s="41"/>
      <c r="K19" s="40"/>
      <c r="L19" s="40"/>
      <c r="M19" s="41"/>
      <c r="N19" s="42"/>
      <c r="O19" s="41"/>
      <c r="P19" s="327"/>
      <c r="Q19" s="45"/>
      <c r="R19" s="41"/>
      <c r="S19" s="41"/>
      <c r="T19" s="41"/>
      <c r="U19" s="41"/>
      <c r="V19" s="41"/>
      <c r="W19" s="41"/>
      <c r="X19" s="29"/>
      <c r="Y19" s="105"/>
      <c r="Z19" s="105"/>
      <c r="AA19" s="105"/>
      <c r="AB19" s="105"/>
      <c r="AE19" s="105"/>
      <c r="AF19" s="105"/>
    </row>
    <row r="20" spans="1:32" s="2" customFormat="1" ht="18" hidden="1" customHeight="1">
      <c r="A20" s="6"/>
      <c r="B20" s="48"/>
      <c r="C20" s="184"/>
      <c r="D20" s="185"/>
      <c r="E20" s="193"/>
      <c r="F20" s="185"/>
      <c r="G20" s="186"/>
      <c r="H20" s="185"/>
      <c r="I20" s="186"/>
      <c r="J20" s="187"/>
      <c r="K20" s="186"/>
      <c r="L20" s="186"/>
      <c r="M20" s="187"/>
      <c r="N20" s="188"/>
      <c r="O20" s="187"/>
      <c r="P20" s="326"/>
      <c r="Q20" s="191"/>
      <c r="R20" s="187"/>
      <c r="S20" s="187"/>
      <c r="T20" s="187"/>
      <c r="U20" s="187"/>
      <c r="V20" s="187"/>
      <c r="W20" s="187"/>
      <c r="X20" s="29"/>
      <c r="Y20" s="105"/>
      <c r="Z20" s="105"/>
      <c r="AA20" s="105"/>
      <c r="AB20" s="105"/>
      <c r="AE20" s="105"/>
      <c r="AF20" s="105"/>
    </row>
    <row r="21" spans="1:32" s="2" customFormat="1" ht="18" hidden="1" customHeight="1">
      <c r="A21" s="6"/>
      <c r="B21" s="48"/>
      <c r="C21" s="38"/>
      <c r="D21" s="39"/>
      <c r="E21" s="113"/>
      <c r="F21" s="39"/>
      <c r="G21" s="40"/>
      <c r="H21" s="39"/>
      <c r="I21" s="40"/>
      <c r="J21" s="41"/>
      <c r="K21" s="40"/>
      <c r="L21" s="40"/>
      <c r="M21" s="41"/>
      <c r="N21" s="42"/>
      <c r="O21" s="41"/>
      <c r="P21" s="327"/>
      <c r="Q21" s="45"/>
      <c r="R21" s="41"/>
      <c r="S21" s="41"/>
      <c r="T21" s="41"/>
      <c r="U21" s="41"/>
      <c r="V21" s="41"/>
      <c r="W21" s="41"/>
      <c r="X21" s="29"/>
      <c r="Y21" s="105"/>
      <c r="Z21" s="105"/>
      <c r="AA21" s="105"/>
      <c r="AB21" s="105"/>
      <c r="AE21" s="105"/>
      <c r="AF21" s="105"/>
    </row>
    <row r="22" spans="1:32" s="2" customFormat="1" ht="18" hidden="1" customHeight="1">
      <c r="A22" s="6"/>
      <c r="B22" s="48"/>
      <c r="C22" s="184"/>
      <c r="D22" s="185"/>
      <c r="E22" s="193"/>
      <c r="F22" s="185"/>
      <c r="G22" s="186"/>
      <c r="H22" s="185"/>
      <c r="I22" s="186"/>
      <c r="J22" s="187"/>
      <c r="K22" s="186"/>
      <c r="L22" s="186"/>
      <c r="M22" s="187"/>
      <c r="N22" s="188"/>
      <c r="O22" s="187"/>
      <c r="P22" s="326"/>
      <c r="Q22" s="191"/>
      <c r="R22" s="187"/>
      <c r="S22" s="187"/>
      <c r="T22" s="187"/>
      <c r="U22" s="187"/>
      <c r="V22" s="187"/>
      <c r="W22" s="187"/>
      <c r="X22" s="29"/>
      <c r="Y22" s="105"/>
      <c r="Z22" s="105"/>
      <c r="AA22" s="105"/>
      <c r="AB22" s="105"/>
      <c r="AE22" s="105"/>
      <c r="AF22" s="105"/>
    </row>
    <row r="23" spans="1:32" s="2" customFormat="1" ht="18" hidden="1" customHeight="1">
      <c r="A23" s="6"/>
      <c r="B23" s="48"/>
      <c r="C23" s="38"/>
      <c r="D23" s="39"/>
      <c r="E23" s="113"/>
      <c r="F23" s="39"/>
      <c r="G23" s="40"/>
      <c r="H23" s="39"/>
      <c r="I23" s="40"/>
      <c r="J23" s="41"/>
      <c r="K23" s="40"/>
      <c r="L23" s="40"/>
      <c r="M23" s="41"/>
      <c r="N23" s="42"/>
      <c r="O23" s="41"/>
      <c r="P23" s="327"/>
      <c r="Q23" s="45"/>
      <c r="R23" s="41"/>
      <c r="S23" s="41"/>
      <c r="T23" s="41"/>
      <c r="U23" s="41"/>
      <c r="V23" s="41"/>
      <c r="W23" s="41"/>
      <c r="X23" s="29"/>
      <c r="Y23" s="105"/>
      <c r="Z23" s="105"/>
      <c r="AA23" s="105"/>
      <c r="AB23" s="105"/>
      <c r="AE23" s="105"/>
      <c r="AF23" s="105"/>
    </row>
    <row r="24" spans="1:32" s="2" customFormat="1" ht="18" hidden="1" customHeight="1">
      <c r="A24" s="6"/>
      <c r="B24" s="48"/>
      <c r="C24" s="184"/>
      <c r="D24" s="185"/>
      <c r="E24" s="193"/>
      <c r="F24" s="185"/>
      <c r="G24" s="186"/>
      <c r="H24" s="185"/>
      <c r="I24" s="186"/>
      <c r="J24" s="187"/>
      <c r="K24" s="186"/>
      <c r="L24" s="186"/>
      <c r="M24" s="187"/>
      <c r="N24" s="188"/>
      <c r="O24" s="187"/>
      <c r="P24" s="326"/>
      <c r="Q24" s="191"/>
      <c r="R24" s="187"/>
      <c r="S24" s="187"/>
      <c r="T24" s="187"/>
      <c r="U24" s="187"/>
      <c r="V24" s="187"/>
      <c r="W24" s="187"/>
      <c r="X24" s="29"/>
      <c r="Y24" s="105"/>
      <c r="Z24" s="105"/>
      <c r="AA24" s="105"/>
      <c r="AB24" s="105"/>
      <c r="AE24" s="105"/>
      <c r="AF24" s="105"/>
    </row>
    <row r="25" spans="1:32" s="2" customFormat="1" ht="18" hidden="1" customHeight="1">
      <c r="A25" s="6"/>
      <c r="B25" s="48"/>
      <c r="C25" s="38"/>
      <c r="D25" s="39"/>
      <c r="E25" s="113"/>
      <c r="F25" s="39"/>
      <c r="G25" s="40"/>
      <c r="H25" s="39"/>
      <c r="I25" s="40"/>
      <c r="J25" s="41"/>
      <c r="K25" s="40"/>
      <c r="L25" s="40"/>
      <c r="M25" s="41"/>
      <c r="N25" s="42"/>
      <c r="O25" s="41"/>
      <c r="P25" s="327"/>
      <c r="Q25" s="45"/>
      <c r="R25" s="41"/>
      <c r="S25" s="41"/>
      <c r="T25" s="41"/>
      <c r="U25" s="41"/>
      <c r="V25" s="41"/>
      <c r="W25" s="41"/>
      <c r="X25" s="29"/>
      <c r="Y25" s="105"/>
      <c r="Z25" s="105"/>
      <c r="AA25" s="105"/>
      <c r="AB25" s="105"/>
      <c r="AE25" s="105"/>
      <c r="AF25" s="105"/>
    </row>
    <row r="26" spans="1:32" s="2" customFormat="1" ht="18" hidden="1" customHeight="1">
      <c r="A26" s="6"/>
      <c r="B26" s="48"/>
      <c r="C26" s="184"/>
      <c r="D26" s="185"/>
      <c r="E26" s="193"/>
      <c r="F26" s="185"/>
      <c r="G26" s="186"/>
      <c r="H26" s="185"/>
      <c r="I26" s="186"/>
      <c r="J26" s="187"/>
      <c r="K26" s="186"/>
      <c r="L26" s="186"/>
      <c r="M26" s="187"/>
      <c r="N26" s="188"/>
      <c r="O26" s="187"/>
      <c r="P26" s="326"/>
      <c r="Q26" s="191"/>
      <c r="R26" s="187"/>
      <c r="S26" s="187"/>
      <c r="T26" s="187"/>
      <c r="U26" s="187"/>
      <c r="V26" s="187"/>
      <c r="W26" s="187"/>
      <c r="X26" s="29"/>
      <c r="Y26" s="105"/>
      <c r="Z26" s="105"/>
      <c r="AA26" s="105"/>
      <c r="AB26" s="105"/>
      <c r="AE26" s="105"/>
      <c r="AF26" s="105"/>
    </row>
    <row r="27" spans="1:32" s="2" customFormat="1" ht="18" hidden="1" customHeight="1">
      <c r="A27" s="6"/>
      <c r="B27" s="48"/>
      <c r="C27" s="38"/>
      <c r="D27" s="39"/>
      <c r="E27" s="113"/>
      <c r="F27" s="39"/>
      <c r="G27" s="40"/>
      <c r="H27" s="39"/>
      <c r="I27" s="40"/>
      <c r="J27" s="41"/>
      <c r="K27" s="40"/>
      <c r="L27" s="40"/>
      <c r="M27" s="41"/>
      <c r="N27" s="42"/>
      <c r="O27" s="41"/>
      <c r="P27" s="327"/>
      <c r="Q27" s="45"/>
      <c r="R27" s="41"/>
      <c r="S27" s="41"/>
      <c r="T27" s="41"/>
      <c r="U27" s="41"/>
      <c r="V27" s="41"/>
      <c r="W27" s="41"/>
      <c r="X27" s="29"/>
      <c r="Y27" s="105"/>
      <c r="Z27" s="105"/>
      <c r="AA27" s="105"/>
      <c r="AB27" s="105"/>
      <c r="AE27" s="90"/>
      <c r="AF27" s="105"/>
    </row>
    <row r="28" spans="1:32" s="2" customFormat="1" ht="18" hidden="1" customHeight="1">
      <c r="A28" s="6"/>
      <c r="B28" s="48"/>
      <c r="C28" s="184"/>
      <c r="D28" s="185"/>
      <c r="E28" s="193"/>
      <c r="F28" s="185"/>
      <c r="G28" s="186"/>
      <c r="H28" s="185"/>
      <c r="I28" s="186"/>
      <c r="J28" s="187"/>
      <c r="K28" s="186"/>
      <c r="L28" s="186"/>
      <c r="M28" s="187"/>
      <c r="N28" s="188"/>
      <c r="O28" s="187"/>
      <c r="P28" s="326"/>
      <c r="Q28" s="191"/>
      <c r="R28" s="187"/>
      <c r="S28" s="187"/>
      <c r="T28" s="187"/>
      <c r="U28" s="187"/>
      <c r="V28" s="187"/>
      <c r="W28" s="187"/>
      <c r="X28" s="29"/>
      <c r="Y28" s="105"/>
      <c r="Z28" s="105"/>
      <c r="AA28" s="105"/>
      <c r="AB28" s="105"/>
      <c r="AE28" s="90"/>
      <c r="AF28" s="105"/>
    </row>
    <row r="29" spans="1:32" s="2" customFormat="1" ht="18" hidden="1" customHeight="1">
      <c r="A29" s="6"/>
      <c r="B29" s="48"/>
      <c r="C29" s="38"/>
      <c r="D29" s="39"/>
      <c r="E29" s="113"/>
      <c r="F29" s="39"/>
      <c r="G29" s="40"/>
      <c r="H29" s="39"/>
      <c r="I29" s="40"/>
      <c r="J29" s="41"/>
      <c r="K29" s="40"/>
      <c r="L29" s="40"/>
      <c r="M29" s="41"/>
      <c r="N29" s="42"/>
      <c r="O29" s="41"/>
      <c r="P29" s="327"/>
      <c r="Q29" s="45"/>
      <c r="R29" s="41"/>
      <c r="S29" s="41"/>
      <c r="T29" s="41"/>
      <c r="U29" s="41"/>
      <c r="V29" s="41"/>
      <c r="W29" s="41"/>
      <c r="X29" s="29"/>
      <c r="Y29" s="105"/>
      <c r="Z29" s="105"/>
      <c r="AA29" s="105"/>
      <c r="AB29" s="105"/>
      <c r="AE29" s="90"/>
      <c r="AF29" s="105"/>
    </row>
    <row r="30" spans="1:32" s="2" customFormat="1" ht="18" hidden="1" customHeight="1">
      <c r="A30" s="6"/>
      <c r="B30" s="48"/>
      <c r="C30" s="184"/>
      <c r="D30" s="185"/>
      <c r="E30" s="193"/>
      <c r="F30" s="185"/>
      <c r="G30" s="186"/>
      <c r="H30" s="185"/>
      <c r="I30" s="186"/>
      <c r="J30" s="187"/>
      <c r="K30" s="186"/>
      <c r="L30" s="186"/>
      <c r="M30" s="187"/>
      <c r="N30" s="188"/>
      <c r="O30" s="187"/>
      <c r="P30" s="326"/>
      <c r="Q30" s="191"/>
      <c r="R30" s="187"/>
      <c r="S30" s="187"/>
      <c r="T30" s="187"/>
      <c r="U30" s="187"/>
      <c r="V30" s="187"/>
      <c r="W30" s="187"/>
      <c r="X30" s="29"/>
      <c r="Y30" s="105"/>
      <c r="Z30" s="105"/>
      <c r="AA30" s="105"/>
      <c r="AB30" s="105"/>
      <c r="AE30" s="90"/>
      <c r="AF30" s="105"/>
    </row>
    <row r="31" spans="1:32" s="2" customFormat="1" ht="18" hidden="1" customHeight="1">
      <c r="A31" s="6"/>
      <c r="B31" s="48"/>
      <c r="C31" s="38"/>
      <c r="D31" s="39"/>
      <c r="E31" s="113"/>
      <c r="F31" s="39"/>
      <c r="G31" s="40"/>
      <c r="H31" s="39"/>
      <c r="I31" s="40"/>
      <c r="J31" s="41"/>
      <c r="K31" s="40"/>
      <c r="L31" s="40"/>
      <c r="M31" s="41" t="str">
        <f>IF(F31="","",(J31*K31)+L31+#REF!)</f>
        <v/>
      </c>
      <c r="N31" s="42" t="s">
        <v>67</v>
      </c>
      <c r="O31" s="41" t="str">
        <f>IF(F31="","",M31*N31/100)</f>
        <v/>
      </c>
      <c r="P31" s="327"/>
      <c r="Q31" s="45"/>
      <c r="R31" s="41"/>
      <c r="S31" s="41" t="s">
        <v>67</v>
      </c>
      <c r="T31" s="41" t="str">
        <f>IF(F31="","",IF(D31&gt;H31,((D31-H31)*0.02),IF(D31&lt;F31,((F31-D31)*0.02),IF(F31="","",0))))</f>
        <v/>
      </c>
      <c r="U31" s="41" t="str">
        <f>IF(F31="","",IF(D31&gt;H31,((((H31-F31)*20)+I31-G31)/2000),IF(D31&gt;F31,((((D31-F31)*0.02)^2)+(((H31-D31)*0.02)^2))/(2*((H31-F31)*0.02)),((((H31-F31)*20)+I31-G31)/2000))))</f>
        <v/>
      </c>
      <c r="V31" s="41" t="str">
        <f>IF(F31="","",S31+T31+U31)</f>
        <v/>
      </c>
      <c r="W31" s="41" t="str">
        <f>IF(F31="","",O31*V31)</f>
        <v/>
      </c>
      <c r="X31" s="29"/>
      <c r="Y31" s="105"/>
      <c r="Z31" s="105"/>
      <c r="AA31" s="105"/>
      <c r="AB31" s="105"/>
      <c r="AE31" s="107"/>
      <c r="AF31" s="105"/>
    </row>
    <row r="32" spans="1:32" s="2" customFormat="1" ht="18" customHeight="1">
      <c r="A32" s="6"/>
      <c r="B32" s="48"/>
      <c r="C32" s="1807"/>
      <c r="D32" s="1793"/>
      <c r="E32" s="1793"/>
      <c r="F32" s="1793"/>
      <c r="G32" s="1793"/>
      <c r="H32" s="1793"/>
      <c r="I32" s="1794"/>
      <c r="J32" s="114">
        <f>SUM(J5:J31)</f>
        <v>3222.45</v>
      </c>
      <c r="K32" s="179"/>
      <c r="L32" s="115"/>
      <c r="M32" s="114">
        <f>SUM(M5:M31)</f>
        <v>40619.713100000001</v>
      </c>
      <c r="N32" s="180"/>
      <c r="O32" s="114">
        <f>SUM(O5:O31)</f>
        <v>4061.9713100000004</v>
      </c>
      <c r="P32" s="1528"/>
      <c r="Q32" s="1529"/>
      <c r="R32" s="114">
        <f>SUM(R5:R31)</f>
        <v>9131.3115048800009</v>
      </c>
      <c r="S32" s="328" t="s">
        <v>44</v>
      </c>
      <c r="T32" s="329"/>
      <c r="U32" s="116">
        <f>W32/O32</f>
        <v>2.7300317982647093</v>
      </c>
      <c r="V32" s="1529" t="s">
        <v>45</v>
      </c>
      <c r="W32" s="1529">
        <f>SUM(W5:W31)</f>
        <v>11089.310839938958</v>
      </c>
      <c r="X32" s="29"/>
      <c r="Y32" s="105"/>
      <c r="Z32" s="105"/>
      <c r="AA32" s="105"/>
      <c r="AB32" s="105"/>
      <c r="AE32" s="107"/>
      <c r="AF32" s="105"/>
    </row>
    <row r="33" spans="1:32" s="76" customFormat="1" ht="6" customHeight="1">
      <c r="A33" s="71"/>
      <c r="B33" s="72"/>
      <c r="C33" s="73"/>
      <c r="D33" s="73"/>
      <c r="E33" s="73"/>
      <c r="F33" s="73"/>
      <c r="G33" s="73"/>
      <c r="H33" s="73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5"/>
      <c r="X33" s="29"/>
      <c r="Y33" s="105"/>
      <c r="Z33" s="90"/>
      <c r="AA33" s="90"/>
      <c r="AB33" s="90"/>
      <c r="AC33" s="2"/>
      <c r="AD33" s="2"/>
      <c r="AE33" s="107"/>
      <c r="AF33" s="90"/>
    </row>
    <row r="34" spans="1:32" s="76" customFormat="1">
      <c r="A34" s="71"/>
      <c r="B34" s="1795" t="s">
        <v>232</v>
      </c>
      <c r="C34" s="1796"/>
      <c r="D34" s="1796"/>
      <c r="E34" s="1796"/>
      <c r="F34" s="1796"/>
      <c r="G34" s="1796"/>
      <c r="H34" s="1796"/>
      <c r="I34" s="1796"/>
      <c r="J34" s="1796"/>
      <c r="K34" s="1796"/>
      <c r="L34" s="1796"/>
      <c r="M34" s="1796"/>
      <c r="N34" s="1796"/>
      <c r="O34" s="1796"/>
      <c r="P34" s="1796"/>
      <c r="Q34" s="1796"/>
      <c r="R34" s="1796"/>
      <c r="S34" s="1796"/>
      <c r="T34" s="1796"/>
      <c r="U34" s="1796"/>
      <c r="V34" s="1796"/>
      <c r="W34" s="1797"/>
      <c r="X34" s="29"/>
      <c r="Y34" s="105"/>
      <c r="Z34" s="90"/>
      <c r="AA34" s="90"/>
      <c r="AB34" s="90"/>
      <c r="AE34" s="107"/>
      <c r="AF34" s="90"/>
    </row>
    <row r="35" spans="1:32" s="76" customFormat="1">
      <c r="A35" s="71"/>
      <c r="B35" s="1798"/>
      <c r="C35" s="1799"/>
      <c r="D35" s="1799"/>
      <c r="E35" s="1799"/>
      <c r="F35" s="1799"/>
      <c r="G35" s="1799"/>
      <c r="H35" s="1799"/>
      <c r="I35" s="1799"/>
      <c r="J35" s="1799"/>
      <c r="K35" s="1799"/>
      <c r="L35" s="1799"/>
      <c r="M35" s="1799"/>
      <c r="N35" s="1799"/>
      <c r="O35" s="1799"/>
      <c r="P35" s="1799"/>
      <c r="Q35" s="1799"/>
      <c r="R35" s="1799"/>
      <c r="S35" s="1799"/>
      <c r="T35" s="1799"/>
      <c r="U35" s="1799"/>
      <c r="V35" s="1799"/>
      <c r="W35" s="1800"/>
      <c r="X35" s="29"/>
      <c r="Y35" s="105"/>
      <c r="Z35" s="90"/>
      <c r="AA35" s="90"/>
      <c r="AB35" s="90"/>
      <c r="AE35" s="107"/>
      <c r="AF35" s="90"/>
    </row>
    <row r="36" spans="1:32" s="76" customFormat="1" ht="5.0999999999999996" customHeight="1">
      <c r="A36" s="97"/>
      <c r="B36" s="72"/>
      <c r="C36" s="72"/>
      <c r="D36" s="72"/>
      <c r="E36" s="72"/>
      <c r="F36" s="72"/>
      <c r="G36" s="72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8"/>
      <c r="W36" s="78"/>
      <c r="X36" s="104"/>
      <c r="Y36" s="105"/>
      <c r="Z36" s="90"/>
      <c r="AA36" s="90"/>
      <c r="AB36" s="90"/>
      <c r="AE36" s="107"/>
      <c r="AF36" s="90"/>
    </row>
    <row r="37" spans="1:32">
      <c r="AC37" s="3"/>
      <c r="AD37" s="3"/>
    </row>
    <row r="38" spans="1:32">
      <c r="AC38" s="3"/>
      <c r="AD38" s="3"/>
    </row>
    <row r="39" spans="1:32">
      <c r="AC39" s="3"/>
      <c r="AD39" s="3"/>
    </row>
    <row r="40" spans="1:32">
      <c r="AC40" s="3"/>
      <c r="AD40" s="3"/>
    </row>
    <row r="41" spans="1:32">
      <c r="B41" s="194"/>
      <c r="C41" s="1801" t="s">
        <v>4</v>
      </c>
      <c r="D41" s="1802"/>
      <c r="E41" s="1803" t="s">
        <v>5</v>
      </c>
      <c r="F41" s="1545" t="s">
        <v>6</v>
      </c>
      <c r="G41" s="1545"/>
      <c r="H41" s="1545"/>
      <c r="I41" s="211"/>
      <c r="J41" s="1540" t="s">
        <v>7</v>
      </c>
      <c r="K41" s="1540" t="s">
        <v>8</v>
      </c>
      <c r="L41" s="1540" t="s">
        <v>9</v>
      </c>
      <c r="M41" s="1540" t="s">
        <v>9</v>
      </c>
      <c r="N41" s="1546"/>
      <c r="O41" s="1540"/>
      <c r="P41" s="212" t="s">
        <v>10</v>
      </c>
      <c r="Q41" s="211"/>
      <c r="R41" s="1540"/>
      <c r="S41" s="1547" t="s">
        <v>11</v>
      </c>
      <c r="T41" s="1548"/>
      <c r="U41" s="1548"/>
      <c r="V41" s="1549"/>
      <c r="W41" s="1540" t="s">
        <v>12</v>
      </c>
      <c r="Y41" s="1811"/>
      <c r="AC41" s="3"/>
      <c r="AD41" s="3"/>
    </row>
    <row r="42" spans="1:32">
      <c r="B42" s="176" t="s">
        <v>228</v>
      </c>
      <c r="C42" s="1789" t="s">
        <v>14</v>
      </c>
      <c r="D42" s="177" t="s">
        <v>15</v>
      </c>
      <c r="E42" s="1804"/>
      <c r="F42" s="1548" t="s">
        <v>16</v>
      </c>
      <c r="G42" s="1549"/>
      <c r="H42" s="1547" t="s">
        <v>17</v>
      </c>
      <c r="I42" s="1549"/>
      <c r="J42" s="1541" t="s">
        <v>18</v>
      </c>
      <c r="K42" s="1541" t="s">
        <v>19</v>
      </c>
      <c r="L42" s="1534" t="s">
        <v>127</v>
      </c>
      <c r="M42" s="1541" t="s">
        <v>0</v>
      </c>
      <c r="N42" s="1541" t="s">
        <v>21</v>
      </c>
      <c r="O42" s="1541" t="s">
        <v>22</v>
      </c>
      <c r="P42" s="213" t="s">
        <v>23</v>
      </c>
      <c r="Q42" s="214"/>
      <c r="R42" s="1541" t="s">
        <v>24</v>
      </c>
      <c r="S42" s="1540" t="s">
        <v>25</v>
      </c>
      <c r="T42" s="1540" t="s">
        <v>26</v>
      </c>
      <c r="U42" s="1540" t="s">
        <v>27</v>
      </c>
      <c r="V42" s="1540" t="s">
        <v>28</v>
      </c>
      <c r="W42" s="1541" t="s">
        <v>29</v>
      </c>
      <c r="Y42" s="1812"/>
      <c r="AC42" s="3"/>
      <c r="AD42" s="3"/>
    </row>
    <row r="43" spans="1:32">
      <c r="B43" s="176"/>
      <c r="C43" s="1806"/>
      <c r="D43" s="464" t="s">
        <v>31</v>
      </c>
      <c r="E43" s="1805"/>
      <c r="F43" s="1539" t="s">
        <v>32</v>
      </c>
      <c r="G43" s="1550" t="s">
        <v>33</v>
      </c>
      <c r="H43" s="1550" t="s">
        <v>32</v>
      </c>
      <c r="I43" s="1550" t="s">
        <v>33</v>
      </c>
      <c r="J43" s="1542" t="s">
        <v>34</v>
      </c>
      <c r="K43" s="1542" t="s">
        <v>34</v>
      </c>
      <c r="L43" s="1542" t="s">
        <v>35</v>
      </c>
      <c r="M43" s="1542" t="s">
        <v>35</v>
      </c>
      <c r="N43" s="1542" t="s">
        <v>36</v>
      </c>
      <c r="O43" s="1542" t="s">
        <v>37</v>
      </c>
      <c r="P43" s="1551" t="s">
        <v>38</v>
      </c>
      <c r="Q43" s="1552"/>
      <c r="R43" s="1542" t="s">
        <v>39</v>
      </c>
      <c r="S43" s="1542"/>
      <c r="T43" s="1542" t="s">
        <v>40</v>
      </c>
      <c r="U43" s="1542" t="s">
        <v>41</v>
      </c>
      <c r="V43" s="1542" t="s">
        <v>41</v>
      </c>
      <c r="W43" s="1542" t="s">
        <v>42</v>
      </c>
      <c r="Y43" s="1812"/>
      <c r="AC43" s="3"/>
      <c r="AD43" s="3"/>
    </row>
    <row r="44" spans="1:32">
      <c r="B44" s="1792" t="s">
        <v>135</v>
      </c>
      <c r="C44" s="184" t="s">
        <v>101</v>
      </c>
      <c r="D44" s="185">
        <v>187</v>
      </c>
      <c r="E44" s="113" t="s">
        <v>128</v>
      </c>
      <c r="F44" s="39">
        <v>15</v>
      </c>
      <c r="G44" s="40">
        <v>9.67</v>
      </c>
      <c r="H44" s="39">
        <v>61</v>
      </c>
      <c r="I44" s="40">
        <v>1.67</v>
      </c>
      <c r="J44" s="41">
        <f t="shared" ref="J44:J47" si="9">IF(F44="","",((H44-F44)*20)+I44-G44)</f>
        <v>912</v>
      </c>
      <c r="K44" s="40"/>
      <c r="L44" s="41">
        <v>11848.47</v>
      </c>
      <c r="M44" s="41">
        <f t="shared" ref="M44:M47" si="10">+J44*K44+L44</f>
        <v>11848.47</v>
      </c>
      <c r="N44" s="42">
        <v>10</v>
      </c>
      <c r="O44" s="41">
        <f t="shared" ref="O44:O47" si="11">IF(F44="","",M44*N44/100)</f>
        <v>1184.847</v>
      </c>
      <c r="P44" s="142">
        <v>2.2480000000000002</v>
      </c>
      <c r="Q44" s="45" t="s">
        <v>70</v>
      </c>
      <c r="R44" s="41">
        <f t="shared" ref="R44:R47" si="12">+P44*O44</f>
        <v>2663.5360560000004</v>
      </c>
      <c r="S44" s="41">
        <v>0.04</v>
      </c>
      <c r="T44" s="41">
        <f t="shared" ref="T44:T47" si="13">IF(F44="","",IF(D44&gt;H44,((D44-H44)*0.02),IF(D44&lt;F44,((F44-D44)*0.02),IF(F44="","",0))))</f>
        <v>2.52</v>
      </c>
      <c r="U44" s="41">
        <f t="shared" ref="U44:U47" si="14">IF(F44="","",IF(D44&gt;H44,((((H44-F44)*20)+I44-G44)/2000),IF(D44&gt;F44,((((D44-F44)*0.02)^2)+(((H44-D44)*0.02)^2))/(2*((H44-F44)*0.02)),((((H44-F44)*20)+I44-G44)/2000))))</f>
        <v>0.45600000000000002</v>
      </c>
      <c r="V44" s="41">
        <f t="shared" ref="V44:V47" si="15">IF(F44="","",S44+T44+U44)</f>
        <v>3.016</v>
      </c>
      <c r="W44" s="41">
        <f>IF(F44="","",O44*V44*1.48)</f>
        <v>5288.7778569599996</v>
      </c>
      <c r="Y44" s="1812"/>
      <c r="AC44" s="3"/>
      <c r="AD44" s="3"/>
    </row>
    <row r="45" spans="1:32">
      <c r="B45" s="1792"/>
      <c r="C45" s="184" t="s">
        <v>101</v>
      </c>
      <c r="D45" s="185">
        <v>187</v>
      </c>
      <c r="E45" s="113" t="s">
        <v>128</v>
      </c>
      <c r="F45" s="39">
        <v>80</v>
      </c>
      <c r="G45" s="40">
        <v>14.67</v>
      </c>
      <c r="H45" s="39">
        <v>92</v>
      </c>
      <c r="I45" s="40">
        <v>1.55</v>
      </c>
      <c r="J45" s="41">
        <f t="shared" si="9"/>
        <v>226.88000000000002</v>
      </c>
      <c r="K45" s="40"/>
      <c r="L45" s="41">
        <v>2322.48</v>
      </c>
      <c r="M45" s="41">
        <f t="shared" si="10"/>
        <v>2322.48</v>
      </c>
      <c r="N45" s="42">
        <v>10</v>
      </c>
      <c r="O45" s="41">
        <f t="shared" si="11"/>
        <v>232.24799999999999</v>
      </c>
      <c r="P45" s="142">
        <v>2.2480000000000002</v>
      </c>
      <c r="Q45" s="45" t="s">
        <v>70</v>
      </c>
      <c r="R45" s="41">
        <f t="shared" si="12"/>
        <v>522.09350400000005</v>
      </c>
      <c r="S45" s="41">
        <v>0.04</v>
      </c>
      <c r="T45" s="41">
        <f t="shared" si="13"/>
        <v>1.9000000000000001</v>
      </c>
      <c r="U45" s="41">
        <f t="shared" si="14"/>
        <v>0.11344000000000001</v>
      </c>
      <c r="V45" s="41">
        <f t="shared" si="15"/>
        <v>2.0534400000000002</v>
      </c>
      <c r="W45" s="41">
        <f t="shared" ref="W45:W47" si="16">IF(F45="","",O45*V45*1.48)</f>
        <v>705.8228530176001</v>
      </c>
      <c r="Y45" s="1812"/>
      <c r="AC45" s="3"/>
      <c r="AD45" s="3"/>
    </row>
    <row r="46" spans="1:32">
      <c r="B46" s="1792"/>
      <c r="C46" s="38" t="str">
        <f>+C44</f>
        <v>Canteiro</v>
      </c>
      <c r="D46" s="39">
        <v>187</v>
      </c>
      <c r="E46" s="113" t="s">
        <v>130</v>
      </c>
      <c r="F46" s="39">
        <v>92</v>
      </c>
      <c r="G46" s="40">
        <v>1.55</v>
      </c>
      <c r="H46" s="39">
        <v>120</v>
      </c>
      <c r="I46" s="40">
        <v>0</v>
      </c>
      <c r="J46" s="41">
        <f t="shared" si="9"/>
        <v>558.45000000000005</v>
      </c>
      <c r="K46" s="40">
        <v>10.83</v>
      </c>
      <c r="L46" s="41"/>
      <c r="M46" s="41">
        <f t="shared" si="10"/>
        <v>6048.0135000000009</v>
      </c>
      <c r="N46" s="42">
        <v>10</v>
      </c>
      <c r="O46" s="41">
        <f t="shared" si="11"/>
        <v>604.80135000000007</v>
      </c>
      <c r="P46" s="142">
        <v>2.2480000000000002</v>
      </c>
      <c r="Q46" s="45" t="s">
        <v>70</v>
      </c>
      <c r="R46" s="41">
        <f t="shared" si="12"/>
        <v>1359.5934348000003</v>
      </c>
      <c r="S46" s="41">
        <v>0.04</v>
      </c>
      <c r="T46" s="41">
        <f t="shared" si="13"/>
        <v>1.34</v>
      </c>
      <c r="U46" s="41">
        <f t="shared" si="14"/>
        <v>0.279225</v>
      </c>
      <c r="V46" s="41">
        <f t="shared" si="15"/>
        <v>1.6592250000000002</v>
      </c>
      <c r="W46" s="41">
        <f t="shared" si="16"/>
        <v>1485.1822495315503</v>
      </c>
      <c r="Y46" s="1812"/>
      <c r="AC46" s="3"/>
      <c r="AD46" s="3"/>
    </row>
    <row r="47" spans="1:32">
      <c r="B47" s="1792"/>
      <c r="C47" s="184" t="str">
        <f t="shared" ref="C47" si="17">+C46</f>
        <v>Canteiro</v>
      </c>
      <c r="D47" s="185">
        <v>187</v>
      </c>
      <c r="E47" s="38" t="s">
        <v>129</v>
      </c>
      <c r="F47" s="39">
        <v>142</v>
      </c>
      <c r="G47" s="40">
        <v>0</v>
      </c>
      <c r="H47" s="39">
        <v>170</v>
      </c>
      <c r="I47" s="40">
        <v>12.12</v>
      </c>
      <c r="J47" s="41">
        <f t="shared" si="9"/>
        <v>572.12</v>
      </c>
      <c r="K47" s="40"/>
      <c r="L47" s="41">
        <v>8241.61</v>
      </c>
      <c r="M47" s="41">
        <f t="shared" si="10"/>
        <v>8241.61</v>
      </c>
      <c r="N47" s="42">
        <v>10</v>
      </c>
      <c r="O47" s="41">
        <f t="shared" si="11"/>
        <v>824.16100000000006</v>
      </c>
      <c r="P47" s="142">
        <v>2.2480000000000002</v>
      </c>
      <c r="Q47" s="45" t="s">
        <v>70</v>
      </c>
      <c r="R47" s="41">
        <f t="shared" si="12"/>
        <v>1852.7139280000004</v>
      </c>
      <c r="S47" s="41">
        <v>0.04</v>
      </c>
      <c r="T47" s="41">
        <f t="shared" si="13"/>
        <v>0.34</v>
      </c>
      <c r="U47" s="41">
        <f t="shared" si="14"/>
        <v>0.28605999999999998</v>
      </c>
      <c r="V47" s="41">
        <f t="shared" si="15"/>
        <v>0.66605999999999999</v>
      </c>
      <c r="W47" s="41">
        <f t="shared" si="16"/>
        <v>812.43219997680001</v>
      </c>
      <c r="Y47" s="1812"/>
      <c r="AC47" s="3"/>
      <c r="AD47" s="3"/>
    </row>
    <row r="48" spans="1:32">
      <c r="B48" s="47"/>
      <c r="C48" s="38"/>
      <c r="D48" s="39"/>
      <c r="E48" s="113"/>
      <c r="F48" s="39"/>
      <c r="G48" s="40"/>
      <c r="H48" s="39"/>
      <c r="I48" s="40"/>
      <c r="J48" s="41"/>
      <c r="K48" s="40"/>
      <c r="L48" s="41"/>
      <c r="M48" s="41"/>
      <c r="N48" s="42"/>
      <c r="O48" s="41"/>
      <c r="P48" s="327"/>
      <c r="Q48" s="45"/>
      <c r="R48" s="41"/>
      <c r="S48" s="41"/>
      <c r="T48" s="41"/>
      <c r="U48" s="41"/>
      <c r="V48" s="41"/>
      <c r="W48" s="41"/>
      <c r="Y48" s="1812"/>
      <c r="AC48" s="3"/>
      <c r="AD48" s="3"/>
    </row>
    <row r="49" spans="2:34">
      <c r="B49" s="48"/>
      <c r="C49" s="38"/>
      <c r="D49" s="39"/>
      <c r="E49" s="113"/>
      <c r="F49" s="39"/>
      <c r="G49" s="40"/>
      <c r="H49" s="39"/>
      <c r="I49" s="40"/>
      <c r="J49" s="41"/>
      <c r="K49" s="40"/>
      <c r="L49" s="40"/>
      <c r="M49" s="41"/>
      <c r="N49" s="42"/>
      <c r="O49" s="41"/>
      <c r="P49" s="327"/>
      <c r="Q49" s="45"/>
      <c r="R49" s="41"/>
      <c r="S49" s="41"/>
      <c r="T49" s="41"/>
      <c r="U49" s="41"/>
      <c r="V49" s="41"/>
      <c r="W49" s="41"/>
      <c r="Y49" s="1812"/>
      <c r="AC49" s="3"/>
      <c r="AD49" s="3"/>
    </row>
    <row r="50" spans="2:34">
      <c r="B50" s="48"/>
      <c r="C50" s="184"/>
      <c r="D50" s="185"/>
      <c r="E50" s="113"/>
      <c r="F50" s="39"/>
      <c r="G50" s="40"/>
      <c r="H50" s="39"/>
      <c r="I50" s="40"/>
      <c r="J50" s="41"/>
      <c r="K50" s="40"/>
      <c r="L50" s="40"/>
      <c r="M50" s="41"/>
      <c r="N50" s="42"/>
      <c r="O50" s="41"/>
      <c r="P50" s="327"/>
      <c r="Q50" s="45"/>
      <c r="R50" s="41"/>
      <c r="S50" s="41"/>
      <c r="T50" s="41"/>
      <c r="U50" s="41"/>
      <c r="V50" s="41"/>
      <c r="W50" s="41"/>
      <c r="Y50" s="1812"/>
      <c r="AC50" s="3"/>
      <c r="AD50" s="3"/>
    </row>
    <row r="51" spans="2:34">
      <c r="B51" s="48"/>
      <c r="C51" s="38"/>
      <c r="D51" s="39"/>
      <c r="E51" s="113"/>
      <c r="F51" s="39"/>
      <c r="G51" s="40"/>
      <c r="H51" s="39"/>
      <c r="I51" s="40"/>
      <c r="J51" s="41"/>
      <c r="K51" s="40"/>
      <c r="L51" s="40"/>
      <c r="M51" s="41"/>
      <c r="N51" s="42"/>
      <c r="O51" s="41"/>
      <c r="P51" s="327"/>
      <c r="Q51" s="45"/>
      <c r="R51" s="41"/>
      <c r="S51" s="41"/>
      <c r="T51" s="41"/>
      <c r="U51" s="41"/>
      <c r="V51" s="41"/>
      <c r="W51" s="41"/>
      <c r="Y51" s="1812"/>
      <c r="AC51" s="456" t="s">
        <v>236</v>
      </c>
      <c r="AD51" s="456"/>
    </row>
    <row r="52" spans="2:34">
      <c r="B52" s="48"/>
      <c r="C52" s="184"/>
      <c r="D52" s="185"/>
      <c r="E52" s="113"/>
      <c r="F52" s="39"/>
      <c r="G52" s="40"/>
      <c r="H52" s="39"/>
      <c r="I52" s="40"/>
      <c r="J52" s="41"/>
      <c r="K52" s="40"/>
      <c r="L52" s="40"/>
      <c r="M52" s="41"/>
      <c r="N52" s="42"/>
      <c r="O52" s="41"/>
      <c r="P52" s="327"/>
      <c r="Q52" s="45"/>
      <c r="R52" s="41"/>
      <c r="S52" s="41"/>
      <c r="T52" s="41"/>
      <c r="U52" s="41"/>
      <c r="V52" s="41"/>
      <c r="W52" s="41"/>
      <c r="Y52" s="1812"/>
      <c r="AC52" s="1553"/>
      <c r="AG52" s="107"/>
      <c r="AH52" s="107"/>
    </row>
    <row r="53" spans="2:34">
      <c r="B53" s="48"/>
      <c r="C53" s="38"/>
      <c r="D53" s="39"/>
      <c r="E53" s="113"/>
      <c r="F53" s="39"/>
      <c r="G53" s="40"/>
      <c r="H53" s="39"/>
      <c r="I53" s="40"/>
      <c r="J53" s="41"/>
      <c r="K53" s="40"/>
      <c r="L53" s="40"/>
      <c r="M53" s="41"/>
      <c r="N53" s="42"/>
      <c r="O53" s="41"/>
      <c r="P53" s="327"/>
      <c r="Q53" s="45"/>
      <c r="R53" s="41"/>
      <c r="S53" s="41"/>
      <c r="T53" s="41"/>
      <c r="U53" s="41"/>
      <c r="V53" s="41"/>
      <c r="W53" s="41"/>
      <c r="Y53" s="1812"/>
      <c r="AG53" s="107"/>
      <c r="AH53" s="107"/>
    </row>
    <row r="54" spans="2:34">
      <c r="B54" s="48"/>
      <c r="C54" s="184"/>
      <c r="D54" s="185"/>
      <c r="E54" s="113"/>
      <c r="F54" s="39"/>
      <c r="G54" s="40"/>
      <c r="H54" s="39"/>
      <c r="I54" s="40"/>
      <c r="J54" s="41"/>
      <c r="K54" s="40"/>
      <c r="L54" s="40"/>
      <c r="M54" s="41"/>
      <c r="N54" s="42"/>
      <c r="O54" s="41"/>
      <c r="P54" s="327"/>
      <c r="Q54" s="45"/>
      <c r="R54" s="41"/>
      <c r="S54" s="41"/>
      <c r="T54" s="41"/>
      <c r="U54" s="41"/>
      <c r="V54" s="41"/>
      <c r="W54" s="41"/>
      <c r="Y54" s="1812"/>
      <c r="AC54" s="3"/>
      <c r="AD54" s="3"/>
    </row>
    <row r="55" spans="2:34">
      <c r="B55" s="48"/>
      <c r="C55" s="38"/>
      <c r="D55" s="39"/>
      <c r="E55" s="113"/>
      <c r="F55" s="39"/>
      <c r="G55" s="40"/>
      <c r="H55" s="39"/>
      <c r="I55" s="40"/>
      <c r="J55" s="41"/>
      <c r="K55" s="40"/>
      <c r="L55" s="40"/>
      <c r="M55" s="41" t="str">
        <f>IF(F55="","",(J55*K55)+L55+#REF!)</f>
        <v/>
      </c>
      <c r="N55" s="42" t="s">
        <v>67</v>
      </c>
      <c r="O55" s="41" t="str">
        <f>IF(F55="","",M55*N55/100)</f>
        <v/>
      </c>
      <c r="P55" s="327"/>
      <c r="Q55" s="45"/>
      <c r="R55" s="41"/>
      <c r="S55" s="41" t="s">
        <v>67</v>
      </c>
      <c r="T55" s="41" t="str">
        <f>IF(F55="","",IF(D55&gt;H55,((D55-H55)*0.02),IF(D55&lt;F55,((F55-D55)*0.02),IF(F55="","",0))))</f>
        <v/>
      </c>
      <c r="U55" s="41" t="str">
        <f>IF(F55="","",IF(D55&gt;H55,((((H55-F55)*20)+I55-G55)/2000),IF(D55&gt;F55,((((D55-F55)*0.02)^2)+(((H55-D55)*0.02)^2))/(2*((H55-F55)*0.02)),((((H55-F55)*20)+I55-G55)/2000))))</f>
        <v/>
      </c>
      <c r="V55" s="41" t="str">
        <f>IF(F55="","",S55+T55+U55)</f>
        <v/>
      </c>
      <c r="W55" s="41" t="str">
        <f>IF(F55="","",O55*V55)</f>
        <v/>
      </c>
      <c r="Y55" s="1813"/>
      <c r="AC55" s="3"/>
      <c r="AD55" s="3"/>
    </row>
    <row r="56" spans="2:34">
      <c r="B56" s="48"/>
      <c r="C56" s="1807"/>
      <c r="D56" s="1793"/>
      <c r="E56" s="1793"/>
      <c r="F56" s="1793"/>
      <c r="G56" s="1793"/>
      <c r="H56" s="1793"/>
      <c r="I56" s="1794"/>
      <c r="J56" s="114">
        <f>SUM(J44:J55)</f>
        <v>2269.4500000000003</v>
      </c>
      <c r="K56" s="179"/>
      <c r="L56" s="115"/>
      <c r="M56" s="114">
        <f>SUM(M44:M55)</f>
        <v>28460.573499999999</v>
      </c>
      <c r="N56" s="180"/>
      <c r="O56" s="114">
        <f>SUM(O44:O55)</f>
        <v>2846.05735</v>
      </c>
      <c r="P56" s="1528"/>
      <c r="Q56" s="1529"/>
      <c r="R56" s="114">
        <f>SUM(R44:R55)</f>
        <v>6397.9369228000005</v>
      </c>
      <c r="S56" s="328" t="s">
        <v>44</v>
      </c>
      <c r="T56" s="329"/>
      <c r="U56" s="116">
        <f>W56/O56</f>
        <v>2.9135797841480424</v>
      </c>
      <c r="V56" s="1529" t="s">
        <v>45</v>
      </c>
      <c r="W56" s="1529">
        <f>SUM(W44:W55)</f>
        <v>8292.2151594859497</v>
      </c>
      <c r="AC56" s="3"/>
      <c r="AD56" s="3"/>
    </row>
    <row r="57" spans="2:34">
      <c r="B57" s="72"/>
      <c r="C57" s="73"/>
      <c r="D57" s="73"/>
      <c r="E57" s="73"/>
      <c r="F57" s="73"/>
      <c r="G57" s="73"/>
      <c r="H57" s="73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5"/>
      <c r="AC57" s="3"/>
      <c r="AD57" s="3"/>
    </row>
    <row r="58" spans="2:34">
      <c r="B58" s="1795" t="s">
        <v>232</v>
      </c>
      <c r="C58" s="1796"/>
      <c r="D58" s="1796"/>
      <c r="E58" s="1796"/>
      <c r="F58" s="1796"/>
      <c r="G58" s="1796"/>
      <c r="H58" s="1796"/>
      <c r="I58" s="1796"/>
      <c r="J58" s="1796"/>
      <c r="K58" s="1796"/>
      <c r="L58" s="1796"/>
      <c r="M58" s="1796"/>
      <c r="N58" s="1796"/>
      <c r="O58" s="1796"/>
      <c r="P58" s="1796"/>
      <c r="Q58" s="1796"/>
      <c r="R58" s="1796"/>
      <c r="S58" s="1796"/>
      <c r="T58" s="1796"/>
      <c r="U58" s="1796"/>
      <c r="V58" s="1796"/>
      <c r="W58" s="1797"/>
      <c r="AC58" s="3"/>
      <c r="AD58" s="3"/>
    </row>
    <row r="59" spans="2:34">
      <c r="B59" s="1798"/>
      <c r="C59" s="1799"/>
      <c r="D59" s="1799"/>
      <c r="E59" s="1799"/>
      <c r="F59" s="1799"/>
      <c r="G59" s="1799"/>
      <c r="H59" s="1799"/>
      <c r="I59" s="1799"/>
      <c r="J59" s="1799"/>
      <c r="K59" s="1799"/>
      <c r="L59" s="1799"/>
      <c r="M59" s="1799"/>
      <c r="N59" s="1799"/>
      <c r="O59" s="1799"/>
      <c r="P59" s="1799"/>
      <c r="Q59" s="1799"/>
      <c r="R59" s="1799"/>
      <c r="S59" s="1799"/>
      <c r="T59" s="1799"/>
      <c r="U59" s="1799"/>
      <c r="V59" s="1799"/>
      <c r="W59" s="1800"/>
      <c r="AC59" s="3"/>
      <c r="AD59" s="3"/>
    </row>
    <row r="60" spans="2:34">
      <c r="AC60" s="3"/>
      <c r="AD60" s="3"/>
    </row>
    <row r="61" spans="2:34">
      <c r="AC61" s="3"/>
      <c r="AD61" s="3"/>
    </row>
    <row r="62" spans="2:34">
      <c r="B62" s="1554"/>
      <c r="C62" s="1801" t="s">
        <v>4</v>
      </c>
      <c r="D62" s="1802"/>
      <c r="E62" s="1808" t="s">
        <v>14</v>
      </c>
      <c r="F62" s="1555" t="s">
        <v>6</v>
      </c>
      <c r="G62" s="1555"/>
      <c r="H62" s="1555"/>
      <c r="I62" s="1556"/>
      <c r="J62" s="1557" t="s">
        <v>7</v>
      </c>
      <c r="K62" s="1557" t="s">
        <v>8</v>
      </c>
      <c r="L62" s="1557" t="s">
        <v>9</v>
      </c>
      <c r="M62" s="1557" t="s">
        <v>9</v>
      </c>
      <c r="N62" s="1558"/>
      <c r="O62" s="1557"/>
      <c r="P62" s="1559" t="s">
        <v>10</v>
      </c>
      <c r="Q62" s="1556"/>
      <c r="R62" s="1557"/>
      <c r="S62" s="1560" t="s">
        <v>11</v>
      </c>
      <c r="T62" s="1561"/>
      <c r="U62" s="1561"/>
      <c r="V62" s="1562"/>
      <c r="W62" s="1557" t="s">
        <v>12</v>
      </c>
      <c r="Y62" s="1811"/>
      <c r="AC62" s="3"/>
      <c r="AD62" s="3"/>
    </row>
    <row r="63" spans="2:34">
      <c r="B63" s="1521" t="s">
        <v>228</v>
      </c>
      <c r="C63" s="1789" t="s">
        <v>5</v>
      </c>
      <c r="D63" s="177" t="s">
        <v>15</v>
      </c>
      <c r="E63" s="1809"/>
      <c r="F63" s="1561" t="s">
        <v>16</v>
      </c>
      <c r="G63" s="1562"/>
      <c r="H63" s="1560" t="s">
        <v>17</v>
      </c>
      <c r="I63" s="1562"/>
      <c r="J63" s="1563" t="s">
        <v>18</v>
      </c>
      <c r="K63" s="1563" t="s">
        <v>19</v>
      </c>
      <c r="L63" s="1564" t="s">
        <v>127</v>
      </c>
      <c r="M63" s="1563" t="s">
        <v>0</v>
      </c>
      <c r="N63" s="1563" t="s">
        <v>21</v>
      </c>
      <c r="O63" s="1563" t="s">
        <v>22</v>
      </c>
      <c r="P63" s="1565" t="s">
        <v>23</v>
      </c>
      <c r="Q63" s="1566"/>
      <c r="R63" s="1563" t="s">
        <v>24</v>
      </c>
      <c r="S63" s="1557" t="s">
        <v>25</v>
      </c>
      <c r="T63" s="1557" t="s">
        <v>26</v>
      </c>
      <c r="U63" s="1557" t="s">
        <v>27</v>
      </c>
      <c r="V63" s="1557" t="s">
        <v>28</v>
      </c>
      <c r="W63" s="1563" t="s">
        <v>29</v>
      </c>
      <c r="Y63" s="1812"/>
      <c r="AC63" s="3"/>
      <c r="AD63" s="3"/>
    </row>
    <row r="64" spans="2:34">
      <c r="B64" s="1521"/>
      <c r="C64" s="1806"/>
      <c r="D64" s="464" t="s">
        <v>31</v>
      </c>
      <c r="E64" s="1810"/>
      <c r="F64" s="1567" t="s">
        <v>32</v>
      </c>
      <c r="G64" s="1568" t="s">
        <v>33</v>
      </c>
      <c r="H64" s="1568" t="s">
        <v>32</v>
      </c>
      <c r="I64" s="1568" t="s">
        <v>33</v>
      </c>
      <c r="J64" s="1569" t="s">
        <v>34</v>
      </c>
      <c r="K64" s="1569" t="s">
        <v>34</v>
      </c>
      <c r="L64" s="1569" t="s">
        <v>35</v>
      </c>
      <c r="M64" s="1569" t="s">
        <v>35</v>
      </c>
      <c r="N64" s="1569" t="s">
        <v>36</v>
      </c>
      <c r="O64" s="1569" t="s">
        <v>37</v>
      </c>
      <c r="P64" s="1570" t="s">
        <v>38</v>
      </c>
      <c r="Q64" s="1571"/>
      <c r="R64" s="1569" t="s">
        <v>39</v>
      </c>
      <c r="S64" s="1569"/>
      <c r="T64" s="1569" t="s">
        <v>40</v>
      </c>
      <c r="U64" s="1569" t="s">
        <v>41</v>
      </c>
      <c r="V64" s="1569" t="s">
        <v>41</v>
      </c>
      <c r="W64" s="1569" t="s">
        <v>42</v>
      </c>
      <c r="Y64" s="1812"/>
      <c r="AC64" s="3"/>
      <c r="AD64" s="3"/>
    </row>
    <row r="65" spans="2:35">
      <c r="B65" s="1792" t="s">
        <v>1360</v>
      </c>
      <c r="C65" s="184" t="s">
        <v>101</v>
      </c>
      <c r="D65" s="185">
        <v>187</v>
      </c>
      <c r="E65" s="451" t="s">
        <v>128</v>
      </c>
      <c r="F65" s="452">
        <v>44</v>
      </c>
      <c r="G65" s="453">
        <v>10</v>
      </c>
      <c r="H65" s="452">
        <v>51</v>
      </c>
      <c r="I65" s="453">
        <v>0</v>
      </c>
      <c r="J65" s="450">
        <f t="shared" ref="J65:J68" si="18">IF(F65="","",((H65-F65)*20)+I65-G65)</f>
        <v>130</v>
      </c>
      <c r="K65" s="453"/>
      <c r="L65" s="450">
        <v>1611.2</v>
      </c>
      <c r="M65" s="450">
        <v>1806.99</v>
      </c>
      <c r="N65" s="1572">
        <v>10</v>
      </c>
      <c r="O65" s="450">
        <f t="shared" ref="O65:O68" si="19">IF(F65="","",M65*N65/100)</f>
        <v>180.69900000000001</v>
      </c>
      <c r="P65" s="1573">
        <v>2.2480000000000002</v>
      </c>
      <c r="Q65" s="1574" t="s">
        <v>70</v>
      </c>
      <c r="R65" s="450">
        <f t="shared" ref="R65:R68" si="20">+P65*O65</f>
        <v>406.21135200000009</v>
      </c>
      <c r="S65" s="450">
        <v>0.04</v>
      </c>
      <c r="T65" s="450">
        <f t="shared" ref="T65:T68" si="21">IF(F65="","",IF(D65&gt;H65,((D65-H65)*0.02),IF(D65&lt;F65,((F65-D65)*0.02),IF(F65="","",0))))</f>
        <v>2.72</v>
      </c>
      <c r="U65" s="450">
        <f t="shared" ref="U65:U68" si="22">IF(F65="","",IF(D65&gt;H65,((((H65-F65)*20)+I65-G65)/2000),IF(D65&gt;F65,((((D65-F65)*0.02)^2)+(((H65-D65)*0.02)^2))/(2*((H65-F65)*0.02)),((((H65-F65)*20)+I65-G65)/2000))))</f>
        <v>6.5000000000000002E-2</v>
      </c>
      <c r="V65" s="450">
        <f t="shared" ref="V65:V68" si="23">IF(F65="","",S65+T65+U65)</f>
        <v>2.8250000000000002</v>
      </c>
      <c r="W65" s="450">
        <f>IF(F65="","",O65*V65*1.48)</f>
        <v>755.50251900000001</v>
      </c>
      <c r="Y65" s="1812"/>
      <c r="AC65" s="3"/>
      <c r="AD65" s="3"/>
    </row>
    <row r="66" spans="2:35">
      <c r="B66" s="1792"/>
      <c r="C66" s="184" t="s">
        <v>101</v>
      </c>
      <c r="D66" s="185">
        <v>187</v>
      </c>
      <c r="E66" s="451" t="s">
        <v>128</v>
      </c>
      <c r="F66" s="452">
        <v>88</v>
      </c>
      <c r="G66" s="453">
        <v>5</v>
      </c>
      <c r="H66" s="452">
        <v>91</v>
      </c>
      <c r="I66" s="453">
        <v>0</v>
      </c>
      <c r="J66" s="450">
        <f t="shared" si="18"/>
        <v>55</v>
      </c>
      <c r="K66" s="453"/>
      <c r="L66" s="450">
        <v>251.49</v>
      </c>
      <c r="M66" s="450">
        <v>676.22</v>
      </c>
      <c r="N66" s="1572">
        <v>10</v>
      </c>
      <c r="O66" s="450">
        <f t="shared" si="19"/>
        <v>67.622000000000014</v>
      </c>
      <c r="P66" s="1573">
        <v>2.2480000000000002</v>
      </c>
      <c r="Q66" s="1574" t="s">
        <v>70</v>
      </c>
      <c r="R66" s="450">
        <f t="shared" si="20"/>
        <v>152.01425600000005</v>
      </c>
      <c r="S66" s="450">
        <v>0.04</v>
      </c>
      <c r="T66" s="450">
        <f t="shared" si="21"/>
        <v>1.92</v>
      </c>
      <c r="U66" s="450">
        <f t="shared" si="22"/>
        <v>2.75E-2</v>
      </c>
      <c r="V66" s="450">
        <f t="shared" si="23"/>
        <v>1.9875</v>
      </c>
      <c r="W66" s="450">
        <f t="shared" ref="W66:W68" si="24">IF(F66="","",O66*V66*1.48)</f>
        <v>198.91011300000005</v>
      </c>
      <c r="Y66" s="1812"/>
      <c r="AC66" s="3"/>
      <c r="AD66" s="3"/>
    </row>
    <row r="67" spans="2:35">
      <c r="B67" s="1792"/>
      <c r="C67" s="38" t="str">
        <f>+C65</f>
        <v>Canteiro</v>
      </c>
      <c r="D67" s="39">
        <v>187</v>
      </c>
      <c r="E67" s="451" t="s">
        <v>130</v>
      </c>
      <c r="F67" s="452">
        <v>95</v>
      </c>
      <c r="G67" s="453">
        <v>0</v>
      </c>
      <c r="H67" s="452">
        <v>105</v>
      </c>
      <c r="I67" s="453">
        <v>0</v>
      </c>
      <c r="J67" s="450">
        <f t="shared" si="18"/>
        <v>200</v>
      </c>
      <c r="K67" s="453">
        <v>10.83</v>
      </c>
      <c r="L67" s="450"/>
      <c r="M67" s="450">
        <f t="shared" ref="M67" si="25">+J67*K67+L67</f>
        <v>2166</v>
      </c>
      <c r="N67" s="1572">
        <v>10</v>
      </c>
      <c r="O67" s="450">
        <f t="shared" si="19"/>
        <v>216.6</v>
      </c>
      <c r="P67" s="1573">
        <v>2.2480000000000002</v>
      </c>
      <c r="Q67" s="1574" t="s">
        <v>70</v>
      </c>
      <c r="R67" s="450">
        <f t="shared" si="20"/>
        <v>486.91680000000002</v>
      </c>
      <c r="S67" s="450">
        <v>0.04</v>
      </c>
      <c r="T67" s="450">
        <f t="shared" si="21"/>
        <v>1.6400000000000001</v>
      </c>
      <c r="U67" s="450">
        <f t="shared" si="22"/>
        <v>0.1</v>
      </c>
      <c r="V67" s="450">
        <f t="shared" si="23"/>
        <v>1.7800000000000002</v>
      </c>
      <c r="W67" s="450">
        <f t="shared" si="24"/>
        <v>570.61104000000012</v>
      </c>
      <c r="Y67" s="1812"/>
      <c r="AC67" s="3"/>
      <c r="AD67" s="3"/>
    </row>
    <row r="68" spans="2:35">
      <c r="B68" s="1792"/>
      <c r="C68" s="184" t="str">
        <f t="shared" ref="C68" si="26">+C67</f>
        <v>Canteiro</v>
      </c>
      <c r="D68" s="185">
        <v>187</v>
      </c>
      <c r="E68" s="461" t="s">
        <v>129</v>
      </c>
      <c r="F68" s="452">
        <v>142</v>
      </c>
      <c r="G68" s="453">
        <v>0</v>
      </c>
      <c r="H68" s="452">
        <v>156</v>
      </c>
      <c r="I68" s="453">
        <v>0</v>
      </c>
      <c r="J68" s="450">
        <f t="shared" si="18"/>
        <v>280</v>
      </c>
      <c r="K68" s="453"/>
      <c r="L68" s="450">
        <v>3838.77</v>
      </c>
      <c r="M68" s="450">
        <v>3869.57</v>
      </c>
      <c r="N68" s="1572">
        <v>10</v>
      </c>
      <c r="O68" s="450">
        <f t="shared" si="19"/>
        <v>386.95700000000005</v>
      </c>
      <c r="P68" s="1573">
        <v>2.2480000000000002</v>
      </c>
      <c r="Q68" s="1574" t="s">
        <v>70</v>
      </c>
      <c r="R68" s="450">
        <f t="shared" si="20"/>
        <v>869.87933600000019</v>
      </c>
      <c r="S68" s="450">
        <v>0.04</v>
      </c>
      <c r="T68" s="450">
        <f t="shared" si="21"/>
        <v>0.62</v>
      </c>
      <c r="U68" s="450">
        <f t="shared" si="22"/>
        <v>0.14000000000000001</v>
      </c>
      <c r="V68" s="450">
        <f t="shared" si="23"/>
        <v>0.8</v>
      </c>
      <c r="W68" s="450">
        <f t="shared" si="24"/>
        <v>458.1570880000001</v>
      </c>
      <c r="Y68" s="1812"/>
      <c r="AC68" s="3"/>
      <c r="AD68" s="3"/>
    </row>
    <row r="69" spans="2:35">
      <c r="B69" s="47"/>
      <c r="C69" s="38"/>
      <c r="D69" s="39"/>
      <c r="E69" s="451"/>
      <c r="F69" s="452"/>
      <c r="G69" s="453"/>
      <c r="H69" s="452"/>
      <c r="I69" s="453"/>
      <c r="J69" s="450"/>
      <c r="K69" s="453"/>
      <c r="L69" s="450"/>
      <c r="M69" s="450"/>
      <c r="N69" s="1572"/>
      <c r="O69" s="450"/>
      <c r="P69" s="1575"/>
      <c r="Q69" s="1574"/>
      <c r="R69" s="450"/>
      <c r="S69" s="450"/>
      <c r="T69" s="450"/>
      <c r="U69" s="450"/>
      <c r="V69" s="450"/>
      <c r="W69" s="450"/>
      <c r="Y69" s="1812"/>
      <c r="AC69" s="3"/>
      <c r="AD69" s="3"/>
    </row>
    <row r="70" spans="2:35">
      <c r="B70" s="48"/>
      <c r="C70" s="38"/>
      <c r="D70" s="39"/>
      <c r="E70" s="451"/>
      <c r="F70" s="452"/>
      <c r="G70" s="453"/>
      <c r="H70" s="452"/>
      <c r="I70" s="453"/>
      <c r="J70" s="450"/>
      <c r="K70" s="453"/>
      <c r="L70" s="453"/>
      <c r="M70" s="450"/>
      <c r="N70" s="1572"/>
      <c r="O70" s="450"/>
      <c r="P70" s="1575"/>
      <c r="Q70" s="1574"/>
      <c r="R70" s="450"/>
      <c r="S70" s="450"/>
      <c r="T70" s="450"/>
      <c r="U70" s="450"/>
      <c r="V70" s="450"/>
      <c r="W70" s="450"/>
      <c r="Y70" s="1812"/>
      <c r="AC70" s="3"/>
      <c r="AD70" s="3"/>
    </row>
    <row r="71" spans="2:35">
      <c r="B71" s="48"/>
      <c r="C71" s="184"/>
      <c r="D71" s="185"/>
      <c r="E71" s="451"/>
      <c r="F71" s="452"/>
      <c r="G71" s="453"/>
      <c r="H71" s="452"/>
      <c r="I71" s="453"/>
      <c r="J71" s="450"/>
      <c r="K71" s="453"/>
      <c r="L71" s="453"/>
      <c r="M71" s="450"/>
      <c r="N71" s="1572"/>
      <c r="O71" s="450"/>
      <c r="P71" s="1575"/>
      <c r="Q71" s="1574"/>
      <c r="R71" s="450"/>
      <c r="S71" s="450"/>
      <c r="T71" s="450"/>
      <c r="U71" s="450"/>
      <c r="V71" s="450"/>
      <c r="W71" s="450"/>
      <c r="Y71" s="1812"/>
      <c r="AC71" s="3"/>
      <c r="AD71" s="3"/>
    </row>
    <row r="72" spans="2:35">
      <c r="B72" s="48"/>
      <c r="C72" s="38"/>
      <c r="D72" s="39"/>
      <c r="E72" s="451"/>
      <c r="F72" s="452"/>
      <c r="G72" s="453"/>
      <c r="H72" s="452"/>
      <c r="I72" s="453"/>
      <c r="J72" s="450"/>
      <c r="K72" s="453"/>
      <c r="L72" s="453"/>
      <c r="M72" s="450"/>
      <c r="N72" s="1572"/>
      <c r="O72" s="450"/>
      <c r="P72" s="1575"/>
      <c r="Q72" s="1574"/>
      <c r="R72" s="450"/>
      <c r="S72" s="450"/>
      <c r="T72" s="450"/>
      <c r="U72" s="450"/>
      <c r="V72" s="450"/>
      <c r="W72" s="450"/>
      <c r="Y72" s="1812"/>
      <c r="AC72" s="456" t="s">
        <v>236</v>
      </c>
      <c r="AD72" s="456"/>
    </row>
    <row r="73" spans="2:35">
      <c r="B73" s="48"/>
      <c r="C73" s="184"/>
      <c r="D73" s="185"/>
      <c r="E73" s="451"/>
      <c r="F73" s="452"/>
      <c r="G73" s="453"/>
      <c r="H73" s="452"/>
      <c r="I73" s="453"/>
      <c r="J73" s="450"/>
      <c r="K73" s="453"/>
      <c r="L73" s="453"/>
      <c r="M73" s="450"/>
      <c r="N73" s="1572"/>
      <c r="O73" s="450"/>
      <c r="P73" s="1575"/>
      <c r="Q73" s="1574"/>
      <c r="R73" s="450"/>
      <c r="S73" s="450"/>
      <c r="T73" s="450"/>
      <c r="U73" s="450"/>
      <c r="V73" s="450"/>
      <c r="W73" s="450"/>
      <c r="Y73" s="1812"/>
      <c r="AC73" s="1576" t="s">
        <v>1361</v>
      </c>
      <c r="AD73" s="1577"/>
      <c r="AE73" s="1577"/>
      <c r="AF73" s="1577"/>
      <c r="AG73" s="1577"/>
      <c r="AH73" s="1577"/>
    </row>
    <row r="74" spans="2:35">
      <c r="B74" s="48"/>
      <c r="C74" s="38"/>
      <c r="D74" s="39"/>
      <c r="E74" s="451"/>
      <c r="F74" s="452"/>
      <c r="G74" s="453"/>
      <c r="H74" s="452"/>
      <c r="I74" s="453"/>
      <c r="J74" s="450"/>
      <c r="K74" s="453"/>
      <c r="L74" s="453"/>
      <c r="M74" s="450"/>
      <c r="N74" s="1572"/>
      <c r="O74" s="450"/>
      <c r="P74" s="1575"/>
      <c r="Q74" s="1574"/>
      <c r="R74" s="450"/>
      <c r="S74" s="450"/>
      <c r="T74" s="450"/>
      <c r="U74" s="450"/>
      <c r="V74" s="450"/>
      <c r="W74" s="450"/>
      <c r="Y74" s="1812"/>
      <c r="AG74" s="107"/>
      <c r="AH74" s="107"/>
      <c r="AI74" s="107"/>
    </row>
    <row r="75" spans="2:35">
      <c r="B75" s="48"/>
      <c r="C75" s="184"/>
      <c r="D75" s="185"/>
      <c r="E75" s="451"/>
      <c r="F75" s="452"/>
      <c r="G75" s="453"/>
      <c r="H75" s="452"/>
      <c r="I75" s="453"/>
      <c r="J75" s="450"/>
      <c r="K75" s="453"/>
      <c r="L75" s="453"/>
      <c r="M75" s="450"/>
      <c r="N75" s="1572"/>
      <c r="O75" s="450"/>
      <c r="P75" s="1575"/>
      <c r="Q75" s="1574"/>
      <c r="R75" s="450"/>
      <c r="S75" s="450"/>
      <c r="T75" s="450"/>
      <c r="U75" s="450"/>
      <c r="V75" s="450"/>
      <c r="W75" s="450"/>
      <c r="Y75" s="1812"/>
      <c r="AC75" s="3"/>
      <c r="AD75" s="3"/>
    </row>
    <row r="76" spans="2:35">
      <c r="B76" s="48"/>
      <c r="C76" s="38"/>
      <c r="D76" s="39"/>
      <c r="E76" s="451"/>
      <c r="F76" s="452"/>
      <c r="G76" s="453"/>
      <c r="H76" s="452"/>
      <c r="I76" s="453"/>
      <c r="J76" s="450"/>
      <c r="K76" s="453"/>
      <c r="L76" s="453"/>
      <c r="M76" s="450" t="str">
        <f>IF(F76="","",(J76*K76)+L76+#REF!)</f>
        <v/>
      </c>
      <c r="N76" s="1572" t="s">
        <v>67</v>
      </c>
      <c r="O76" s="450" t="str">
        <f>IF(F76="","",M76*N76/100)</f>
        <v/>
      </c>
      <c r="P76" s="1575"/>
      <c r="Q76" s="1574"/>
      <c r="R76" s="450"/>
      <c r="S76" s="450" t="s">
        <v>67</v>
      </c>
      <c r="T76" s="450" t="str">
        <f>IF(F76="","",IF(D76&gt;H76,((D76-H76)*0.02),IF(D76&lt;F76,((F76-D76)*0.02),IF(F76="","",0))))</f>
        <v/>
      </c>
      <c r="U76" s="450" t="str">
        <f>IF(F76="","",IF(D76&gt;H76,((((H76-F76)*20)+I76-G76)/2000),IF(D76&gt;F76,((((D76-F76)*0.02)^2)+(((H76-D76)*0.02)^2))/(2*((H76-F76)*0.02)),((((H76-F76)*20)+I76-G76)/2000))))</f>
        <v/>
      </c>
      <c r="V76" s="450" t="str">
        <f>IF(F76="","",S76+T76+U76)</f>
        <v/>
      </c>
      <c r="W76" s="450" t="str">
        <f>IF(F76="","",O76*V76)</f>
        <v/>
      </c>
      <c r="Y76" s="1813"/>
      <c r="AC76" s="3"/>
      <c r="AD76" s="3"/>
    </row>
    <row r="77" spans="2:35">
      <c r="B77" s="66"/>
      <c r="C77" s="1807"/>
      <c r="D77" s="1793"/>
      <c r="E77" s="1793"/>
      <c r="F77" s="1793"/>
      <c r="G77" s="1793"/>
      <c r="H77" s="1793"/>
      <c r="I77" s="1794"/>
      <c r="J77" s="114">
        <f>SUM(J65:J76)</f>
        <v>665</v>
      </c>
      <c r="K77" s="179"/>
      <c r="L77" s="115"/>
      <c r="M77" s="114">
        <f>SUM(M65:M76)</f>
        <v>8518.7800000000007</v>
      </c>
      <c r="N77" s="180"/>
      <c r="O77" s="114">
        <f>SUM(O65:O76)</f>
        <v>851.87800000000016</v>
      </c>
      <c r="P77" s="1528"/>
      <c r="Q77" s="1529"/>
      <c r="R77" s="114">
        <f>SUM(R65:R76)</f>
        <v>1915.0217440000004</v>
      </c>
      <c r="S77" s="328" t="s">
        <v>44</v>
      </c>
      <c r="T77" s="329"/>
      <c r="U77" s="116">
        <f>W77/O77</f>
        <v>2.3280103019446448</v>
      </c>
      <c r="V77" s="1529" t="s">
        <v>45</v>
      </c>
      <c r="W77" s="1529">
        <f>SUM(W65:W76)</f>
        <v>1983.1807600000004</v>
      </c>
      <c r="AC77" s="3"/>
      <c r="AD77" s="3"/>
    </row>
    <row r="78" spans="2:35">
      <c r="Y78" s="463" t="s">
        <v>1362</v>
      </c>
      <c r="Z78" s="463"/>
      <c r="AA78" s="1578">
        <f>M56-M77</f>
        <v>19941.7935</v>
      </c>
      <c r="AB78" s="463"/>
      <c r="AC78" s="3"/>
      <c r="AD78" s="3"/>
    </row>
    <row r="79" spans="2:35">
      <c r="M79" s="3">
        <f>M77/J77</f>
        <v>12.810195488721806</v>
      </c>
      <c r="Y79" s="463" t="s">
        <v>1363</v>
      </c>
      <c r="Z79" s="463"/>
      <c r="AA79" s="463"/>
      <c r="AB79" s="1578">
        <f>AA78*0.15</f>
        <v>2991.2690250000001</v>
      </c>
      <c r="AC79" s="3"/>
      <c r="AD79" s="3"/>
      <c r="AE79" s="1553"/>
    </row>
    <row r="80" spans="2:35">
      <c r="AC80" s="3"/>
      <c r="AD80" s="3"/>
      <c r="AE80" s="1553"/>
    </row>
    <row r="81" spans="2:34">
      <c r="AC81" s="3"/>
      <c r="AD81" s="3"/>
      <c r="AE81" s="1553"/>
    </row>
    <row r="82" spans="2:34">
      <c r="AC82" s="3"/>
      <c r="AD82" s="3"/>
    </row>
    <row r="83" spans="2:34">
      <c r="B83" s="1554"/>
      <c r="C83" s="1801" t="s">
        <v>4</v>
      </c>
      <c r="D83" s="1802"/>
      <c r="E83" s="1803" t="s">
        <v>14</v>
      </c>
      <c r="F83" s="1545" t="s">
        <v>6</v>
      </c>
      <c r="G83" s="1545"/>
      <c r="H83" s="1545"/>
      <c r="I83" s="211"/>
      <c r="J83" s="1540" t="s">
        <v>7</v>
      </c>
      <c r="K83" s="1540" t="s">
        <v>8</v>
      </c>
      <c r="L83" s="1540" t="s">
        <v>9</v>
      </c>
      <c r="M83" s="1540" t="s">
        <v>9</v>
      </c>
      <c r="N83" s="1546"/>
      <c r="O83" s="1540"/>
      <c r="P83" s="212" t="s">
        <v>10</v>
      </c>
      <c r="Q83" s="211"/>
      <c r="R83" s="1540"/>
      <c r="S83" s="1547" t="s">
        <v>11</v>
      </c>
      <c r="T83" s="1548"/>
      <c r="U83" s="1548"/>
      <c r="V83" s="1549"/>
      <c r="W83" s="1540" t="s">
        <v>12</v>
      </c>
      <c r="Y83" s="1814" t="s">
        <v>1364</v>
      </c>
      <c r="AC83" s="3"/>
      <c r="AD83" s="3"/>
    </row>
    <row r="84" spans="2:34">
      <c r="B84" s="1521" t="s">
        <v>228</v>
      </c>
      <c r="C84" s="1789" t="s">
        <v>5</v>
      </c>
      <c r="D84" s="177" t="s">
        <v>15</v>
      </c>
      <c r="E84" s="1804"/>
      <c r="F84" s="1548" t="s">
        <v>16</v>
      </c>
      <c r="G84" s="1549"/>
      <c r="H84" s="1547" t="s">
        <v>17</v>
      </c>
      <c r="I84" s="1549"/>
      <c r="J84" s="1541" t="s">
        <v>18</v>
      </c>
      <c r="K84" s="1541" t="s">
        <v>19</v>
      </c>
      <c r="L84" s="1534" t="s">
        <v>127</v>
      </c>
      <c r="M84" s="1541" t="s">
        <v>0</v>
      </c>
      <c r="N84" s="1541" t="s">
        <v>21</v>
      </c>
      <c r="O84" s="1541" t="s">
        <v>22</v>
      </c>
      <c r="P84" s="213" t="s">
        <v>23</v>
      </c>
      <c r="Q84" s="214"/>
      <c r="R84" s="1541" t="s">
        <v>24</v>
      </c>
      <c r="S84" s="1540" t="s">
        <v>25</v>
      </c>
      <c r="T84" s="1540" t="s">
        <v>26</v>
      </c>
      <c r="U84" s="1540" t="s">
        <v>27</v>
      </c>
      <c r="V84" s="1540" t="s">
        <v>28</v>
      </c>
      <c r="W84" s="1541" t="s">
        <v>29</v>
      </c>
      <c r="Y84" s="1815"/>
      <c r="AC84" s="3"/>
      <c r="AD84" s="3"/>
    </row>
    <row r="85" spans="2:34">
      <c r="B85" s="1521"/>
      <c r="C85" s="1806"/>
      <c r="D85" s="464" t="s">
        <v>31</v>
      </c>
      <c r="E85" s="1805"/>
      <c r="F85" s="1539" t="s">
        <v>32</v>
      </c>
      <c r="G85" s="1550" t="s">
        <v>33</v>
      </c>
      <c r="H85" s="1550" t="s">
        <v>32</v>
      </c>
      <c r="I85" s="1550" t="s">
        <v>33</v>
      </c>
      <c r="J85" s="1542" t="s">
        <v>34</v>
      </c>
      <c r="K85" s="1542" t="s">
        <v>34</v>
      </c>
      <c r="L85" s="1542" t="s">
        <v>35</v>
      </c>
      <c r="M85" s="1542" t="s">
        <v>35</v>
      </c>
      <c r="N85" s="1542" t="s">
        <v>36</v>
      </c>
      <c r="O85" s="1542" t="s">
        <v>37</v>
      </c>
      <c r="P85" s="1551" t="s">
        <v>38</v>
      </c>
      <c r="Q85" s="1552"/>
      <c r="R85" s="1542" t="s">
        <v>39</v>
      </c>
      <c r="S85" s="1542"/>
      <c r="T85" s="1542" t="s">
        <v>40</v>
      </c>
      <c r="U85" s="1542" t="s">
        <v>41</v>
      </c>
      <c r="V85" s="1542" t="s">
        <v>41</v>
      </c>
      <c r="W85" s="1542" t="s">
        <v>42</v>
      </c>
      <c r="Y85" s="1815"/>
      <c r="AC85" s="3"/>
      <c r="AD85" s="3"/>
    </row>
    <row r="86" spans="2:34">
      <c r="B86" s="1792" t="s">
        <v>1365</v>
      </c>
      <c r="C86" s="184" t="s">
        <v>101</v>
      </c>
      <c r="D86" s="185">
        <v>187</v>
      </c>
      <c r="E86" s="113" t="s">
        <v>128</v>
      </c>
      <c r="F86" s="39">
        <v>44</v>
      </c>
      <c r="G86" s="40">
        <v>10</v>
      </c>
      <c r="H86" s="39">
        <v>51</v>
      </c>
      <c r="I86" s="40">
        <v>0</v>
      </c>
      <c r="J86" s="41">
        <f t="shared" ref="J86:J89" si="27">IF(F86="","",((H86-F86)*20)+I86-G86)</f>
        <v>130</v>
      </c>
      <c r="K86" s="40"/>
      <c r="L86" s="41">
        <v>1611.2</v>
      </c>
      <c r="M86" s="41">
        <v>1806.99</v>
      </c>
      <c r="N86" s="42">
        <v>8</v>
      </c>
      <c r="O86" s="41">
        <f t="shared" ref="O86:O90" si="28">IF(F86="","",M86*N86/100)</f>
        <v>144.5592</v>
      </c>
      <c r="P86" s="142">
        <v>2.2480000000000002</v>
      </c>
      <c r="Q86" s="45" t="s">
        <v>70</v>
      </c>
      <c r="R86" s="41">
        <f t="shared" ref="R86:R90" si="29">+P86*O86</f>
        <v>324.96908160000004</v>
      </c>
      <c r="S86" s="41">
        <v>0.04</v>
      </c>
      <c r="T86" s="41">
        <f t="shared" ref="T86:T90" si="30">IF(F86="","",IF(D86&gt;H86,((D86-H86)*0.02),IF(D86&lt;F86,((F86-D86)*0.02),IF(F86="","",0))))</f>
        <v>2.72</v>
      </c>
      <c r="U86" s="41">
        <f t="shared" ref="U86:U90" si="31">IF(F86="","",IF(D86&gt;H86,((((H86-F86)*20)+I86-G86)/2000),IF(D86&gt;F86,((((D86-F86)*0.02)^2)+(((H86-D86)*0.02)^2))/(2*((H86-F86)*0.02)),((((H86-F86)*20)+I86-G86)/2000))))</f>
        <v>6.5000000000000002E-2</v>
      </c>
      <c r="V86" s="41">
        <f t="shared" ref="V86:V90" si="32">IF(F86="","",S86+T86+U86)</f>
        <v>2.8250000000000002</v>
      </c>
      <c r="W86" s="41">
        <f>IF(F86="","",O86*V86*1.48)</f>
        <v>604.40201520000005</v>
      </c>
      <c r="Y86" s="1815"/>
      <c r="AC86" s="3"/>
      <c r="AD86" s="3"/>
    </row>
    <row r="87" spans="2:34">
      <c r="B87" s="1792"/>
      <c r="C87" s="184" t="s">
        <v>101</v>
      </c>
      <c r="D87" s="185">
        <v>187</v>
      </c>
      <c r="E87" s="113" t="s">
        <v>128</v>
      </c>
      <c r="F87" s="39">
        <v>88</v>
      </c>
      <c r="G87" s="40">
        <v>5</v>
      </c>
      <c r="H87" s="39">
        <v>91</v>
      </c>
      <c r="I87" s="40">
        <v>0</v>
      </c>
      <c r="J87" s="41">
        <f t="shared" si="27"/>
        <v>55</v>
      </c>
      <c r="K87" s="40"/>
      <c r="L87" s="41">
        <v>251.49</v>
      </c>
      <c r="M87" s="41">
        <v>676.22</v>
      </c>
      <c r="N87" s="42">
        <v>8</v>
      </c>
      <c r="O87" s="41">
        <f t="shared" si="28"/>
        <v>54.0976</v>
      </c>
      <c r="P87" s="142">
        <v>2.2480000000000002</v>
      </c>
      <c r="Q87" s="45" t="s">
        <v>70</v>
      </c>
      <c r="R87" s="41">
        <f t="shared" si="29"/>
        <v>121.61140480000002</v>
      </c>
      <c r="S87" s="41">
        <v>0.04</v>
      </c>
      <c r="T87" s="41">
        <f t="shared" si="30"/>
        <v>1.92</v>
      </c>
      <c r="U87" s="41">
        <f t="shared" si="31"/>
        <v>2.75E-2</v>
      </c>
      <c r="V87" s="41">
        <f t="shared" si="32"/>
        <v>1.9875</v>
      </c>
      <c r="W87" s="41">
        <f t="shared" ref="W87:W90" si="33">IF(F87="","",O87*V87*1.48)</f>
        <v>159.12809039999999</v>
      </c>
      <c r="Y87" s="1815"/>
      <c r="AC87" s="3"/>
      <c r="AD87" s="3"/>
    </row>
    <row r="88" spans="2:34">
      <c r="B88" s="1792"/>
      <c r="C88" s="38" t="str">
        <f>+C86</f>
        <v>Canteiro</v>
      </c>
      <c r="D88" s="39">
        <v>187</v>
      </c>
      <c r="E88" s="113" t="s">
        <v>130</v>
      </c>
      <c r="F88" s="39">
        <v>95</v>
      </c>
      <c r="G88" s="40">
        <v>0</v>
      </c>
      <c r="H88" s="39">
        <v>105</v>
      </c>
      <c r="I88" s="40">
        <v>0</v>
      </c>
      <c r="J88" s="41">
        <f t="shared" si="27"/>
        <v>200</v>
      </c>
      <c r="K88" s="40">
        <v>10.83</v>
      </c>
      <c r="L88" s="41"/>
      <c r="M88" s="41">
        <f t="shared" ref="M88" si="34">+J88*K88+L88</f>
        <v>2166</v>
      </c>
      <c r="N88" s="42">
        <v>8</v>
      </c>
      <c r="O88" s="41">
        <f t="shared" si="28"/>
        <v>173.28</v>
      </c>
      <c r="P88" s="142">
        <v>2.2480000000000002</v>
      </c>
      <c r="Q88" s="45" t="s">
        <v>70</v>
      </c>
      <c r="R88" s="41">
        <f t="shared" si="29"/>
        <v>389.53344000000004</v>
      </c>
      <c r="S88" s="41">
        <v>0.04</v>
      </c>
      <c r="T88" s="41">
        <f t="shared" si="30"/>
        <v>1.6400000000000001</v>
      </c>
      <c r="U88" s="41">
        <f t="shared" si="31"/>
        <v>0.1</v>
      </c>
      <c r="V88" s="41">
        <f t="shared" si="32"/>
        <v>1.7800000000000002</v>
      </c>
      <c r="W88" s="41">
        <f t="shared" si="33"/>
        <v>456.48883200000006</v>
      </c>
      <c r="Y88" s="1815"/>
      <c r="AC88" s="3"/>
      <c r="AD88" s="3"/>
    </row>
    <row r="89" spans="2:34">
      <c r="B89" s="1792"/>
      <c r="C89" s="184" t="str">
        <f t="shared" ref="C89" si="35">+C88</f>
        <v>Canteiro</v>
      </c>
      <c r="D89" s="185">
        <v>187</v>
      </c>
      <c r="E89" s="38" t="s">
        <v>129</v>
      </c>
      <c r="F89" s="39">
        <v>142</v>
      </c>
      <c r="G89" s="40">
        <v>0</v>
      </c>
      <c r="H89" s="39">
        <v>156</v>
      </c>
      <c r="I89" s="40">
        <v>0</v>
      </c>
      <c r="J89" s="41">
        <f t="shared" si="27"/>
        <v>280</v>
      </c>
      <c r="K89" s="40"/>
      <c r="L89" s="41">
        <v>3838.77</v>
      </c>
      <c r="M89" s="41">
        <v>3869.57</v>
      </c>
      <c r="N89" s="42">
        <v>8</v>
      </c>
      <c r="O89" s="41">
        <f t="shared" si="28"/>
        <v>309.56560000000002</v>
      </c>
      <c r="P89" s="142">
        <v>2.2480000000000002</v>
      </c>
      <c r="Q89" s="45" t="s">
        <v>70</v>
      </c>
      <c r="R89" s="41">
        <f t="shared" si="29"/>
        <v>695.90346880000016</v>
      </c>
      <c r="S89" s="41">
        <v>0.04</v>
      </c>
      <c r="T89" s="41">
        <f t="shared" si="30"/>
        <v>0.62</v>
      </c>
      <c r="U89" s="41">
        <f t="shared" si="31"/>
        <v>0.14000000000000001</v>
      </c>
      <c r="V89" s="41">
        <f t="shared" si="32"/>
        <v>0.8</v>
      </c>
      <c r="W89" s="41">
        <f t="shared" si="33"/>
        <v>366.52567040000002</v>
      </c>
      <c r="Y89" s="1815"/>
      <c r="AC89" s="3"/>
      <c r="AD89" s="3"/>
    </row>
    <row r="90" spans="2:34" ht="25.5">
      <c r="B90" s="47"/>
      <c r="C90" s="38" t="s">
        <v>101</v>
      </c>
      <c r="D90" s="39">
        <v>187</v>
      </c>
      <c r="E90" s="113" t="s">
        <v>1366</v>
      </c>
      <c r="F90" s="39">
        <v>15</v>
      </c>
      <c r="G90" s="40">
        <v>9.67</v>
      </c>
      <c r="H90" s="39">
        <v>170</v>
      </c>
      <c r="I90" s="40">
        <v>12.12</v>
      </c>
      <c r="J90" s="41"/>
      <c r="K90" s="40"/>
      <c r="L90" s="41">
        <v>2991.27</v>
      </c>
      <c r="M90" s="41">
        <f t="shared" ref="M90" si="36">+J90*K90+L90</f>
        <v>2991.27</v>
      </c>
      <c r="N90" s="42">
        <v>8</v>
      </c>
      <c r="O90" s="41">
        <f t="shared" si="28"/>
        <v>239.30160000000001</v>
      </c>
      <c r="P90" s="142">
        <v>2.2480000000000002</v>
      </c>
      <c r="Q90" s="45" t="s">
        <v>70</v>
      </c>
      <c r="R90" s="41">
        <f t="shared" si="29"/>
        <v>537.94999680000012</v>
      </c>
      <c r="S90" s="41">
        <v>0.04</v>
      </c>
      <c r="T90" s="41">
        <f t="shared" si="30"/>
        <v>0.34</v>
      </c>
      <c r="U90" s="41">
        <f t="shared" si="31"/>
        <v>1.5512249999999999</v>
      </c>
      <c r="V90" s="41">
        <f t="shared" si="32"/>
        <v>1.931225</v>
      </c>
      <c r="W90" s="41">
        <f t="shared" si="33"/>
        <v>683.97494404079998</v>
      </c>
      <c r="Y90" s="1815"/>
      <c r="AC90" s="3"/>
      <c r="AD90" s="3"/>
    </row>
    <row r="91" spans="2:34">
      <c r="B91" s="48"/>
      <c r="C91" s="38"/>
      <c r="D91" s="39"/>
      <c r="E91" s="113"/>
      <c r="F91" s="39"/>
      <c r="G91" s="40"/>
      <c r="H91" s="39"/>
      <c r="I91" s="40"/>
      <c r="J91" s="41"/>
      <c r="K91" s="40"/>
      <c r="L91" s="40"/>
      <c r="M91" s="41"/>
      <c r="N91" s="42"/>
      <c r="O91" s="41"/>
      <c r="P91" s="327"/>
      <c r="Q91" s="45"/>
      <c r="R91" s="41"/>
      <c r="S91" s="41"/>
      <c r="T91" s="41"/>
      <c r="U91" s="41"/>
      <c r="V91" s="41"/>
      <c r="W91" s="41"/>
      <c r="Y91" s="1815"/>
      <c r="AC91" s="3"/>
      <c r="AD91" s="3"/>
    </row>
    <row r="92" spans="2:34">
      <c r="B92" s="48"/>
      <c r="C92" s="184"/>
      <c r="D92" s="185"/>
      <c r="E92" s="113"/>
      <c r="F92" s="39"/>
      <c r="G92" s="40"/>
      <c r="H92" s="39"/>
      <c r="I92" s="40"/>
      <c r="J92" s="41"/>
      <c r="K92" s="40"/>
      <c r="L92" s="40"/>
      <c r="M92" s="41"/>
      <c r="N92" s="42"/>
      <c r="O92" s="41"/>
      <c r="P92" s="327"/>
      <c r="Q92" s="45"/>
      <c r="R92" s="41"/>
      <c r="S92" s="41"/>
      <c r="T92" s="41"/>
      <c r="U92" s="41"/>
      <c r="V92" s="41"/>
      <c r="W92" s="41"/>
      <c r="Y92" s="1815"/>
      <c r="AC92" s="3"/>
      <c r="AD92" s="3"/>
    </row>
    <row r="93" spans="2:34">
      <c r="B93" s="48"/>
      <c r="C93" s="38"/>
      <c r="D93" s="39"/>
      <c r="E93" s="113"/>
      <c r="F93" s="39"/>
      <c r="G93" s="40"/>
      <c r="H93" s="39"/>
      <c r="I93" s="40"/>
      <c r="J93" s="41"/>
      <c r="K93" s="40"/>
      <c r="L93" s="40"/>
      <c r="M93" s="41"/>
      <c r="N93" s="42"/>
      <c r="O93" s="41"/>
      <c r="P93" s="327"/>
      <c r="Q93" s="45"/>
      <c r="R93" s="41"/>
      <c r="S93" s="41"/>
      <c r="T93" s="41"/>
      <c r="U93" s="41"/>
      <c r="V93" s="41"/>
      <c r="W93" s="41"/>
      <c r="Y93" s="1815"/>
      <c r="AC93" s="456" t="s">
        <v>1367</v>
      </c>
      <c r="AD93" s="456"/>
    </row>
    <row r="94" spans="2:34">
      <c r="B94" s="48"/>
      <c r="C94" s="184"/>
      <c r="D94" s="185"/>
      <c r="E94" s="113"/>
      <c r="F94" s="39"/>
      <c r="G94" s="40"/>
      <c r="H94" s="39"/>
      <c r="I94" s="40"/>
      <c r="J94" s="41"/>
      <c r="K94" s="40"/>
      <c r="L94" s="40"/>
      <c r="M94" s="41"/>
      <c r="N94" s="42"/>
      <c r="O94" s="41"/>
      <c r="P94" s="327"/>
      <c r="Q94" s="45"/>
      <c r="R94" s="41"/>
      <c r="S94" s="41"/>
      <c r="T94" s="41"/>
      <c r="U94" s="41"/>
      <c r="V94" s="41"/>
      <c r="W94" s="41"/>
      <c r="Y94" s="1815"/>
      <c r="AC94" s="1553"/>
      <c r="AG94" s="107"/>
      <c r="AH94" s="107"/>
    </row>
    <row r="95" spans="2:34">
      <c r="B95" s="48"/>
      <c r="C95" s="38"/>
      <c r="D95" s="39"/>
      <c r="E95" s="113"/>
      <c r="F95" s="39"/>
      <c r="G95" s="40"/>
      <c r="H95" s="39"/>
      <c r="I95" s="40"/>
      <c r="J95" s="41"/>
      <c r="K95" s="40"/>
      <c r="L95" s="40"/>
      <c r="M95" s="41"/>
      <c r="N95" s="42"/>
      <c r="O95" s="41"/>
      <c r="P95" s="327"/>
      <c r="Q95" s="45"/>
      <c r="R95" s="41"/>
      <c r="S95" s="41"/>
      <c r="T95" s="41"/>
      <c r="U95" s="41"/>
      <c r="V95" s="41"/>
      <c r="W95" s="41"/>
      <c r="Y95" s="1815"/>
      <c r="AG95" s="107"/>
      <c r="AH95" s="107"/>
    </row>
    <row r="96" spans="2:34">
      <c r="B96" s="48"/>
      <c r="C96" s="184"/>
      <c r="D96" s="185"/>
      <c r="E96" s="113"/>
      <c r="F96" s="39"/>
      <c r="G96" s="40"/>
      <c r="H96" s="39"/>
      <c r="I96" s="40"/>
      <c r="J96" s="41"/>
      <c r="K96" s="40"/>
      <c r="L96" s="40"/>
      <c r="M96" s="41"/>
      <c r="N96" s="42"/>
      <c r="O96" s="41"/>
      <c r="P96" s="327"/>
      <c r="Q96" s="45"/>
      <c r="R96" s="41"/>
      <c r="S96" s="41"/>
      <c r="T96" s="41"/>
      <c r="U96" s="41"/>
      <c r="V96" s="41"/>
      <c r="W96" s="41"/>
      <c r="Y96" s="1815"/>
      <c r="AC96" s="3"/>
      <c r="AD96" s="3"/>
    </row>
    <row r="97" spans="2:30">
      <c r="B97" s="48"/>
      <c r="C97" s="38"/>
      <c r="D97" s="39"/>
      <c r="E97" s="113"/>
      <c r="F97" s="39"/>
      <c r="G97" s="40"/>
      <c r="H97" s="39"/>
      <c r="I97" s="40"/>
      <c r="J97" s="41"/>
      <c r="K97" s="40"/>
      <c r="L97" s="40"/>
      <c r="M97" s="41" t="str">
        <f>IF(F97="","",(J97*K97)+L97+#REF!)</f>
        <v/>
      </c>
      <c r="N97" s="42" t="s">
        <v>67</v>
      </c>
      <c r="O97" s="41" t="str">
        <f>IF(F97="","",M97*N97/100)</f>
        <v/>
      </c>
      <c r="P97" s="327"/>
      <c r="Q97" s="45"/>
      <c r="R97" s="41"/>
      <c r="S97" s="41" t="s">
        <v>67</v>
      </c>
      <c r="T97" s="41" t="str">
        <f>IF(F97="","",IF(D97&gt;H97,((D97-H97)*0.02),IF(D97&lt;F97,((F97-D97)*0.02),IF(F97="","",0))))</f>
        <v/>
      </c>
      <c r="U97" s="41" t="str">
        <f>IF(F97="","",IF(D97&gt;H97,((((H97-F97)*20)+I97-G97)/2000),IF(D97&gt;F97,((((D97-F97)*0.02)^2)+(((H97-D97)*0.02)^2))/(2*((H97-F97)*0.02)),((((H97-F97)*20)+I97-G97)/2000))))</f>
        <v/>
      </c>
      <c r="V97" s="41" t="str">
        <f>IF(F97="","",S97+T97+U97)</f>
        <v/>
      </c>
      <c r="W97" s="41" t="str">
        <f>IF(F97="","",O97*V97)</f>
        <v/>
      </c>
      <c r="Y97" s="1816"/>
      <c r="AC97" s="3"/>
      <c r="AD97" s="3"/>
    </row>
    <row r="98" spans="2:30">
      <c r="B98" s="66"/>
      <c r="C98" s="1807"/>
      <c r="D98" s="1793"/>
      <c r="E98" s="1793"/>
      <c r="F98" s="1793"/>
      <c r="G98" s="1793"/>
      <c r="H98" s="1793"/>
      <c r="I98" s="1794"/>
      <c r="J98" s="114">
        <v>926</v>
      </c>
      <c r="K98" s="179"/>
      <c r="L98" s="115"/>
      <c r="M98" s="114">
        <f>SUM(M86:M97)</f>
        <v>11510.050000000001</v>
      </c>
      <c r="N98" s="180"/>
      <c r="O98" s="114">
        <f>SUM(O86:O97)</f>
        <v>920.80400000000009</v>
      </c>
      <c r="P98" s="1528"/>
      <c r="Q98" s="1529"/>
      <c r="R98" s="114">
        <f>SUM(R86:R97)</f>
        <v>2069.9673920000005</v>
      </c>
      <c r="S98" s="328" t="s">
        <v>44</v>
      </c>
      <c r="T98" s="329"/>
      <c r="U98" s="116">
        <f>W98/O98</f>
        <v>2.4658011390489181</v>
      </c>
      <c r="V98" s="1529" t="s">
        <v>45</v>
      </c>
      <c r="W98" s="1529">
        <f>SUM(W86:W97)</f>
        <v>2270.5195520408001</v>
      </c>
      <c r="AC98" s="3"/>
      <c r="AD98" s="3"/>
    </row>
    <row r="99" spans="2:30">
      <c r="AC99" s="3"/>
      <c r="AD99" s="3"/>
    </row>
    <row r="100" spans="2:30">
      <c r="J100" s="335">
        <f>J98-J77</f>
        <v>261</v>
      </c>
      <c r="M100" s="3">
        <f>M98/M79</f>
        <v>898.50697517719664</v>
      </c>
      <c r="AC100" s="3"/>
      <c r="AD100" s="3"/>
    </row>
    <row r="101" spans="2:30">
      <c r="AC101" s="3"/>
      <c r="AD101" s="3"/>
    </row>
    <row r="102" spans="2:30">
      <c r="AC102" s="3"/>
      <c r="AD102" s="3"/>
    </row>
    <row r="103" spans="2:30">
      <c r="B103" s="194"/>
      <c r="C103" s="1801" t="s">
        <v>4</v>
      </c>
      <c r="D103" s="1802"/>
      <c r="E103" s="1789" t="s">
        <v>5</v>
      </c>
      <c r="F103" s="195" t="s">
        <v>6</v>
      </c>
      <c r="G103" s="195"/>
      <c r="H103" s="195"/>
      <c r="I103" s="196"/>
      <c r="J103" s="1520" t="s">
        <v>7</v>
      </c>
      <c r="K103" s="1520" t="s">
        <v>8</v>
      </c>
      <c r="L103" s="1520" t="s">
        <v>9</v>
      </c>
      <c r="M103" s="1520" t="s">
        <v>9</v>
      </c>
      <c r="N103" s="197"/>
      <c r="O103" s="1520"/>
      <c r="P103" s="198" t="s">
        <v>10</v>
      </c>
      <c r="Q103" s="196"/>
      <c r="R103" s="1520"/>
      <c r="S103" s="199" t="s">
        <v>11</v>
      </c>
      <c r="T103" s="200"/>
      <c r="U103" s="200"/>
      <c r="V103" s="201"/>
      <c r="W103" s="1520" t="s">
        <v>12</v>
      </c>
      <c r="AC103" s="3"/>
      <c r="AD103" s="3"/>
    </row>
    <row r="104" spans="2:30">
      <c r="B104" s="176" t="s">
        <v>228</v>
      </c>
      <c r="C104" s="1789" t="s">
        <v>14</v>
      </c>
      <c r="D104" s="177" t="s">
        <v>15</v>
      </c>
      <c r="E104" s="1790"/>
      <c r="F104" s="200" t="s">
        <v>16</v>
      </c>
      <c r="G104" s="201"/>
      <c r="H104" s="199" t="s">
        <v>17</v>
      </c>
      <c r="I104" s="201"/>
      <c r="J104" s="1521" t="s">
        <v>18</v>
      </c>
      <c r="K104" s="1521" t="s">
        <v>19</v>
      </c>
      <c r="L104" s="1527" t="s">
        <v>127</v>
      </c>
      <c r="M104" s="1521" t="s">
        <v>0</v>
      </c>
      <c r="N104" s="1521" t="s">
        <v>21</v>
      </c>
      <c r="O104" s="1521" t="s">
        <v>22</v>
      </c>
      <c r="P104" s="202" t="s">
        <v>23</v>
      </c>
      <c r="Q104" s="203"/>
      <c r="R104" s="1521" t="s">
        <v>24</v>
      </c>
      <c r="S104" s="1520" t="s">
        <v>25</v>
      </c>
      <c r="T104" s="1520" t="s">
        <v>26</v>
      </c>
      <c r="U104" s="1520" t="s">
        <v>27</v>
      </c>
      <c r="V104" s="1520" t="s">
        <v>28</v>
      </c>
      <c r="W104" s="1521" t="s">
        <v>29</v>
      </c>
      <c r="AC104" s="3"/>
      <c r="AD104" s="3"/>
    </row>
    <row r="105" spans="2:30">
      <c r="B105" s="176"/>
      <c r="C105" s="1806"/>
      <c r="D105" s="464" t="s">
        <v>31</v>
      </c>
      <c r="E105" s="1806"/>
      <c r="F105" s="1523" t="s">
        <v>32</v>
      </c>
      <c r="G105" s="465" t="s">
        <v>33</v>
      </c>
      <c r="H105" s="465" t="s">
        <v>32</v>
      </c>
      <c r="I105" s="465" t="s">
        <v>33</v>
      </c>
      <c r="J105" s="1524" t="s">
        <v>34</v>
      </c>
      <c r="K105" s="1524" t="s">
        <v>34</v>
      </c>
      <c r="L105" s="1524" t="s">
        <v>35</v>
      </c>
      <c r="M105" s="1524" t="s">
        <v>35</v>
      </c>
      <c r="N105" s="1524" t="s">
        <v>36</v>
      </c>
      <c r="O105" s="1524" t="s">
        <v>37</v>
      </c>
      <c r="P105" s="466" t="s">
        <v>38</v>
      </c>
      <c r="Q105" s="467"/>
      <c r="R105" s="1524" t="s">
        <v>39</v>
      </c>
      <c r="S105" s="1524"/>
      <c r="T105" s="1524" t="s">
        <v>40</v>
      </c>
      <c r="U105" s="1524" t="s">
        <v>41</v>
      </c>
      <c r="V105" s="1524" t="s">
        <v>41</v>
      </c>
      <c r="W105" s="1524" t="s">
        <v>42</v>
      </c>
      <c r="AC105" s="3"/>
      <c r="AD105" s="3"/>
    </row>
    <row r="106" spans="2:30" ht="12.75" customHeight="1">
      <c r="B106" s="1792" t="s">
        <v>1368</v>
      </c>
      <c r="C106" s="184" t="s">
        <v>101</v>
      </c>
      <c r="D106" s="185">
        <v>187</v>
      </c>
      <c r="E106" s="113" t="s">
        <v>128</v>
      </c>
      <c r="F106" s="39">
        <v>44</v>
      </c>
      <c r="G106" s="40">
        <v>10</v>
      </c>
      <c r="H106" s="39">
        <v>51</v>
      </c>
      <c r="I106" s="40">
        <v>0</v>
      </c>
      <c r="J106" s="41">
        <f t="shared" ref="J106:J109" si="37">IF(F106="","",((H106-F106)*20)+I106-G106)</f>
        <v>130</v>
      </c>
      <c r="K106" s="40"/>
      <c r="L106" s="41">
        <v>1611.2</v>
      </c>
      <c r="M106" s="41">
        <v>1806.99</v>
      </c>
      <c r="N106" s="42">
        <v>8</v>
      </c>
      <c r="O106" s="41">
        <f t="shared" ref="O106:O113" si="38">IF(F106="","",M106*N106/100)</f>
        <v>144.5592</v>
      </c>
      <c r="P106" s="142">
        <v>2.2480000000000002</v>
      </c>
      <c r="Q106" s="45" t="s">
        <v>70</v>
      </c>
      <c r="R106" s="41">
        <f>+P106*O106</f>
        <v>324.96908160000004</v>
      </c>
      <c r="S106" s="41">
        <v>0.04</v>
      </c>
      <c r="T106" s="41">
        <f t="shared" ref="T106:T113" si="39">IF(F106="","",IF(D106&gt;H106,((D106-H106)*0.02),IF(D106&lt;F106,((F106-D106)*0.02),IF(F106="","",0))))</f>
        <v>2.72</v>
      </c>
      <c r="U106" s="41">
        <f t="shared" ref="U106:U113" si="40">IF(F106="","",IF(D106&gt;H106,((((H106-F106)*20)+I106-G106)/2000),IF(D106&gt;F106,((((D106-F106)*0.02)^2)+(((H106-D106)*0.02)^2))/(2*((H106-F106)*0.02)),((((H106-F106)*20)+I106-G106)/2000))))</f>
        <v>6.5000000000000002E-2</v>
      </c>
      <c r="V106" s="41">
        <f t="shared" ref="V106:V113" si="41">IF(F106="","",S106+T106+U106)</f>
        <v>2.8250000000000002</v>
      </c>
      <c r="W106" s="41">
        <f>IF(F106="","",O106*V106*1.48)</f>
        <v>604.40201520000005</v>
      </c>
      <c r="AC106" s="3"/>
      <c r="AD106" s="3"/>
    </row>
    <row r="107" spans="2:30">
      <c r="B107" s="1792"/>
      <c r="C107" s="184" t="s">
        <v>101</v>
      </c>
      <c r="D107" s="185">
        <v>187</v>
      </c>
      <c r="E107" s="113" t="s">
        <v>128</v>
      </c>
      <c r="F107" s="39">
        <v>88</v>
      </c>
      <c r="G107" s="40">
        <v>5</v>
      </c>
      <c r="H107" s="39">
        <v>91</v>
      </c>
      <c r="I107" s="40">
        <v>0</v>
      </c>
      <c r="J107" s="41">
        <f t="shared" si="37"/>
        <v>55</v>
      </c>
      <c r="K107" s="40"/>
      <c r="L107" s="41">
        <v>251.49</v>
      </c>
      <c r="M107" s="41">
        <v>676.22</v>
      </c>
      <c r="N107" s="42">
        <v>8</v>
      </c>
      <c r="O107" s="41">
        <f t="shared" si="38"/>
        <v>54.0976</v>
      </c>
      <c r="P107" s="142">
        <v>2.2480000000000002</v>
      </c>
      <c r="Q107" s="45" t="s">
        <v>70</v>
      </c>
      <c r="R107" s="41">
        <f t="shared" ref="R107:R113" si="42">+P107*O107</f>
        <v>121.61140480000002</v>
      </c>
      <c r="S107" s="41">
        <v>0.04</v>
      </c>
      <c r="T107" s="41">
        <f t="shared" si="39"/>
        <v>1.92</v>
      </c>
      <c r="U107" s="41">
        <f t="shared" si="40"/>
        <v>2.75E-2</v>
      </c>
      <c r="V107" s="41">
        <f t="shared" si="41"/>
        <v>1.9875</v>
      </c>
      <c r="W107" s="41">
        <f t="shared" ref="W107:W116" si="43">IF(F107="","",O107*V107*1.48)</f>
        <v>159.12809039999999</v>
      </c>
      <c r="AC107" s="3"/>
      <c r="AD107" s="3"/>
    </row>
    <row r="108" spans="2:30">
      <c r="B108" s="1792"/>
      <c r="C108" s="38" t="str">
        <f>+C106</f>
        <v>Canteiro</v>
      </c>
      <c r="D108" s="39">
        <v>187</v>
      </c>
      <c r="E108" s="113" t="s">
        <v>130</v>
      </c>
      <c r="F108" s="39">
        <v>95</v>
      </c>
      <c r="G108" s="40">
        <v>0</v>
      </c>
      <c r="H108" s="39">
        <v>105</v>
      </c>
      <c r="I108" s="40">
        <v>0</v>
      </c>
      <c r="J108" s="41">
        <f t="shared" si="37"/>
        <v>200</v>
      </c>
      <c r="K108" s="40">
        <v>10.83</v>
      </c>
      <c r="L108" s="41"/>
      <c r="M108" s="41">
        <f t="shared" ref="M108:M113" si="44">+J108*K108+L108</f>
        <v>2166</v>
      </c>
      <c r="N108" s="42">
        <v>8</v>
      </c>
      <c r="O108" s="41">
        <f t="shared" si="38"/>
        <v>173.28</v>
      </c>
      <c r="P108" s="142">
        <v>2.2480000000000002</v>
      </c>
      <c r="Q108" s="45" t="s">
        <v>70</v>
      </c>
      <c r="R108" s="41">
        <f t="shared" si="42"/>
        <v>389.53344000000004</v>
      </c>
      <c r="S108" s="41">
        <v>0.04</v>
      </c>
      <c r="T108" s="41">
        <f t="shared" si="39"/>
        <v>1.6400000000000001</v>
      </c>
      <c r="U108" s="41">
        <f t="shared" si="40"/>
        <v>0.1</v>
      </c>
      <c r="V108" s="41">
        <f t="shared" si="41"/>
        <v>1.7800000000000002</v>
      </c>
      <c r="W108" s="41">
        <f t="shared" si="43"/>
        <v>456.48883200000006</v>
      </c>
      <c r="AC108" s="3"/>
      <c r="AD108" s="3"/>
    </row>
    <row r="109" spans="2:30">
      <c r="B109" s="1792"/>
      <c r="C109" s="184" t="str">
        <f t="shared" ref="C109" si="45">+C108</f>
        <v>Canteiro</v>
      </c>
      <c r="D109" s="185">
        <v>187</v>
      </c>
      <c r="E109" s="38" t="s">
        <v>129</v>
      </c>
      <c r="F109" s="39">
        <v>142</v>
      </c>
      <c r="G109" s="40">
        <v>0</v>
      </c>
      <c r="H109" s="39">
        <v>156</v>
      </c>
      <c r="I109" s="40">
        <v>0</v>
      </c>
      <c r="J109" s="41">
        <f t="shared" si="37"/>
        <v>280</v>
      </c>
      <c r="K109" s="40"/>
      <c r="L109" s="41">
        <v>3838.77</v>
      </c>
      <c r="M109" s="41">
        <v>3869.57</v>
      </c>
      <c r="N109" s="42">
        <v>8</v>
      </c>
      <c r="O109" s="41">
        <f t="shared" si="38"/>
        <v>309.56560000000002</v>
      </c>
      <c r="P109" s="142">
        <v>2.2480000000000002</v>
      </c>
      <c r="Q109" s="45" t="s">
        <v>70</v>
      </c>
      <c r="R109" s="41">
        <f t="shared" si="42"/>
        <v>695.90346880000016</v>
      </c>
      <c r="S109" s="41">
        <v>0.04</v>
      </c>
      <c r="T109" s="41">
        <f t="shared" si="39"/>
        <v>0.62</v>
      </c>
      <c r="U109" s="41">
        <f t="shared" si="40"/>
        <v>0.14000000000000001</v>
      </c>
      <c r="V109" s="41">
        <f t="shared" si="41"/>
        <v>0.8</v>
      </c>
      <c r="W109" s="41">
        <f t="shared" si="43"/>
        <v>366.52567040000002</v>
      </c>
      <c r="AC109" s="3"/>
      <c r="AD109" s="3"/>
    </row>
    <row r="110" spans="2:30" ht="25.5">
      <c r="B110" s="1792"/>
      <c r="C110" s="38" t="s">
        <v>101</v>
      </c>
      <c r="D110" s="39">
        <v>187</v>
      </c>
      <c r="E110" s="113" t="s">
        <v>1366</v>
      </c>
      <c r="F110" s="39">
        <v>15</v>
      </c>
      <c r="G110" s="40">
        <v>9.67</v>
      </c>
      <c r="H110" s="39">
        <v>170</v>
      </c>
      <c r="I110" s="40">
        <v>12.12</v>
      </c>
      <c r="J110" s="41"/>
      <c r="K110" s="40"/>
      <c r="L110" s="41">
        <v>2991.27</v>
      </c>
      <c r="M110" s="41">
        <f t="shared" si="44"/>
        <v>2991.27</v>
      </c>
      <c r="N110" s="42">
        <v>8</v>
      </c>
      <c r="O110" s="41">
        <f>IF(F110="","",M110*N110/100)</f>
        <v>239.30160000000001</v>
      </c>
      <c r="P110" s="142">
        <v>2.2480000000000002</v>
      </c>
      <c r="Q110" s="45" t="s">
        <v>70</v>
      </c>
      <c r="R110" s="41">
        <f t="shared" si="42"/>
        <v>537.94999680000012</v>
      </c>
      <c r="S110" s="41">
        <v>0.04</v>
      </c>
      <c r="T110" s="41">
        <f t="shared" si="39"/>
        <v>0.34</v>
      </c>
      <c r="U110" s="41">
        <f t="shared" si="40"/>
        <v>1.5512249999999999</v>
      </c>
      <c r="V110" s="41">
        <f t="shared" si="41"/>
        <v>1.931225</v>
      </c>
      <c r="W110" s="41">
        <f t="shared" si="43"/>
        <v>683.97494404079998</v>
      </c>
      <c r="AC110" s="456" t="s">
        <v>1369</v>
      </c>
      <c r="AD110" s="456"/>
    </row>
    <row r="111" spans="2:30">
      <c r="B111" s="1792"/>
      <c r="C111" s="184" t="s">
        <v>101</v>
      </c>
      <c r="D111" s="185">
        <v>187</v>
      </c>
      <c r="E111" s="113" t="s">
        <v>131</v>
      </c>
      <c r="F111" s="39">
        <v>61</v>
      </c>
      <c r="G111" s="40">
        <v>1.67</v>
      </c>
      <c r="H111" s="39">
        <v>80</v>
      </c>
      <c r="I111" s="40">
        <v>14.67</v>
      </c>
      <c r="J111" s="41">
        <f t="shared" ref="J111:J113" si="46">IF(F111="","",((H111-F111)*20)+I111-G111)</f>
        <v>393</v>
      </c>
      <c r="K111" s="40"/>
      <c r="L111" s="41">
        <v>5462.69</v>
      </c>
      <c r="M111" s="41">
        <f t="shared" si="44"/>
        <v>5462.69</v>
      </c>
      <c r="N111" s="42">
        <v>10</v>
      </c>
      <c r="O111" s="41">
        <f t="shared" si="38"/>
        <v>546.26899999999989</v>
      </c>
      <c r="P111" s="142">
        <v>2.2480000000000002</v>
      </c>
      <c r="Q111" s="45" t="s">
        <v>70</v>
      </c>
      <c r="R111" s="41">
        <f t="shared" si="42"/>
        <v>1228.012712</v>
      </c>
      <c r="S111" s="41">
        <v>0.04</v>
      </c>
      <c r="T111" s="41">
        <f t="shared" si="39"/>
        <v>2.14</v>
      </c>
      <c r="U111" s="41">
        <f t="shared" si="40"/>
        <v>0.19650000000000001</v>
      </c>
      <c r="V111" s="41">
        <f t="shared" si="41"/>
        <v>2.3765000000000001</v>
      </c>
      <c r="W111" s="41">
        <f t="shared" si="43"/>
        <v>1921.3482521799997</v>
      </c>
      <c r="AC111" s="3"/>
      <c r="AD111" s="3"/>
    </row>
    <row r="112" spans="2:30">
      <c r="B112" s="1792"/>
      <c r="C112" s="184" t="str">
        <f t="shared" ref="C112:C113" si="47">+C111</f>
        <v>Canteiro</v>
      </c>
      <c r="D112" s="185">
        <v>187</v>
      </c>
      <c r="E112" s="113" t="s">
        <v>1359</v>
      </c>
      <c r="F112" s="39">
        <v>132</v>
      </c>
      <c r="G112" s="40">
        <v>12.12</v>
      </c>
      <c r="H112" s="39">
        <v>142</v>
      </c>
      <c r="I112" s="40">
        <v>0</v>
      </c>
      <c r="J112" s="41">
        <f t="shared" si="46"/>
        <v>187.88</v>
      </c>
      <c r="K112" s="40"/>
      <c r="L112" s="41">
        <v>2305.61</v>
      </c>
      <c r="M112" s="41">
        <f t="shared" si="44"/>
        <v>2305.61</v>
      </c>
      <c r="N112" s="42">
        <v>10</v>
      </c>
      <c r="O112" s="41">
        <f t="shared" si="38"/>
        <v>230.56100000000004</v>
      </c>
      <c r="P112" s="142">
        <v>2.2480000000000002</v>
      </c>
      <c r="Q112" s="45" t="s">
        <v>70</v>
      </c>
      <c r="R112" s="41">
        <f t="shared" si="42"/>
        <v>518.30112800000018</v>
      </c>
      <c r="S112" s="41">
        <v>0.04</v>
      </c>
      <c r="T112" s="41">
        <f t="shared" si="39"/>
        <v>0.9</v>
      </c>
      <c r="U112" s="41">
        <f t="shared" si="40"/>
        <v>9.3939999999999996E-2</v>
      </c>
      <c r="V112" s="41">
        <f t="shared" si="41"/>
        <v>1.0339400000000001</v>
      </c>
      <c r="W112" s="41">
        <f>IF(F112="","",O112*V112*1.48)</f>
        <v>352.81163570320007</v>
      </c>
    </row>
    <row r="113" spans="2:30">
      <c r="B113" s="48"/>
      <c r="C113" s="38" t="str">
        <f t="shared" si="47"/>
        <v>Canteiro</v>
      </c>
      <c r="D113" s="39">
        <v>187</v>
      </c>
      <c r="E113" s="113" t="s">
        <v>231</v>
      </c>
      <c r="F113" s="39">
        <v>120</v>
      </c>
      <c r="G113" s="40">
        <v>0</v>
      </c>
      <c r="H113" s="39">
        <v>126</v>
      </c>
      <c r="I113" s="40">
        <v>12.9</v>
      </c>
      <c r="J113" s="41">
        <f t="shared" si="46"/>
        <v>132.9</v>
      </c>
      <c r="K113" s="40">
        <v>10.83</v>
      </c>
      <c r="L113" s="41"/>
      <c r="M113" s="41">
        <f t="shared" si="44"/>
        <v>1439.307</v>
      </c>
      <c r="N113" s="42">
        <v>10</v>
      </c>
      <c r="O113" s="41">
        <f t="shared" si="38"/>
        <v>143.9307</v>
      </c>
      <c r="P113" s="142">
        <v>2.2480000000000002</v>
      </c>
      <c r="Q113" s="45" t="s">
        <v>70</v>
      </c>
      <c r="R113" s="41">
        <f t="shared" si="42"/>
        <v>323.55621360000004</v>
      </c>
      <c r="S113" s="41">
        <v>0.04</v>
      </c>
      <c r="T113" s="41">
        <f t="shared" si="39"/>
        <v>1.22</v>
      </c>
      <c r="U113" s="41">
        <f t="shared" si="40"/>
        <v>6.6450000000000009E-2</v>
      </c>
      <c r="V113" s="41">
        <f t="shared" si="41"/>
        <v>1.3264499999999999</v>
      </c>
      <c r="W113" s="41">
        <f t="shared" si="43"/>
        <v>282.55697798219995</v>
      </c>
    </row>
    <row r="114" spans="2:30">
      <c r="B114" s="48"/>
      <c r="C114" s="38"/>
      <c r="D114" s="39"/>
      <c r="E114" s="113"/>
      <c r="F114" s="39"/>
      <c r="G114" s="40"/>
      <c r="H114" s="39"/>
      <c r="I114" s="40"/>
      <c r="J114" s="41"/>
      <c r="K114" s="40"/>
      <c r="L114" s="40"/>
      <c r="M114" s="41"/>
      <c r="N114" s="42"/>
      <c r="O114" s="41"/>
      <c r="P114" s="327"/>
      <c r="Q114" s="45"/>
      <c r="R114" s="41"/>
      <c r="S114" s="41"/>
      <c r="T114" s="41"/>
      <c r="U114" s="41"/>
      <c r="V114" s="41"/>
      <c r="W114" s="41" t="str">
        <f t="shared" si="43"/>
        <v/>
      </c>
    </row>
    <row r="115" spans="2:30">
      <c r="B115" s="48"/>
      <c r="C115" s="184"/>
      <c r="D115" s="185"/>
      <c r="E115" s="193"/>
      <c r="F115" s="185"/>
      <c r="G115" s="186"/>
      <c r="H115" s="185"/>
      <c r="I115" s="186"/>
      <c r="J115" s="187"/>
      <c r="K115" s="186"/>
      <c r="L115" s="186"/>
      <c r="M115" s="187"/>
      <c r="N115" s="188"/>
      <c r="O115" s="187"/>
      <c r="P115" s="326"/>
      <c r="Q115" s="191"/>
      <c r="R115" s="187"/>
      <c r="S115" s="187"/>
      <c r="T115" s="187"/>
      <c r="U115" s="187"/>
      <c r="V115" s="187"/>
      <c r="W115" s="41" t="str">
        <f t="shared" si="43"/>
        <v/>
      </c>
      <c r="Y115" s="107">
        <f>O117*1.48*U117</f>
        <v>4827.2364179061997</v>
      </c>
    </row>
    <row r="116" spans="2:30">
      <c r="B116" s="48"/>
      <c r="C116" s="38"/>
      <c r="D116" s="39"/>
      <c r="E116" s="113"/>
      <c r="F116" s="39"/>
      <c r="G116" s="40"/>
      <c r="H116" s="39"/>
      <c r="I116" s="40"/>
      <c r="J116" s="41"/>
      <c r="K116" s="40"/>
      <c r="L116" s="40"/>
      <c r="M116" s="41" t="str">
        <f>IF(F116="","",(J116*K116)+L116+#REF!)</f>
        <v/>
      </c>
      <c r="N116" s="42" t="s">
        <v>67</v>
      </c>
      <c r="O116" s="41" t="str">
        <f>IF(F116="","",M116*N116/100)</f>
        <v/>
      </c>
      <c r="P116" s="327"/>
      <c r="Q116" s="45"/>
      <c r="R116" s="41"/>
      <c r="S116" s="41" t="s">
        <v>67</v>
      </c>
      <c r="T116" s="41" t="str">
        <f>IF(F116="","",IF(D116&gt;H116,((D116-H116)*0.02),IF(D116&lt;F116,((F116-D116)*0.02),IF(F116="","",0))))</f>
        <v/>
      </c>
      <c r="U116" s="41" t="str">
        <f>IF(F116="","",IF(D116&gt;H116,((((H116-F116)*20)+I116-G116)/2000),IF(D116&gt;F116,((((D116-F116)*0.02)^2)+(((H116-D116)*0.02)^2))/(2*((H116-F116)*0.02)),((((H116-F116)*20)+I116-G116)/2000))))</f>
        <v/>
      </c>
      <c r="V116" s="41" t="str">
        <f>IF(F116="","",S116+T116+U116)</f>
        <v/>
      </c>
      <c r="W116" s="41" t="str">
        <f t="shared" si="43"/>
        <v/>
      </c>
    </row>
    <row r="117" spans="2:30">
      <c r="B117" s="48"/>
      <c r="C117" s="1807"/>
      <c r="D117" s="1793"/>
      <c r="E117" s="1793"/>
      <c r="F117" s="1793"/>
      <c r="G117" s="1793"/>
      <c r="H117" s="1793"/>
      <c r="I117" s="1794"/>
      <c r="J117" s="114">
        <f>SUM(J106:J116)</f>
        <v>1378.7800000000002</v>
      </c>
      <c r="K117" s="179"/>
      <c r="L117" s="115"/>
      <c r="M117" s="114">
        <f>SUM(M106:M116)</f>
        <v>20717.657000000003</v>
      </c>
      <c r="N117" s="180"/>
      <c r="O117" s="114">
        <f>SUM(O106:O116)</f>
        <v>1841.5646999999999</v>
      </c>
      <c r="P117" s="1528"/>
      <c r="Q117" s="1529"/>
      <c r="R117" s="114">
        <f>SUM(R106:R116)</f>
        <v>4139.8374456000001</v>
      </c>
      <c r="S117" s="328" t="s">
        <v>44</v>
      </c>
      <c r="T117" s="329"/>
      <c r="U117" s="116">
        <f>W117/(O117*1.48)</f>
        <v>1.7711276874035433</v>
      </c>
      <c r="V117" s="1529" t="s">
        <v>45</v>
      </c>
      <c r="W117" s="1529">
        <f>SUM(W106:W116)</f>
        <v>4827.2364179061997</v>
      </c>
      <c r="Y117" s="1577"/>
    </row>
    <row r="118" spans="2:30">
      <c r="B118" s="72"/>
      <c r="C118" s="73"/>
      <c r="D118" s="73"/>
      <c r="E118" s="73"/>
      <c r="F118" s="73"/>
      <c r="G118" s="73"/>
      <c r="H118" s="73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5">
        <f>W117/1.48</f>
        <v>3261.6462283149999</v>
      </c>
      <c r="Z118" s="107" t="s">
        <v>1370</v>
      </c>
      <c r="AC118" s="107">
        <f>SUM(O106:O110)*0.5</f>
        <v>460.40200000000004</v>
      </c>
    </row>
    <row r="119" spans="2:30">
      <c r="B119" s="1795" t="s">
        <v>232</v>
      </c>
      <c r="C119" s="1796"/>
      <c r="D119" s="1796"/>
      <c r="E119" s="1796"/>
      <c r="F119" s="1796"/>
      <c r="G119" s="1796"/>
      <c r="H119" s="1796"/>
      <c r="I119" s="1796"/>
      <c r="J119" s="1796"/>
      <c r="K119" s="1796"/>
      <c r="L119" s="1796"/>
      <c r="M119" s="1796"/>
      <c r="N119" s="1796"/>
      <c r="O119" s="1796"/>
      <c r="P119" s="1796"/>
      <c r="Q119" s="1796"/>
      <c r="R119" s="1796"/>
      <c r="S119" s="1796"/>
      <c r="T119" s="1796"/>
      <c r="U119" s="1796"/>
      <c r="V119" s="1796"/>
      <c r="W119" s="1797"/>
      <c r="Y119" s="107">
        <f>O117*1.48*U118</f>
        <v>0</v>
      </c>
      <c r="Z119" s="107" t="s">
        <v>1371</v>
      </c>
      <c r="AC119" s="107">
        <f>AC118*2</f>
        <v>920.80400000000009</v>
      </c>
    </row>
    <row r="120" spans="2:30">
      <c r="B120" s="1798"/>
      <c r="C120" s="1799"/>
      <c r="D120" s="1799"/>
      <c r="E120" s="1799"/>
      <c r="F120" s="1799"/>
      <c r="G120" s="1799"/>
      <c r="H120" s="1799"/>
      <c r="I120" s="1799"/>
      <c r="J120" s="1799"/>
      <c r="K120" s="1799"/>
      <c r="L120" s="1799"/>
      <c r="M120" s="1799"/>
      <c r="N120" s="1799"/>
      <c r="O120" s="1799"/>
      <c r="P120" s="1799"/>
      <c r="Q120" s="1799"/>
      <c r="R120" s="1799"/>
      <c r="S120" s="1799"/>
      <c r="T120" s="1799"/>
      <c r="U120" s="1799"/>
      <c r="V120" s="1799"/>
      <c r="W120" s="1800"/>
    </row>
    <row r="123" spans="2:30">
      <c r="B123" s="194"/>
      <c r="C123" s="1801" t="s">
        <v>4</v>
      </c>
      <c r="D123" s="1802"/>
      <c r="E123" s="1789" t="s">
        <v>5</v>
      </c>
      <c r="F123" s="195" t="s">
        <v>6</v>
      </c>
      <c r="G123" s="195"/>
      <c r="H123" s="195"/>
      <c r="I123" s="196"/>
      <c r="J123" s="1520" t="s">
        <v>7</v>
      </c>
      <c r="K123" s="1520" t="s">
        <v>8</v>
      </c>
      <c r="L123" s="1520" t="s">
        <v>9</v>
      </c>
      <c r="M123" s="1520" t="s">
        <v>9</v>
      </c>
      <c r="N123" s="197"/>
      <c r="O123" s="1520"/>
      <c r="P123" s="198" t="s">
        <v>10</v>
      </c>
      <c r="Q123" s="196"/>
      <c r="R123" s="1520"/>
      <c r="S123" s="199" t="s">
        <v>11</v>
      </c>
      <c r="T123" s="200"/>
      <c r="U123" s="200"/>
      <c r="V123" s="201"/>
      <c r="W123" s="1520" t="s">
        <v>12</v>
      </c>
      <c r="AC123" s="3"/>
      <c r="AD123" s="3"/>
    </row>
    <row r="124" spans="2:30">
      <c r="B124" s="176" t="s">
        <v>228</v>
      </c>
      <c r="C124" s="1789" t="s">
        <v>14</v>
      </c>
      <c r="D124" s="177" t="s">
        <v>15</v>
      </c>
      <c r="E124" s="1790"/>
      <c r="F124" s="200" t="s">
        <v>16</v>
      </c>
      <c r="G124" s="201"/>
      <c r="H124" s="199" t="s">
        <v>17</v>
      </c>
      <c r="I124" s="201"/>
      <c r="J124" s="1521" t="s">
        <v>18</v>
      </c>
      <c r="K124" s="1521" t="s">
        <v>19</v>
      </c>
      <c r="L124" s="1527" t="s">
        <v>127</v>
      </c>
      <c r="M124" s="1521" t="s">
        <v>0</v>
      </c>
      <c r="N124" s="1521" t="s">
        <v>21</v>
      </c>
      <c r="O124" s="1521" t="s">
        <v>22</v>
      </c>
      <c r="P124" s="202" t="s">
        <v>23</v>
      </c>
      <c r="Q124" s="203"/>
      <c r="R124" s="1521" t="s">
        <v>24</v>
      </c>
      <c r="S124" s="1520" t="s">
        <v>25</v>
      </c>
      <c r="T124" s="1520" t="s">
        <v>26</v>
      </c>
      <c r="U124" s="1520" t="s">
        <v>27</v>
      </c>
      <c r="V124" s="1520" t="s">
        <v>28</v>
      </c>
      <c r="W124" s="1521" t="s">
        <v>29</v>
      </c>
      <c r="AC124" s="3"/>
      <c r="AD124" s="3"/>
    </row>
    <row r="125" spans="2:30">
      <c r="B125" s="176"/>
      <c r="C125" s="1806"/>
      <c r="D125" s="464" t="s">
        <v>31</v>
      </c>
      <c r="E125" s="1806"/>
      <c r="F125" s="1523" t="s">
        <v>32</v>
      </c>
      <c r="G125" s="465" t="s">
        <v>33</v>
      </c>
      <c r="H125" s="465" t="s">
        <v>32</v>
      </c>
      <c r="I125" s="465" t="s">
        <v>33</v>
      </c>
      <c r="J125" s="1524" t="s">
        <v>34</v>
      </c>
      <c r="K125" s="1524" t="s">
        <v>34</v>
      </c>
      <c r="L125" s="1524" t="s">
        <v>35</v>
      </c>
      <c r="M125" s="1524" t="s">
        <v>35</v>
      </c>
      <c r="N125" s="1524" t="s">
        <v>36</v>
      </c>
      <c r="O125" s="1524" t="s">
        <v>37</v>
      </c>
      <c r="P125" s="466" t="s">
        <v>38</v>
      </c>
      <c r="Q125" s="467"/>
      <c r="R125" s="1524" t="s">
        <v>39</v>
      </c>
      <c r="S125" s="1524"/>
      <c r="T125" s="1524" t="s">
        <v>40</v>
      </c>
      <c r="U125" s="1524" t="s">
        <v>41</v>
      </c>
      <c r="V125" s="1524" t="s">
        <v>41</v>
      </c>
      <c r="W125" s="1524" t="s">
        <v>42</v>
      </c>
      <c r="AC125" s="3"/>
      <c r="AD125" s="3"/>
    </row>
    <row r="126" spans="2:30">
      <c r="B126" s="1792" t="s">
        <v>1372</v>
      </c>
      <c r="C126" s="184"/>
      <c r="D126" s="185"/>
      <c r="E126" s="113"/>
      <c r="F126" s="39"/>
      <c r="G126" s="40"/>
      <c r="H126" s="39"/>
      <c r="I126" s="40"/>
      <c r="J126" s="41"/>
      <c r="K126" s="40"/>
      <c r="L126" s="41"/>
      <c r="M126" s="41"/>
      <c r="N126" s="42"/>
      <c r="O126" s="41"/>
      <c r="P126" s="327"/>
      <c r="Q126" s="45"/>
      <c r="R126" s="41"/>
      <c r="S126" s="41"/>
      <c r="T126" s="41"/>
      <c r="U126" s="41"/>
      <c r="V126" s="41"/>
      <c r="W126" s="41"/>
      <c r="AC126" s="3"/>
      <c r="AD126" s="3"/>
    </row>
    <row r="127" spans="2:30">
      <c r="B127" s="1792"/>
      <c r="C127" s="38">
        <f t="shared" ref="C127" si="48">+C126</f>
        <v>0</v>
      </c>
      <c r="D127" s="39">
        <v>187</v>
      </c>
      <c r="E127" s="113" t="s">
        <v>231</v>
      </c>
      <c r="F127" s="39">
        <v>126</v>
      </c>
      <c r="G127" s="40">
        <v>12.9</v>
      </c>
      <c r="H127" s="39">
        <v>132</v>
      </c>
      <c r="I127" s="40">
        <v>12.12</v>
      </c>
      <c r="J127" s="41">
        <f t="shared" ref="J127" si="49">IF(F127="","",((H127-F127)*20)+I127-G127)</f>
        <v>119.22</v>
      </c>
      <c r="K127" s="40">
        <v>10.83</v>
      </c>
      <c r="L127" s="41"/>
      <c r="M127" s="41">
        <f t="shared" ref="M127" si="50">+J127*K127+L127</f>
        <v>1291.1525999999999</v>
      </c>
      <c r="N127" s="42">
        <v>10</v>
      </c>
      <c r="O127" s="41">
        <f t="shared" ref="O127" si="51">IF(F127="","",M127*N127/100)</f>
        <v>129.11525999999998</v>
      </c>
      <c r="P127" s="142">
        <v>2.2480000000000002</v>
      </c>
      <c r="Q127" s="45" t="s">
        <v>70</v>
      </c>
      <c r="R127" s="41">
        <f t="shared" ref="R127" si="52">+P127*O127</f>
        <v>290.25110447999998</v>
      </c>
      <c r="S127" s="41">
        <v>0.04</v>
      </c>
      <c r="T127" s="41">
        <f t="shared" ref="T127" si="53">IF(F127="","",IF(D127&gt;H127,((D127-H127)*0.02),IF(D127&lt;F127,((F127-D127)*0.02),IF(F127="","",0))))</f>
        <v>1.1000000000000001</v>
      </c>
      <c r="U127" s="41">
        <f t="shared" ref="U127" si="54">IF(F127="","",IF(D127&gt;H127,((((H127-F127)*20)+I127-G127)/2000),IF(D127&gt;F127,((((D127-F127)*0.02)^2)+(((H127-D127)*0.02)^2))/(2*((H127-F127)*0.02)),((((H127-F127)*20)+I127-G127)/2000))))</f>
        <v>5.9609999999999996E-2</v>
      </c>
      <c r="V127" s="41">
        <f t="shared" ref="V127" si="55">IF(F127="","",S127+T127+U127)</f>
        <v>1.1996100000000001</v>
      </c>
      <c r="W127" s="41">
        <f>IF(F127="","",O127*V127*1.48)</f>
        <v>229.23417643192798</v>
      </c>
      <c r="AC127" s="3"/>
      <c r="AD127" s="3"/>
    </row>
    <row r="128" spans="2:30">
      <c r="B128" s="1792"/>
      <c r="C128" s="184"/>
      <c r="D128" s="185"/>
      <c r="E128" s="113"/>
      <c r="F128" s="39"/>
      <c r="G128" s="40"/>
      <c r="H128" s="39"/>
      <c r="I128" s="40"/>
      <c r="J128" s="41"/>
      <c r="K128" s="40"/>
      <c r="L128" s="41"/>
      <c r="M128" s="41"/>
      <c r="N128" s="42"/>
      <c r="O128" s="41"/>
      <c r="P128" s="142"/>
      <c r="Q128" s="45"/>
      <c r="R128" s="41"/>
      <c r="S128" s="41"/>
      <c r="T128" s="41"/>
      <c r="U128" s="41"/>
      <c r="V128" s="41"/>
      <c r="W128" s="41"/>
      <c r="AC128" s="3"/>
      <c r="AD128" s="3"/>
    </row>
    <row r="129" spans="2:30">
      <c r="B129" s="47"/>
      <c r="C129" s="38"/>
      <c r="D129" s="39"/>
      <c r="E129" s="113" t="s">
        <v>240</v>
      </c>
      <c r="F129" s="39">
        <v>170</v>
      </c>
      <c r="G129" s="40">
        <v>12.12</v>
      </c>
      <c r="H129" s="39">
        <v>176</v>
      </c>
      <c r="I129" s="40">
        <v>12.12</v>
      </c>
      <c r="J129" s="41">
        <f t="shared" ref="J129" si="56">IF(F129="","",((H129-F129)*20)+I129-G129)</f>
        <v>120</v>
      </c>
      <c r="K129" s="40"/>
      <c r="L129" s="41">
        <v>1668</v>
      </c>
      <c r="M129" s="41">
        <f t="shared" ref="M129" si="57">+J129*K129+L129</f>
        <v>1668</v>
      </c>
      <c r="N129" s="42">
        <v>10</v>
      </c>
      <c r="O129" s="41">
        <f t="shared" ref="O129" si="58">IF(F129="","",M129*N129/100)</f>
        <v>166.8</v>
      </c>
      <c r="P129" s="142">
        <v>2.2480000000000002</v>
      </c>
      <c r="Q129" s="45" t="s">
        <v>70</v>
      </c>
      <c r="R129" s="41">
        <f t="shared" ref="R129" si="59">+P129*O129</f>
        <v>374.96640000000008</v>
      </c>
      <c r="S129" s="41">
        <v>0.04</v>
      </c>
      <c r="T129" s="41">
        <f t="shared" ref="T129" si="60">IF(F129="","",IF(D129&gt;H129,((D129-H129)*0.02),IF(D129&lt;F129,((F129-D129)*0.02),IF(F129="","",0))))</f>
        <v>3.4</v>
      </c>
      <c r="U129" s="41">
        <f t="shared" ref="U129" si="61">IF(F129="","",IF(D129&gt;H129,((((H129-F129)*20)+I129-G129)/2000),IF(D129&gt;F129,((((D129-F129)*0.02)^2)+(((H129-D129)*0.02)^2))/(2*((H129-F129)*0.02)),((((H129-F129)*20)+I129-G129)/2000))))</f>
        <v>0.06</v>
      </c>
      <c r="V129" s="41">
        <f t="shared" ref="V129" si="62">IF(F129="","",S129+T129+U129)</f>
        <v>3.5</v>
      </c>
      <c r="W129" s="41">
        <f>IF(F129="","",O129*V129*1.48)</f>
        <v>864.02400000000011</v>
      </c>
      <c r="AC129" s="3"/>
      <c r="AD129" s="3"/>
    </row>
    <row r="130" spans="2:30">
      <c r="B130" s="48"/>
      <c r="C130" s="38"/>
      <c r="D130" s="39"/>
      <c r="E130" s="113"/>
      <c r="F130" s="39"/>
      <c r="G130" s="40"/>
      <c r="H130" s="39"/>
      <c r="I130" s="40"/>
      <c r="J130" s="41"/>
      <c r="K130" s="40"/>
      <c r="L130" s="40"/>
      <c r="M130" s="41"/>
      <c r="N130" s="42"/>
      <c r="O130" s="41"/>
      <c r="P130" s="327"/>
      <c r="Q130" s="45"/>
      <c r="R130" s="41"/>
      <c r="S130" s="41"/>
      <c r="T130" s="41"/>
      <c r="U130" s="41"/>
      <c r="V130" s="41"/>
      <c r="W130" s="41"/>
      <c r="AC130" s="456" t="s">
        <v>1373</v>
      </c>
      <c r="AD130" s="456"/>
    </row>
    <row r="131" spans="2:30">
      <c r="B131" s="48"/>
      <c r="C131" s="184"/>
      <c r="D131" s="185"/>
      <c r="E131" s="193"/>
      <c r="F131" s="185"/>
      <c r="G131" s="186"/>
      <c r="H131" s="185"/>
      <c r="I131" s="186"/>
      <c r="J131" s="187"/>
      <c r="K131" s="186"/>
      <c r="L131" s="186"/>
      <c r="M131" s="187"/>
      <c r="N131" s="188"/>
      <c r="O131" s="187"/>
      <c r="P131" s="326"/>
      <c r="Q131" s="191"/>
      <c r="R131" s="187"/>
      <c r="S131" s="187"/>
      <c r="T131" s="187"/>
      <c r="U131" s="187"/>
      <c r="V131" s="187"/>
      <c r="W131" s="187"/>
      <c r="AC131" s="3"/>
      <c r="AD131" s="3"/>
    </row>
    <row r="132" spans="2:30">
      <c r="B132" s="48"/>
      <c r="C132" s="38"/>
      <c r="D132" s="39"/>
      <c r="E132" s="113"/>
      <c r="F132" s="39"/>
      <c r="G132" s="40"/>
      <c r="H132" s="39"/>
      <c r="I132" s="40"/>
      <c r="J132" s="41"/>
      <c r="K132" s="40"/>
      <c r="L132" s="40"/>
      <c r="M132" s="41"/>
      <c r="N132" s="42"/>
      <c r="O132" s="41"/>
      <c r="P132" s="327"/>
      <c r="Q132" s="45"/>
      <c r="R132" s="41"/>
      <c r="S132" s="41"/>
      <c r="T132" s="41"/>
      <c r="U132" s="41"/>
      <c r="V132" s="41"/>
      <c r="W132" s="41"/>
    </row>
    <row r="133" spans="2:30">
      <c r="B133" s="48"/>
      <c r="C133" s="184"/>
      <c r="D133" s="185"/>
      <c r="E133" s="193"/>
      <c r="F133" s="185"/>
      <c r="G133" s="186"/>
      <c r="H133" s="185"/>
      <c r="I133" s="186"/>
      <c r="J133" s="187"/>
      <c r="K133" s="186"/>
      <c r="L133" s="186"/>
      <c r="M133" s="187"/>
      <c r="N133" s="188"/>
      <c r="O133" s="187"/>
      <c r="P133" s="326"/>
      <c r="Q133" s="191"/>
      <c r="R133" s="187"/>
      <c r="S133" s="187"/>
      <c r="T133" s="187"/>
      <c r="U133" s="187"/>
      <c r="V133" s="187"/>
      <c r="W133" s="187"/>
    </row>
    <row r="134" spans="2:30">
      <c r="B134" s="48"/>
      <c r="C134" s="38"/>
      <c r="D134" s="39"/>
      <c r="E134" s="113"/>
      <c r="F134" s="39"/>
      <c r="G134" s="40"/>
      <c r="H134" s="39"/>
      <c r="I134" s="40"/>
      <c r="J134" s="41"/>
      <c r="K134" s="40"/>
      <c r="L134" s="40"/>
      <c r="M134" s="41"/>
      <c r="N134" s="42"/>
      <c r="O134" s="41"/>
      <c r="P134" s="327"/>
      <c r="Q134" s="45"/>
      <c r="R134" s="41"/>
      <c r="S134" s="41"/>
      <c r="T134" s="41"/>
      <c r="U134" s="41"/>
      <c r="V134" s="41"/>
      <c r="W134" s="41"/>
    </row>
    <row r="135" spans="2:30">
      <c r="B135" s="48"/>
      <c r="C135" s="184"/>
      <c r="D135" s="185"/>
      <c r="E135" s="193"/>
      <c r="F135" s="185"/>
      <c r="G135" s="186"/>
      <c r="H135" s="185"/>
      <c r="I135" s="186"/>
      <c r="J135" s="187"/>
      <c r="K135" s="186"/>
      <c r="L135" s="186"/>
      <c r="M135" s="187"/>
      <c r="N135" s="188"/>
      <c r="O135" s="187"/>
      <c r="P135" s="326"/>
      <c r="Q135" s="191"/>
      <c r="R135" s="187"/>
      <c r="S135" s="187"/>
      <c r="T135" s="187"/>
      <c r="U135" s="187"/>
      <c r="V135" s="187"/>
      <c r="W135" s="187"/>
    </row>
    <row r="136" spans="2:30">
      <c r="B136" s="48"/>
      <c r="C136" s="38"/>
      <c r="D136" s="39"/>
      <c r="E136" s="113"/>
      <c r="F136" s="39"/>
      <c r="G136" s="40"/>
      <c r="H136" s="39"/>
      <c r="I136" s="40"/>
      <c r="J136" s="41"/>
      <c r="K136" s="40"/>
      <c r="L136" s="40"/>
      <c r="M136" s="41" t="str">
        <f>IF(F136="","",(J136*K136)+L136+#REF!)</f>
        <v/>
      </c>
      <c r="N136" s="42" t="s">
        <v>67</v>
      </c>
      <c r="O136" s="41" t="str">
        <f>IF(F136="","",M136*N136/100)</f>
        <v/>
      </c>
      <c r="P136" s="327"/>
      <c r="Q136" s="45"/>
      <c r="R136" s="41"/>
      <c r="S136" s="41" t="s">
        <v>67</v>
      </c>
      <c r="T136" s="41" t="str">
        <f>IF(F136="","",IF(D136&gt;H136,((D136-H136)*0.02),IF(D136&lt;F136,((F136-D136)*0.02),IF(F136="","",0))))</f>
        <v/>
      </c>
      <c r="U136" s="41" t="str">
        <f>IF(F136="","",IF(D136&gt;H136,((((H136-F136)*20)+I136-G136)/2000),IF(D136&gt;F136,((((D136-F136)*0.02)^2)+(((H136-D136)*0.02)^2))/(2*((H136-F136)*0.02)),((((H136-F136)*20)+I136-G136)/2000))))</f>
        <v/>
      </c>
      <c r="V136" s="41" t="str">
        <f>IF(F136="","",S136+T136+U136)</f>
        <v/>
      </c>
      <c r="W136" s="41" t="str">
        <f>IF(F136="","",O136*V136)</f>
        <v/>
      </c>
    </row>
    <row r="137" spans="2:30">
      <c r="B137" s="48"/>
      <c r="C137" s="1807"/>
      <c r="D137" s="1793"/>
      <c r="E137" s="1793"/>
      <c r="F137" s="1793"/>
      <c r="G137" s="1793"/>
      <c r="H137" s="1793"/>
      <c r="I137" s="1794"/>
      <c r="J137" s="114">
        <f>SUM(J126:J136)</f>
        <v>239.22</v>
      </c>
      <c r="K137" s="179"/>
      <c r="L137" s="115"/>
      <c r="M137" s="114">
        <f>SUM(M126:M136)</f>
        <v>2959.1525999999999</v>
      </c>
      <c r="N137" s="180"/>
      <c r="O137" s="114">
        <f>SUM(O126:O136)</f>
        <v>295.91525999999999</v>
      </c>
      <c r="P137" s="1528"/>
      <c r="Q137" s="1529"/>
      <c r="R137" s="114">
        <f>SUM(R126:R136)</f>
        <v>665.21750448000012</v>
      </c>
      <c r="S137" s="328" t="s">
        <v>44</v>
      </c>
      <c r="T137" s="329"/>
      <c r="U137" s="116">
        <f>W137/(O137*1.48)</f>
        <v>2.4962820675371731</v>
      </c>
      <c r="V137" s="1529" t="s">
        <v>45</v>
      </c>
      <c r="W137" s="1529">
        <f>SUM(W126:W136)</f>
        <v>1093.2581764319282</v>
      </c>
    </row>
    <row r="138" spans="2:30">
      <c r="B138" s="72"/>
      <c r="C138" s="73"/>
      <c r="D138" s="73"/>
      <c r="E138" s="73"/>
      <c r="F138" s="73"/>
      <c r="G138" s="73"/>
      <c r="H138" s="73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5"/>
      <c r="Z138" s="107">
        <f>O137*1.48*U137</f>
        <v>1093.2581764319282</v>
      </c>
    </row>
    <row r="139" spans="2:30">
      <c r="B139" s="1795" t="s">
        <v>232</v>
      </c>
      <c r="C139" s="1796"/>
      <c r="D139" s="1796"/>
      <c r="E139" s="1796"/>
      <c r="F139" s="1796"/>
      <c r="G139" s="1796"/>
      <c r="H139" s="1796"/>
      <c r="I139" s="1796"/>
      <c r="J139" s="1796"/>
      <c r="K139" s="1796"/>
      <c r="L139" s="1796"/>
      <c r="M139" s="1796"/>
      <c r="N139" s="1796"/>
      <c r="O139" s="1796"/>
      <c r="P139" s="1796"/>
      <c r="Q139" s="1796"/>
      <c r="R139" s="1796"/>
      <c r="S139" s="1796"/>
      <c r="T139" s="1796"/>
      <c r="U139" s="1796"/>
      <c r="V139" s="1796"/>
      <c r="W139" s="1797"/>
      <c r="Y139" s="107">
        <f>O137*1.48*U138</f>
        <v>0</v>
      </c>
    </row>
    <row r="140" spans="2:30">
      <c r="B140" s="1798"/>
      <c r="C140" s="1799"/>
      <c r="D140" s="1799"/>
      <c r="E140" s="1799"/>
      <c r="F140" s="1799"/>
      <c r="G140" s="1799"/>
      <c r="H140" s="1799"/>
      <c r="I140" s="1799"/>
      <c r="J140" s="1799"/>
      <c r="K140" s="1799"/>
      <c r="L140" s="1799"/>
      <c r="M140" s="1799"/>
      <c r="N140" s="1799"/>
      <c r="O140" s="1799"/>
      <c r="P140" s="1799"/>
      <c r="Q140" s="1799"/>
      <c r="R140" s="1799"/>
      <c r="S140" s="1799"/>
      <c r="T140" s="1799"/>
      <c r="U140" s="1799"/>
      <c r="V140" s="1799"/>
      <c r="W140" s="1800"/>
    </row>
    <row r="142" spans="2:30">
      <c r="O142" s="1579">
        <f>O117+O137</f>
        <v>2137.4799599999997</v>
      </c>
      <c r="U142" s="109">
        <f>W142/(O142*1.48)</f>
        <v>1.8715189195802335</v>
      </c>
      <c r="W142" s="1579">
        <f>W117+W137</f>
        <v>5920.4945943381281</v>
      </c>
    </row>
    <row r="143" spans="2:30">
      <c r="R143" s="3">
        <f>O142*1.48</f>
        <v>3163.4703407999996</v>
      </c>
    </row>
    <row r="144" spans="2:30">
      <c r="R144" s="3">
        <f>R143*U142</f>
        <v>5920.4945943381281</v>
      </c>
    </row>
    <row r="146" spans="3:23">
      <c r="O146" s="335">
        <f>O111+O112</f>
        <v>776.82999999999993</v>
      </c>
      <c r="W146" s="335"/>
    </row>
    <row r="147" spans="3:23">
      <c r="O147" s="335">
        <f>AC119-O146</f>
        <v>143.97400000000016</v>
      </c>
    </row>
    <row r="149" spans="3:23">
      <c r="J149" s="335">
        <f>J98+J137</f>
        <v>1165.22</v>
      </c>
    </row>
    <row r="152" spans="3:23">
      <c r="C152" s="38">
        <f t="shared" ref="C152" si="63">+C151</f>
        <v>0</v>
      </c>
      <c r="D152" s="39">
        <v>187</v>
      </c>
      <c r="E152" s="113" t="s">
        <v>231</v>
      </c>
      <c r="F152" s="39">
        <v>120</v>
      </c>
      <c r="G152" s="40">
        <v>0</v>
      </c>
      <c r="H152" s="39">
        <v>126</v>
      </c>
      <c r="I152" s="40">
        <v>12.9</v>
      </c>
      <c r="J152" s="450">
        <f t="shared" ref="J152" si="64">IF(F152="","",((H152-F152)*20)+I152-G152)</f>
        <v>132.9</v>
      </c>
      <c r="K152" s="453">
        <v>10.83</v>
      </c>
      <c r="L152" s="450"/>
      <c r="M152" s="450">
        <f t="shared" ref="M152" si="65">+J152*K152+L152</f>
        <v>1439.307</v>
      </c>
      <c r="N152" s="1572">
        <v>10</v>
      </c>
      <c r="O152" s="450">
        <f t="shared" ref="O152" si="66">IF(F152="","",M152*N152/100)</f>
        <v>143.9307</v>
      </c>
      <c r="P152" s="1575">
        <v>2.2999999999999998</v>
      </c>
      <c r="Q152" s="1574" t="s">
        <v>70</v>
      </c>
      <c r="R152" s="450">
        <f t="shared" ref="R152" si="67">+P152*O152</f>
        <v>331.04060999999996</v>
      </c>
      <c r="S152" s="450">
        <v>0.04</v>
      </c>
      <c r="T152" s="450">
        <f t="shared" ref="T152" si="68">IF(F152="","",IF(D152&gt;H152,((D152-H152)*0.02),IF(D152&lt;F152,((F152-D152)*0.02),IF(F152="","",0))))</f>
        <v>1.22</v>
      </c>
      <c r="U152" s="450">
        <f t="shared" ref="U152" si="69">IF(F152="","",IF(D152&gt;H152,((((H152-F152)*20)+I152-G152)/2000),IF(D152&gt;F152,((((D152-F152)*0.02)^2)+(((H152-D152)*0.02)^2))/(2*((H152-F152)*0.02)),((((H152-F152)*20)+I152-G152)/2000))))</f>
        <v>6.6450000000000009E-2</v>
      </c>
      <c r="V152" s="450">
        <f t="shared" ref="V152" si="70">IF(F152="","",S152+T152+U152)</f>
        <v>1.3264499999999999</v>
      </c>
      <c r="W152" s="450">
        <f t="shared" ref="W152" si="71">IF(F152="","",O152*V152)</f>
        <v>190.91687701499998</v>
      </c>
    </row>
  </sheetData>
  <mergeCells count="37">
    <mergeCell ref="B106:B112"/>
    <mergeCell ref="B139:W140"/>
    <mergeCell ref="B119:W120"/>
    <mergeCell ref="C123:D123"/>
    <mergeCell ref="E123:E125"/>
    <mergeCell ref="C124:C125"/>
    <mergeCell ref="B126:B128"/>
    <mergeCell ref="C137:I137"/>
    <mergeCell ref="C117:I117"/>
    <mergeCell ref="C98:I98"/>
    <mergeCell ref="C103:D103"/>
    <mergeCell ref="E103:E105"/>
    <mergeCell ref="C104:C105"/>
    <mergeCell ref="Y41:Y55"/>
    <mergeCell ref="C42:C43"/>
    <mergeCell ref="Y62:Y76"/>
    <mergeCell ref="C77:I77"/>
    <mergeCell ref="C83:D83"/>
    <mergeCell ref="E83:E85"/>
    <mergeCell ref="Y83:Y97"/>
    <mergeCell ref="C84:C85"/>
    <mergeCell ref="B44:B47"/>
    <mergeCell ref="B86:B89"/>
    <mergeCell ref="B58:W59"/>
    <mergeCell ref="C62:D62"/>
    <mergeCell ref="E62:E64"/>
    <mergeCell ref="C63:C64"/>
    <mergeCell ref="B65:B68"/>
    <mergeCell ref="C56:I56"/>
    <mergeCell ref="B34:W35"/>
    <mergeCell ref="C41:D41"/>
    <mergeCell ref="E41:E43"/>
    <mergeCell ref="C2:D2"/>
    <mergeCell ref="E2:E4"/>
    <mergeCell ref="C3:C4"/>
    <mergeCell ref="B5:B7"/>
    <mergeCell ref="C32:I32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7EB6-EC0A-4D48-8D9F-E39584D1F039}">
  <sheetPr>
    <tabColor rgb="FF00FF00"/>
  </sheetPr>
  <dimension ref="A1:AI52"/>
  <sheetViews>
    <sheetView zoomScale="75" zoomScaleNormal="75" zoomScaleSheetLayoutView="70" workbookViewId="0">
      <selection activeCell="M45" sqref="M45"/>
    </sheetView>
  </sheetViews>
  <sheetFormatPr defaultColWidth="11.42578125" defaultRowHeight="12.75"/>
  <cols>
    <col min="1" max="1" width="1.7109375" style="107" customWidth="1"/>
    <col min="2" max="2" width="21.140625" style="3" bestFit="1" customWidth="1"/>
    <col min="3" max="3" width="16.7109375" style="3" customWidth="1"/>
    <col min="4" max="4" width="8.5703125" style="3" customWidth="1"/>
    <col min="5" max="5" width="27.7109375" style="3" customWidth="1"/>
    <col min="6" max="9" width="6.7109375" style="3" customWidth="1"/>
    <col min="10" max="10" width="11.5703125" style="3" customWidth="1"/>
    <col min="11" max="11" width="6.28515625" style="3" customWidth="1"/>
    <col min="12" max="12" width="12.85546875" style="3" customWidth="1"/>
    <col min="13" max="13" width="13.42578125" style="3" bestFit="1" customWidth="1"/>
    <col min="14" max="14" width="5.28515625" style="3" customWidth="1"/>
    <col min="15" max="15" width="6" style="3" bestFit="1" customWidth="1"/>
    <col min="16" max="16" width="8.42578125" style="3" customWidth="1"/>
    <col min="17" max="17" width="9.140625" style="3" bestFit="1" customWidth="1"/>
    <col min="18" max="18" width="6.85546875" style="3" customWidth="1"/>
    <col min="19" max="19" width="10.28515625" style="3" customWidth="1"/>
    <col min="20" max="20" width="8" style="3" bestFit="1" customWidth="1"/>
    <col min="21" max="21" width="6.85546875" style="3" customWidth="1"/>
    <col min="22" max="22" width="12.140625" style="3" customWidth="1"/>
    <col min="23" max="23" width="1.7109375" style="107" customWidth="1"/>
    <col min="24" max="29" width="11.42578125" style="3"/>
    <col min="30" max="34" width="11.42578125" style="107"/>
    <col min="35" max="255" width="11.42578125" style="3"/>
    <col min="256" max="256" width="23.7109375" style="3" customWidth="1"/>
    <col min="257" max="257" width="0" style="3" hidden="1" customWidth="1"/>
    <col min="258" max="258" width="41.42578125" style="3" customWidth="1"/>
    <col min="259" max="259" width="19.140625" style="3" customWidth="1"/>
    <col min="260" max="260" width="6.28515625" style="3" customWidth="1"/>
    <col min="261" max="261" width="6" style="3" customWidth="1"/>
    <col min="262" max="262" width="7.42578125" style="3" customWidth="1"/>
    <col min="263" max="263" width="5.7109375" style="3" customWidth="1"/>
    <col min="264" max="264" width="5.28515625" style="3" customWidth="1"/>
    <col min="265" max="265" width="10" style="3" customWidth="1"/>
    <col min="266" max="266" width="6.28515625" style="3" customWidth="1"/>
    <col min="267" max="267" width="8.28515625" style="3" customWidth="1"/>
    <col min="268" max="268" width="12.42578125" style="3" customWidth="1"/>
    <col min="269" max="269" width="5.28515625" style="3" customWidth="1"/>
    <col min="270" max="270" width="10.85546875" style="3" customWidth="1"/>
    <col min="271" max="271" width="4.85546875" style="3" customWidth="1"/>
    <col min="272" max="272" width="5.140625" style="3" customWidth="1"/>
    <col min="273" max="273" width="10.5703125" style="3" customWidth="1"/>
    <col min="274" max="274" width="6.28515625" style="3" customWidth="1"/>
    <col min="275" max="275" width="6.5703125" style="3" customWidth="1"/>
    <col min="276" max="276" width="7.42578125" style="3" customWidth="1"/>
    <col min="277" max="277" width="6.85546875" style="3" customWidth="1"/>
    <col min="278" max="278" width="10.7109375" style="3" customWidth="1"/>
    <col min="279" max="279" width="5.140625" style="3" customWidth="1"/>
    <col min="280" max="511" width="11.42578125" style="3"/>
    <col min="512" max="512" width="23.7109375" style="3" customWidth="1"/>
    <col min="513" max="513" width="0" style="3" hidden="1" customWidth="1"/>
    <col min="514" max="514" width="41.42578125" style="3" customWidth="1"/>
    <col min="515" max="515" width="19.140625" style="3" customWidth="1"/>
    <col min="516" max="516" width="6.28515625" style="3" customWidth="1"/>
    <col min="517" max="517" width="6" style="3" customWidth="1"/>
    <col min="518" max="518" width="7.42578125" style="3" customWidth="1"/>
    <col min="519" max="519" width="5.7109375" style="3" customWidth="1"/>
    <col min="520" max="520" width="5.28515625" style="3" customWidth="1"/>
    <col min="521" max="521" width="10" style="3" customWidth="1"/>
    <col min="522" max="522" width="6.28515625" style="3" customWidth="1"/>
    <col min="523" max="523" width="8.28515625" style="3" customWidth="1"/>
    <col min="524" max="524" width="12.42578125" style="3" customWidth="1"/>
    <col min="525" max="525" width="5.28515625" style="3" customWidth="1"/>
    <col min="526" max="526" width="10.85546875" style="3" customWidth="1"/>
    <col min="527" max="527" width="4.85546875" style="3" customWidth="1"/>
    <col min="528" max="528" width="5.140625" style="3" customWidth="1"/>
    <col min="529" max="529" width="10.5703125" style="3" customWidth="1"/>
    <col min="530" max="530" width="6.28515625" style="3" customWidth="1"/>
    <col min="531" max="531" width="6.5703125" style="3" customWidth="1"/>
    <col min="532" max="532" width="7.42578125" style="3" customWidth="1"/>
    <col min="533" max="533" width="6.85546875" style="3" customWidth="1"/>
    <col min="534" max="534" width="10.7109375" style="3" customWidth="1"/>
    <col min="535" max="535" width="5.140625" style="3" customWidth="1"/>
    <col min="536" max="767" width="11.42578125" style="3"/>
    <col min="768" max="768" width="23.7109375" style="3" customWidth="1"/>
    <col min="769" max="769" width="0" style="3" hidden="1" customWidth="1"/>
    <col min="770" max="770" width="41.42578125" style="3" customWidth="1"/>
    <col min="771" max="771" width="19.140625" style="3" customWidth="1"/>
    <col min="772" max="772" width="6.28515625" style="3" customWidth="1"/>
    <col min="773" max="773" width="6" style="3" customWidth="1"/>
    <col min="774" max="774" width="7.42578125" style="3" customWidth="1"/>
    <col min="775" max="775" width="5.7109375" style="3" customWidth="1"/>
    <col min="776" max="776" width="5.28515625" style="3" customWidth="1"/>
    <col min="777" max="777" width="10" style="3" customWidth="1"/>
    <col min="778" max="778" width="6.28515625" style="3" customWidth="1"/>
    <col min="779" max="779" width="8.28515625" style="3" customWidth="1"/>
    <col min="780" max="780" width="12.42578125" style="3" customWidth="1"/>
    <col min="781" max="781" width="5.28515625" style="3" customWidth="1"/>
    <col min="782" max="782" width="10.85546875" style="3" customWidth="1"/>
    <col min="783" max="783" width="4.85546875" style="3" customWidth="1"/>
    <col min="784" max="784" width="5.140625" style="3" customWidth="1"/>
    <col min="785" max="785" width="10.5703125" style="3" customWidth="1"/>
    <col min="786" max="786" width="6.28515625" style="3" customWidth="1"/>
    <col min="787" max="787" width="6.5703125" style="3" customWidth="1"/>
    <col min="788" max="788" width="7.42578125" style="3" customWidth="1"/>
    <col min="789" max="789" width="6.85546875" style="3" customWidth="1"/>
    <col min="790" max="790" width="10.7109375" style="3" customWidth="1"/>
    <col min="791" max="791" width="5.140625" style="3" customWidth="1"/>
    <col min="792" max="1023" width="11.42578125" style="3"/>
    <col min="1024" max="1024" width="23.7109375" style="3" customWidth="1"/>
    <col min="1025" max="1025" width="0" style="3" hidden="1" customWidth="1"/>
    <col min="1026" max="1026" width="41.42578125" style="3" customWidth="1"/>
    <col min="1027" max="1027" width="19.140625" style="3" customWidth="1"/>
    <col min="1028" max="1028" width="6.28515625" style="3" customWidth="1"/>
    <col min="1029" max="1029" width="6" style="3" customWidth="1"/>
    <col min="1030" max="1030" width="7.42578125" style="3" customWidth="1"/>
    <col min="1031" max="1031" width="5.7109375" style="3" customWidth="1"/>
    <col min="1032" max="1032" width="5.28515625" style="3" customWidth="1"/>
    <col min="1033" max="1033" width="10" style="3" customWidth="1"/>
    <col min="1034" max="1034" width="6.28515625" style="3" customWidth="1"/>
    <col min="1035" max="1035" width="8.28515625" style="3" customWidth="1"/>
    <col min="1036" max="1036" width="12.42578125" style="3" customWidth="1"/>
    <col min="1037" max="1037" width="5.28515625" style="3" customWidth="1"/>
    <col min="1038" max="1038" width="10.85546875" style="3" customWidth="1"/>
    <col min="1039" max="1039" width="4.85546875" style="3" customWidth="1"/>
    <col min="1040" max="1040" width="5.140625" style="3" customWidth="1"/>
    <col min="1041" max="1041" width="10.5703125" style="3" customWidth="1"/>
    <col min="1042" max="1042" width="6.28515625" style="3" customWidth="1"/>
    <col min="1043" max="1043" width="6.5703125" style="3" customWidth="1"/>
    <col min="1044" max="1044" width="7.42578125" style="3" customWidth="1"/>
    <col min="1045" max="1045" width="6.85546875" style="3" customWidth="1"/>
    <col min="1046" max="1046" width="10.7109375" style="3" customWidth="1"/>
    <col min="1047" max="1047" width="5.140625" style="3" customWidth="1"/>
    <col min="1048" max="1279" width="11.42578125" style="3"/>
    <col min="1280" max="1280" width="23.7109375" style="3" customWidth="1"/>
    <col min="1281" max="1281" width="0" style="3" hidden="1" customWidth="1"/>
    <col min="1282" max="1282" width="41.42578125" style="3" customWidth="1"/>
    <col min="1283" max="1283" width="19.140625" style="3" customWidth="1"/>
    <col min="1284" max="1284" width="6.28515625" style="3" customWidth="1"/>
    <col min="1285" max="1285" width="6" style="3" customWidth="1"/>
    <col min="1286" max="1286" width="7.42578125" style="3" customWidth="1"/>
    <col min="1287" max="1287" width="5.7109375" style="3" customWidth="1"/>
    <col min="1288" max="1288" width="5.28515625" style="3" customWidth="1"/>
    <col min="1289" max="1289" width="10" style="3" customWidth="1"/>
    <col min="1290" max="1290" width="6.28515625" style="3" customWidth="1"/>
    <col min="1291" max="1291" width="8.28515625" style="3" customWidth="1"/>
    <col min="1292" max="1292" width="12.42578125" style="3" customWidth="1"/>
    <col min="1293" max="1293" width="5.28515625" style="3" customWidth="1"/>
    <col min="1294" max="1294" width="10.85546875" style="3" customWidth="1"/>
    <col min="1295" max="1295" width="4.85546875" style="3" customWidth="1"/>
    <col min="1296" max="1296" width="5.140625" style="3" customWidth="1"/>
    <col min="1297" max="1297" width="10.5703125" style="3" customWidth="1"/>
    <col min="1298" max="1298" width="6.28515625" style="3" customWidth="1"/>
    <col min="1299" max="1299" width="6.5703125" style="3" customWidth="1"/>
    <col min="1300" max="1300" width="7.42578125" style="3" customWidth="1"/>
    <col min="1301" max="1301" width="6.85546875" style="3" customWidth="1"/>
    <col min="1302" max="1302" width="10.7109375" style="3" customWidth="1"/>
    <col min="1303" max="1303" width="5.140625" style="3" customWidth="1"/>
    <col min="1304" max="1535" width="11.42578125" style="3"/>
    <col min="1536" max="1536" width="23.7109375" style="3" customWidth="1"/>
    <col min="1537" max="1537" width="0" style="3" hidden="1" customWidth="1"/>
    <col min="1538" max="1538" width="41.42578125" style="3" customWidth="1"/>
    <col min="1539" max="1539" width="19.140625" style="3" customWidth="1"/>
    <col min="1540" max="1540" width="6.28515625" style="3" customWidth="1"/>
    <col min="1541" max="1541" width="6" style="3" customWidth="1"/>
    <col min="1542" max="1542" width="7.42578125" style="3" customWidth="1"/>
    <col min="1543" max="1543" width="5.7109375" style="3" customWidth="1"/>
    <col min="1544" max="1544" width="5.28515625" style="3" customWidth="1"/>
    <col min="1545" max="1545" width="10" style="3" customWidth="1"/>
    <col min="1546" max="1546" width="6.28515625" style="3" customWidth="1"/>
    <col min="1547" max="1547" width="8.28515625" style="3" customWidth="1"/>
    <col min="1548" max="1548" width="12.42578125" style="3" customWidth="1"/>
    <col min="1549" max="1549" width="5.28515625" style="3" customWidth="1"/>
    <col min="1550" max="1550" width="10.85546875" style="3" customWidth="1"/>
    <col min="1551" max="1551" width="4.85546875" style="3" customWidth="1"/>
    <col min="1552" max="1552" width="5.140625" style="3" customWidth="1"/>
    <col min="1553" max="1553" width="10.5703125" style="3" customWidth="1"/>
    <col min="1554" max="1554" width="6.28515625" style="3" customWidth="1"/>
    <col min="1555" max="1555" width="6.5703125" style="3" customWidth="1"/>
    <col min="1556" max="1556" width="7.42578125" style="3" customWidth="1"/>
    <col min="1557" max="1557" width="6.85546875" style="3" customWidth="1"/>
    <col min="1558" max="1558" width="10.7109375" style="3" customWidth="1"/>
    <col min="1559" max="1559" width="5.140625" style="3" customWidth="1"/>
    <col min="1560" max="1791" width="11.42578125" style="3"/>
    <col min="1792" max="1792" width="23.7109375" style="3" customWidth="1"/>
    <col min="1793" max="1793" width="0" style="3" hidden="1" customWidth="1"/>
    <col min="1794" max="1794" width="41.42578125" style="3" customWidth="1"/>
    <col min="1795" max="1795" width="19.140625" style="3" customWidth="1"/>
    <col min="1796" max="1796" width="6.28515625" style="3" customWidth="1"/>
    <col min="1797" max="1797" width="6" style="3" customWidth="1"/>
    <col min="1798" max="1798" width="7.42578125" style="3" customWidth="1"/>
    <col min="1799" max="1799" width="5.7109375" style="3" customWidth="1"/>
    <col min="1800" max="1800" width="5.28515625" style="3" customWidth="1"/>
    <col min="1801" max="1801" width="10" style="3" customWidth="1"/>
    <col min="1802" max="1802" width="6.28515625" style="3" customWidth="1"/>
    <col min="1803" max="1803" width="8.28515625" style="3" customWidth="1"/>
    <col min="1804" max="1804" width="12.42578125" style="3" customWidth="1"/>
    <col min="1805" max="1805" width="5.28515625" style="3" customWidth="1"/>
    <col min="1806" max="1806" width="10.85546875" style="3" customWidth="1"/>
    <col min="1807" max="1807" width="4.85546875" style="3" customWidth="1"/>
    <col min="1808" max="1808" width="5.140625" style="3" customWidth="1"/>
    <col min="1809" max="1809" width="10.5703125" style="3" customWidth="1"/>
    <col min="1810" max="1810" width="6.28515625" style="3" customWidth="1"/>
    <col min="1811" max="1811" width="6.5703125" style="3" customWidth="1"/>
    <col min="1812" max="1812" width="7.42578125" style="3" customWidth="1"/>
    <col min="1813" max="1813" width="6.85546875" style="3" customWidth="1"/>
    <col min="1814" max="1814" width="10.7109375" style="3" customWidth="1"/>
    <col min="1815" max="1815" width="5.140625" style="3" customWidth="1"/>
    <col min="1816" max="2047" width="11.42578125" style="3"/>
    <col min="2048" max="2048" width="23.7109375" style="3" customWidth="1"/>
    <col min="2049" max="2049" width="0" style="3" hidden="1" customWidth="1"/>
    <col min="2050" max="2050" width="41.42578125" style="3" customWidth="1"/>
    <col min="2051" max="2051" width="19.140625" style="3" customWidth="1"/>
    <col min="2052" max="2052" width="6.28515625" style="3" customWidth="1"/>
    <col min="2053" max="2053" width="6" style="3" customWidth="1"/>
    <col min="2054" max="2054" width="7.42578125" style="3" customWidth="1"/>
    <col min="2055" max="2055" width="5.7109375" style="3" customWidth="1"/>
    <col min="2056" max="2056" width="5.28515625" style="3" customWidth="1"/>
    <col min="2057" max="2057" width="10" style="3" customWidth="1"/>
    <col min="2058" max="2058" width="6.28515625" style="3" customWidth="1"/>
    <col min="2059" max="2059" width="8.28515625" style="3" customWidth="1"/>
    <col min="2060" max="2060" width="12.42578125" style="3" customWidth="1"/>
    <col min="2061" max="2061" width="5.28515625" style="3" customWidth="1"/>
    <col min="2062" max="2062" width="10.85546875" style="3" customWidth="1"/>
    <col min="2063" max="2063" width="4.85546875" style="3" customWidth="1"/>
    <col min="2064" max="2064" width="5.140625" style="3" customWidth="1"/>
    <col min="2065" max="2065" width="10.5703125" style="3" customWidth="1"/>
    <col min="2066" max="2066" width="6.28515625" style="3" customWidth="1"/>
    <col min="2067" max="2067" width="6.5703125" style="3" customWidth="1"/>
    <col min="2068" max="2068" width="7.42578125" style="3" customWidth="1"/>
    <col min="2069" max="2069" width="6.85546875" style="3" customWidth="1"/>
    <col min="2070" max="2070" width="10.7109375" style="3" customWidth="1"/>
    <col min="2071" max="2071" width="5.140625" style="3" customWidth="1"/>
    <col min="2072" max="2303" width="11.42578125" style="3"/>
    <col min="2304" max="2304" width="23.7109375" style="3" customWidth="1"/>
    <col min="2305" max="2305" width="0" style="3" hidden="1" customWidth="1"/>
    <col min="2306" max="2306" width="41.42578125" style="3" customWidth="1"/>
    <col min="2307" max="2307" width="19.140625" style="3" customWidth="1"/>
    <col min="2308" max="2308" width="6.28515625" style="3" customWidth="1"/>
    <col min="2309" max="2309" width="6" style="3" customWidth="1"/>
    <col min="2310" max="2310" width="7.42578125" style="3" customWidth="1"/>
    <col min="2311" max="2311" width="5.7109375" style="3" customWidth="1"/>
    <col min="2312" max="2312" width="5.28515625" style="3" customWidth="1"/>
    <col min="2313" max="2313" width="10" style="3" customWidth="1"/>
    <col min="2314" max="2314" width="6.28515625" style="3" customWidth="1"/>
    <col min="2315" max="2315" width="8.28515625" style="3" customWidth="1"/>
    <col min="2316" max="2316" width="12.42578125" style="3" customWidth="1"/>
    <col min="2317" max="2317" width="5.28515625" style="3" customWidth="1"/>
    <col min="2318" max="2318" width="10.85546875" style="3" customWidth="1"/>
    <col min="2319" max="2319" width="4.85546875" style="3" customWidth="1"/>
    <col min="2320" max="2320" width="5.140625" style="3" customWidth="1"/>
    <col min="2321" max="2321" width="10.5703125" style="3" customWidth="1"/>
    <col min="2322" max="2322" width="6.28515625" style="3" customWidth="1"/>
    <col min="2323" max="2323" width="6.5703125" style="3" customWidth="1"/>
    <col min="2324" max="2324" width="7.42578125" style="3" customWidth="1"/>
    <col min="2325" max="2325" width="6.85546875" style="3" customWidth="1"/>
    <col min="2326" max="2326" width="10.7109375" style="3" customWidth="1"/>
    <col min="2327" max="2327" width="5.140625" style="3" customWidth="1"/>
    <col min="2328" max="2559" width="11.42578125" style="3"/>
    <col min="2560" max="2560" width="23.7109375" style="3" customWidth="1"/>
    <col min="2561" max="2561" width="0" style="3" hidden="1" customWidth="1"/>
    <col min="2562" max="2562" width="41.42578125" style="3" customWidth="1"/>
    <col min="2563" max="2563" width="19.140625" style="3" customWidth="1"/>
    <col min="2564" max="2564" width="6.28515625" style="3" customWidth="1"/>
    <col min="2565" max="2565" width="6" style="3" customWidth="1"/>
    <col min="2566" max="2566" width="7.42578125" style="3" customWidth="1"/>
    <col min="2567" max="2567" width="5.7109375" style="3" customWidth="1"/>
    <col min="2568" max="2568" width="5.28515625" style="3" customWidth="1"/>
    <col min="2569" max="2569" width="10" style="3" customWidth="1"/>
    <col min="2570" max="2570" width="6.28515625" style="3" customWidth="1"/>
    <col min="2571" max="2571" width="8.28515625" style="3" customWidth="1"/>
    <col min="2572" max="2572" width="12.42578125" style="3" customWidth="1"/>
    <col min="2573" max="2573" width="5.28515625" style="3" customWidth="1"/>
    <col min="2574" max="2574" width="10.85546875" style="3" customWidth="1"/>
    <col min="2575" max="2575" width="4.85546875" style="3" customWidth="1"/>
    <col min="2576" max="2576" width="5.140625" style="3" customWidth="1"/>
    <col min="2577" max="2577" width="10.5703125" style="3" customWidth="1"/>
    <col min="2578" max="2578" width="6.28515625" style="3" customWidth="1"/>
    <col min="2579" max="2579" width="6.5703125" style="3" customWidth="1"/>
    <col min="2580" max="2580" width="7.42578125" style="3" customWidth="1"/>
    <col min="2581" max="2581" width="6.85546875" style="3" customWidth="1"/>
    <col min="2582" max="2582" width="10.7109375" style="3" customWidth="1"/>
    <col min="2583" max="2583" width="5.140625" style="3" customWidth="1"/>
    <col min="2584" max="2815" width="11.42578125" style="3"/>
    <col min="2816" max="2816" width="23.7109375" style="3" customWidth="1"/>
    <col min="2817" max="2817" width="0" style="3" hidden="1" customWidth="1"/>
    <col min="2818" max="2818" width="41.42578125" style="3" customWidth="1"/>
    <col min="2819" max="2819" width="19.140625" style="3" customWidth="1"/>
    <col min="2820" max="2820" width="6.28515625" style="3" customWidth="1"/>
    <col min="2821" max="2821" width="6" style="3" customWidth="1"/>
    <col min="2822" max="2822" width="7.42578125" style="3" customWidth="1"/>
    <col min="2823" max="2823" width="5.7109375" style="3" customWidth="1"/>
    <col min="2824" max="2824" width="5.28515625" style="3" customWidth="1"/>
    <col min="2825" max="2825" width="10" style="3" customWidth="1"/>
    <col min="2826" max="2826" width="6.28515625" style="3" customWidth="1"/>
    <col min="2827" max="2827" width="8.28515625" style="3" customWidth="1"/>
    <col min="2828" max="2828" width="12.42578125" style="3" customWidth="1"/>
    <col min="2829" max="2829" width="5.28515625" style="3" customWidth="1"/>
    <col min="2830" max="2830" width="10.85546875" style="3" customWidth="1"/>
    <col min="2831" max="2831" width="4.85546875" style="3" customWidth="1"/>
    <col min="2832" max="2832" width="5.140625" style="3" customWidth="1"/>
    <col min="2833" max="2833" width="10.5703125" style="3" customWidth="1"/>
    <col min="2834" max="2834" width="6.28515625" style="3" customWidth="1"/>
    <col min="2835" max="2835" width="6.5703125" style="3" customWidth="1"/>
    <col min="2836" max="2836" width="7.42578125" style="3" customWidth="1"/>
    <col min="2837" max="2837" width="6.85546875" style="3" customWidth="1"/>
    <col min="2838" max="2838" width="10.7109375" style="3" customWidth="1"/>
    <col min="2839" max="2839" width="5.140625" style="3" customWidth="1"/>
    <col min="2840" max="3071" width="11.42578125" style="3"/>
    <col min="3072" max="3072" width="23.7109375" style="3" customWidth="1"/>
    <col min="3073" max="3073" width="0" style="3" hidden="1" customWidth="1"/>
    <col min="3074" max="3074" width="41.42578125" style="3" customWidth="1"/>
    <col min="3075" max="3075" width="19.140625" style="3" customWidth="1"/>
    <col min="3076" max="3076" width="6.28515625" style="3" customWidth="1"/>
    <col min="3077" max="3077" width="6" style="3" customWidth="1"/>
    <col min="3078" max="3078" width="7.42578125" style="3" customWidth="1"/>
    <col min="3079" max="3079" width="5.7109375" style="3" customWidth="1"/>
    <col min="3080" max="3080" width="5.28515625" style="3" customWidth="1"/>
    <col min="3081" max="3081" width="10" style="3" customWidth="1"/>
    <col min="3082" max="3082" width="6.28515625" style="3" customWidth="1"/>
    <col min="3083" max="3083" width="8.28515625" style="3" customWidth="1"/>
    <col min="3084" max="3084" width="12.42578125" style="3" customWidth="1"/>
    <col min="3085" max="3085" width="5.28515625" style="3" customWidth="1"/>
    <col min="3086" max="3086" width="10.85546875" style="3" customWidth="1"/>
    <col min="3087" max="3087" width="4.85546875" style="3" customWidth="1"/>
    <col min="3088" max="3088" width="5.140625" style="3" customWidth="1"/>
    <col min="3089" max="3089" width="10.5703125" style="3" customWidth="1"/>
    <col min="3090" max="3090" width="6.28515625" style="3" customWidth="1"/>
    <col min="3091" max="3091" width="6.5703125" style="3" customWidth="1"/>
    <col min="3092" max="3092" width="7.42578125" style="3" customWidth="1"/>
    <col min="3093" max="3093" width="6.85546875" style="3" customWidth="1"/>
    <col min="3094" max="3094" width="10.7109375" style="3" customWidth="1"/>
    <col min="3095" max="3095" width="5.140625" style="3" customWidth="1"/>
    <col min="3096" max="3327" width="11.42578125" style="3"/>
    <col min="3328" max="3328" width="23.7109375" style="3" customWidth="1"/>
    <col min="3329" max="3329" width="0" style="3" hidden="1" customWidth="1"/>
    <col min="3330" max="3330" width="41.42578125" style="3" customWidth="1"/>
    <col min="3331" max="3331" width="19.140625" style="3" customWidth="1"/>
    <col min="3332" max="3332" width="6.28515625" style="3" customWidth="1"/>
    <col min="3333" max="3333" width="6" style="3" customWidth="1"/>
    <col min="3334" max="3334" width="7.42578125" style="3" customWidth="1"/>
    <col min="3335" max="3335" width="5.7109375" style="3" customWidth="1"/>
    <col min="3336" max="3336" width="5.28515625" style="3" customWidth="1"/>
    <col min="3337" max="3337" width="10" style="3" customWidth="1"/>
    <col min="3338" max="3338" width="6.28515625" style="3" customWidth="1"/>
    <col min="3339" max="3339" width="8.28515625" style="3" customWidth="1"/>
    <col min="3340" max="3340" width="12.42578125" style="3" customWidth="1"/>
    <col min="3341" max="3341" width="5.28515625" style="3" customWidth="1"/>
    <col min="3342" max="3342" width="10.85546875" style="3" customWidth="1"/>
    <col min="3343" max="3343" width="4.85546875" style="3" customWidth="1"/>
    <col min="3344" max="3344" width="5.140625" style="3" customWidth="1"/>
    <col min="3345" max="3345" width="10.5703125" style="3" customWidth="1"/>
    <col min="3346" max="3346" width="6.28515625" style="3" customWidth="1"/>
    <col min="3347" max="3347" width="6.5703125" style="3" customWidth="1"/>
    <col min="3348" max="3348" width="7.42578125" style="3" customWidth="1"/>
    <col min="3349" max="3349" width="6.85546875" style="3" customWidth="1"/>
    <col min="3350" max="3350" width="10.7109375" style="3" customWidth="1"/>
    <col min="3351" max="3351" width="5.140625" style="3" customWidth="1"/>
    <col min="3352" max="3583" width="11.42578125" style="3"/>
    <col min="3584" max="3584" width="23.7109375" style="3" customWidth="1"/>
    <col min="3585" max="3585" width="0" style="3" hidden="1" customWidth="1"/>
    <col min="3586" max="3586" width="41.42578125" style="3" customWidth="1"/>
    <col min="3587" max="3587" width="19.140625" style="3" customWidth="1"/>
    <col min="3588" max="3588" width="6.28515625" style="3" customWidth="1"/>
    <col min="3589" max="3589" width="6" style="3" customWidth="1"/>
    <col min="3590" max="3590" width="7.42578125" style="3" customWidth="1"/>
    <col min="3591" max="3591" width="5.7109375" style="3" customWidth="1"/>
    <col min="3592" max="3592" width="5.28515625" style="3" customWidth="1"/>
    <col min="3593" max="3593" width="10" style="3" customWidth="1"/>
    <col min="3594" max="3594" width="6.28515625" style="3" customWidth="1"/>
    <col min="3595" max="3595" width="8.28515625" style="3" customWidth="1"/>
    <col min="3596" max="3596" width="12.42578125" style="3" customWidth="1"/>
    <col min="3597" max="3597" width="5.28515625" style="3" customWidth="1"/>
    <col min="3598" max="3598" width="10.85546875" style="3" customWidth="1"/>
    <col min="3599" max="3599" width="4.85546875" style="3" customWidth="1"/>
    <col min="3600" max="3600" width="5.140625" style="3" customWidth="1"/>
    <col min="3601" max="3601" width="10.5703125" style="3" customWidth="1"/>
    <col min="3602" max="3602" width="6.28515625" style="3" customWidth="1"/>
    <col min="3603" max="3603" width="6.5703125" style="3" customWidth="1"/>
    <col min="3604" max="3604" width="7.42578125" style="3" customWidth="1"/>
    <col min="3605" max="3605" width="6.85546875" style="3" customWidth="1"/>
    <col min="3606" max="3606" width="10.7109375" style="3" customWidth="1"/>
    <col min="3607" max="3607" width="5.140625" style="3" customWidth="1"/>
    <col min="3608" max="3839" width="11.42578125" style="3"/>
    <col min="3840" max="3840" width="23.7109375" style="3" customWidth="1"/>
    <col min="3841" max="3841" width="0" style="3" hidden="1" customWidth="1"/>
    <col min="3842" max="3842" width="41.42578125" style="3" customWidth="1"/>
    <col min="3843" max="3843" width="19.140625" style="3" customWidth="1"/>
    <col min="3844" max="3844" width="6.28515625" style="3" customWidth="1"/>
    <col min="3845" max="3845" width="6" style="3" customWidth="1"/>
    <col min="3846" max="3846" width="7.42578125" style="3" customWidth="1"/>
    <col min="3847" max="3847" width="5.7109375" style="3" customWidth="1"/>
    <col min="3848" max="3848" width="5.28515625" style="3" customWidth="1"/>
    <col min="3849" max="3849" width="10" style="3" customWidth="1"/>
    <col min="3850" max="3850" width="6.28515625" style="3" customWidth="1"/>
    <col min="3851" max="3851" width="8.28515625" style="3" customWidth="1"/>
    <col min="3852" max="3852" width="12.42578125" style="3" customWidth="1"/>
    <col min="3853" max="3853" width="5.28515625" style="3" customWidth="1"/>
    <col min="3854" max="3854" width="10.85546875" style="3" customWidth="1"/>
    <col min="3855" max="3855" width="4.85546875" style="3" customWidth="1"/>
    <col min="3856" max="3856" width="5.140625" style="3" customWidth="1"/>
    <col min="3857" max="3857" width="10.5703125" style="3" customWidth="1"/>
    <col min="3858" max="3858" width="6.28515625" style="3" customWidth="1"/>
    <col min="3859" max="3859" width="6.5703125" style="3" customWidth="1"/>
    <col min="3860" max="3860" width="7.42578125" style="3" customWidth="1"/>
    <col min="3861" max="3861" width="6.85546875" style="3" customWidth="1"/>
    <col min="3862" max="3862" width="10.7109375" style="3" customWidth="1"/>
    <col min="3863" max="3863" width="5.140625" style="3" customWidth="1"/>
    <col min="3864" max="4095" width="11.42578125" style="3"/>
    <col min="4096" max="4096" width="23.7109375" style="3" customWidth="1"/>
    <col min="4097" max="4097" width="0" style="3" hidden="1" customWidth="1"/>
    <col min="4098" max="4098" width="41.42578125" style="3" customWidth="1"/>
    <col min="4099" max="4099" width="19.140625" style="3" customWidth="1"/>
    <col min="4100" max="4100" width="6.28515625" style="3" customWidth="1"/>
    <col min="4101" max="4101" width="6" style="3" customWidth="1"/>
    <col min="4102" max="4102" width="7.42578125" style="3" customWidth="1"/>
    <col min="4103" max="4103" width="5.7109375" style="3" customWidth="1"/>
    <col min="4104" max="4104" width="5.28515625" style="3" customWidth="1"/>
    <col min="4105" max="4105" width="10" style="3" customWidth="1"/>
    <col min="4106" max="4106" width="6.28515625" style="3" customWidth="1"/>
    <col min="4107" max="4107" width="8.28515625" style="3" customWidth="1"/>
    <col min="4108" max="4108" width="12.42578125" style="3" customWidth="1"/>
    <col min="4109" max="4109" width="5.28515625" style="3" customWidth="1"/>
    <col min="4110" max="4110" width="10.85546875" style="3" customWidth="1"/>
    <col min="4111" max="4111" width="4.85546875" style="3" customWidth="1"/>
    <col min="4112" max="4112" width="5.140625" style="3" customWidth="1"/>
    <col min="4113" max="4113" width="10.5703125" style="3" customWidth="1"/>
    <col min="4114" max="4114" width="6.28515625" style="3" customWidth="1"/>
    <col min="4115" max="4115" width="6.5703125" style="3" customWidth="1"/>
    <col min="4116" max="4116" width="7.42578125" style="3" customWidth="1"/>
    <col min="4117" max="4117" width="6.85546875" style="3" customWidth="1"/>
    <col min="4118" max="4118" width="10.7109375" style="3" customWidth="1"/>
    <col min="4119" max="4119" width="5.140625" style="3" customWidth="1"/>
    <col min="4120" max="4351" width="11.42578125" style="3"/>
    <col min="4352" max="4352" width="23.7109375" style="3" customWidth="1"/>
    <col min="4353" max="4353" width="0" style="3" hidden="1" customWidth="1"/>
    <col min="4354" max="4354" width="41.42578125" style="3" customWidth="1"/>
    <col min="4355" max="4355" width="19.140625" style="3" customWidth="1"/>
    <col min="4356" max="4356" width="6.28515625" style="3" customWidth="1"/>
    <col min="4357" max="4357" width="6" style="3" customWidth="1"/>
    <col min="4358" max="4358" width="7.42578125" style="3" customWidth="1"/>
    <col min="4359" max="4359" width="5.7109375" style="3" customWidth="1"/>
    <col min="4360" max="4360" width="5.28515625" style="3" customWidth="1"/>
    <col min="4361" max="4361" width="10" style="3" customWidth="1"/>
    <col min="4362" max="4362" width="6.28515625" style="3" customWidth="1"/>
    <col min="4363" max="4363" width="8.28515625" style="3" customWidth="1"/>
    <col min="4364" max="4364" width="12.42578125" style="3" customWidth="1"/>
    <col min="4365" max="4365" width="5.28515625" style="3" customWidth="1"/>
    <col min="4366" max="4366" width="10.85546875" style="3" customWidth="1"/>
    <col min="4367" max="4367" width="4.85546875" style="3" customWidth="1"/>
    <col min="4368" max="4368" width="5.140625" style="3" customWidth="1"/>
    <col min="4369" max="4369" width="10.5703125" style="3" customWidth="1"/>
    <col min="4370" max="4370" width="6.28515625" style="3" customWidth="1"/>
    <col min="4371" max="4371" width="6.5703125" style="3" customWidth="1"/>
    <col min="4372" max="4372" width="7.42578125" style="3" customWidth="1"/>
    <col min="4373" max="4373" width="6.85546875" style="3" customWidth="1"/>
    <col min="4374" max="4374" width="10.7109375" style="3" customWidth="1"/>
    <col min="4375" max="4375" width="5.140625" style="3" customWidth="1"/>
    <col min="4376" max="4607" width="11.42578125" style="3"/>
    <col min="4608" max="4608" width="23.7109375" style="3" customWidth="1"/>
    <col min="4609" max="4609" width="0" style="3" hidden="1" customWidth="1"/>
    <col min="4610" max="4610" width="41.42578125" style="3" customWidth="1"/>
    <col min="4611" max="4611" width="19.140625" style="3" customWidth="1"/>
    <col min="4612" max="4612" width="6.28515625" style="3" customWidth="1"/>
    <col min="4613" max="4613" width="6" style="3" customWidth="1"/>
    <col min="4614" max="4614" width="7.42578125" style="3" customWidth="1"/>
    <col min="4615" max="4615" width="5.7109375" style="3" customWidth="1"/>
    <col min="4616" max="4616" width="5.28515625" style="3" customWidth="1"/>
    <col min="4617" max="4617" width="10" style="3" customWidth="1"/>
    <col min="4618" max="4618" width="6.28515625" style="3" customWidth="1"/>
    <col min="4619" max="4619" width="8.28515625" style="3" customWidth="1"/>
    <col min="4620" max="4620" width="12.42578125" style="3" customWidth="1"/>
    <col min="4621" max="4621" width="5.28515625" style="3" customWidth="1"/>
    <col min="4622" max="4622" width="10.85546875" style="3" customWidth="1"/>
    <col min="4623" max="4623" width="4.85546875" style="3" customWidth="1"/>
    <col min="4624" max="4624" width="5.140625" style="3" customWidth="1"/>
    <col min="4625" max="4625" width="10.5703125" style="3" customWidth="1"/>
    <col min="4626" max="4626" width="6.28515625" style="3" customWidth="1"/>
    <col min="4627" max="4627" width="6.5703125" style="3" customWidth="1"/>
    <col min="4628" max="4628" width="7.42578125" style="3" customWidth="1"/>
    <col min="4629" max="4629" width="6.85546875" style="3" customWidth="1"/>
    <col min="4630" max="4630" width="10.7109375" style="3" customWidth="1"/>
    <col min="4631" max="4631" width="5.140625" style="3" customWidth="1"/>
    <col min="4632" max="4863" width="11.42578125" style="3"/>
    <col min="4864" max="4864" width="23.7109375" style="3" customWidth="1"/>
    <col min="4865" max="4865" width="0" style="3" hidden="1" customWidth="1"/>
    <col min="4866" max="4866" width="41.42578125" style="3" customWidth="1"/>
    <col min="4867" max="4867" width="19.140625" style="3" customWidth="1"/>
    <col min="4868" max="4868" width="6.28515625" style="3" customWidth="1"/>
    <col min="4869" max="4869" width="6" style="3" customWidth="1"/>
    <col min="4870" max="4870" width="7.42578125" style="3" customWidth="1"/>
    <col min="4871" max="4871" width="5.7109375" style="3" customWidth="1"/>
    <col min="4872" max="4872" width="5.28515625" style="3" customWidth="1"/>
    <col min="4873" max="4873" width="10" style="3" customWidth="1"/>
    <col min="4874" max="4874" width="6.28515625" style="3" customWidth="1"/>
    <col min="4875" max="4875" width="8.28515625" style="3" customWidth="1"/>
    <col min="4876" max="4876" width="12.42578125" style="3" customWidth="1"/>
    <col min="4877" max="4877" width="5.28515625" style="3" customWidth="1"/>
    <col min="4878" max="4878" width="10.85546875" style="3" customWidth="1"/>
    <col min="4879" max="4879" width="4.85546875" style="3" customWidth="1"/>
    <col min="4880" max="4880" width="5.140625" style="3" customWidth="1"/>
    <col min="4881" max="4881" width="10.5703125" style="3" customWidth="1"/>
    <col min="4882" max="4882" width="6.28515625" style="3" customWidth="1"/>
    <col min="4883" max="4883" width="6.5703125" style="3" customWidth="1"/>
    <col min="4884" max="4884" width="7.42578125" style="3" customWidth="1"/>
    <col min="4885" max="4885" width="6.85546875" style="3" customWidth="1"/>
    <col min="4886" max="4886" width="10.7109375" style="3" customWidth="1"/>
    <col min="4887" max="4887" width="5.140625" style="3" customWidth="1"/>
    <col min="4888" max="5119" width="11.42578125" style="3"/>
    <col min="5120" max="5120" width="23.7109375" style="3" customWidth="1"/>
    <col min="5121" max="5121" width="0" style="3" hidden="1" customWidth="1"/>
    <col min="5122" max="5122" width="41.42578125" style="3" customWidth="1"/>
    <col min="5123" max="5123" width="19.140625" style="3" customWidth="1"/>
    <col min="5124" max="5124" width="6.28515625" style="3" customWidth="1"/>
    <col min="5125" max="5125" width="6" style="3" customWidth="1"/>
    <col min="5126" max="5126" width="7.42578125" style="3" customWidth="1"/>
    <col min="5127" max="5127" width="5.7109375" style="3" customWidth="1"/>
    <col min="5128" max="5128" width="5.28515625" style="3" customWidth="1"/>
    <col min="5129" max="5129" width="10" style="3" customWidth="1"/>
    <col min="5130" max="5130" width="6.28515625" style="3" customWidth="1"/>
    <col min="5131" max="5131" width="8.28515625" style="3" customWidth="1"/>
    <col min="5132" max="5132" width="12.42578125" style="3" customWidth="1"/>
    <col min="5133" max="5133" width="5.28515625" style="3" customWidth="1"/>
    <col min="5134" max="5134" width="10.85546875" style="3" customWidth="1"/>
    <col min="5135" max="5135" width="4.85546875" style="3" customWidth="1"/>
    <col min="5136" max="5136" width="5.140625" style="3" customWidth="1"/>
    <col min="5137" max="5137" width="10.5703125" style="3" customWidth="1"/>
    <col min="5138" max="5138" width="6.28515625" style="3" customWidth="1"/>
    <col min="5139" max="5139" width="6.5703125" style="3" customWidth="1"/>
    <col min="5140" max="5140" width="7.42578125" style="3" customWidth="1"/>
    <col min="5141" max="5141" width="6.85546875" style="3" customWidth="1"/>
    <col min="5142" max="5142" width="10.7109375" style="3" customWidth="1"/>
    <col min="5143" max="5143" width="5.140625" style="3" customWidth="1"/>
    <col min="5144" max="5375" width="11.42578125" style="3"/>
    <col min="5376" max="5376" width="23.7109375" style="3" customWidth="1"/>
    <col min="5377" max="5377" width="0" style="3" hidden="1" customWidth="1"/>
    <col min="5378" max="5378" width="41.42578125" style="3" customWidth="1"/>
    <col min="5379" max="5379" width="19.140625" style="3" customWidth="1"/>
    <col min="5380" max="5380" width="6.28515625" style="3" customWidth="1"/>
    <col min="5381" max="5381" width="6" style="3" customWidth="1"/>
    <col min="5382" max="5382" width="7.42578125" style="3" customWidth="1"/>
    <col min="5383" max="5383" width="5.7109375" style="3" customWidth="1"/>
    <col min="5384" max="5384" width="5.28515625" style="3" customWidth="1"/>
    <col min="5385" max="5385" width="10" style="3" customWidth="1"/>
    <col min="5386" max="5386" width="6.28515625" style="3" customWidth="1"/>
    <col min="5387" max="5387" width="8.28515625" style="3" customWidth="1"/>
    <col min="5388" max="5388" width="12.42578125" style="3" customWidth="1"/>
    <col min="5389" max="5389" width="5.28515625" style="3" customWidth="1"/>
    <col min="5390" max="5390" width="10.85546875" style="3" customWidth="1"/>
    <col min="5391" max="5391" width="4.85546875" style="3" customWidth="1"/>
    <col min="5392" max="5392" width="5.140625" style="3" customWidth="1"/>
    <col min="5393" max="5393" width="10.5703125" style="3" customWidth="1"/>
    <col min="5394" max="5394" width="6.28515625" style="3" customWidth="1"/>
    <col min="5395" max="5395" width="6.5703125" style="3" customWidth="1"/>
    <col min="5396" max="5396" width="7.42578125" style="3" customWidth="1"/>
    <col min="5397" max="5397" width="6.85546875" style="3" customWidth="1"/>
    <col min="5398" max="5398" width="10.7109375" style="3" customWidth="1"/>
    <col min="5399" max="5399" width="5.140625" style="3" customWidth="1"/>
    <col min="5400" max="5631" width="11.42578125" style="3"/>
    <col min="5632" max="5632" width="23.7109375" style="3" customWidth="1"/>
    <col min="5633" max="5633" width="0" style="3" hidden="1" customWidth="1"/>
    <col min="5634" max="5634" width="41.42578125" style="3" customWidth="1"/>
    <col min="5635" max="5635" width="19.140625" style="3" customWidth="1"/>
    <col min="5636" max="5636" width="6.28515625" style="3" customWidth="1"/>
    <col min="5637" max="5637" width="6" style="3" customWidth="1"/>
    <col min="5638" max="5638" width="7.42578125" style="3" customWidth="1"/>
    <col min="5639" max="5639" width="5.7109375" style="3" customWidth="1"/>
    <col min="5640" max="5640" width="5.28515625" style="3" customWidth="1"/>
    <col min="5641" max="5641" width="10" style="3" customWidth="1"/>
    <col min="5642" max="5642" width="6.28515625" style="3" customWidth="1"/>
    <col min="5643" max="5643" width="8.28515625" style="3" customWidth="1"/>
    <col min="5644" max="5644" width="12.42578125" style="3" customWidth="1"/>
    <col min="5645" max="5645" width="5.28515625" style="3" customWidth="1"/>
    <col min="5646" max="5646" width="10.85546875" style="3" customWidth="1"/>
    <col min="5647" max="5647" width="4.85546875" style="3" customWidth="1"/>
    <col min="5648" max="5648" width="5.140625" style="3" customWidth="1"/>
    <col min="5649" max="5649" width="10.5703125" style="3" customWidth="1"/>
    <col min="5650" max="5650" width="6.28515625" style="3" customWidth="1"/>
    <col min="5651" max="5651" width="6.5703125" style="3" customWidth="1"/>
    <col min="5652" max="5652" width="7.42578125" style="3" customWidth="1"/>
    <col min="5653" max="5653" width="6.85546875" style="3" customWidth="1"/>
    <col min="5654" max="5654" width="10.7109375" style="3" customWidth="1"/>
    <col min="5655" max="5655" width="5.140625" style="3" customWidth="1"/>
    <col min="5656" max="5887" width="11.42578125" style="3"/>
    <col min="5888" max="5888" width="23.7109375" style="3" customWidth="1"/>
    <col min="5889" max="5889" width="0" style="3" hidden="1" customWidth="1"/>
    <col min="5890" max="5890" width="41.42578125" style="3" customWidth="1"/>
    <col min="5891" max="5891" width="19.140625" style="3" customWidth="1"/>
    <col min="5892" max="5892" width="6.28515625" style="3" customWidth="1"/>
    <col min="5893" max="5893" width="6" style="3" customWidth="1"/>
    <col min="5894" max="5894" width="7.42578125" style="3" customWidth="1"/>
    <col min="5895" max="5895" width="5.7109375" style="3" customWidth="1"/>
    <col min="5896" max="5896" width="5.28515625" style="3" customWidth="1"/>
    <col min="5897" max="5897" width="10" style="3" customWidth="1"/>
    <col min="5898" max="5898" width="6.28515625" style="3" customWidth="1"/>
    <col min="5899" max="5899" width="8.28515625" style="3" customWidth="1"/>
    <col min="5900" max="5900" width="12.42578125" style="3" customWidth="1"/>
    <col min="5901" max="5901" width="5.28515625" style="3" customWidth="1"/>
    <col min="5902" max="5902" width="10.85546875" style="3" customWidth="1"/>
    <col min="5903" max="5903" width="4.85546875" style="3" customWidth="1"/>
    <col min="5904" max="5904" width="5.140625" style="3" customWidth="1"/>
    <col min="5905" max="5905" width="10.5703125" style="3" customWidth="1"/>
    <col min="5906" max="5906" width="6.28515625" style="3" customWidth="1"/>
    <col min="5907" max="5907" width="6.5703125" style="3" customWidth="1"/>
    <col min="5908" max="5908" width="7.42578125" style="3" customWidth="1"/>
    <col min="5909" max="5909" width="6.85546875" style="3" customWidth="1"/>
    <col min="5910" max="5910" width="10.7109375" style="3" customWidth="1"/>
    <col min="5911" max="5911" width="5.140625" style="3" customWidth="1"/>
    <col min="5912" max="6143" width="11.42578125" style="3"/>
    <col min="6144" max="6144" width="23.7109375" style="3" customWidth="1"/>
    <col min="6145" max="6145" width="0" style="3" hidden="1" customWidth="1"/>
    <col min="6146" max="6146" width="41.42578125" style="3" customWidth="1"/>
    <col min="6147" max="6147" width="19.140625" style="3" customWidth="1"/>
    <col min="6148" max="6148" width="6.28515625" style="3" customWidth="1"/>
    <col min="6149" max="6149" width="6" style="3" customWidth="1"/>
    <col min="6150" max="6150" width="7.42578125" style="3" customWidth="1"/>
    <col min="6151" max="6151" width="5.7109375" style="3" customWidth="1"/>
    <col min="6152" max="6152" width="5.28515625" style="3" customWidth="1"/>
    <col min="6153" max="6153" width="10" style="3" customWidth="1"/>
    <col min="6154" max="6154" width="6.28515625" style="3" customWidth="1"/>
    <col min="6155" max="6155" width="8.28515625" style="3" customWidth="1"/>
    <col min="6156" max="6156" width="12.42578125" style="3" customWidth="1"/>
    <col min="6157" max="6157" width="5.28515625" style="3" customWidth="1"/>
    <col min="6158" max="6158" width="10.85546875" style="3" customWidth="1"/>
    <col min="6159" max="6159" width="4.85546875" style="3" customWidth="1"/>
    <col min="6160" max="6160" width="5.140625" style="3" customWidth="1"/>
    <col min="6161" max="6161" width="10.5703125" style="3" customWidth="1"/>
    <col min="6162" max="6162" width="6.28515625" style="3" customWidth="1"/>
    <col min="6163" max="6163" width="6.5703125" style="3" customWidth="1"/>
    <col min="6164" max="6164" width="7.42578125" style="3" customWidth="1"/>
    <col min="6165" max="6165" width="6.85546875" style="3" customWidth="1"/>
    <col min="6166" max="6166" width="10.7109375" style="3" customWidth="1"/>
    <col min="6167" max="6167" width="5.140625" style="3" customWidth="1"/>
    <col min="6168" max="6399" width="11.42578125" style="3"/>
    <col min="6400" max="6400" width="23.7109375" style="3" customWidth="1"/>
    <col min="6401" max="6401" width="0" style="3" hidden="1" customWidth="1"/>
    <col min="6402" max="6402" width="41.42578125" style="3" customWidth="1"/>
    <col min="6403" max="6403" width="19.140625" style="3" customWidth="1"/>
    <col min="6404" max="6404" width="6.28515625" style="3" customWidth="1"/>
    <col min="6405" max="6405" width="6" style="3" customWidth="1"/>
    <col min="6406" max="6406" width="7.42578125" style="3" customWidth="1"/>
    <col min="6407" max="6407" width="5.7109375" style="3" customWidth="1"/>
    <col min="6408" max="6408" width="5.28515625" style="3" customWidth="1"/>
    <col min="6409" max="6409" width="10" style="3" customWidth="1"/>
    <col min="6410" max="6410" width="6.28515625" style="3" customWidth="1"/>
    <col min="6411" max="6411" width="8.28515625" style="3" customWidth="1"/>
    <col min="6412" max="6412" width="12.42578125" style="3" customWidth="1"/>
    <col min="6413" max="6413" width="5.28515625" style="3" customWidth="1"/>
    <col min="6414" max="6414" width="10.85546875" style="3" customWidth="1"/>
    <col min="6415" max="6415" width="4.85546875" style="3" customWidth="1"/>
    <col min="6416" max="6416" width="5.140625" style="3" customWidth="1"/>
    <col min="6417" max="6417" width="10.5703125" style="3" customWidth="1"/>
    <col min="6418" max="6418" width="6.28515625" style="3" customWidth="1"/>
    <col min="6419" max="6419" width="6.5703125" style="3" customWidth="1"/>
    <col min="6420" max="6420" width="7.42578125" style="3" customWidth="1"/>
    <col min="6421" max="6421" width="6.85546875" style="3" customWidth="1"/>
    <col min="6422" max="6422" width="10.7109375" style="3" customWidth="1"/>
    <col min="6423" max="6423" width="5.140625" style="3" customWidth="1"/>
    <col min="6424" max="6655" width="11.42578125" style="3"/>
    <col min="6656" max="6656" width="23.7109375" style="3" customWidth="1"/>
    <col min="6657" max="6657" width="0" style="3" hidden="1" customWidth="1"/>
    <col min="6658" max="6658" width="41.42578125" style="3" customWidth="1"/>
    <col min="6659" max="6659" width="19.140625" style="3" customWidth="1"/>
    <col min="6660" max="6660" width="6.28515625" style="3" customWidth="1"/>
    <col min="6661" max="6661" width="6" style="3" customWidth="1"/>
    <col min="6662" max="6662" width="7.42578125" style="3" customWidth="1"/>
    <col min="6663" max="6663" width="5.7109375" style="3" customWidth="1"/>
    <col min="6664" max="6664" width="5.28515625" style="3" customWidth="1"/>
    <col min="6665" max="6665" width="10" style="3" customWidth="1"/>
    <col min="6666" max="6666" width="6.28515625" style="3" customWidth="1"/>
    <col min="6667" max="6667" width="8.28515625" style="3" customWidth="1"/>
    <col min="6668" max="6668" width="12.42578125" style="3" customWidth="1"/>
    <col min="6669" max="6669" width="5.28515625" style="3" customWidth="1"/>
    <col min="6670" max="6670" width="10.85546875" style="3" customWidth="1"/>
    <col min="6671" max="6671" width="4.85546875" style="3" customWidth="1"/>
    <col min="6672" max="6672" width="5.140625" style="3" customWidth="1"/>
    <col min="6673" max="6673" width="10.5703125" style="3" customWidth="1"/>
    <col min="6674" max="6674" width="6.28515625" style="3" customWidth="1"/>
    <col min="6675" max="6675" width="6.5703125" style="3" customWidth="1"/>
    <col min="6676" max="6676" width="7.42578125" style="3" customWidth="1"/>
    <col min="6677" max="6677" width="6.85546875" style="3" customWidth="1"/>
    <col min="6678" max="6678" width="10.7109375" style="3" customWidth="1"/>
    <col min="6679" max="6679" width="5.140625" style="3" customWidth="1"/>
    <col min="6680" max="6911" width="11.42578125" style="3"/>
    <col min="6912" max="6912" width="23.7109375" style="3" customWidth="1"/>
    <col min="6913" max="6913" width="0" style="3" hidden="1" customWidth="1"/>
    <col min="6914" max="6914" width="41.42578125" style="3" customWidth="1"/>
    <col min="6915" max="6915" width="19.140625" style="3" customWidth="1"/>
    <col min="6916" max="6916" width="6.28515625" style="3" customWidth="1"/>
    <col min="6917" max="6917" width="6" style="3" customWidth="1"/>
    <col min="6918" max="6918" width="7.42578125" style="3" customWidth="1"/>
    <col min="6919" max="6919" width="5.7109375" style="3" customWidth="1"/>
    <col min="6920" max="6920" width="5.28515625" style="3" customWidth="1"/>
    <col min="6921" max="6921" width="10" style="3" customWidth="1"/>
    <col min="6922" max="6922" width="6.28515625" style="3" customWidth="1"/>
    <col min="6923" max="6923" width="8.28515625" style="3" customWidth="1"/>
    <col min="6924" max="6924" width="12.42578125" style="3" customWidth="1"/>
    <col min="6925" max="6925" width="5.28515625" style="3" customWidth="1"/>
    <col min="6926" max="6926" width="10.85546875" style="3" customWidth="1"/>
    <col min="6927" max="6927" width="4.85546875" style="3" customWidth="1"/>
    <col min="6928" max="6928" width="5.140625" style="3" customWidth="1"/>
    <col min="6929" max="6929" width="10.5703125" style="3" customWidth="1"/>
    <col min="6930" max="6930" width="6.28515625" style="3" customWidth="1"/>
    <col min="6931" max="6931" width="6.5703125" style="3" customWidth="1"/>
    <col min="6932" max="6932" width="7.42578125" style="3" customWidth="1"/>
    <col min="6933" max="6933" width="6.85546875" style="3" customWidth="1"/>
    <col min="6934" max="6934" width="10.7109375" style="3" customWidth="1"/>
    <col min="6935" max="6935" width="5.140625" style="3" customWidth="1"/>
    <col min="6936" max="7167" width="11.42578125" style="3"/>
    <col min="7168" max="7168" width="23.7109375" style="3" customWidth="1"/>
    <col min="7169" max="7169" width="0" style="3" hidden="1" customWidth="1"/>
    <col min="7170" max="7170" width="41.42578125" style="3" customWidth="1"/>
    <col min="7171" max="7171" width="19.140625" style="3" customWidth="1"/>
    <col min="7172" max="7172" width="6.28515625" style="3" customWidth="1"/>
    <col min="7173" max="7173" width="6" style="3" customWidth="1"/>
    <col min="7174" max="7174" width="7.42578125" style="3" customWidth="1"/>
    <col min="7175" max="7175" width="5.7109375" style="3" customWidth="1"/>
    <col min="7176" max="7176" width="5.28515625" style="3" customWidth="1"/>
    <col min="7177" max="7177" width="10" style="3" customWidth="1"/>
    <col min="7178" max="7178" width="6.28515625" style="3" customWidth="1"/>
    <col min="7179" max="7179" width="8.28515625" style="3" customWidth="1"/>
    <col min="7180" max="7180" width="12.42578125" style="3" customWidth="1"/>
    <col min="7181" max="7181" width="5.28515625" style="3" customWidth="1"/>
    <col min="7182" max="7182" width="10.85546875" style="3" customWidth="1"/>
    <col min="7183" max="7183" width="4.85546875" style="3" customWidth="1"/>
    <col min="7184" max="7184" width="5.140625" style="3" customWidth="1"/>
    <col min="7185" max="7185" width="10.5703125" style="3" customWidth="1"/>
    <col min="7186" max="7186" width="6.28515625" style="3" customWidth="1"/>
    <col min="7187" max="7187" width="6.5703125" style="3" customWidth="1"/>
    <col min="7188" max="7188" width="7.42578125" style="3" customWidth="1"/>
    <col min="7189" max="7189" width="6.85546875" style="3" customWidth="1"/>
    <col min="7190" max="7190" width="10.7109375" style="3" customWidth="1"/>
    <col min="7191" max="7191" width="5.140625" style="3" customWidth="1"/>
    <col min="7192" max="7423" width="11.42578125" style="3"/>
    <col min="7424" max="7424" width="23.7109375" style="3" customWidth="1"/>
    <col min="7425" max="7425" width="0" style="3" hidden="1" customWidth="1"/>
    <col min="7426" max="7426" width="41.42578125" style="3" customWidth="1"/>
    <col min="7427" max="7427" width="19.140625" style="3" customWidth="1"/>
    <col min="7428" max="7428" width="6.28515625" style="3" customWidth="1"/>
    <col min="7429" max="7429" width="6" style="3" customWidth="1"/>
    <col min="7430" max="7430" width="7.42578125" style="3" customWidth="1"/>
    <col min="7431" max="7431" width="5.7109375" style="3" customWidth="1"/>
    <col min="7432" max="7432" width="5.28515625" style="3" customWidth="1"/>
    <col min="7433" max="7433" width="10" style="3" customWidth="1"/>
    <col min="7434" max="7434" width="6.28515625" style="3" customWidth="1"/>
    <col min="7435" max="7435" width="8.28515625" style="3" customWidth="1"/>
    <col min="7436" max="7436" width="12.42578125" style="3" customWidth="1"/>
    <col min="7437" max="7437" width="5.28515625" style="3" customWidth="1"/>
    <col min="7438" max="7438" width="10.85546875" style="3" customWidth="1"/>
    <col min="7439" max="7439" width="4.85546875" style="3" customWidth="1"/>
    <col min="7440" max="7440" width="5.140625" style="3" customWidth="1"/>
    <col min="7441" max="7441" width="10.5703125" style="3" customWidth="1"/>
    <col min="7442" max="7442" width="6.28515625" style="3" customWidth="1"/>
    <col min="7443" max="7443" width="6.5703125" style="3" customWidth="1"/>
    <col min="7444" max="7444" width="7.42578125" style="3" customWidth="1"/>
    <col min="7445" max="7445" width="6.85546875" style="3" customWidth="1"/>
    <col min="7446" max="7446" width="10.7109375" style="3" customWidth="1"/>
    <col min="7447" max="7447" width="5.140625" style="3" customWidth="1"/>
    <col min="7448" max="7679" width="11.42578125" style="3"/>
    <col min="7680" max="7680" width="23.7109375" style="3" customWidth="1"/>
    <col min="7681" max="7681" width="0" style="3" hidden="1" customWidth="1"/>
    <col min="7682" max="7682" width="41.42578125" style="3" customWidth="1"/>
    <col min="7683" max="7683" width="19.140625" style="3" customWidth="1"/>
    <col min="7684" max="7684" width="6.28515625" style="3" customWidth="1"/>
    <col min="7685" max="7685" width="6" style="3" customWidth="1"/>
    <col min="7686" max="7686" width="7.42578125" style="3" customWidth="1"/>
    <col min="7687" max="7687" width="5.7109375" style="3" customWidth="1"/>
    <col min="7688" max="7688" width="5.28515625" style="3" customWidth="1"/>
    <col min="7689" max="7689" width="10" style="3" customWidth="1"/>
    <col min="7690" max="7690" width="6.28515625" style="3" customWidth="1"/>
    <col min="7691" max="7691" width="8.28515625" style="3" customWidth="1"/>
    <col min="7692" max="7692" width="12.42578125" style="3" customWidth="1"/>
    <col min="7693" max="7693" width="5.28515625" style="3" customWidth="1"/>
    <col min="7694" max="7694" width="10.85546875" style="3" customWidth="1"/>
    <col min="7695" max="7695" width="4.85546875" style="3" customWidth="1"/>
    <col min="7696" max="7696" width="5.140625" style="3" customWidth="1"/>
    <col min="7697" max="7697" width="10.5703125" style="3" customWidth="1"/>
    <col min="7698" max="7698" width="6.28515625" style="3" customWidth="1"/>
    <col min="7699" max="7699" width="6.5703125" style="3" customWidth="1"/>
    <col min="7700" max="7700" width="7.42578125" style="3" customWidth="1"/>
    <col min="7701" max="7701" width="6.85546875" style="3" customWidth="1"/>
    <col min="7702" max="7702" width="10.7109375" style="3" customWidth="1"/>
    <col min="7703" max="7703" width="5.140625" style="3" customWidth="1"/>
    <col min="7704" max="7935" width="11.42578125" style="3"/>
    <col min="7936" max="7936" width="23.7109375" style="3" customWidth="1"/>
    <col min="7937" max="7937" width="0" style="3" hidden="1" customWidth="1"/>
    <col min="7938" max="7938" width="41.42578125" style="3" customWidth="1"/>
    <col min="7939" max="7939" width="19.140625" style="3" customWidth="1"/>
    <col min="7940" max="7940" width="6.28515625" style="3" customWidth="1"/>
    <col min="7941" max="7941" width="6" style="3" customWidth="1"/>
    <col min="7942" max="7942" width="7.42578125" style="3" customWidth="1"/>
    <col min="7943" max="7943" width="5.7109375" style="3" customWidth="1"/>
    <col min="7944" max="7944" width="5.28515625" style="3" customWidth="1"/>
    <col min="7945" max="7945" width="10" style="3" customWidth="1"/>
    <col min="7946" max="7946" width="6.28515625" style="3" customWidth="1"/>
    <col min="7947" max="7947" width="8.28515625" style="3" customWidth="1"/>
    <col min="7948" max="7948" width="12.42578125" style="3" customWidth="1"/>
    <col min="7949" max="7949" width="5.28515625" style="3" customWidth="1"/>
    <col min="7950" max="7950" width="10.85546875" style="3" customWidth="1"/>
    <col min="7951" max="7951" width="4.85546875" style="3" customWidth="1"/>
    <col min="7952" max="7952" width="5.140625" style="3" customWidth="1"/>
    <col min="7953" max="7953" width="10.5703125" style="3" customWidth="1"/>
    <col min="7954" max="7954" width="6.28515625" style="3" customWidth="1"/>
    <col min="7955" max="7955" width="6.5703125" style="3" customWidth="1"/>
    <col min="7956" max="7956" width="7.42578125" style="3" customWidth="1"/>
    <col min="7957" max="7957" width="6.85546875" style="3" customWidth="1"/>
    <col min="7958" max="7958" width="10.7109375" style="3" customWidth="1"/>
    <col min="7959" max="7959" width="5.140625" style="3" customWidth="1"/>
    <col min="7960" max="8191" width="11.42578125" style="3"/>
    <col min="8192" max="8192" width="23.7109375" style="3" customWidth="1"/>
    <col min="8193" max="8193" width="0" style="3" hidden="1" customWidth="1"/>
    <col min="8194" max="8194" width="41.42578125" style="3" customWidth="1"/>
    <col min="8195" max="8195" width="19.140625" style="3" customWidth="1"/>
    <col min="8196" max="8196" width="6.28515625" style="3" customWidth="1"/>
    <col min="8197" max="8197" width="6" style="3" customWidth="1"/>
    <col min="8198" max="8198" width="7.42578125" style="3" customWidth="1"/>
    <col min="8199" max="8199" width="5.7109375" style="3" customWidth="1"/>
    <col min="8200" max="8200" width="5.28515625" style="3" customWidth="1"/>
    <col min="8201" max="8201" width="10" style="3" customWidth="1"/>
    <col min="8202" max="8202" width="6.28515625" style="3" customWidth="1"/>
    <col min="8203" max="8203" width="8.28515625" style="3" customWidth="1"/>
    <col min="8204" max="8204" width="12.42578125" style="3" customWidth="1"/>
    <col min="8205" max="8205" width="5.28515625" style="3" customWidth="1"/>
    <col min="8206" max="8206" width="10.85546875" style="3" customWidth="1"/>
    <col min="8207" max="8207" width="4.85546875" style="3" customWidth="1"/>
    <col min="8208" max="8208" width="5.140625" style="3" customWidth="1"/>
    <col min="8209" max="8209" width="10.5703125" style="3" customWidth="1"/>
    <col min="8210" max="8210" width="6.28515625" style="3" customWidth="1"/>
    <col min="8211" max="8211" width="6.5703125" style="3" customWidth="1"/>
    <col min="8212" max="8212" width="7.42578125" style="3" customWidth="1"/>
    <col min="8213" max="8213" width="6.85546875" style="3" customWidth="1"/>
    <col min="8214" max="8214" width="10.7109375" style="3" customWidth="1"/>
    <col min="8215" max="8215" width="5.140625" style="3" customWidth="1"/>
    <col min="8216" max="8447" width="11.42578125" style="3"/>
    <col min="8448" max="8448" width="23.7109375" style="3" customWidth="1"/>
    <col min="8449" max="8449" width="0" style="3" hidden="1" customWidth="1"/>
    <col min="8450" max="8450" width="41.42578125" style="3" customWidth="1"/>
    <col min="8451" max="8451" width="19.140625" style="3" customWidth="1"/>
    <col min="8452" max="8452" width="6.28515625" style="3" customWidth="1"/>
    <col min="8453" max="8453" width="6" style="3" customWidth="1"/>
    <col min="8454" max="8454" width="7.42578125" style="3" customWidth="1"/>
    <col min="8455" max="8455" width="5.7109375" style="3" customWidth="1"/>
    <col min="8456" max="8456" width="5.28515625" style="3" customWidth="1"/>
    <col min="8457" max="8457" width="10" style="3" customWidth="1"/>
    <col min="8458" max="8458" width="6.28515625" style="3" customWidth="1"/>
    <col min="8459" max="8459" width="8.28515625" style="3" customWidth="1"/>
    <col min="8460" max="8460" width="12.42578125" style="3" customWidth="1"/>
    <col min="8461" max="8461" width="5.28515625" style="3" customWidth="1"/>
    <col min="8462" max="8462" width="10.85546875" style="3" customWidth="1"/>
    <col min="8463" max="8463" width="4.85546875" style="3" customWidth="1"/>
    <col min="8464" max="8464" width="5.140625" style="3" customWidth="1"/>
    <col min="8465" max="8465" width="10.5703125" style="3" customWidth="1"/>
    <col min="8466" max="8466" width="6.28515625" style="3" customWidth="1"/>
    <col min="8467" max="8467" width="6.5703125" style="3" customWidth="1"/>
    <col min="8468" max="8468" width="7.42578125" style="3" customWidth="1"/>
    <col min="8469" max="8469" width="6.85546875" style="3" customWidth="1"/>
    <col min="8470" max="8470" width="10.7109375" style="3" customWidth="1"/>
    <col min="8471" max="8471" width="5.140625" style="3" customWidth="1"/>
    <col min="8472" max="8703" width="11.42578125" style="3"/>
    <col min="8704" max="8704" width="23.7109375" style="3" customWidth="1"/>
    <col min="8705" max="8705" width="0" style="3" hidden="1" customWidth="1"/>
    <col min="8706" max="8706" width="41.42578125" style="3" customWidth="1"/>
    <col min="8707" max="8707" width="19.140625" style="3" customWidth="1"/>
    <col min="8708" max="8708" width="6.28515625" style="3" customWidth="1"/>
    <col min="8709" max="8709" width="6" style="3" customWidth="1"/>
    <col min="8710" max="8710" width="7.42578125" style="3" customWidth="1"/>
    <col min="8711" max="8711" width="5.7109375" style="3" customWidth="1"/>
    <col min="8712" max="8712" width="5.28515625" style="3" customWidth="1"/>
    <col min="8713" max="8713" width="10" style="3" customWidth="1"/>
    <col min="8714" max="8714" width="6.28515625" style="3" customWidth="1"/>
    <col min="8715" max="8715" width="8.28515625" style="3" customWidth="1"/>
    <col min="8716" max="8716" width="12.42578125" style="3" customWidth="1"/>
    <col min="8717" max="8717" width="5.28515625" style="3" customWidth="1"/>
    <col min="8718" max="8718" width="10.85546875" style="3" customWidth="1"/>
    <col min="8719" max="8719" width="4.85546875" style="3" customWidth="1"/>
    <col min="8720" max="8720" width="5.140625" style="3" customWidth="1"/>
    <col min="8721" max="8721" width="10.5703125" style="3" customWidth="1"/>
    <col min="8722" max="8722" width="6.28515625" style="3" customWidth="1"/>
    <col min="8723" max="8723" width="6.5703125" style="3" customWidth="1"/>
    <col min="8724" max="8724" width="7.42578125" style="3" customWidth="1"/>
    <col min="8725" max="8725" width="6.85546875" style="3" customWidth="1"/>
    <col min="8726" max="8726" width="10.7109375" style="3" customWidth="1"/>
    <col min="8727" max="8727" width="5.140625" style="3" customWidth="1"/>
    <col min="8728" max="8959" width="11.42578125" style="3"/>
    <col min="8960" max="8960" width="23.7109375" style="3" customWidth="1"/>
    <col min="8961" max="8961" width="0" style="3" hidden="1" customWidth="1"/>
    <col min="8962" max="8962" width="41.42578125" style="3" customWidth="1"/>
    <col min="8963" max="8963" width="19.140625" style="3" customWidth="1"/>
    <col min="8964" max="8964" width="6.28515625" style="3" customWidth="1"/>
    <col min="8965" max="8965" width="6" style="3" customWidth="1"/>
    <col min="8966" max="8966" width="7.42578125" style="3" customWidth="1"/>
    <col min="8967" max="8967" width="5.7109375" style="3" customWidth="1"/>
    <col min="8968" max="8968" width="5.28515625" style="3" customWidth="1"/>
    <col min="8969" max="8969" width="10" style="3" customWidth="1"/>
    <col min="8970" max="8970" width="6.28515625" style="3" customWidth="1"/>
    <col min="8971" max="8971" width="8.28515625" style="3" customWidth="1"/>
    <col min="8972" max="8972" width="12.42578125" style="3" customWidth="1"/>
    <col min="8973" max="8973" width="5.28515625" style="3" customWidth="1"/>
    <col min="8974" max="8974" width="10.85546875" style="3" customWidth="1"/>
    <col min="8975" max="8975" width="4.85546875" style="3" customWidth="1"/>
    <col min="8976" max="8976" width="5.140625" style="3" customWidth="1"/>
    <col min="8977" max="8977" width="10.5703125" style="3" customWidth="1"/>
    <col min="8978" max="8978" width="6.28515625" style="3" customWidth="1"/>
    <col min="8979" max="8979" width="6.5703125" style="3" customWidth="1"/>
    <col min="8980" max="8980" width="7.42578125" style="3" customWidth="1"/>
    <col min="8981" max="8981" width="6.85546875" style="3" customWidth="1"/>
    <col min="8982" max="8982" width="10.7109375" style="3" customWidth="1"/>
    <col min="8983" max="8983" width="5.140625" style="3" customWidth="1"/>
    <col min="8984" max="9215" width="11.42578125" style="3"/>
    <col min="9216" max="9216" width="23.7109375" style="3" customWidth="1"/>
    <col min="9217" max="9217" width="0" style="3" hidden="1" customWidth="1"/>
    <col min="9218" max="9218" width="41.42578125" style="3" customWidth="1"/>
    <col min="9219" max="9219" width="19.140625" style="3" customWidth="1"/>
    <col min="9220" max="9220" width="6.28515625" style="3" customWidth="1"/>
    <col min="9221" max="9221" width="6" style="3" customWidth="1"/>
    <col min="9222" max="9222" width="7.42578125" style="3" customWidth="1"/>
    <col min="9223" max="9223" width="5.7109375" style="3" customWidth="1"/>
    <col min="9224" max="9224" width="5.28515625" style="3" customWidth="1"/>
    <col min="9225" max="9225" width="10" style="3" customWidth="1"/>
    <col min="9226" max="9226" width="6.28515625" style="3" customWidth="1"/>
    <col min="9227" max="9227" width="8.28515625" style="3" customWidth="1"/>
    <col min="9228" max="9228" width="12.42578125" style="3" customWidth="1"/>
    <col min="9229" max="9229" width="5.28515625" style="3" customWidth="1"/>
    <col min="9230" max="9230" width="10.85546875" style="3" customWidth="1"/>
    <col min="9231" max="9231" width="4.85546875" style="3" customWidth="1"/>
    <col min="9232" max="9232" width="5.140625" style="3" customWidth="1"/>
    <col min="9233" max="9233" width="10.5703125" style="3" customWidth="1"/>
    <col min="9234" max="9234" width="6.28515625" style="3" customWidth="1"/>
    <col min="9235" max="9235" width="6.5703125" style="3" customWidth="1"/>
    <col min="9236" max="9236" width="7.42578125" style="3" customWidth="1"/>
    <col min="9237" max="9237" width="6.85546875" style="3" customWidth="1"/>
    <col min="9238" max="9238" width="10.7109375" style="3" customWidth="1"/>
    <col min="9239" max="9239" width="5.140625" style="3" customWidth="1"/>
    <col min="9240" max="9471" width="11.42578125" style="3"/>
    <col min="9472" max="9472" width="23.7109375" style="3" customWidth="1"/>
    <col min="9473" max="9473" width="0" style="3" hidden="1" customWidth="1"/>
    <col min="9474" max="9474" width="41.42578125" style="3" customWidth="1"/>
    <col min="9475" max="9475" width="19.140625" style="3" customWidth="1"/>
    <col min="9476" max="9476" width="6.28515625" style="3" customWidth="1"/>
    <col min="9477" max="9477" width="6" style="3" customWidth="1"/>
    <col min="9478" max="9478" width="7.42578125" style="3" customWidth="1"/>
    <col min="9479" max="9479" width="5.7109375" style="3" customWidth="1"/>
    <col min="9480" max="9480" width="5.28515625" style="3" customWidth="1"/>
    <col min="9481" max="9481" width="10" style="3" customWidth="1"/>
    <col min="9482" max="9482" width="6.28515625" style="3" customWidth="1"/>
    <col min="9483" max="9483" width="8.28515625" style="3" customWidth="1"/>
    <col min="9484" max="9484" width="12.42578125" style="3" customWidth="1"/>
    <col min="9485" max="9485" width="5.28515625" style="3" customWidth="1"/>
    <col min="9486" max="9486" width="10.85546875" style="3" customWidth="1"/>
    <col min="9487" max="9487" width="4.85546875" style="3" customWidth="1"/>
    <col min="9488" max="9488" width="5.140625" style="3" customWidth="1"/>
    <col min="9489" max="9489" width="10.5703125" style="3" customWidth="1"/>
    <col min="9490" max="9490" width="6.28515625" style="3" customWidth="1"/>
    <col min="9491" max="9491" width="6.5703125" style="3" customWidth="1"/>
    <col min="9492" max="9492" width="7.42578125" style="3" customWidth="1"/>
    <col min="9493" max="9493" width="6.85546875" style="3" customWidth="1"/>
    <col min="9494" max="9494" width="10.7109375" style="3" customWidth="1"/>
    <col min="9495" max="9495" width="5.140625" style="3" customWidth="1"/>
    <col min="9496" max="9727" width="11.42578125" style="3"/>
    <col min="9728" max="9728" width="23.7109375" style="3" customWidth="1"/>
    <col min="9729" max="9729" width="0" style="3" hidden="1" customWidth="1"/>
    <col min="9730" max="9730" width="41.42578125" style="3" customWidth="1"/>
    <col min="9731" max="9731" width="19.140625" style="3" customWidth="1"/>
    <col min="9732" max="9732" width="6.28515625" style="3" customWidth="1"/>
    <col min="9733" max="9733" width="6" style="3" customWidth="1"/>
    <col min="9734" max="9734" width="7.42578125" style="3" customWidth="1"/>
    <col min="9735" max="9735" width="5.7109375" style="3" customWidth="1"/>
    <col min="9736" max="9736" width="5.28515625" style="3" customWidth="1"/>
    <col min="9737" max="9737" width="10" style="3" customWidth="1"/>
    <col min="9738" max="9738" width="6.28515625" style="3" customWidth="1"/>
    <col min="9739" max="9739" width="8.28515625" style="3" customWidth="1"/>
    <col min="9740" max="9740" width="12.42578125" style="3" customWidth="1"/>
    <col min="9741" max="9741" width="5.28515625" style="3" customWidth="1"/>
    <col min="9742" max="9742" width="10.85546875" style="3" customWidth="1"/>
    <col min="9743" max="9743" width="4.85546875" style="3" customWidth="1"/>
    <col min="9744" max="9744" width="5.140625" style="3" customWidth="1"/>
    <col min="9745" max="9745" width="10.5703125" style="3" customWidth="1"/>
    <col min="9746" max="9746" width="6.28515625" style="3" customWidth="1"/>
    <col min="9747" max="9747" width="6.5703125" style="3" customWidth="1"/>
    <col min="9748" max="9748" width="7.42578125" style="3" customWidth="1"/>
    <col min="9749" max="9749" width="6.85546875" style="3" customWidth="1"/>
    <col min="9750" max="9750" width="10.7109375" style="3" customWidth="1"/>
    <col min="9751" max="9751" width="5.140625" style="3" customWidth="1"/>
    <col min="9752" max="9983" width="11.42578125" style="3"/>
    <col min="9984" max="9984" width="23.7109375" style="3" customWidth="1"/>
    <col min="9985" max="9985" width="0" style="3" hidden="1" customWidth="1"/>
    <col min="9986" max="9986" width="41.42578125" style="3" customWidth="1"/>
    <col min="9987" max="9987" width="19.140625" style="3" customWidth="1"/>
    <col min="9988" max="9988" width="6.28515625" style="3" customWidth="1"/>
    <col min="9989" max="9989" width="6" style="3" customWidth="1"/>
    <col min="9990" max="9990" width="7.42578125" style="3" customWidth="1"/>
    <col min="9991" max="9991" width="5.7109375" style="3" customWidth="1"/>
    <col min="9992" max="9992" width="5.28515625" style="3" customWidth="1"/>
    <col min="9993" max="9993" width="10" style="3" customWidth="1"/>
    <col min="9994" max="9994" width="6.28515625" style="3" customWidth="1"/>
    <col min="9995" max="9995" width="8.28515625" style="3" customWidth="1"/>
    <col min="9996" max="9996" width="12.42578125" style="3" customWidth="1"/>
    <col min="9997" max="9997" width="5.28515625" style="3" customWidth="1"/>
    <col min="9998" max="9998" width="10.85546875" style="3" customWidth="1"/>
    <col min="9999" max="9999" width="4.85546875" style="3" customWidth="1"/>
    <col min="10000" max="10000" width="5.140625" style="3" customWidth="1"/>
    <col min="10001" max="10001" width="10.5703125" style="3" customWidth="1"/>
    <col min="10002" max="10002" width="6.28515625" style="3" customWidth="1"/>
    <col min="10003" max="10003" width="6.5703125" style="3" customWidth="1"/>
    <col min="10004" max="10004" width="7.42578125" style="3" customWidth="1"/>
    <col min="10005" max="10005" width="6.85546875" style="3" customWidth="1"/>
    <col min="10006" max="10006" width="10.7109375" style="3" customWidth="1"/>
    <col min="10007" max="10007" width="5.140625" style="3" customWidth="1"/>
    <col min="10008" max="10239" width="11.42578125" style="3"/>
    <col min="10240" max="10240" width="23.7109375" style="3" customWidth="1"/>
    <col min="10241" max="10241" width="0" style="3" hidden="1" customWidth="1"/>
    <col min="10242" max="10242" width="41.42578125" style="3" customWidth="1"/>
    <col min="10243" max="10243" width="19.140625" style="3" customWidth="1"/>
    <col min="10244" max="10244" width="6.28515625" style="3" customWidth="1"/>
    <col min="10245" max="10245" width="6" style="3" customWidth="1"/>
    <col min="10246" max="10246" width="7.42578125" style="3" customWidth="1"/>
    <col min="10247" max="10247" width="5.7109375" style="3" customWidth="1"/>
    <col min="10248" max="10248" width="5.28515625" style="3" customWidth="1"/>
    <col min="10249" max="10249" width="10" style="3" customWidth="1"/>
    <col min="10250" max="10250" width="6.28515625" style="3" customWidth="1"/>
    <col min="10251" max="10251" width="8.28515625" style="3" customWidth="1"/>
    <col min="10252" max="10252" width="12.42578125" style="3" customWidth="1"/>
    <col min="10253" max="10253" width="5.28515625" style="3" customWidth="1"/>
    <col min="10254" max="10254" width="10.85546875" style="3" customWidth="1"/>
    <col min="10255" max="10255" width="4.85546875" style="3" customWidth="1"/>
    <col min="10256" max="10256" width="5.140625" style="3" customWidth="1"/>
    <col min="10257" max="10257" width="10.5703125" style="3" customWidth="1"/>
    <col min="10258" max="10258" width="6.28515625" style="3" customWidth="1"/>
    <col min="10259" max="10259" width="6.5703125" style="3" customWidth="1"/>
    <col min="10260" max="10260" width="7.42578125" style="3" customWidth="1"/>
    <col min="10261" max="10261" width="6.85546875" style="3" customWidth="1"/>
    <col min="10262" max="10262" width="10.7109375" style="3" customWidth="1"/>
    <col min="10263" max="10263" width="5.140625" style="3" customWidth="1"/>
    <col min="10264" max="10495" width="11.42578125" style="3"/>
    <col min="10496" max="10496" width="23.7109375" style="3" customWidth="1"/>
    <col min="10497" max="10497" width="0" style="3" hidden="1" customWidth="1"/>
    <col min="10498" max="10498" width="41.42578125" style="3" customWidth="1"/>
    <col min="10499" max="10499" width="19.140625" style="3" customWidth="1"/>
    <col min="10500" max="10500" width="6.28515625" style="3" customWidth="1"/>
    <col min="10501" max="10501" width="6" style="3" customWidth="1"/>
    <col min="10502" max="10502" width="7.42578125" style="3" customWidth="1"/>
    <col min="10503" max="10503" width="5.7109375" style="3" customWidth="1"/>
    <col min="10504" max="10504" width="5.28515625" style="3" customWidth="1"/>
    <col min="10505" max="10505" width="10" style="3" customWidth="1"/>
    <col min="10506" max="10506" width="6.28515625" style="3" customWidth="1"/>
    <col min="10507" max="10507" width="8.28515625" style="3" customWidth="1"/>
    <col min="10508" max="10508" width="12.42578125" style="3" customWidth="1"/>
    <col min="10509" max="10509" width="5.28515625" style="3" customWidth="1"/>
    <col min="10510" max="10510" width="10.85546875" style="3" customWidth="1"/>
    <col min="10511" max="10511" width="4.85546875" style="3" customWidth="1"/>
    <col min="10512" max="10512" width="5.140625" style="3" customWidth="1"/>
    <col min="10513" max="10513" width="10.5703125" style="3" customWidth="1"/>
    <col min="10514" max="10514" width="6.28515625" style="3" customWidth="1"/>
    <col min="10515" max="10515" width="6.5703125" style="3" customWidth="1"/>
    <col min="10516" max="10516" width="7.42578125" style="3" customWidth="1"/>
    <col min="10517" max="10517" width="6.85546875" style="3" customWidth="1"/>
    <col min="10518" max="10518" width="10.7109375" style="3" customWidth="1"/>
    <col min="10519" max="10519" width="5.140625" style="3" customWidth="1"/>
    <col min="10520" max="10751" width="11.42578125" style="3"/>
    <col min="10752" max="10752" width="23.7109375" style="3" customWidth="1"/>
    <col min="10753" max="10753" width="0" style="3" hidden="1" customWidth="1"/>
    <col min="10754" max="10754" width="41.42578125" style="3" customWidth="1"/>
    <col min="10755" max="10755" width="19.140625" style="3" customWidth="1"/>
    <col min="10756" max="10756" width="6.28515625" style="3" customWidth="1"/>
    <col min="10757" max="10757" width="6" style="3" customWidth="1"/>
    <col min="10758" max="10758" width="7.42578125" style="3" customWidth="1"/>
    <col min="10759" max="10759" width="5.7109375" style="3" customWidth="1"/>
    <col min="10760" max="10760" width="5.28515625" style="3" customWidth="1"/>
    <col min="10761" max="10761" width="10" style="3" customWidth="1"/>
    <col min="10762" max="10762" width="6.28515625" style="3" customWidth="1"/>
    <col min="10763" max="10763" width="8.28515625" style="3" customWidth="1"/>
    <col min="10764" max="10764" width="12.42578125" style="3" customWidth="1"/>
    <col min="10765" max="10765" width="5.28515625" style="3" customWidth="1"/>
    <col min="10766" max="10766" width="10.85546875" style="3" customWidth="1"/>
    <col min="10767" max="10767" width="4.85546875" style="3" customWidth="1"/>
    <col min="10768" max="10768" width="5.140625" style="3" customWidth="1"/>
    <col min="10769" max="10769" width="10.5703125" style="3" customWidth="1"/>
    <col min="10770" max="10770" width="6.28515625" style="3" customWidth="1"/>
    <col min="10771" max="10771" width="6.5703125" style="3" customWidth="1"/>
    <col min="10772" max="10772" width="7.42578125" style="3" customWidth="1"/>
    <col min="10773" max="10773" width="6.85546875" style="3" customWidth="1"/>
    <col min="10774" max="10774" width="10.7109375" style="3" customWidth="1"/>
    <col min="10775" max="10775" width="5.140625" style="3" customWidth="1"/>
    <col min="10776" max="11007" width="11.42578125" style="3"/>
    <col min="11008" max="11008" width="23.7109375" style="3" customWidth="1"/>
    <col min="11009" max="11009" width="0" style="3" hidden="1" customWidth="1"/>
    <col min="11010" max="11010" width="41.42578125" style="3" customWidth="1"/>
    <col min="11011" max="11011" width="19.140625" style="3" customWidth="1"/>
    <col min="11012" max="11012" width="6.28515625" style="3" customWidth="1"/>
    <col min="11013" max="11013" width="6" style="3" customWidth="1"/>
    <col min="11014" max="11014" width="7.42578125" style="3" customWidth="1"/>
    <col min="11015" max="11015" width="5.7109375" style="3" customWidth="1"/>
    <col min="11016" max="11016" width="5.28515625" style="3" customWidth="1"/>
    <col min="11017" max="11017" width="10" style="3" customWidth="1"/>
    <col min="11018" max="11018" width="6.28515625" style="3" customWidth="1"/>
    <col min="11019" max="11019" width="8.28515625" style="3" customWidth="1"/>
    <col min="11020" max="11020" width="12.42578125" style="3" customWidth="1"/>
    <col min="11021" max="11021" width="5.28515625" style="3" customWidth="1"/>
    <col min="11022" max="11022" width="10.85546875" style="3" customWidth="1"/>
    <col min="11023" max="11023" width="4.85546875" style="3" customWidth="1"/>
    <col min="11024" max="11024" width="5.140625" style="3" customWidth="1"/>
    <col min="11025" max="11025" width="10.5703125" style="3" customWidth="1"/>
    <col min="11026" max="11026" width="6.28515625" style="3" customWidth="1"/>
    <col min="11027" max="11027" width="6.5703125" style="3" customWidth="1"/>
    <col min="11028" max="11028" width="7.42578125" style="3" customWidth="1"/>
    <col min="11029" max="11029" width="6.85546875" style="3" customWidth="1"/>
    <col min="11030" max="11030" width="10.7109375" style="3" customWidth="1"/>
    <col min="11031" max="11031" width="5.140625" style="3" customWidth="1"/>
    <col min="11032" max="11263" width="11.42578125" style="3"/>
    <col min="11264" max="11264" width="23.7109375" style="3" customWidth="1"/>
    <col min="11265" max="11265" width="0" style="3" hidden="1" customWidth="1"/>
    <col min="11266" max="11266" width="41.42578125" style="3" customWidth="1"/>
    <col min="11267" max="11267" width="19.140625" style="3" customWidth="1"/>
    <col min="11268" max="11268" width="6.28515625" style="3" customWidth="1"/>
    <col min="11269" max="11269" width="6" style="3" customWidth="1"/>
    <col min="11270" max="11270" width="7.42578125" style="3" customWidth="1"/>
    <col min="11271" max="11271" width="5.7109375" style="3" customWidth="1"/>
    <col min="11272" max="11272" width="5.28515625" style="3" customWidth="1"/>
    <col min="11273" max="11273" width="10" style="3" customWidth="1"/>
    <col min="11274" max="11274" width="6.28515625" style="3" customWidth="1"/>
    <col min="11275" max="11275" width="8.28515625" style="3" customWidth="1"/>
    <col min="11276" max="11276" width="12.42578125" style="3" customWidth="1"/>
    <col min="11277" max="11277" width="5.28515625" style="3" customWidth="1"/>
    <col min="11278" max="11278" width="10.85546875" style="3" customWidth="1"/>
    <col min="11279" max="11279" width="4.85546875" style="3" customWidth="1"/>
    <col min="11280" max="11280" width="5.140625" style="3" customWidth="1"/>
    <col min="11281" max="11281" width="10.5703125" style="3" customWidth="1"/>
    <col min="11282" max="11282" width="6.28515625" style="3" customWidth="1"/>
    <col min="11283" max="11283" width="6.5703125" style="3" customWidth="1"/>
    <col min="11284" max="11284" width="7.42578125" style="3" customWidth="1"/>
    <col min="11285" max="11285" width="6.85546875" style="3" customWidth="1"/>
    <col min="11286" max="11286" width="10.7109375" style="3" customWidth="1"/>
    <col min="11287" max="11287" width="5.140625" style="3" customWidth="1"/>
    <col min="11288" max="11519" width="11.42578125" style="3"/>
    <col min="11520" max="11520" width="23.7109375" style="3" customWidth="1"/>
    <col min="11521" max="11521" width="0" style="3" hidden="1" customWidth="1"/>
    <col min="11522" max="11522" width="41.42578125" style="3" customWidth="1"/>
    <col min="11523" max="11523" width="19.140625" style="3" customWidth="1"/>
    <col min="11524" max="11524" width="6.28515625" style="3" customWidth="1"/>
    <col min="11525" max="11525" width="6" style="3" customWidth="1"/>
    <col min="11526" max="11526" width="7.42578125" style="3" customWidth="1"/>
    <col min="11527" max="11527" width="5.7109375" style="3" customWidth="1"/>
    <col min="11528" max="11528" width="5.28515625" style="3" customWidth="1"/>
    <col min="11529" max="11529" width="10" style="3" customWidth="1"/>
    <col min="11530" max="11530" width="6.28515625" style="3" customWidth="1"/>
    <col min="11531" max="11531" width="8.28515625" style="3" customWidth="1"/>
    <col min="11532" max="11532" width="12.42578125" style="3" customWidth="1"/>
    <col min="11533" max="11533" width="5.28515625" style="3" customWidth="1"/>
    <col min="11534" max="11534" width="10.85546875" style="3" customWidth="1"/>
    <col min="11535" max="11535" width="4.85546875" style="3" customWidth="1"/>
    <col min="11536" max="11536" width="5.140625" style="3" customWidth="1"/>
    <col min="11537" max="11537" width="10.5703125" style="3" customWidth="1"/>
    <col min="11538" max="11538" width="6.28515625" style="3" customWidth="1"/>
    <col min="11539" max="11539" width="6.5703125" style="3" customWidth="1"/>
    <col min="11540" max="11540" width="7.42578125" style="3" customWidth="1"/>
    <col min="11541" max="11541" width="6.85546875" style="3" customWidth="1"/>
    <col min="11542" max="11542" width="10.7109375" style="3" customWidth="1"/>
    <col min="11543" max="11543" width="5.140625" style="3" customWidth="1"/>
    <col min="11544" max="11775" width="11.42578125" style="3"/>
    <col min="11776" max="11776" width="23.7109375" style="3" customWidth="1"/>
    <col min="11777" max="11777" width="0" style="3" hidden="1" customWidth="1"/>
    <col min="11778" max="11778" width="41.42578125" style="3" customWidth="1"/>
    <col min="11779" max="11779" width="19.140625" style="3" customWidth="1"/>
    <col min="11780" max="11780" width="6.28515625" style="3" customWidth="1"/>
    <col min="11781" max="11781" width="6" style="3" customWidth="1"/>
    <col min="11782" max="11782" width="7.42578125" style="3" customWidth="1"/>
    <col min="11783" max="11783" width="5.7109375" style="3" customWidth="1"/>
    <col min="11784" max="11784" width="5.28515625" style="3" customWidth="1"/>
    <col min="11785" max="11785" width="10" style="3" customWidth="1"/>
    <col min="11786" max="11786" width="6.28515625" style="3" customWidth="1"/>
    <col min="11787" max="11787" width="8.28515625" style="3" customWidth="1"/>
    <col min="11788" max="11788" width="12.42578125" style="3" customWidth="1"/>
    <col min="11789" max="11789" width="5.28515625" style="3" customWidth="1"/>
    <col min="11790" max="11790" width="10.85546875" style="3" customWidth="1"/>
    <col min="11791" max="11791" width="4.85546875" style="3" customWidth="1"/>
    <col min="11792" max="11792" width="5.140625" style="3" customWidth="1"/>
    <col min="11793" max="11793" width="10.5703125" style="3" customWidth="1"/>
    <col min="11794" max="11794" width="6.28515625" style="3" customWidth="1"/>
    <col min="11795" max="11795" width="6.5703125" style="3" customWidth="1"/>
    <col min="11796" max="11796" width="7.42578125" style="3" customWidth="1"/>
    <col min="11797" max="11797" width="6.85546875" style="3" customWidth="1"/>
    <col min="11798" max="11798" width="10.7109375" style="3" customWidth="1"/>
    <col min="11799" max="11799" width="5.140625" style="3" customWidth="1"/>
    <col min="11800" max="12031" width="11.42578125" style="3"/>
    <col min="12032" max="12032" width="23.7109375" style="3" customWidth="1"/>
    <col min="12033" max="12033" width="0" style="3" hidden="1" customWidth="1"/>
    <col min="12034" max="12034" width="41.42578125" style="3" customWidth="1"/>
    <col min="12035" max="12035" width="19.140625" style="3" customWidth="1"/>
    <col min="12036" max="12036" width="6.28515625" style="3" customWidth="1"/>
    <col min="12037" max="12037" width="6" style="3" customWidth="1"/>
    <col min="12038" max="12038" width="7.42578125" style="3" customWidth="1"/>
    <col min="12039" max="12039" width="5.7109375" style="3" customWidth="1"/>
    <col min="12040" max="12040" width="5.28515625" style="3" customWidth="1"/>
    <col min="12041" max="12041" width="10" style="3" customWidth="1"/>
    <col min="12042" max="12042" width="6.28515625" style="3" customWidth="1"/>
    <col min="12043" max="12043" width="8.28515625" style="3" customWidth="1"/>
    <col min="12044" max="12044" width="12.42578125" style="3" customWidth="1"/>
    <col min="12045" max="12045" width="5.28515625" style="3" customWidth="1"/>
    <col min="12046" max="12046" width="10.85546875" style="3" customWidth="1"/>
    <col min="12047" max="12047" width="4.85546875" style="3" customWidth="1"/>
    <col min="12048" max="12048" width="5.140625" style="3" customWidth="1"/>
    <col min="12049" max="12049" width="10.5703125" style="3" customWidth="1"/>
    <col min="12050" max="12050" width="6.28515625" style="3" customWidth="1"/>
    <col min="12051" max="12051" width="6.5703125" style="3" customWidth="1"/>
    <col min="12052" max="12052" width="7.42578125" style="3" customWidth="1"/>
    <col min="12053" max="12053" width="6.85546875" style="3" customWidth="1"/>
    <col min="12054" max="12054" width="10.7109375" style="3" customWidth="1"/>
    <col min="12055" max="12055" width="5.140625" style="3" customWidth="1"/>
    <col min="12056" max="12287" width="11.42578125" style="3"/>
    <col min="12288" max="12288" width="23.7109375" style="3" customWidth="1"/>
    <col min="12289" max="12289" width="0" style="3" hidden="1" customWidth="1"/>
    <col min="12290" max="12290" width="41.42578125" style="3" customWidth="1"/>
    <col min="12291" max="12291" width="19.140625" style="3" customWidth="1"/>
    <col min="12292" max="12292" width="6.28515625" style="3" customWidth="1"/>
    <col min="12293" max="12293" width="6" style="3" customWidth="1"/>
    <col min="12294" max="12294" width="7.42578125" style="3" customWidth="1"/>
    <col min="12295" max="12295" width="5.7109375" style="3" customWidth="1"/>
    <col min="12296" max="12296" width="5.28515625" style="3" customWidth="1"/>
    <col min="12297" max="12297" width="10" style="3" customWidth="1"/>
    <col min="12298" max="12298" width="6.28515625" style="3" customWidth="1"/>
    <col min="12299" max="12299" width="8.28515625" style="3" customWidth="1"/>
    <col min="12300" max="12300" width="12.42578125" style="3" customWidth="1"/>
    <col min="12301" max="12301" width="5.28515625" style="3" customWidth="1"/>
    <col min="12302" max="12302" width="10.85546875" style="3" customWidth="1"/>
    <col min="12303" max="12303" width="4.85546875" style="3" customWidth="1"/>
    <col min="12304" max="12304" width="5.140625" style="3" customWidth="1"/>
    <col min="12305" max="12305" width="10.5703125" style="3" customWidth="1"/>
    <col min="12306" max="12306" width="6.28515625" style="3" customWidth="1"/>
    <col min="12307" max="12307" width="6.5703125" style="3" customWidth="1"/>
    <col min="12308" max="12308" width="7.42578125" style="3" customWidth="1"/>
    <col min="12309" max="12309" width="6.85546875" style="3" customWidth="1"/>
    <col min="12310" max="12310" width="10.7109375" style="3" customWidth="1"/>
    <col min="12311" max="12311" width="5.140625" style="3" customWidth="1"/>
    <col min="12312" max="12543" width="11.42578125" style="3"/>
    <col min="12544" max="12544" width="23.7109375" style="3" customWidth="1"/>
    <col min="12545" max="12545" width="0" style="3" hidden="1" customWidth="1"/>
    <col min="12546" max="12546" width="41.42578125" style="3" customWidth="1"/>
    <col min="12547" max="12547" width="19.140625" style="3" customWidth="1"/>
    <col min="12548" max="12548" width="6.28515625" style="3" customWidth="1"/>
    <col min="12549" max="12549" width="6" style="3" customWidth="1"/>
    <col min="12550" max="12550" width="7.42578125" style="3" customWidth="1"/>
    <col min="12551" max="12551" width="5.7109375" style="3" customWidth="1"/>
    <col min="12552" max="12552" width="5.28515625" style="3" customWidth="1"/>
    <col min="12553" max="12553" width="10" style="3" customWidth="1"/>
    <col min="12554" max="12554" width="6.28515625" style="3" customWidth="1"/>
    <col min="12555" max="12555" width="8.28515625" style="3" customWidth="1"/>
    <col min="12556" max="12556" width="12.42578125" style="3" customWidth="1"/>
    <col min="12557" max="12557" width="5.28515625" style="3" customWidth="1"/>
    <col min="12558" max="12558" width="10.85546875" style="3" customWidth="1"/>
    <col min="12559" max="12559" width="4.85546875" style="3" customWidth="1"/>
    <col min="12560" max="12560" width="5.140625" style="3" customWidth="1"/>
    <col min="12561" max="12561" width="10.5703125" style="3" customWidth="1"/>
    <col min="12562" max="12562" width="6.28515625" style="3" customWidth="1"/>
    <col min="12563" max="12563" width="6.5703125" style="3" customWidth="1"/>
    <col min="12564" max="12564" width="7.42578125" style="3" customWidth="1"/>
    <col min="12565" max="12565" width="6.85546875" style="3" customWidth="1"/>
    <col min="12566" max="12566" width="10.7109375" style="3" customWidth="1"/>
    <col min="12567" max="12567" width="5.140625" style="3" customWidth="1"/>
    <col min="12568" max="12799" width="11.42578125" style="3"/>
    <col min="12800" max="12800" width="23.7109375" style="3" customWidth="1"/>
    <col min="12801" max="12801" width="0" style="3" hidden="1" customWidth="1"/>
    <col min="12802" max="12802" width="41.42578125" style="3" customWidth="1"/>
    <col min="12803" max="12803" width="19.140625" style="3" customWidth="1"/>
    <col min="12804" max="12804" width="6.28515625" style="3" customWidth="1"/>
    <col min="12805" max="12805" width="6" style="3" customWidth="1"/>
    <col min="12806" max="12806" width="7.42578125" style="3" customWidth="1"/>
    <col min="12807" max="12807" width="5.7109375" style="3" customWidth="1"/>
    <col min="12808" max="12808" width="5.28515625" style="3" customWidth="1"/>
    <col min="12809" max="12809" width="10" style="3" customWidth="1"/>
    <col min="12810" max="12810" width="6.28515625" style="3" customWidth="1"/>
    <col min="12811" max="12811" width="8.28515625" style="3" customWidth="1"/>
    <col min="12812" max="12812" width="12.42578125" style="3" customWidth="1"/>
    <col min="12813" max="12813" width="5.28515625" style="3" customWidth="1"/>
    <col min="12814" max="12814" width="10.85546875" style="3" customWidth="1"/>
    <col min="12815" max="12815" width="4.85546875" style="3" customWidth="1"/>
    <col min="12816" max="12816" width="5.140625" style="3" customWidth="1"/>
    <col min="12817" max="12817" width="10.5703125" style="3" customWidth="1"/>
    <col min="12818" max="12818" width="6.28515625" style="3" customWidth="1"/>
    <col min="12819" max="12819" width="6.5703125" style="3" customWidth="1"/>
    <col min="12820" max="12820" width="7.42578125" style="3" customWidth="1"/>
    <col min="12821" max="12821" width="6.85546875" style="3" customWidth="1"/>
    <col min="12822" max="12822" width="10.7109375" style="3" customWidth="1"/>
    <col min="12823" max="12823" width="5.140625" style="3" customWidth="1"/>
    <col min="12824" max="13055" width="11.42578125" style="3"/>
    <col min="13056" max="13056" width="23.7109375" style="3" customWidth="1"/>
    <col min="13057" max="13057" width="0" style="3" hidden="1" customWidth="1"/>
    <col min="13058" max="13058" width="41.42578125" style="3" customWidth="1"/>
    <col min="13059" max="13059" width="19.140625" style="3" customWidth="1"/>
    <col min="13060" max="13060" width="6.28515625" style="3" customWidth="1"/>
    <col min="13061" max="13061" width="6" style="3" customWidth="1"/>
    <col min="13062" max="13062" width="7.42578125" style="3" customWidth="1"/>
    <col min="13063" max="13063" width="5.7109375" style="3" customWidth="1"/>
    <col min="13064" max="13064" width="5.28515625" style="3" customWidth="1"/>
    <col min="13065" max="13065" width="10" style="3" customWidth="1"/>
    <col min="13066" max="13066" width="6.28515625" style="3" customWidth="1"/>
    <col min="13067" max="13067" width="8.28515625" style="3" customWidth="1"/>
    <col min="13068" max="13068" width="12.42578125" style="3" customWidth="1"/>
    <col min="13069" max="13069" width="5.28515625" style="3" customWidth="1"/>
    <col min="13070" max="13070" width="10.85546875" style="3" customWidth="1"/>
    <col min="13071" max="13071" width="4.85546875" style="3" customWidth="1"/>
    <col min="13072" max="13072" width="5.140625" style="3" customWidth="1"/>
    <col min="13073" max="13073" width="10.5703125" style="3" customWidth="1"/>
    <col min="13074" max="13074" width="6.28515625" style="3" customWidth="1"/>
    <col min="13075" max="13075" width="6.5703125" style="3" customWidth="1"/>
    <col min="13076" max="13076" width="7.42578125" style="3" customWidth="1"/>
    <col min="13077" max="13077" width="6.85546875" style="3" customWidth="1"/>
    <col min="13078" max="13078" width="10.7109375" style="3" customWidth="1"/>
    <col min="13079" max="13079" width="5.140625" style="3" customWidth="1"/>
    <col min="13080" max="13311" width="11.42578125" style="3"/>
    <col min="13312" max="13312" width="23.7109375" style="3" customWidth="1"/>
    <col min="13313" max="13313" width="0" style="3" hidden="1" customWidth="1"/>
    <col min="13314" max="13314" width="41.42578125" style="3" customWidth="1"/>
    <col min="13315" max="13315" width="19.140625" style="3" customWidth="1"/>
    <col min="13316" max="13316" width="6.28515625" style="3" customWidth="1"/>
    <col min="13317" max="13317" width="6" style="3" customWidth="1"/>
    <col min="13318" max="13318" width="7.42578125" style="3" customWidth="1"/>
    <col min="13319" max="13319" width="5.7109375" style="3" customWidth="1"/>
    <col min="13320" max="13320" width="5.28515625" style="3" customWidth="1"/>
    <col min="13321" max="13321" width="10" style="3" customWidth="1"/>
    <col min="13322" max="13322" width="6.28515625" style="3" customWidth="1"/>
    <col min="13323" max="13323" width="8.28515625" style="3" customWidth="1"/>
    <col min="13324" max="13324" width="12.42578125" style="3" customWidth="1"/>
    <col min="13325" max="13325" width="5.28515625" style="3" customWidth="1"/>
    <col min="13326" max="13326" width="10.85546875" style="3" customWidth="1"/>
    <col min="13327" max="13327" width="4.85546875" style="3" customWidth="1"/>
    <col min="13328" max="13328" width="5.140625" style="3" customWidth="1"/>
    <col min="13329" max="13329" width="10.5703125" style="3" customWidth="1"/>
    <col min="13330" max="13330" width="6.28515625" style="3" customWidth="1"/>
    <col min="13331" max="13331" width="6.5703125" style="3" customWidth="1"/>
    <col min="13332" max="13332" width="7.42578125" style="3" customWidth="1"/>
    <col min="13333" max="13333" width="6.85546875" style="3" customWidth="1"/>
    <col min="13334" max="13334" width="10.7109375" style="3" customWidth="1"/>
    <col min="13335" max="13335" width="5.140625" style="3" customWidth="1"/>
    <col min="13336" max="13567" width="11.42578125" style="3"/>
    <col min="13568" max="13568" width="23.7109375" style="3" customWidth="1"/>
    <col min="13569" max="13569" width="0" style="3" hidden="1" customWidth="1"/>
    <col min="13570" max="13570" width="41.42578125" style="3" customWidth="1"/>
    <col min="13571" max="13571" width="19.140625" style="3" customWidth="1"/>
    <col min="13572" max="13572" width="6.28515625" style="3" customWidth="1"/>
    <col min="13573" max="13573" width="6" style="3" customWidth="1"/>
    <col min="13574" max="13574" width="7.42578125" style="3" customWidth="1"/>
    <col min="13575" max="13575" width="5.7109375" style="3" customWidth="1"/>
    <col min="13576" max="13576" width="5.28515625" style="3" customWidth="1"/>
    <col min="13577" max="13577" width="10" style="3" customWidth="1"/>
    <col min="13578" max="13578" width="6.28515625" style="3" customWidth="1"/>
    <col min="13579" max="13579" width="8.28515625" style="3" customWidth="1"/>
    <col min="13580" max="13580" width="12.42578125" style="3" customWidth="1"/>
    <col min="13581" max="13581" width="5.28515625" style="3" customWidth="1"/>
    <col min="13582" max="13582" width="10.85546875" style="3" customWidth="1"/>
    <col min="13583" max="13583" width="4.85546875" style="3" customWidth="1"/>
    <col min="13584" max="13584" width="5.140625" style="3" customWidth="1"/>
    <col min="13585" max="13585" width="10.5703125" style="3" customWidth="1"/>
    <col min="13586" max="13586" width="6.28515625" style="3" customWidth="1"/>
    <col min="13587" max="13587" width="6.5703125" style="3" customWidth="1"/>
    <col min="13588" max="13588" width="7.42578125" style="3" customWidth="1"/>
    <col min="13589" max="13589" width="6.85546875" style="3" customWidth="1"/>
    <col min="13590" max="13590" width="10.7109375" style="3" customWidth="1"/>
    <col min="13591" max="13591" width="5.140625" style="3" customWidth="1"/>
    <col min="13592" max="13823" width="11.42578125" style="3"/>
    <col min="13824" max="13824" width="23.7109375" style="3" customWidth="1"/>
    <col min="13825" max="13825" width="0" style="3" hidden="1" customWidth="1"/>
    <col min="13826" max="13826" width="41.42578125" style="3" customWidth="1"/>
    <col min="13827" max="13827" width="19.140625" style="3" customWidth="1"/>
    <col min="13828" max="13828" width="6.28515625" style="3" customWidth="1"/>
    <col min="13829" max="13829" width="6" style="3" customWidth="1"/>
    <col min="13830" max="13830" width="7.42578125" style="3" customWidth="1"/>
    <col min="13831" max="13831" width="5.7109375" style="3" customWidth="1"/>
    <col min="13832" max="13832" width="5.28515625" style="3" customWidth="1"/>
    <col min="13833" max="13833" width="10" style="3" customWidth="1"/>
    <col min="13834" max="13834" width="6.28515625" style="3" customWidth="1"/>
    <col min="13835" max="13835" width="8.28515625" style="3" customWidth="1"/>
    <col min="13836" max="13836" width="12.42578125" style="3" customWidth="1"/>
    <col min="13837" max="13837" width="5.28515625" style="3" customWidth="1"/>
    <col min="13838" max="13838" width="10.85546875" style="3" customWidth="1"/>
    <col min="13839" max="13839" width="4.85546875" style="3" customWidth="1"/>
    <col min="13840" max="13840" width="5.140625" style="3" customWidth="1"/>
    <col min="13841" max="13841" width="10.5703125" style="3" customWidth="1"/>
    <col min="13842" max="13842" width="6.28515625" style="3" customWidth="1"/>
    <col min="13843" max="13843" width="6.5703125" style="3" customWidth="1"/>
    <col min="13844" max="13844" width="7.42578125" style="3" customWidth="1"/>
    <col min="13845" max="13845" width="6.85546875" style="3" customWidth="1"/>
    <col min="13846" max="13846" width="10.7109375" style="3" customWidth="1"/>
    <col min="13847" max="13847" width="5.140625" style="3" customWidth="1"/>
    <col min="13848" max="14079" width="11.42578125" style="3"/>
    <col min="14080" max="14080" width="23.7109375" style="3" customWidth="1"/>
    <col min="14081" max="14081" width="0" style="3" hidden="1" customWidth="1"/>
    <col min="14082" max="14082" width="41.42578125" style="3" customWidth="1"/>
    <col min="14083" max="14083" width="19.140625" style="3" customWidth="1"/>
    <col min="14084" max="14084" width="6.28515625" style="3" customWidth="1"/>
    <col min="14085" max="14085" width="6" style="3" customWidth="1"/>
    <col min="14086" max="14086" width="7.42578125" style="3" customWidth="1"/>
    <col min="14087" max="14087" width="5.7109375" style="3" customWidth="1"/>
    <col min="14088" max="14088" width="5.28515625" style="3" customWidth="1"/>
    <col min="14089" max="14089" width="10" style="3" customWidth="1"/>
    <col min="14090" max="14090" width="6.28515625" style="3" customWidth="1"/>
    <col min="14091" max="14091" width="8.28515625" style="3" customWidth="1"/>
    <col min="14092" max="14092" width="12.42578125" style="3" customWidth="1"/>
    <col min="14093" max="14093" width="5.28515625" style="3" customWidth="1"/>
    <col min="14094" max="14094" width="10.85546875" style="3" customWidth="1"/>
    <col min="14095" max="14095" width="4.85546875" style="3" customWidth="1"/>
    <col min="14096" max="14096" width="5.140625" style="3" customWidth="1"/>
    <col min="14097" max="14097" width="10.5703125" style="3" customWidth="1"/>
    <col min="14098" max="14098" width="6.28515625" style="3" customWidth="1"/>
    <col min="14099" max="14099" width="6.5703125" style="3" customWidth="1"/>
    <col min="14100" max="14100" width="7.42578125" style="3" customWidth="1"/>
    <col min="14101" max="14101" width="6.85546875" style="3" customWidth="1"/>
    <col min="14102" max="14102" width="10.7109375" style="3" customWidth="1"/>
    <col min="14103" max="14103" width="5.140625" style="3" customWidth="1"/>
    <col min="14104" max="14335" width="11.42578125" style="3"/>
    <col min="14336" max="14336" width="23.7109375" style="3" customWidth="1"/>
    <col min="14337" max="14337" width="0" style="3" hidden="1" customWidth="1"/>
    <col min="14338" max="14338" width="41.42578125" style="3" customWidth="1"/>
    <col min="14339" max="14339" width="19.140625" style="3" customWidth="1"/>
    <col min="14340" max="14340" width="6.28515625" style="3" customWidth="1"/>
    <col min="14341" max="14341" width="6" style="3" customWidth="1"/>
    <col min="14342" max="14342" width="7.42578125" style="3" customWidth="1"/>
    <col min="14343" max="14343" width="5.7109375" style="3" customWidth="1"/>
    <col min="14344" max="14344" width="5.28515625" style="3" customWidth="1"/>
    <col min="14345" max="14345" width="10" style="3" customWidth="1"/>
    <col min="14346" max="14346" width="6.28515625" style="3" customWidth="1"/>
    <col min="14347" max="14347" width="8.28515625" style="3" customWidth="1"/>
    <col min="14348" max="14348" width="12.42578125" style="3" customWidth="1"/>
    <col min="14349" max="14349" width="5.28515625" style="3" customWidth="1"/>
    <col min="14350" max="14350" width="10.85546875" style="3" customWidth="1"/>
    <col min="14351" max="14351" width="4.85546875" style="3" customWidth="1"/>
    <col min="14352" max="14352" width="5.140625" style="3" customWidth="1"/>
    <col min="14353" max="14353" width="10.5703125" style="3" customWidth="1"/>
    <col min="14354" max="14354" width="6.28515625" style="3" customWidth="1"/>
    <col min="14355" max="14355" width="6.5703125" style="3" customWidth="1"/>
    <col min="14356" max="14356" width="7.42578125" style="3" customWidth="1"/>
    <col min="14357" max="14357" width="6.85546875" style="3" customWidth="1"/>
    <col min="14358" max="14358" width="10.7109375" style="3" customWidth="1"/>
    <col min="14359" max="14359" width="5.140625" style="3" customWidth="1"/>
    <col min="14360" max="14591" width="11.42578125" style="3"/>
    <col min="14592" max="14592" width="23.7109375" style="3" customWidth="1"/>
    <col min="14593" max="14593" width="0" style="3" hidden="1" customWidth="1"/>
    <col min="14594" max="14594" width="41.42578125" style="3" customWidth="1"/>
    <col min="14595" max="14595" width="19.140625" style="3" customWidth="1"/>
    <col min="14596" max="14596" width="6.28515625" style="3" customWidth="1"/>
    <col min="14597" max="14597" width="6" style="3" customWidth="1"/>
    <col min="14598" max="14598" width="7.42578125" style="3" customWidth="1"/>
    <col min="14599" max="14599" width="5.7109375" style="3" customWidth="1"/>
    <col min="14600" max="14600" width="5.28515625" style="3" customWidth="1"/>
    <col min="14601" max="14601" width="10" style="3" customWidth="1"/>
    <col min="14602" max="14602" width="6.28515625" style="3" customWidth="1"/>
    <col min="14603" max="14603" width="8.28515625" style="3" customWidth="1"/>
    <col min="14604" max="14604" width="12.42578125" style="3" customWidth="1"/>
    <col min="14605" max="14605" width="5.28515625" style="3" customWidth="1"/>
    <col min="14606" max="14606" width="10.85546875" style="3" customWidth="1"/>
    <col min="14607" max="14607" width="4.85546875" style="3" customWidth="1"/>
    <col min="14608" max="14608" width="5.140625" style="3" customWidth="1"/>
    <col min="14609" max="14609" width="10.5703125" style="3" customWidth="1"/>
    <col min="14610" max="14610" width="6.28515625" style="3" customWidth="1"/>
    <col min="14611" max="14611" width="6.5703125" style="3" customWidth="1"/>
    <col min="14612" max="14612" width="7.42578125" style="3" customWidth="1"/>
    <col min="14613" max="14613" width="6.85546875" style="3" customWidth="1"/>
    <col min="14614" max="14614" width="10.7109375" style="3" customWidth="1"/>
    <col min="14615" max="14615" width="5.140625" style="3" customWidth="1"/>
    <col min="14616" max="14847" width="11.42578125" style="3"/>
    <col min="14848" max="14848" width="23.7109375" style="3" customWidth="1"/>
    <col min="14849" max="14849" width="0" style="3" hidden="1" customWidth="1"/>
    <col min="14850" max="14850" width="41.42578125" style="3" customWidth="1"/>
    <col min="14851" max="14851" width="19.140625" style="3" customWidth="1"/>
    <col min="14852" max="14852" width="6.28515625" style="3" customWidth="1"/>
    <col min="14853" max="14853" width="6" style="3" customWidth="1"/>
    <col min="14854" max="14854" width="7.42578125" style="3" customWidth="1"/>
    <col min="14855" max="14855" width="5.7109375" style="3" customWidth="1"/>
    <col min="14856" max="14856" width="5.28515625" style="3" customWidth="1"/>
    <col min="14857" max="14857" width="10" style="3" customWidth="1"/>
    <col min="14858" max="14858" width="6.28515625" style="3" customWidth="1"/>
    <col min="14859" max="14859" width="8.28515625" style="3" customWidth="1"/>
    <col min="14860" max="14860" width="12.42578125" style="3" customWidth="1"/>
    <col min="14861" max="14861" width="5.28515625" style="3" customWidth="1"/>
    <col min="14862" max="14862" width="10.85546875" style="3" customWidth="1"/>
    <col min="14863" max="14863" width="4.85546875" style="3" customWidth="1"/>
    <col min="14864" max="14864" width="5.140625" style="3" customWidth="1"/>
    <col min="14865" max="14865" width="10.5703125" style="3" customWidth="1"/>
    <col min="14866" max="14866" width="6.28515625" style="3" customWidth="1"/>
    <col min="14867" max="14867" width="6.5703125" style="3" customWidth="1"/>
    <col min="14868" max="14868" width="7.42578125" style="3" customWidth="1"/>
    <col min="14869" max="14869" width="6.85546875" style="3" customWidth="1"/>
    <col min="14870" max="14870" width="10.7109375" style="3" customWidth="1"/>
    <col min="14871" max="14871" width="5.140625" style="3" customWidth="1"/>
    <col min="14872" max="15103" width="11.42578125" style="3"/>
    <col min="15104" max="15104" width="23.7109375" style="3" customWidth="1"/>
    <col min="15105" max="15105" width="0" style="3" hidden="1" customWidth="1"/>
    <col min="15106" max="15106" width="41.42578125" style="3" customWidth="1"/>
    <col min="15107" max="15107" width="19.140625" style="3" customWidth="1"/>
    <col min="15108" max="15108" width="6.28515625" style="3" customWidth="1"/>
    <col min="15109" max="15109" width="6" style="3" customWidth="1"/>
    <col min="15110" max="15110" width="7.42578125" style="3" customWidth="1"/>
    <col min="15111" max="15111" width="5.7109375" style="3" customWidth="1"/>
    <col min="15112" max="15112" width="5.28515625" style="3" customWidth="1"/>
    <col min="15113" max="15113" width="10" style="3" customWidth="1"/>
    <col min="15114" max="15114" width="6.28515625" style="3" customWidth="1"/>
    <col min="15115" max="15115" width="8.28515625" style="3" customWidth="1"/>
    <col min="15116" max="15116" width="12.42578125" style="3" customWidth="1"/>
    <col min="15117" max="15117" width="5.28515625" style="3" customWidth="1"/>
    <col min="15118" max="15118" width="10.85546875" style="3" customWidth="1"/>
    <col min="15119" max="15119" width="4.85546875" style="3" customWidth="1"/>
    <col min="15120" max="15120" width="5.140625" style="3" customWidth="1"/>
    <col min="15121" max="15121" width="10.5703125" style="3" customWidth="1"/>
    <col min="15122" max="15122" width="6.28515625" style="3" customWidth="1"/>
    <col min="15123" max="15123" width="6.5703125" style="3" customWidth="1"/>
    <col min="15124" max="15124" width="7.42578125" style="3" customWidth="1"/>
    <col min="15125" max="15125" width="6.85546875" style="3" customWidth="1"/>
    <col min="15126" max="15126" width="10.7109375" style="3" customWidth="1"/>
    <col min="15127" max="15127" width="5.140625" style="3" customWidth="1"/>
    <col min="15128" max="15359" width="11.42578125" style="3"/>
    <col min="15360" max="15360" width="23.7109375" style="3" customWidth="1"/>
    <col min="15361" max="15361" width="0" style="3" hidden="1" customWidth="1"/>
    <col min="15362" max="15362" width="41.42578125" style="3" customWidth="1"/>
    <col min="15363" max="15363" width="19.140625" style="3" customWidth="1"/>
    <col min="15364" max="15364" width="6.28515625" style="3" customWidth="1"/>
    <col min="15365" max="15365" width="6" style="3" customWidth="1"/>
    <col min="15366" max="15366" width="7.42578125" style="3" customWidth="1"/>
    <col min="15367" max="15367" width="5.7109375" style="3" customWidth="1"/>
    <col min="15368" max="15368" width="5.28515625" style="3" customWidth="1"/>
    <col min="15369" max="15369" width="10" style="3" customWidth="1"/>
    <col min="15370" max="15370" width="6.28515625" style="3" customWidth="1"/>
    <col min="15371" max="15371" width="8.28515625" style="3" customWidth="1"/>
    <col min="15372" max="15372" width="12.42578125" style="3" customWidth="1"/>
    <col min="15373" max="15373" width="5.28515625" style="3" customWidth="1"/>
    <col min="15374" max="15374" width="10.85546875" style="3" customWidth="1"/>
    <col min="15375" max="15375" width="4.85546875" style="3" customWidth="1"/>
    <col min="15376" max="15376" width="5.140625" style="3" customWidth="1"/>
    <col min="15377" max="15377" width="10.5703125" style="3" customWidth="1"/>
    <col min="15378" max="15378" width="6.28515625" style="3" customWidth="1"/>
    <col min="15379" max="15379" width="6.5703125" style="3" customWidth="1"/>
    <col min="15380" max="15380" width="7.42578125" style="3" customWidth="1"/>
    <col min="15381" max="15381" width="6.85546875" style="3" customWidth="1"/>
    <col min="15382" max="15382" width="10.7109375" style="3" customWidth="1"/>
    <col min="15383" max="15383" width="5.140625" style="3" customWidth="1"/>
    <col min="15384" max="15615" width="11.42578125" style="3"/>
    <col min="15616" max="15616" width="23.7109375" style="3" customWidth="1"/>
    <col min="15617" max="15617" width="0" style="3" hidden="1" customWidth="1"/>
    <col min="15618" max="15618" width="41.42578125" style="3" customWidth="1"/>
    <col min="15619" max="15619" width="19.140625" style="3" customWidth="1"/>
    <col min="15620" max="15620" width="6.28515625" style="3" customWidth="1"/>
    <col min="15621" max="15621" width="6" style="3" customWidth="1"/>
    <col min="15622" max="15622" width="7.42578125" style="3" customWidth="1"/>
    <col min="15623" max="15623" width="5.7109375" style="3" customWidth="1"/>
    <col min="15624" max="15624" width="5.28515625" style="3" customWidth="1"/>
    <col min="15625" max="15625" width="10" style="3" customWidth="1"/>
    <col min="15626" max="15626" width="6.28515625" style="3" customWidth="1"/>
    <col min="15627" max="15627" width="8.28515625" style="3" customWidth="1"/>
    <col min="15628" max="15628" width="12.42578125" style="3" customWidth="1"/>
    <col min="15629" max="15629" width="5.28515625" style="3" customWidth="1"/>
    <col min="15630" max="15630" width="10.85546875" style="3" customWidth="1"/>
    <col min="15631" max="15631" width="4.85546875" style="3" customWidth="1"/>
    <col min="15632" max="15632" width="5.140625" style="3" customWidth="1"/>
    <col min="15633" max="15633" width="10.5703125" style="3" customWidth="1"/>
    <col min="15634" max="15634" width="6.28515625" style="3" customWidth="1"/>
    <col min="15635" max="15635" width="6.5703125" style="3" customWidth="1"/>
    <col min="15636" max="15636" width="7.42578125" style="3" customWidth="1"/>
    <col min="15637" max="15637" width="6.85546875" style="3" customWidth="1"/>
    <col min="15638" max="15638" width="10.7109375" style="3" customWidth="1"/>
    <col min="15639" max="15639" width="5.140625" style="3" customWidth="1"/>
    <col min="15640" max="15871" width="11.42578125" style="3"/>
    <col min="15872" max="15872" width="23.7109375" style="3" customWidth="1"/>
    <col min="15873" max="15873" width="0" style="3" hidden="1" customWidth="1"/>
    <col min="15874" max="15874" width="41.42578125" style="3" customWidth="1"/>
    <col min="15875" max="15875" width="19.140625" style="3" customWidth="1"/>
    <col min="15876" max="15876" width="6.28515625" style="3" customWidth="1"/>
    <col min="15877" max="15877" width="6" style="3" customWidth="1"/>
    <col min="15878" max="15878" width="7.42578125" style="3" customWidth="1"/>
    <col min="15879" max="15879" width="5.7109375" style="3" customWidth="1"/>
    <col min="15880" max="15880" width="5.28515625" style="3" customWidth="1"/>
    <col min="15881" max="15881" width="10" style="3" customWidth="1"/>
    <col min="15882" max="15882" width="6.28515625" style="3" customWidth="1"/>
    <col min="15883" max="15883" width="8.28515625" style="3" customWidth="1"/>
    <col min="15884" max="15884" width="12.42578125" style="3" customWidth="1"/>
    <col min="15885" max="15885" width="5.28515625" style="3" customWidth="1"/>
    <col min="15886" max="15886" width="10.85546875" style="3" customWidth="1"/>
    <col min="15887" max="15887" width="4.85546875" style="3" customWidth="1"/>
    <col min="15888" max="15888" width="5.140625" style="3" customWidth="1"/>
    <col min="15889" max="15889" width="10.5703125" style="3" customWidth="1"/>
    <col min="15890" max="15890" width="6.28515625" style="3" customWidth="1"/>
    <col min="15891" max="15891" width="6.5703125" style="3" customWidth="1"/>
    <col min="15892" max="15892" width="7.42578125" style="3" customWidth="1"/>
    <col min="15893" max="15893" width="6.85546875" style="3" customWidth="1"/>
    <col min="15894" max="15894" width="10.7109375" style="3" customWidth="1"/>
    <col min="15895" max="15895" width="5.140625" style="3" customWidth="1"/>
    <col min="15896" max="16127" width="11.42578125" style="3"/>
    <col min="16128" max="16128" width="23.7109375" style="3" customWidth="1"/>
    <col min="16129" max="16129" width="0" style="3" hidden="1" customWidth="1"/>
    <col min="16130" max="16130" width="41.42578125" style="3" customWidth="1"/>
    <col min="16131" max="16131" width="19.140625" style="3" customWidth="1"/>
    <col min="16132" max="16132" width="6.28515625" style="3" customWidth="1"/>
    <col min="16133" max="16133" width="6" style="3" customWidth="1"/>
    <col min="16134" max="16134" width="7.42578125" style="3" customWidth="1"/>
    <col min="16135" max="16135" width="5.7109375" style="3" customWidth="1"/>
    <col min="16136" max="16136" width="5.28515625" style="3" customWidth="1"/>
    <col min="16137" max="16137" width="10" style="3" customWidth="1"/>
    <col min="16138" max="16138" width="6.28515625" style="3" customWidth="1"/>
    <col min="16139" max="16139" width="8.28515625" style="3" customWidth="1"/>
    <col min="16140" max="16140" width="12.42578125" style="3" customWidth="1"/>
    <col min="16141" max="16141" width="5.28515625" style="3" customWidth="1"/>
    <col min="16142" max="16142" width="10.85546875" style="3" customWidth="1"/>
    <col min="16143" max="16143" width="4.85546875" style="3" customWidth="1"/>
    <col min="16144" max="16144" width="5.140625" style="3" customWidth="1"/>
    <col min="16145" max="16145" width="10.5703125" style="3" customWidth="1"/>
    <col min="16146" max="16146" width="6.28515625" style="3" customWidth="1"/>
    <col min="16147" max="16147" width="6.5703125" style="3" customWidth="1"/>
    <col min="16148" max="16148" width="7.42578125" style="3" customWidth="1"/>
    <col min="16149" max="16149" width="6.85546875" style="3" customWidth="1"/>
    <col min="16150" max="16150" width="10.7109375" style="3" customWidth="1"/>
    <col min="16151" max="16151" width="5.140625" style="3" customWidth="1"/>
    <col min="16152" max="16384" width="11.42578125" style="3"/>
  </cols>
  <sheetData>
    <row r="1" spans="1:35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5"/>
    </row>
    <row r="2" spans="1:35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520" t="s">
        <v>7</v>
      </c>
      <c r="K2" s="1520" t="s">
        <v>8</v>
      </c>
      <c r="L2" s="1520" t="s">
        <v>9</v>
      </c>
      <c r="M2" s="1520" t="s">
        <v>9</v>
      </c>
      <c r="N2" s="1817" t="s">
        <v>64</v>
      </c>
      <c r="O2" s="198" t="s">
        <v>10</v>
      </c>
      <c r="P2" s="196"/>
      <c r="Q2" s="1520"/>
      <c r="R2" s="199" t="s">
        <v>11</v>
      </c>
      <c r="S2" s="200"/>
      <c r="T2" s="200"/>
      <c r="U2" s="201"/>
      <c r="V2" s="1520" t="s">
        <v>12</v>
      </c>
      <c r="W2" s="14"/>
      <c r="AD2" s="105"/>
      <c r="AE2" s="105"/>
      <c r="AF2" s="105"/>
      <c r="AG2" s="105"/>
      <c r="AH2" s="105"/>
    </row>
    <row r="3" spans="1:35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521" t="s">
        <v>18</v>
      </c>
      <c r="K3" s="1521" t="s">
        <v>19</v>
      </c>
      <c r="L3" s="1527" t="s">
        <v>127</v>
      </c>
      <c r="M3" s="1521" t="s">
        <v>0</v>
      </c>
      <c r="N3" s="1818"/>
      <c r="O3" s="202" t="s">
        <v>23</v>
      </c>
      <c r="P3" s="203"/>
      <c r="Q3" s="1521" t="s">
        <v>24</v>
      </c>
      <c r="R3" s="1520" t="s">
        <v>25</v>
      </c>
      <c r="S3" s="1520" t="s">
        <v>26</v>
      </c>
      <c r="T3" s="1520" t="s">
        <v>27</v>
      </c>
      <c r="U3" s="1520" t="s">
        <v>28</v>
      </c>
      <c r="V3" s="1521" t="s">
        <v>29</v>
      </c>
      <c r="W3" s="14"/>
      <c r="AD3" s="105"/>
      <c r="AE3" s="105"/>
      <c r="AF3" s="105"/>
      <c r="AG3" s="105"/>
      <c r="AH3" s="105"/>
    </row>
    <row r="4" spans="1:35" s="2" customFormat="1" ht="36.75" customHeight="1">
      <c r="A4" s="6"/>
      <c r="B4" s="176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21" t="s">
        <v>34</v>
      </c>
      <c r="K4" s="1521" t="s">
        <v>34</v>
      </c>
      <c r="L4" s="1521" t="s">
        <v>35</v>
      </c>
      <c r="M4" s="1521" t="s">
        <v>35</v>
      </c>
      <c r="N4" s="1819"/>
      <c r="O4" s="202" t="s">
        <v>38</v>
      </c>
      <c r="P4" s="203"/>
      <c r="Q4" s="1521" t="s">
        <v>39</v>
      </c>
      <c r="R4" s="1521"/>
      <c r="S4" s="1521" t="s">
        <v>40</v>
      </c>
      <c r="T4" s="1521" t="s">
        <v>41</v>
      </c>
      <c r="U4" s="1521" t="s">
        <v>41</v>
      </c>
      <c r="V4" s="1521" t="s">
        <v>92</v>
      </c>
      <c r="W4" s="14"/>
      <c r="AD4" s="105"/>
      <c r="AE4" s="105"/>
      <c r="AF4" s="105"/>
      <c r="AG4" s="105"/>
      <c r="AH4" s="105"/>
    </row>
    <row r="5" spans="1:35" s="2" customFormat="1" ht="18" customHeight="1">
      <c r="A5" s="6"/>
      <c r="B5" s="1820" t="s">
        <v>216</v>
      </c>
      <c r="C5" s="38"/>
      <c r="D5" s="39"/>
      <c r="E5" s="38"/>
      <c r="F5" s="39"/>
      <c r="G5" s="40"/>
      <c r="H5" s="39"/>
      <c r="I5" s="40"/>
      <c r="J5" s="41"/>
      <c r="K5" s="40"/>
      <c r="L5" s="41"/>
      <c r="M5" s="41"/>
      <c r="N5" s="42"/>
      <c r="O5" s="327">
        <f>$O$16</f>
        <v>1.3</v>
      </c>
      <c r="P5" s="45"/>
      <c r="Q5" s="41"/>
      <c r="R5" s="40"/>
      <c r="S5" s="40"/>
      <c r="T5" s="40"/>
      <c r="U5" s="40"/>
      <c r="V5" s="40"/>
      <c r="W5" s="29"/>
      <c r="AB5" s="456" t="s">
        <v>235</v>
      </c>
      <c r="AC5" s="456"/>
      <c r="AD5" s="105"/>
      <c r="AE5" s="105"/>
      <c r="AF5" s="105"/>
      <c r="AG5" s="105"/>
      <c r="AH5" s="105"/>
    </row>
    <row r="6" spans="1:35" s="2" customFormat="1" ht="18" customHeight="1">
      <c r="A6" s="6"/>
      <c r="B6" s="1820"/>
      <c r="C6" s="38" t="s">
        <v>101</v>
      </c>
      <c r="D6" s="39">
        <v>187</v>
      </c>
      <c r="E6" s="38" t="s">
        <v>128</v>
      </c>
      <c r="F6" s="39">
        <v>15</v>
      </c>
      <c r="G6" s="40">
        <v>9.67</v>
      </c>
      <c r="H6" s="39">
        <v>92</v>
      </c>
      <c r="I6" s="40">
        <v>1.55</v>
      </c>
      <c r="J6" s="41">
        <f t="shared" ref="J6:J8" si="0">IF(F6="","",((H6-F6)*20)+I6-G6)</f>
        <v>1531.8799999999999</v>
      </c>
      <c r="K6" s="40"/>
      <c r="L6" s="460">
        <f>'MC CCP'!L5</f>
        <v>18783.7</v>
      </c>
      <c r="M6" s="41">
        <f t="shared" ref="M6:M8" si="1">+J6*K6*N6+L6</f>
        <v>18783.7</v>
      </c>
      <c r="N6" s="42">
        <f t="shared" ref="N6:N8" si="2">IF(F6="","",1)</f>
        <v>1</v>
      </c>
      <c r="O6" s="327">
        <f>$O$16</f>
        <v>1.3</v>
      </c>
      <c r="P6" s="45" t="str">
        <f t="shared" ref="P6:P8" si="3">IF(F6="","","l/m2")</f>
        <v>l/m2</v>
      </c>
      <c r="Q6" s="41">
        <f t="shared" ref="Q6:Q8" si="4">IF(F6="","",M6*O6/1000)</f>
        <v>24.418810000000001</v>
      </c>
      <c r="R6" s="40">
        <v>0.04</v>
      </c>
      <c r="S6" s="40">
        <f t="shared" ref="S6:S8" si="5">IF(F6="","",IF(D6&gt;H6,((D6-H6)*0.02),IF(D6&lt;F6,((F6-D6)*0.02),IF(F6="","",0))))</f>
        <v>1.9000000000000001</v>
      </c>
      <c r="T6" s="40">
        <f t="shared" ref="T6:T8" si="6">IF(F6="","",IF(D6&gt;H6,((((H6-F6)*20)+I6-G6)/2000),IF(D6&gt;F6,((((D6-F6)*0.02)^2)+(((H6-D6)*0.02)^2))/(2*((H6-F6)*0.02)),((((H6-F6)*20)+I6-G6)/2000))))</f>
        <v>0.76593999999999995</v>
      </c>
      <c r="U6" s="40">
        <f t="shared" ref="U6:U8" si="7">IF(F6="","",R6+S6+T6)</f>
        <v>2.70594</v>
      </c>
      <c r="V6" s="40">
        <f t="shared" ref="V6:V8" si="8">IF(F6="","",Q6*U6)</f>
        <v>66.075834731400008</v>
      </c>
      <c r="W6" s="29"/>
      <c r="AD6" s="105"/>
      <c r="AE6" s="105"/>
      <c r="AF6" s="105"/>
      <c r="AG6" s="105"/>
      <c r="AH6" s="105"/>
    </row>
    <row r="7" spans="1:35" s="2" customFormat="1" ht="18" customHeight="1">
      <c r="A7" s="6"/>
      <c r="B7" s="1820"/>
      <c r="C7" s="184" t="s">
        <v>101</v>
      </c>
      <c r="D7" s="185">
        <v>187</v>
      </c>
      <c r="E7" s="184" t="s">
        <v>130</v>
      </c>
      <c r="F7" s="185">
        <v>92</v>
      </c>
      <c r="G7" s="186">
        <v>1.55</v>
      </c>
      <c r="H7" s="185">
        <v>132</v>
      </c>
      <c r="I7" s="186">
        <v>12.12</v>
      </c>
      <c r="J7" s="187">
        <f t="shared" si="0"/>
        <v>810.57</v>
      </c>
      <c r="K7" s="186">
        <v>10.3</v>
      </c>
      <c r="L7" s="187"/>
      <c r="M7" s="187">
        <f t="shared" si="1"/>
        <v>8348.871000000001</v>
      </c>
      <c r="N7" s="188">
        <f t="shared" si="2"/>
        <v>1</v>
      </c>
      <c r="O7" s="326">
        <f>$O$16</f>
        <v>1.3</v>
      </c>
      <c r="P7" s="191" t="str">
        <f t="shared" si="3"/>
        <v>l/m2</v>
      </c>
      <c r="Q7" s="187">
        <f t="shared" si="4"/>
        <v>10.853532300000003</v>
      </c>
      <c r="R7" s="186">
        <v>0.04</v>
      </c>
      <c r="S7" s="186">
        <f t="shared" si="5"/>
        <v>1.1000000000000001</v>
      </c>
      <c r="T7" s="186">
        <f t="shared" si="6"/>
        <v>0.40528500000000001</v>
      </c>
      <c r="U7" s="186">
        <f t="shared" si="7"/>
        <v>1.5452850000000002</v>
      </c>
      <c r="V7" s="186">
        <f t="shared" si="8"/>
        <v>16.771800660205507</v>
      </c>
      <c r="W7" s="29"/>
      <c r="AD7" s="105"/>
      <c r="AE7" s="105"/>
      <c r="AF7" s="105"/>
      <c r="AG7" s="105"/>
      <c r="AH7" s="105"/>
    </row>
    <row r="8" spans="1:35" s="2" customFormat="1" ht="18" customHeight="1">
      <c r="A8" s="6"/>
      <c r="B8" s="1820"/>
      <c r="C8" s="38" t="s">
        <v>101</v>
      </c>
      <c r="D8" s="39">
        <v>187</v>
      </c>
      <c r="E8" s="38" t="s">
        <v>129</v>
      </c>
      <c r="F8" s="39">
        <v>132</v>
      </c>
      <c r="G8" s="40">
        <v>12.12</v>
      </c>
      <c r="H8" s="39">
        <v>176</v>
      </c>
      <c r="I8" s="40">
        <v>12.12</v>
      </c>
      <c r="J8" s="41">
        <f t="shared" si="0"/>
        <v>880</v>
      </c>
      <c r="K8" s="40"/>
      <c r="L8" s="460">
        <f>'MC CCP'!L7</f>
        <v>11914.46</v>
      </c>
      <c r="M8" s="41">
        <f t="shared" si="1"/>
        <v>11914.46</v>
      </c>
      <c r="N8" s="42">
        <f t="shared" si="2"/>
        <v>1</v>
      </c>
      <c r="O8" s="327">
        <f>$O$16</f>
        <v>1.3</v>
      </c>
      <c r="P8" s="45" t="str">
        <f t="shared" si="3"/>
        <v>l/m2</v>
      </c>
      <c r="Q8" s="41">
        <f t="shared" si="4"/>
        <v>15.488797999999999</v>
      </c>
      <c r="R8" s="40">
        <v>0.04</v>
      </c>
      <c r="S8" s="40">
        <f t="shared" si="5"/>
        <v>0.22</v>
      </c>
      <c r="T8" s="40">
        <f t="shared" si="6"/>
        <v>0.44</v>
      </c>
      <c r="U8" s="40">
        <f t="shared" si="7"/>
        <v>0.7</v>
      </c>
      <c r="V8" s="40">
        <f t="shared" si="8"/>
        <v>10.842158599999999</v>
      </c>
      <c r="W8" s="29"/>
      <c r="AD8" s="105"/>
      <c r="AE8" s="105"/>
      <c r="AF8" s="105"/>
      <c r="AG8" s="105"/>
      <c r="AH8" s="105"/>
    </row>
    <row r="9" spans="1:35" s="2" customFormat="1" ht="18" customHeight="1">
      <c r="A9" s="6"/>
      <c r="B9" s="1820"/>
      <c r="C9" s="38"/>
      <c r="D9" s="39"/>
      <c r="E9" s="38"/>
      <c r="F9" s="39"/>
      <c r="G9" s="40"/>
      <c r="H9" s="39"/>
      <c r="I9" s="40"/>
      <c r="J9" s="41"/>
      <c r="K9" s="40"/>
      <c r="L9" s="41"/>
      <c r="M9" s="41"/>
      <c r="N9" s="42"/>
      <c r="O9" s="44"/>
      <c r="P9" s="45"/>
      <c r="Q9" s="42"/>
      <c r="R9" s="40"/>
      <c r="S9" s="40"/>
      <c r="T9" s="40"/>
      <c r="U9" s="40"/>
      <c r="V9" s="40"/>
      <c r="W9" s="29"/>
      <c r="AC9" s="105"/>
      <c r="AD9" s="105"/>
      <c r="AE9" s="105"/>
      <c r="AF9" s="105"/>
      <c r="AG9" s="105"/>
      <c r="AH9" s="105"/>
      <c r="AI9" s="105"/>
    </row>
    <row r="10" spans="1:35" s="2" customFormat="1" ht="18" customHeight="1">
      <c r="A10" s="6"/>
      <c r="B10" s="1820"/>
      <c r="C10" s="184"/>
      <c r="D10" s="185"/>
      <c r="E10" s="184"/>
      <c r="F10" s="185"/>
      <c r="G10" s="186"/>
      <c r="H10" s="185"/>
      <c r="I10" s="186"/>
      <c r="J10" s="187"/>
      <c r="K10" s="186"/>
      <c r="L10" s="187"/>
      <c r="M10" s="187"/>
      <c r="N10" s="188"/>
      <c r="O10" s="190"/>
      <c r="P10" s="191"/>
      <c r="Q10" s="188"/>
      <c r="R10" s="186"/>
      <c r="S10" s="186"/>
      <c r="T10" s="186"/>
      <c r="U10" s="186"/>
      <c r="V10" s="186"/>
      <c r="W10" s="29"/>
      <c r="AC10" s="105"/>
      <c r="AD10" s="105"/>
      <c r="AE10" s="105"/>
      <c r="AF10" s="105"/>
      <c r="AG10" s="105"/>
      <c r="AH10" s="105"/>
      <c r="AI10" s="105"/>
    </row>
    <row r="11" spans="1:35" s="2" customFormat="1" ht="18" customHeight="1">
      <c r="A11" s="6"/>
      <c r="B11" s="1820"/>
      <c r="C11" s="38" t="s">
        <v>67</v>
      </c>
      <c r="D11" s="39"/>
      <c r="E11" s="38"/>
      <c r="F11" s="39"/>
      <c r="G11" s="40"/>
      <c r="H11" s="39"/>
      <c r="I11" s="40"/>
      <c r="J11" s="41"/>
      <c r="K11" s="40"/>
      <c r="L11" s="41"/>
      <c r="M11" s="41"/>
      <c r="N11" s="42"/>
      <c r="O11" s="44"/>
      <c r="P11" s="45"/>
      <c r="Q11" s="42"/>
      <c r="R11" s="40"/>
      <c r="S11" s="40"/>
      <c r="T11" s="40"/>
      <c r="U11" s="40"/>
      <c r="V11" s="40"/>
      <c r="W11" s="29"/>
      <c r="AC11" s="105"/>
      <c r="AD11" s="105"/>
      <c r="AE11" s="105"/>
      <c r="AF11" s="105"/>
      <c r="AG11" s="105"/>
      <c r="AH11" s="105"/>
      <c r="AI11" s="105"/>
    </row>
    <row r="12" spans="1:35" s="2" customFormat="1" ht="18" customHeight="1">
      <c r="A12" s="6"/>
      <c r="B12" s="1820"/>
      <c r="C12" s="184" t="s">
        <v>67</v>
      </c>
      <c r="D12" s="185"/>
      <c r="E12" s="184"/>
      <c r="F12" s="185"/>
      <c r="G12" s="186"/>
      <c r="H12" s="185"/>
      <c r="I12" s="186"/>
      <c r="J12" s="187"/>
      <c r="K12" s="186"/>
      <c r="L12" s="187"/>
      <c r="M12" s="187"/>
      <c r="N12" s="188"/>
      <c r="O12" s="190"/>
      <c r="P12" s="191"/>
      <c r="Q12" s="188"/>
      <c r="R12" s="186"/>
      <c r="S12" s="186"/>
      <c r="T12" s="186"/>
      <c r="U12" s="186"/>
      <c r="V12" s="186"/>
      <c r="W12" s="29"/>
      <c r="AC12" s="105"/>
      <c r="AD12" s="105"/>
      <c r="AE12" s="105"/>
      <c r="AF12" s="105"/>
      <c r="AG12" s="105"/>
      <c r="AH12" s="105"/>
      <c r="AI12" s="105"/>
    </row>
    <row r="13" spans="1:35" s="2" customFormat="1" ht="18" customHeight="1">
      <c r="A13" s="6"/>
      <c r="B13" s="1820"/>
      <c r="C13" s="38" t="s">
        <v>67</v>
      </c>
      <c r="D13" s="39"/>
      <c r="E13" s="38"/>
      <c r="F13" s="39"/>
      <c r="G13" s="40"/>
      <c r="H13" s="39"/>
      <c r="I13" s="40"/>
      <c r="J13" s="41"/>
      <c r="K13" s="40"/>
      <c r="L13" s="41"/>
      <c r="M13" s="41"/>
      <c r="N13" s="42"/>
      <c r="O13" s="44"/>
      <c r="P13" s="45"/>
      <c r="Q13" s="42"/>
      <c r="R13" s="40"/>
      <c r="S13" s="40"/>
      <c r="T13" s="40"/>
      <c r="U13" s="40"/>
      <c r="V13" s="40"/>
      <c r="W13" s="29"/>
      <c r="AC13" s="105"/>
      <c r="AD13" s="105"/>
      <c r="AE13" s="105"/>
      <c r="AF13" s="105"/>
      <c r="AG13" s="105"/>
      <c r="AH13" s="105"/>
      <c r="AI13" s="105"/>
    </row>
    <row r="14" spans="1:35" s="2" customFormat="1" ht="18" customHeight="1">
      <c r="A14" s="6"/>
      <c r="B14" s="1820"/>
      <c r="C14" s="184" t="s">
        <v>67</v>
      </c>
      <c r="D14" s="185"/>
      <c r="E14" s="184"/>
      <c r="F14" s="185"/>
      <c r="G14" s="186"/>
      <c r="H14" s="185"/>
      <c r="I14" s="186"/>
      <c r="J14" s="187"/>
      <c r="K14" s="186"/>
      <c r="L14" s="187"/>
      <c r="M14" s="187"/>
      <c r="N14" s="188"/>
      <c r="O14" s="190"/>
      <c r="P14" s="191"/>
      <c r="Q14" s="188"/>
      <c r="R14" s="186"/>
      <c r="S14" s="186"/>
      <c r="T14" s="186"/>
      <c r="U14" s="186"/>
      <c r="V14" s="186"/>
      <c r="W14" s="29"/>
      <c r="AC14" s="105"/>
      <c r="AD14" s="105"/>
      <c r="AE14" s="105"/>
      <c r="AF14" s="105"/>
      <c r="AG14" s="105"/>
      <c r="AH14" s="105"/>
      <c r="AI14" s="105"/>
    </row>
    <row r="15" spans="1:35" s="2" customFormat="1" ht="18" customHeight="1">
      <c r="A15" s="6"/>
      <c r="B15" s="1820"/>
      <c r="C15" s="38" t="s">
        <v>67</v>
      </c>
      <c r="D15" s="39"/>
      <c r="E15" s="38"/>
      <c r="F15" s="39"/>
      <c r="G15" s="40"/>
      <c r="H15" s="39"/>
      <c r="I15" s="40"/>
      <c r="J15" s="41"/>
      <c r="K15" s="40"/>
      <c r="L15" s="41"/>
      <c r="M15" s="41"/>
      <c r="N15" s="42"/>
      <c r="O15" s="44"/>
      <c r="P15" s="45"/>
      <c r="Q15" s="42"/>
      <c r="R15" s="40"/>
      <c r="S15" s="40"/>
      <c r="T15" s="40"/>
      <c r="U15" s="40"/>
      <c r="V15" s="40"/>
      <c r="W15" s="29"/>
      <c r="AC15" s="105"/>
      <c r="AD15" s="105"/>
      <c r="AE15" s="105"/>
      <c r="AF15" s="105"/>
      <c r="AG15" s="105"/>
      <c r="AH15" s="105"/>
      <c r="AI15" s="105"/>
    </row>
    <row r="16" spans="1:35" s="2" customFormat="1" ht="18" customHeight="1">
      <c r="A16" s="6"/>
      <c r="B16" s="1820"/>
      <c r="C16" s="1793"/>
      <c r="D16" s="1793"/>
      <c r="E16" s="1793"/>
      <c r="F16" s="1793"/>
      <c r="G16" s="1793"/>
      <c r="H16" s="1793"/>
      <c r="I16" s="1794"/>
      <c r="J16" s="114">
        <f>SUM(J5:J15)</f>
        <v>3222.45</v>
      </c>
      <c r="K16" s="179"/>
      <c r="L16" s="115"/>
      <c r="M16" s="114">
        <f>SUM(M5:M15)</f>
        <v>39047.031000000003</v>
      </c>
      <c r="N16" s="180"/>
      <c r="O16" s="1528">
        <v>1.3</v>
      </c>
      <c r="P16" s="1531" t="s">
        <v>66</v>
      </c>
      <c r="Q16" s="114">
        <f>SUM(Q5:Q15)</f>
        <v>50.761140300000008</v>
      </c>
      <c r="R16" s="181" t="s">
        <v>44</v>
      </c>
      <c r="S16" s="182"/>
      <c r="T16" s="334">
        <f>V16/Q16</f>
        <v>1.8456991595912888</v>
      </c>
      <c r="U16" s="183" t="s">
        <v>45</v>
      </c>
      <c r="V16" s="183">
        <f>SUM(V5:V15)</f>
        <v>93.689793991605512</v>
      </c>
      <c r="W16" s="29"/>
      <c r="AC16" s="105"/>
      <c r="AD16" s="105"/>
      <c r="AE16" s="105"/>
      <c r="AF16" s="105"/>
      <c r="AG16" s="105"/>
      <c r="AH16" s="105"/>
      <c r="AI16" s="105"/>
    </row>
    <row r="17" spans="1:35" s="76" customFormat="1" ht="4.5" customHeight="1">
      <c r="A17" s="71"/>
      <c r="B17" s="72"/>
      <c r="C17" s="73"/>
      <c r="D17" s="73"/>
      <c r="E17" s="73"/>
      <c r="F17" s="73"/>
      <c r="G17" s="73"/>
      <c r="H17" s="73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5"/>
      <c r="W17" s="29"/>
      <c r="X17" s="2"/>
      <c r="Y17" s="2"/>
      <c r="Z17" s="2"/>
      <c r="AA17" s="2"/>
      <c r="AB17" s="2"/>
      <c r="AC17" s="90"/>
      <c r="AD17" s="90"/>
      <c r="AE17" s="90"/>
      <c r="AF17" s="90"/>
      <c r="AG17" s="90"/>
      <c r="AH17" s="90"/>
      <c r="AI17" s="90"/>
    </row>
    <row r="18" spans="1:35" s="76" customFormat="1">
      <c r="A18" s="71"/>
      <c r="B18" s="1795" t="s">
        <v>112</v>
      </c>
      <c r="C18" s="1796"/>
      <c r="D18" s="1796"/>
      <c r="E18" s="1796"/>
      <c r="F18" s="1796"/>
      <c r="G18" s="1796"/>
      <c r="H18" s="1796"/>
      <c r="I18" s="1796"/>
      <c r="J18" s="1796"/>
      <c r="K18" s="1796"/>
      <c r="L18" s="1796"/>
      <c r="M18" s="1796"/>
      <c r="N18" s="1796"/>
      <c r="O18" s="1796"/>
      <c r="P18" s="1796"/>
      <c r="Q18" s="1796"/>
      <c r="R18" s="1796"/>
      <c r="S18" s="1796"/>
      <c r="T18" s="1796"/>
      <c r="U18" s="1796"/>
      <c r="V18" s="1797"/>
      <c r="W18" s="29"/>
      <c r="X18" s="2"/>
      <c r="Y18" s="2"/>
      <c r="Z18" s="2"/>
      <c r="AA18" s="2"/>
      <c r="AB18" s="2"/>
      <c r="AC18" s="90"/>
      <c r="AD18" s="90"/>
      <c r="AE18" s="90"/>
      <c r="AF18" s="90"/>
      <c r="AG18" s="90"/>
      <c r="AH18" s="90"/>
      <c r="AI18" s="90"/>
    </row>
    <row r="19" spans="1:35" s="76" customFormat="1">
      <c r="A19" s="71"/>
      <c r="B19" s="1798"/>
      <c r="C19" s="1799"/>
      <c r="D19" s="1799"/>
      <c r="E19" s="1799"/>
      <c r="F19" s="1799"/>
      <c r="G19" s="1799"/>
      <c r="H19" s="1799"/>
      <c r="I19" s="1799"/>
      <c r="J19" s="1799"/>
      <c r="K19" s="1799"/>
      <c r="L19" s="1799"/>
      <c r="M19" s="1799"/>
      <c r="N19" s="1799"/>
      <c r="O19" s="1799"/>
      <c r="P19" s="1799"/>
      <c r="Q19" s="1799"/>
      <c r="R19" s="1799"/>
      <c r="S19" s="1799"/>
      <c r="T19" s="1799"/>
      <c r="U19" s="1799"/>
      <c r="V19" s="1800"/>
      <c r="W19" s="29"/>
      <c r="X19" s="2"/>
      <c r="Y19" s="2"/>
      <c r="Z19" s="2"/>
      <c r="AA19" s="2"/>
      <c r="AB19" s="2"/>
      <c r="AC19" s="90"/>
      <c r="AD19" s="90"/>
      <c r="AE19" s="90"/>
      <c r="AF19" s="90"/>
      <c r="AG19" s="90"/>
      <c r="AH19" s="90"/>
      <c r="AI19" s="90"/>
    </row>
    <row r="20" spans="1:35" s="76" customFormat="1" ht="5.0999999999999996" customHeight="1">
      <c r="A20" s="97"/>
      <c r="B20" s="72"/>
      <c r="C20" s="72"/>
      <c r="D20" s="72"/>
      <c r="E20" s="72"/>
      <c r="F20" s="72"/>
      <c r="G20" s="72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  <c r="V20" s="78"/>
      <c r="W20" s="104"/>
      <c r="X20" s="2"/>
      <c r="Y20" s="2"/>
      <c r="Z20" s="2"/>
      <c r="AA20" s="2"/>
      <c r="AB20" s="2"/>
      <c r="AC20" s="90"/>
      <c r="AD20" s="90"/>
      <c r="AE20" s="90"/>
      <c r="AF20" s="90"/>
      <c r="AG20" s="90"/>
      <c r="AH20" s="90"/>
      <c r="AI20" s="90"/>
    </row>
    <row r="21" spans="1:35">
      <c r="AC21" s="107"/>
      <c r="AI21" s="107"/>
    </row>
    <row r="22" spans="1:35">
      <c r="AC22" s="107"/>
      <c r="AI22" s="107"/>
    </row>
    <row r="23" spans="1:35">
      <c r="Q23" s="335"/>
      <c r="AC23" s="107"/>
      <c r="AI23" s="107"/>
    </row>
    <row r="24" spans="1:35">
      <c r="Q24" s="336"/>
      <c r="AC24" s="107"/>
      <c r="AI24" s="107"/>
    </row>
    <row r="25" spans="1:35">
      <c r="AC25" s="107"/>
      <c r="AI25" s="107"/>
    </row>
    <row r="26" spans="1:35">
      <c r="AC26" s="107"/>
      <c r="AI26" s="107"/>
    </row>
    <row r="27" spans="1:35">
      <c r="AC27" s="107"/>
      <c r="AI27" s="107"/>
    </row>
    <row r="28" spans="1:35">
      <c r="AC28" s="107"/>
      <c r="AI28" s="107"/>
    </row>
    <row r="31" spans="1:35">
      <c r="B31" s="194"/>
      <c r="C31" s="1801" t="s">
        <v>4</v>
      </c>
      <c r="D31" s="1802"/>
      <c r="E31" s="1789" t="s">
        <v>5</v>
      </c>
      <c r="F31" s="195" t="s">
        <v>6</v>
      </c>
      <c r="G31" s="195"/>
      <c r="H31" s="195"/>
      <c r="I31" s="196"/>
      <c r="J31" s="1520" t="s">
        <v>7</v>
      </c>
      <c r="K31" s="1520" t="s">
        <v>8</v>
      </c>
      <c r="L31" s="1520" t="s">
        <v>9</v>
      </c>
      <c r="M31" s="1520" t="s">
        <v>9</v>
      </c>
      <c r="N31" s="1817" t="s">
        <v>64</v>
      </c>
      <c r="O31" s="198" t="s">
        <v>10</v>
      </c>
      <c r="P31" s="196"/>
      <c r="Q31" s="1520"/>
      <c r="R31" s="199" t="s">
        <v>11</v>
      </c>
      <c r="S31" s="200"/>
      <c r="T31" s="200"/>
      <c r="U31" s="201"/>
      <c r="V31" s="1520" t="s">
        <v>12</v>
      </c>
    </row>
    <row r="32" spans="1:35">
      <c r="B32" s="176" t="s">
        <v>228</v>
      </c>
      <c r="C32" s="1789" t="s">
        <v>14</v>
      </c>
      <c r="D32" s="177" t="s">
        <v>15</v>
      </c>
      <c r="E32" s="1790"/>
      <c r="F32" s="200" t="s">
        <v>16</v>
      </c>
      <c r="G32" s="201"/>
      <c r="H32" s="199" t="s">
        <v>17</v>
      </c>
      <c r="I32" s="201"/>
      <c r="J32" s="1521" t="s">
        <v>18</v>
      </c>
      <c r="K32" s="1521" t="s">
        <v>19</v>
      </c>
      <c r="L32" s="1527" t="s">
        <v>127</v>
      </c>
      <c r="M32" s="1521" t="s">
        <v>0</v>
      </c>
      <c r="N32" s="1818"/>
      <c r="O32" s="202" t="s">
        <v>23</v>
      </c>
      <c r="P32" s="203"/>
      <c r="Q32" s="1521" t="s">
        <v>24</v>
      </c>
      <c r="R32" s="1520" t="s">
        <v>25</v>
      </c>
      <c r="S32" s="1520" t="s">
        <v>26</v>
      </c>
      <c r="T32" s="1520" t="s">
        <v>27</v>
      </c>
      <c r="U32" s="1520" t="s">
        <v>28</v>
      </c>
      <c r="V32" s="1521" t="s">
        <v>29</v>
      </c>
    </row>
    <row r="33" spans="2:29">
      <c r="B33" s="176"/>
      <c r="C33" s="1790"/>
      <c r="D33" s="177" t="s">
        <v>31</v>
      </c>
      <c r="E33" s="1790"/>
      <c r="F33" s="178" t="s">
        <v>32</v>
      </c>
      <c r="G33" s="1520" t="s">
        <v>33</v>
      </c>
      <c r="H33" s="1520" t="s">
        <v>32</v>
      </c>
      <c r="I33" s="1520" t="s">
        <v>33</v>
      </c>
      <c r="J33" s="1521" t="s">
        <v>34</v>
      </c>
      <c r="K33" s="1521" t="s">
        <v>34</v>
      </c>
      <c r="L33" s="1521" t="s">
        <v>35</v>
      </c>
      <c r="M33" s="1521" t="s">
        <v>35</v>
      </c>
      <c r="N33" s="1819"/>
      <c r="O33" s="202" t="s">
        <v>38</v>
      </c>
      <c r="P33" s="203"/>
      <c r="Q33" s="1521" t="s">
        <v>39</v>
      </c>
      <c r="R33" s="1521"/>
      <c r="S33" s="1521" t="s">
        <v>40</v>
      </c>
      <c r="T33" s="1521" t="s">
        <v>41</v>
      </c>
      <c r="U33" s="1521" t="s">
        <v>41</v>
      </c>
      <c r="V33" s="1521" t="s">
        <v>92</v>
      </c>
    </row>
    <row r="34" spans="2:29">
      <c r="B34" s="1820" t="s">
        <v>216</v>
      </c>
      <c r="C34" s="38"/>
      <c r="D34" s="39"/>
      <c r="E34" s="38"/>
      <c r="F34" s="39"/>
      <c r="G34" s="40"/>
      <c r="H34" s="39"/>
      <c r="I34" s="40"/>
      <c r="J34" s="41"/>
      <c r="K34" s="40"/>
      <c r="L34" s="41"/>
      <c r="M34" s="41"/>
      <c r="N34" s="42"/>
      <c r="O34" s="327">
        <f t="shared" ref="O34:O39" si="9">$O$16</f>
        <v>1.3</v>
      </c>
      <c r="P34" s="45"/>
      <c r="Q34" s="41"/>
      <c r="R34" s="40"/>
      <c r="S34" s="40"/>
      <c r="T34" s="40"/>
      <c r="U34" s="40"/>
      <c r="V34" s="40"/>
    </row>
    <row r="35" spans="2:29">
      <c r="B35" s="1820"/>
      <c r="C35" s="184" t="s">
        <v>101</v>
      </c>
      <c r="D35" s="185">
        <v>187</v>
      </c>
      <c r="E35" s="113" t="s">
        <v>128</v>
      </c>
      <c r="F35" s="39">
        <v>44</v>
      </c>
      <c r="G35" s="40">
        <v>10</v>
      </c>
      <c r="H35" s="39">
        <v>51</v>
      </c>
      <c r="I35" s="40">
        <v>0</v>
      </c>
      <c r="J35" s="41">
        <f t="shared" ref="J35:J43" si="10">IF(F35="","",((H35-F35)*20)+I35-G35)</f>
        <v>130</v>
      </c>
      <c r="K35" s="40"/>
      <c r="L35" s="41">
        <v>1806.99</v>
      </c>
      <c r="M35" s="41">
        <f t="shared" ref="M35:M39" si="11">+J35*K35*N35+L35</f>
        <v>1806.99</v>
      </c>
      <c r="N35" s="42">
        <f t="shared" ref="N35:N39" si="12">IF(F35="","",1)</f>
        <v>1</v>
      </c>
      <c r="O35" s="327">
        <f t="shared" si="9"/>
        <v>1.3</v>
      </c>
      <c r="P35" s="45" t="str">
        <f t="shared" ref="P35:P39" si="13">IF(F35="","","l/m2")</f>
        <v>l/m2</v>
      </c>
      <c r="Q35" s="41">
        <f t="shared" ref="Q35:Q39" si="14">IF(F35="","",M35*O35/1000)</f>
        <v>2.3490869999999999</v>
      </c>
      <c r="R35" s="40">
        <v>0.04</v>
      </c>
      <c r="S35" s="40">
        <f t="shared" ref="S35:S39" si="15">IF(F35="","",IF(D35&gt;H35,((D35-H35)*0.02),IF(D35&lt;F35,((F35-D35)*0.02),IF(F35="","",0))))</f>
        <v>2.72</v>
      </c>
      <c r="T35" s="40">
        <f t="shared" ref="T35:T39" si="16">IF(F35="","",IF(D35&gt;H35,((((H35-F35)*20)+I35-G35)/2000),IF(D35&gt;F35,((((D35-F35)*0.02)^2)+(((H35-D35)*0.02)^2))/(2*((H35-F35)*0.02)),((((H35-F35)*20)+I35-G35)/2000))))</f>
        <v>6.5000000000000002E-2</v>
      </c>
      <c r="U35" s="40">
        <f t="shared" ref="U35:U39" si="17">IF(F35="","",R35+S35+T35)</f>
        <v>2.8250000000000002</v>
      </c>
      <c r="V35" s="40">
        <f t="shared" ref="V35:V39" si="18">IF(F35="","",Q35*U35)</f>
        <v>6.6361707750000001</v>
      </c>
    </row>
    <row r="36" spans="2:29">
      <c r="B36" s="1820"/>
      <c r="C36" s="184" t="s">
        <v>101</v>
      </c>
      <c r="D36" s="185">
        <v>187</v>
      </c>
      <c r="E36" s="113" t="s">
        <v>128</v>
      </c>
      <c r="F36" s="39">
        <v>88</v>
      </c>
      <c r="G36" s="40">
        <v>5</v>
      </c>
      <c r="H36" s="39">
        <v>91</v>
      </c>
      <c r="I36" s="40">
        <v>0</v>
      </c>
      <c r="J36" s="41">
        <f t="shared" si="10"/>
        <v>55</v>
      </c>
      <c r="K36" s="186"/>
      <c r="L36" s="41">
        <v>676.22</v>
      </c>
      <c r="M36" s="187">
        <f t="shared" si="11"/>
        <v>676.22</v>
      </c>
      <c r="N36" s="188">
        <f t="shared" si="12"/>
        <v>1</v>
      </c>
      <c r="O36" s="326">
        <f t="shared" si="9"/>
        <v>1.3</v>
      </c>
      <c r="P36" s="191" t="str">
        <f t="shared" si="13"/>
        <v>l/m2</v>
      </c>
      <c r="Q36" s="187">
        <f t="shared" si="14"/>
        <v>0.87908600000000003</v>
      </c>
      <c r="R36" s="186">
        <v>0.04</v>
      </c>
      <c r="S36" s="186">
        <f t="shared" si="15"/>
        <v>1.92</v>
      </c>
      <c r="T36" s="186">
        <f t="shared" si="16"/>
        <v>2.75E-2</v>
      </c>
      <c r="U36" s="186">
        <f t="shared" si="17"/>
        <v>1.9875</v>
      </c>
      <c r="V36" s="186">
        <f t="shared" si="18"/>
        <v>1.747183425</v>
      </c>
    </row>
    <row r="37" spans="2:29">
      <c r="B37" s="1820"/>
      <c r="C37" s="38" t="str">
        <f>+C35</f>
        <v>Canteiro</v>
      </c>
      <c r="D37" s="39">
        <v>187</v>
      </c>
      <c r="E37" s="113" t="s">
        <v>130</v>
      </c>
      <c r="F37" s="39">
        <v>95</v>
      </c>
      <c r="G37" s="40">
        <v>0</v>
      </c>
      <c r="H37" s="39">
        <v>105</v>
      </c>
      <c r="I37" s="40">
        <v>0</v>
      </c>
      <c r="J37" s="41">
        <f t="shared" si="10"/>
        <v>200</v>
      </c>
      <c r="K37" s="40">
        <v>10.3</v>
      </c>
      <c r="L37" s="41"/>
      <c r="M37" s="41">
        <f t="shared" si="11"/>
        <v>2060</v>
      </c>
      <c r="N37" s="42">
        <f t="shared" si="12"/>
        <v>1</v>
      </c>
      <c r="O37" s="327">
        <f t="shared" si="9"/>
        <v>1.3</v>
      </c>
      <c r="P37" s="45" t="str">
        <f t="shared" si="13"/>
        <v>l/m2</v>
      </c>
      <c r="Q37" s="41">
        <f t="shared" si="14"/>
        <v>2.6779999999999999</v>
      </c>
      <c r="R37" s="40">
        <v>0.04</v>
      </c>
      <c r="S37" s="40">
        <f t="shared" si="15"/>
        <v>1.6400000000000001</v>
      </c>
      <c r="T37" s="40">
        <f t="shared" si="16"/>
        <v>0.1</v>
      </c>
      <c r="U37" s="40">
        <f t="shared" si="17"/>
        <v>1.7800000000000002</v>
      </c>
      <c r="V37" s="40">
        <f t="shared" si="18"/>
        <v>4.7668400000000002</v>
      </c>
    </row>
    <row r="38" spans="2:29">
      <c r="B38" s="1820"/>
      <c r="C38" s="184" t="str">
        <f t="shared" ref="C38" si="19">+C37</f>
        <v>Canteiro</v>
      </c>
      <c r="D38" s="185">
        <v>187</v>
      </c>
      <c r="E38" s="38" t="s">
        <v>129</v>
      </c>
      <c r="F38" s="39">
        <v>142</v>
      </c>
      <c r="G38" s="40">
        <v>0</v>
      </c>
      <c r="H38" s="39">
        <v>156</v>
      </c>
      <c r="I38" s="40">
        <v>0</v>
      </c>
      <c r="J38" s="41">
        <f t="shared" si="10"/>
        <v>280</v>
      </c>
      <c r="K38" s="40"/>
      <c r="L38" s="41">
        <v>3869.57</v>
      </c>
      <c r="M38" s="41">
        <f t="shared" si="11"/>
        <v>3869.57</v>
      </c>
      <c r="N38" s="42">
        <f t="shared" si="12"/>
        <v>1</v>
      </c>
      <c r="O38" s="327">
        <f t="shared" si="9"/>
        <v>1.3</v>
      </c>
      <c r="P38" s="45" t="str">
        <f t="shared" si="13"/>
        <v>l/m2</v>
      </c>
      <c r="Q38" s="41">
        <f t="shared" si="14"/>
        <v>5.0304410000000006</v>
      </c>
      <c r="R38" s="40">
        <v>0.04</v>
      </c>
      <c r="S38" s="40">
        <f t="shared" si="15"/>
        <v>0.62</v>
      </c>
      <c r="T38" s="40">
        <f t="shared" si="16"/>
        <v>0.14000000000000001</v>
      </c>
      <c r="U38" s="40">
        <f t="shared" si="17"/>
        <v>0.8</v>
      </c>
      <c r="V38" s="40">
        <f t="shared" si="18"/>
        <v>4.0243528000000008</v>
      </c>
    </row>
    <row r="39" spans="2:29" ht="38.25">
      <c r="B39" s="1820"/>
      <c r="C39" s="38" t="s">
        <v>101</v>
      </c>
      <c r="D39" s="39">
        <v>187</v>
      </c>
      <c r="E39" s="113" t="s">
        <v>1366</v>
      </c>
      <c r="F39" s="39">
        <v>15</v>
      </c>
      <c r="G39" s="40">
        <v>9.67</v>
      </c>
      <c r="H39" s="39">
        <v>170</v>
      </c>
      <c r="I39" s="40">
        <v>12.12</v>
      </c>
      <c r="J39" s="41"/>
      <c r="K39" s="186"/>
      <c r="L39" s="41">
        <f>'MC BGTC'!L110</f>
        <v>2991.27</v>
      </c>
      <c r="M39" s="41">
        <f t="shared" si="11"/>
        <v>2991.27</v>
      </c>
      <c r="N39" s="42">
        <f t="shared" si="12"/>
        <v>1</v>
      </c>
      <c r="O39" s="327">
        <f t="shared" si="9"/>
        <v>1.3</v>
      </c>
      <c r="P39" s="45" t="str">
        <f t="shared" si="13"/>
        <v>l/m2</v>
      </c>
      <c r="Q39" s="41">
        <f t="shared" si="14"/>
        <v>3.8886510000000003</v>
      </c>
      <c r="R39" s="40">
        <v>0.04</v>
      </c>
      <c r="S39" s="40">
        <f t="shared" si="15"/>
        <v>0.34</v>
      </c>
      <c r="T39" s="40">
        <f t="shared" si="16"/>
        <v>1.5512249999999999</v>
      </c>
      <c r="U39" s="40">
        <f t="shared" si="17"/>
        <v>1.931225</v>
      </c>
      <c r="V39" s="40">
        <f t="shared" si="18"/>
        <v>7.5098600274750007</v>
      </c>
      <c r="Y39" s="3">
        <v>261</v>
      </c>
      <c r="AB39" s="456" t="s">
        <v>237</v>
      </c>
      <c r="AC39" s="456"/>
    </row>
    <row r="40" spans="2:29">
      <c r="B40" s="1820"/>
      <c r="C40" s="184" t="s">
        <v>101</v>
      </c>
      <c r="D40" s="185">
        <v>187</v>
      </c>
      <c r="E40" s="113" t="s">
        <v>131</v>
      </c>
      <c r="F40" s="39">
        <v>61</v>
      </c>
      <c r="G40" s="40">
        <v>1.67</v>
      </c>
      <c r="H40" s="39">
        <v>80</v>
      </c>
      <c r="I40" s="40">
        <v>14.67</v>
      </c>
      <c r="J40" s="41">
        <f t="shared" si="10"/>
        <v>393</v>
      </c>
      <c r="K40" s="40"/>
      <c r="L40" s="41">
        <v>5467.29</v>
      </c>
      <c r="M40" s="41"/>
      <c r="N40" s="42"/>
      <c r="O40" s="44"/>
      <c r="P40" s="45"/>
      <c r="Q40" s="42"/>
      <c r="R40" s="40"/>
      <c r="S40" s="40"/>
      <c r="T40" s="40"/>
      <c r="U40" s="40"/>
      <c r="V40" s="40"/>
    </row>
    <row r="41" spans="2:29">
      <c r="B41" s="1820"/>
      <c r="C41" s="184" t="s">
        <v>101</v>
      </c>
      <c r="D41" s="185">
        <v>187</v>
      </c>
      <c r="E41" s="113" t="s">
        <v>231</v>
      </c>
      <c r="F41" s="39">
        <v>120</v>
      </c>
      <c r="G41" s="40">
        <v>0</v>
      </c>
      <c r="H41" s="39">
        <v>132</v>
      </c>
      <c r="I41" s="40">
        <v>12.12</v>
      </c>
      <c r="J41" s="41">
        <f t="shared" si="10"/>
        <v>252.12</v>
      </c>
      <c r="K41" s="186">
        <v>10.3</v>
      </c>
      <c r="L41" s="187"/>
      <c r="M41" s="187">
        <f t="shared" ref="M41:M43" si="20">+J41*K41*N41+L41</f>
        <v>2596.8360000000002</v>
      </c>
      <c r="N41" s="188">
        <f t="shared" ref="N41:N43" si="21">IF(F41="","",1)</f>
        <v>1</v>
      </c>
      <c r="O41" s="326">
        <f>$O$16</f>
        <v>1.3</v>
      </c>
      <c r="P41" s="191" t="str">
        <f t="shared" ref="P41:P43" si="22">IF(F41="","","l/m2")</f>
        <v>l/m2</v>
      </c>
      <c r="Q41" s="187">
        <f t="shared" ref="Q41:Q43" si="23">IF(F41="","",M41*O41/1000)</f>
        <v>3.3758868000000004</v>
      </c>
      <c r="R41" s="186">
        <v>0.04</v>
      </c>
      <c r="S41" s="186">
        <f t="shared" ref="S41:S43" si="24">IF(F41="","",IF(D41&gt;H41,((D41-H41)*0.02),IF(D41&lt;F41,((F41-D41)*0.02),IF(F41="","",0))))</f>
        <v>1.1000000000000001</v>
      </c>
      <c r="T41" s="186">
        <f t="shared" ref="T41:T43" si="25">IF(F41="","",IF(D41&gt;H41,((((H41-F41)*20)+I41-G41)/2000),IF(D41&gt;F41,((((D41-F41)*0.02)^2)+(((H41-D41)*0.02)^2))/(2*((H41-F41)*0.02)),((((H41-F41)*20)+I41-G41)/2000))))</f>
        <v>0.12606000000000001</v>
      </c>
      <c r="U41" s="186">
        <f t="shared" ref="U41:U43" si="26">IF(F41="","",R41+S41+T41)</f>
        <v>1.2660600000000002</v>
      </c>
      <c r="V41" s="186">
        <f t="shared" ref="V41:V43" si="27">IF(F41="","",Q41*U41)</f>
        <v>4.274075242008001</v>
      </c>
    </row>
    <row r="42" spans="2:29">
      <c r="B42" s="1820"/>
      <c r="C42" s="38" t="str">
        <f>+C40</f>
        <v>Canteiro</v>
      </c>
      <c r="D42" s="39">
        <v>187</v>
      </c>
      <c r="E42" s="113" t="s">
        <v>1359</v>
      </c>
      <c r="F42" s="39">
        <v>132</v>
      </c>
      <c r="G42" s="40">
        <v>12.12</v>
      </c>
      <c r="H42" s="39">
        <v>142</v>
      </c>
      <c r="I42" s="40">
        <v>0</v>
      </c>
      <c r="J42" s="41">
        <f t="shared" si="10"/>
        <v>187.88</v>
      </c>
      <c r="K42" s="40"/>
      <c r="L42" s="41">
        <v>2305.67</v>
      </c>
      <c r="M42" s="41">
        <f t="shared" si="20"/>
        <v>2305.67</v>
      </c>
      <c r="N42" s="42">
        <f t="shared" si="21"/>
        <v>1</v>
      </c>
      <c r="O42" s="327">
        <f>$O$16</f>
        <v>1.3</v>
      </c>
      <c r="P42" s="45" t="str">
        <f t="shared" si="22"/>
        <v>l/m2</v>
      </c>
      <c r="Q42" s="41">
        <f t="shared" si="23"/>
        <v>2.9973710000000002</v>
      </c>
      <c r="R42" s="40">
        <v>0.04</v>
      </c>
      <c r="S42" s="40">
        <f t="shared" si="24"/>
        <v>0.9</v>
      </c>
      <c r="T42" s="40">
        <f t="shared" si="25"/>
        <v>9.3939999999999996E-2</v>
      </c>
      <c r="U42" s="40">
        <f t="shared" si="26"/>
        <v>1.0339400000000001</v>
      </c>
      <c r="V42" s="40">
        <f t="shared" si="27"/>
        <v>3.0991017717400005</v>
      </c>
    </row>
    <row r="43" spans="2:29" ht="25.5">
      <c r="B43" s="1820"/>
      <c r="C43" s="184" t="str">
        <f t="shared" ref="C43" si="28">+C42</f>
        <v>Canteiro</v>
      </c>
      <c r="D43" s="185">
        <v>187</v>
      </c>
      <c r="E43" s="113" t="s">
        <v>240</v>
      </c>
      <c r="F43" s="39">
        <v>170</v>
      </c>
      <c r="G43" s="40">
        <v>12.12</v>
      </c>
      <c r="H43" s="39">
        <v>176</v>
      </c>
      <c r="I43" s="40">
        <v>12.12</v>
      </c>
      <c r="J43" s="41">
        <f t="shared" si="10"/>
        <v>120</v>
      </c>
      <c r="K43" s="186"/>
      <c r="L43" s="41">
        <v>1668</v>
      </c>
      <c r="M43" s="41">
        <f t="shared" si="20"/>
        <v>1668</v>
      </c>
      <c r="N43" s="42">
        <f t="shared" si="21"/>
        <v>1</v>
      </c>
      <c r="O43" s="327">
        <f>$O$16</f>
        <v>1.3</v>
      </c>
      <c r="P43" s="45" t="str">
        <f t="shared" si="22"/>
        <v>l/m2</v>
      </c>
      <c r="Q43" s="41">
        <f t="shared" si="23"/>
        <v>2.1684000000000001</v>
      </c>
      <c r="R43" s="40">
        <v>0.04</v>
      </c>
      <c r="S43" s="40">
        <f t="shared" si="24"/>
        <v>0.22</v>
      </c>
      <c r="T43" s="40">
        <f t="shared" si="25"/>
        <v>0.06</v>
      </c>
      <c r="U43" s="40">
        <f t="shared" si="26"/>
        <v>0.32</v>
      </c>
      <c r="V43" s="40">
        <f t="shared" si="27"/>
        <v>0.69388800000000006</v>
      </c>
    </row>
    <row r="44" spans="2:29">
      <c r="B44" s="1820"/>
      <c r="C44" s="38" t="s">
        <v>67</v>
      </c>
      <c r="D44" s="39"/>
      <c r="E44" s="38"/>
      <c r="F44" s="39"/>
      <c r="G44" s="40"/>
      <c r="H44" s="39"/>
      <c r="I44" s="40"/>
      <c r="J44" s="41"/>
      <c r="K44" s="40"/>
      <c r="L44" s="41"/>
      <c r="M44" s="41"/>
      <c r="N44" s="42"/>
      <c r="O44" s="44"/>
      <c r="P44" s="45"/>
      <c r="Q44" s="42"/>
      <c r="R44" s="40"/>
      <c r="S44" s="40"/>
      <c r="T44" s="40"/>
      <c r="U44" s="40"/>
      <c r="V44" s="40"/>
    </row>
    <row r="45" spans="2:29">
      <c r="B45" s="1820"/>
      <c r="C45" s="1793"/>
      <c r="D45" s="1793"/>
      <c r="E45" s="1793"/>
      <c r="F45" s="1793"/>
      <c r="G45" s="1793"/>
      <c r="H45" s="1793"/>
      <c r="I45" s="1794"/>
      <c r="J45" s="114">
        <f>SUM(J34:J44)+261</f>
        <v>1879</v>
      </c>
      <c r="K45" s="179"/>
      <c r="L45" s="115"/>
      <c r="M45" s="114">
        <f>SUM(M34:M44)</f>
        <v>17974.556000000004</v>
      </c>
      <c r="N45" s="180"/>
      <c r="O45" s="1528">
        <v>1.3</v>
      </c>
      <c r="P45" s="1531" t="s">
        <v>66</v>
      </c>
      <c r="Q45" s="114">
        <f>SUM(Q34:Q44)</f>
        <v>23.366922800000005</v>
      </c>
      <c r="R45" s="181" t="s">
        <v>44</v>
      </c>
      <c r="S45" s="182"/>
      <c r="T45" s="334">
        <f>V45/Q45</f>
        <v>1.4016168205606858</v>
      </c>
      <c r="U45" s="183" t="s">
        <v>45</v>
      </c>
      <c r="V45" s="183">
        <f>SUM(V34:V44)</f>
        <v>32.751472041223003</v>
      </c>
    </row>
    <row r="46" spans="2:29">
      <c r="B46" s="72"/>
      <c r="C46" s="73"/>
      <c r="D46" s="73"/>
      <c r="E46" s="73"/>
      <c r="F46" s="73"/>
      <c r="G46" s="73"/>
      <c r="H46" s="73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5"/>
    </row>
    <row r="47" spans="2:29">
      <c r="B47" s="1795" t="s">
        <v>112</v>
      </c>
      <c r="C47" s="1796"/>
      <c r="D47" s="1796"/>
      <c r="E47" s="1796"/>
      <c r="F47" s="1796"/>
      <c r="G47" s="1796"/>
      <c r="H47" s="1796"/>
      <c r="I47" s="1796"/>
      <c r="J47" s="1796"/>
      <c r="K47" s="1796"/>
      <c r="L47" s="1796"/>
      <c r="M47" s="1796"/>
      <c r="N47" s="1796"/>
      <c r="O47" s="1796"/>
      <c r="P47" s="1796"/>
      <c r="Q47" s="1796"/>
      <c r="R47" s="1796"/>
      <c r="S47" s="1796"/>
      <c r="T47" s="1796"/>
      <c r="U47" s="1796"/>
      <c r="V47" s="1797"/>
    </row>
    <row r="48" spans="2:29">
      <c r="B48" s="1798"/>
      <c r="C48" s="1799"/>
      <c r="D48" s="1799"/>
      <c r="E48" s="1799"/>
      <c r="F48" s="1799"/>
      <c r="G48" s="1799"/>
      <c r="H48" s="1799"/>
      <c r="I48" s="1799"/>
      <c r="J48" s="1799"/>
      <c r="K48" s="1799"/>
      <c r="L48" s="1799"/>
      <c r="M48" s="1799"/>
      <c r="N48" s="1799"/>
      <c r="O48" s="1799"/>
      <c r="P48" s="1799"/>
      <c r="Q48" s="1799"/>
      <c r="R48" s="1799"/>
      <c r="S48" s="1799"/>
      <c r="T48" s="1799"/>
      <c r="U48" s="1799"/>
      <c r="V48" s="1800"/>
    </row>
    <row r="51" spans="12:25">
      <c r="Y51" s="3" t="s">
        <v>1374</v>
      </c>
    </row>
    <row r="52" spans="12:25">
      <c r="L52" s="3" t="s">
        <v>1375</v>
      </c>
      <c r="M52" s="3">
        <f>243+3.74</f>
        <v>246.74</v>
      </c>
      <c r="Q52" s="3" t="s">
        <v>1376</v>
      </c>
      <c r="V52" s="335">
        <f>Q45*M52</f>
        <v>5765.5545316720018</v>
      </c>
    </row>
  </sheetData>
  <mergeCells count="14">
    <mergeCell ref="B47:V48"/>
    <mergeCell ref="B18:V19"/>
    <mergeCell ref="C31:D31"/>
    <mergeCell ref="E31:E33"/>
    <mergeCell ref="N31:N33"/>
    <mergeCell ref="C32:C33"/>
    <mergeCell ref="B34:B45"/>
    <mergeCell ref="C45:I45"/>
    <mergeCell ref="C2:D2"/>
    <mergeCell ref="E2:E4"/>
    <mergeCell ref="N2:N4"/>
    <mergeCell ref="C3:C4"/>
    <mergeCell ref="B5:B16"/>
    <mergeCell ref="C16:I16"/>
  </mergeCells>
  <conditionalFormatting sqref="L5:L6 L8:L9 L11 L13 L15">
    <cfRule type="cellIs" dxfId="243" priority="9" operator="equal">
      <formula>0</formula>
    </cfRule>
  </conditionalFormatting>
  <conditionalFormatting sqref="L7 L10 L12 L14">
    <cfRule type="cellIs" dxfId="242" priority="8" operator="equal">
      <formula>0</formula>
    </cfRule>
  </conditionalFormatting>
  <conditionalFormatting sqref="L34:L35">
    <cfRule type="cellIs" dxfId="241" priority="7" operator="equal">
      <formula>0</formula>
    </cfRule>
  </conditionalFormatting>
  <conditionalFormatting sqref="L36">
    <cfRule type="cellIs" dxfId="240" priority="6" operator="equal">
      <formula>0</formula>
    </cfRule>
  </conditionalFormatting>
  <conditionalFormatting sqref="L37:L40">
    <cfRule type="cellIs" dxfId="239" priority="3" operator="equal">
      <formula>0</formula>
    </cfRule>
  </conditionalFormatting>
  <conditionalFormatting sqref="L41">
    <cfRule type="cellIs" dxfId="238" priority="5" operator="equal">
      <formula>0</formula>
    </cfRule>
  </conditionalFormatting>
  <conditionalFormatting sqref="L42:L44">
    <cfRule type="cellIs" dxfId="237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F813-FCE0-46F1-A896-4D0DF4F0906B}">
  <sheetPr>
    <tabColor rgb="FF00FF00"/>
  </sheetPr>
  <dimension ref="A1:DU57"/>
  <sheetViews>
    <sheetView zoomScale="75" zoomScaleNormal="75" zoomScaleSheetLayoutView="70" workbookViewId="0">
      <selection activeCell="DQ46" sqref="DQ46:DR6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1" style="3" customWidth="1"/>
    <col min="4" max="4" width="8.5703125" style="3" customWidth="1"/>
    <col min="5" max="5" width="44.85546875" style="3" customWidth="1"/>
    <col min="6" max="9" width="6.5703125" style="3" customWidth="1"/>
    <col min="10" max="10" width="11.7109375" style="3" bestFit="1" customWidth="1"/>
    <col min="11" max="11" width="6.28515625" style="3" customWidth="1"/>
    <col min="12" max="12" width="12.85546875" style="3" customWidth="1"/>
    <col min="13" max="13" width="13.140625" style="3" bestFit="1" customWidth="1"/>
    <col min="14" max="14" width="5.85546875" style="3" customWidth="1"/>
    <col min="15" max="15" width="12.140625" style="3" bestFit="1" customWidth="1"/>
    <col min="16" max="16" width="7.140625" style="3" customWidth="1"/>
    <col min="17" max="17" width="9.85546875" style="3" customWidth="1"/>
    <col min="18" max="18" width="8.140625" style="3" customWidth="1"/>
    <col min="19" max="19" width="6.85546875" style="3" customWidth="1"/>
    <col min="20" max="20" width="14.28515625" style="3" customWidth="1"/>
    <col min="21" max="21" width="1.7109375" style="107" customWidth="1"/>
    <col min="22" max="25" width="11.42578125" style="3"/>
    <col min="26" max="125" width="11.42578125" style="107"/>
    <col min="126" max="253" width="11.42578125" style="3"/>
    <col min="254" max="254" width="23.7109375" style="3" customWidth="1"/>
    <col min="255" max="255" width="0" style="3" hidden="1" customWidth="1"/>
    <col min="256" max="256" width="41.42578125" style="3" customWidth="1"/>
    <col min="257" max="257" width="19.140625" style="3" customWidth="1"/>
    <col min="258" max="258" width="6.28515625" style="3" customWidth="1"/>
    <col min="259" max="259" width="6" style="3" customWidth="1"/>
    <col min="260" max="260" width="7.42578125" style="3" customWidth="1"/>
    <col min="261" max="261" width="5.7109375" style="3" customWidth="1"/>
    <col min="262" max="262" width="5.28515625" style="3" customWidth="1"/>
    <col min="263" max="263" width="10" style="3" customWidth="1"/>
    <col min="264" max="264" width="6.28515625" style="3" customWidth="1"/>
    <col min="265" max="265" width="8.28515625" style="3" customWidth="1"/>
    <col min="266" max="266" width="12.42578125" style="3" customWidth="1"/>
    <col min="267" max="267" width="5.28515625" style="3" customWidth="1"/>
    <col min="268" max="268" width="10.85546875" style="3" customWidth="1"/>
    <col min="269" max="269" width="4.85546875" style="3" customWidth="1"/>
    <col min="270" max="270" width="5.140625" style="3" customWidth="1"/>
    <col min="271" max="271" width="10.5703125" style="3" customWidth="1"/>
    <col min="272" max="272" width="6.28515625" style="3" customWidth="1"/>
    <col min="273" max="273" width="6.5703125" style="3" customWidth="1"/>
    <col min="274" max="274" width="7.42578125" style="3" customWidth="1"/>
    <col min="275" max="275" width="6.85546875" style="3" customWidth="1"/>
    <col min="276" max="276" width="10.7109375" style="3" customWidth="1"/>
    <col min="277" max="277" width="5.140625" style="3" customWidth="1"/>
    <col min="278" max="509" width="11.42578125" style="3"/>
    <col min="510" max="510" width="23.7109375" style="3" customWidth="1"/>
    <col min="511" max="511" width="0" style="3" hidden="1" customWidth="1"/>
    <col min="512" max="512" width="41.42578125" style="3" customWidth="1"/>
    <col min="513" max="513" width="19.140625" style="3" customWidth="1"/>
    <col min="514" max="514" width="6.28515625" style="3" customWidth="1"/>
    <col min="515" max="515" width="6" style="3" customWidth="1"/>
    <col min="516" max="516" width="7.42578125" style="3" customWidth="1"/>
    <col min="517" max="517" width="5.7109375" style="3" customWidth="1"/>
    <col min="518" max="518" width="5.28515625" style="3" customWidth="1"/>
    <col min="519" max="519" width="10" style="3" customWidth="1"/>
    <col min="520" max="520" width="6.28515625" style="3" customWidth="1"/>
    <col min="521" max="521" width="8.28515625" style="3" customWidth="1"/>
    <col min="522" max="522" width="12.42578125" style="3" customWidth="1"/>
    <col min="523" max="523" width="5.28515625" style="3" customWidth="1"/>
    <col min="524" max="524" width="10.85546875" style="3" customWidth="1"/>
    <col min="525" max="525" width="4.85546875" style="3" customWidth="1"/>
    <col min="526" max="526" width="5.140625" style="3" customWidth="1"/>
    <col min="527" max="527" width="10.5703125" style="3" customWidth="1"/>
    <col min="528" max="528" width="6.28515625" style="3" customWidth="1"/>
    <col min="529" max="529" width="6.5703125" style="3" customWidth="1"/>
    <col min="530" max="530" width="7.42578125" style="3" customWidth="1"/>
    <col min="531" max="531" width="6.85546875" style="3" customWidth="1"/>
    <col min="532" max="532" width="10.7109375" style="3" customWidth="1"/>
    <col min="533" max="533" width="5.140625" style="3" customWidth="1"/>
    <col min="534" max="765" width="11.42578125" style="3"/>
    <col min="766" max="766" width="23.7109375" style="3" customWidth="1"/>
    <col min="767" max="767" width="0" style="3" hidden="1" customWidth="1"/>
    <col min="768" max="768" width="41.42578125" style="3" customWidth="1"/>
    <col min="769" max="769" width="19.140625" style="3" customWidth="1"/>
    <col min="770" max="770" width="6.28515625" style="3" customWidth="1"/>
    <col min="771" max="771" width="6" style="3" customWidth="1"/>
    <col min="772" max="772" width="7.42578125" style="3" customWidth="1"/>
    <col min="773" max="773" width="5.7109375" style="3" customWidth="1"/>
    <col min="774" max="774" width="5.28515625" style="3" customWidth="1"/>
    <col min="775" max="775" width="10" style="3" customWidth="1"/>
    <col min="776" max="776" width="6.28515625" style="3" customWidth="1"/>
    <col min="777" max="777" width="8.28515625" style="3" customWidth="1"/>
    <col min="778" max="778" width="12.42578125" style="3" customWidth="1"/>
    <col min="779" max="779" width="5.28515625" style="3" customWidth="1"/>
    <col min="780" max="780" width="10.85546875" style="3" customWidth="1"/>
    <col min="781" max="781" width="4.85546875" style="3" customWidth="1"/>
    <col min="782" max="782" width="5.140625" style="3" customWidth="1"/>
    <col min="783" max="783" width="10.5703125" style="3" customWidth="1"/>
    <col min="784" max="784" width="6.28515625" style="3" customWidth="1"/>
    <col min="785" max="785" width="6.5703125" style="3" customWidth="1"/>
    <col min="786" max="786" width="7.42578125" style="3" customWidth="1"/>
    <col min="787" max="787" width="6.85546875" style="3" customWidth="1"/>
    <col min="788" max="788" width="10.7109375" style="3" customWidth="1"/>
    <col min="789" max="789" width="5.140625" style="3" customWidth="1"/>
    <col min="790" max="1021" width="11.42578125" style="3"/>
    <col min="1022" max="1022" width="23.7109375" style="3" customWidth="1"/>
    <col min="1023" max="1023" width="0" style="3" hidden="1" customWidth="1"/>
    <col min="1024" max="1024" width="41.42578125" style="3" customWidth="1"/>
    <col min="1025" max="1025" width="19.140625" style="3" customWidth="1"/>
    <col min="1026" max="1026" width="6.28515625" style="3" customWidth="1"/>
    <col min="1027" max="1027" width="6" style="3" customWidth="1"/>
    <col min="1028" max="1028" width="7.42578125" style="3" customWidth="1"/>
    <col min="1029" max="1029" width="5.7109375" style="3" customWidth="1"/>
    <col min="1030" max="1030" width="5.28515625" style="3" customWidth="1"/>
    <col min="1031" max="1031" width="10" style="3" customWidth="1"/>
    <col min="1032" max="1032" width="6.28515625" style="3" customWidth="1"/>
    <col min="1033" max="1033" width="8.28515625" style="3" customWidth="1"/>
    <col min="1034" max="1034" width="12.42578125" style="3" customWidth="1"/>
    <col min="1035" max="1035" width="5.28515625" style="3" customWidth="1"/>
    <col min="1036" max="1036" width="10.85546875" style="3" customWidth="1"/>
    <col min="1037" max="1037" width="4.85546875" style="3" customWidth="1"/>
    <col min="1038" max="1038" width="5.140625" style="3" customWidth="1"/>
    <col min="1039" max="1039" width="10.5703125" style="3" customWidth="1"/>
    <col min="1040" max="1040" width="6.28515625" style="3" customWidth="1"/>
    <col min="1041" max="1041" width="6.5703125" style="3" customWidth="1"/>
    <col min="1042" max="1042" width="7.42578125" style="3" customWidth="1"/>
    <col min="1043" max="1043" width="6.85546875" style="3" customWidth="1"/>
    <col min="1044" max="1044" width="10.7109375" style="3" customWidth="1"/>
    <col min="1045" max="1045" width="5.140625" style="3" customWidth="1"/>
    <col min="1046" max="1277" width="11.42578125" style="3"/>
    <col min="1278" max="1278" width="23.7109375" style="3" customWidth="1"/>
    <col min="1279" max="1279" width="0" style="3" hidden="1" customWidth="1"/>
    <col min="1280" max="1280" width="41.42578125" style="3" customWidth="1"/>
    <col min="1281" max="1281" width="19.140625" style="3" customWidth="1"/>
    <col min="1282" max="1282" width="6.28515625" style="3" customWidth="1"/>
    <col min="1283" max="1283" width="6" style="3" customWidth="1"/>
    <col min="1284" max="1284" width="7.42578125" style="3" customWidth="1"/>
    <col min="1285" max="1285" width="5.7109375" style="3" customWidth="1"/>
    <col min="1286" max="1286" width="5.28515625" style="3" customWidth="1"/>
    <col min="1287" max="1287" width="10" style="3" customWidth="1"/>
    <col min="1288" max="1288" width="6.28515625" style="3" customWidth="1"/>
    <col min="1289" max="1289" width="8.28515625" style="3" customWidth="1"/>
    <col min="1290" max="1290" width="12.42578125" style="3" customWidth="1"/>
    <col min="1291" max="1291" width="5.28515625" style="3" customWidth="1"/>
    <col min="1292" max="1292" width="10.85546875" style="3" customWidth="1"/>
    <col min="1293" max="1293" width="4.85546875" style="3" customWidth="1"/>
    <col min="1294" max="1294" width="5.140625" style="3" customWidth="1"/>
    <col min="1295" max="1295" width="10.5703125" style="3" customWidth="1"/>
    <col min="1296" max="1296" width="6.28515625" style="3" customWidth="1"/>
    <col min="1297" max="1297" width="6.5703125" style="3" customWidth="1"/>
    <col min="1298" max="1298" width="7.42578125" style="3" customWidth="1"/>
    <col min="1299" max="1299" width="6.85546875" style="3" customWidth="1"/>
    <col min="1300" max="1300" width="10.7109375" style="3" customWidth="1"/>
    <col min="1301" max="1301" width="5.140625" style="3" customWidth="1"/>
    <col min="1302" max="1533" width="11.42578125" style="3"/>
    <col min="1534" max="1534" width="23.7109375" style="3" customWidth="1"/>
    <col min="1535" max="1535" width="0" style="3" hidden="1" customWidth="1"/>
    <col min="1536" max="1536" width="41.42578125" style="3" customWidth="1"/>
    <col min="1537" max="1537" width="19.140625" style="3" customWidth="1"/>
    <col min="1538" max="1538" width="6.28515625" style="3" customWidth="1"/>
    <col min="1539" max="1539" width="6" style="3" customWidth="1"/>
    <col min="1540" max="1540" width="7.42578125" style="3" customWidth="1"/>
    <col min="1541" max="1541" width="5.7109375" style="3" customWidth="1"/>
    <col min="1542" max="1542" width="5.28515625" style="3" customWidth="1"/>
    <col min="1543" max="1543" width="10" style="3" customWidth="1"/>
    <col min="1544" max="1544" width="6.28515625" style="3" customWidth="1"/>
    <col min="1545" max="1545" width="8.28515625" style="3" customWidth="1"/>
    <col min="1546" max="1546" width="12.42578125" style="3" customWidth="1"/>
    <col min="1547" max="1547" width="5.28515625" style="3" customWidth="1"/>
    <col min="1548" max="1548" width="10.85546875" style="3" customWidth="1"/>
    <col min="1549" max="1549" width="4.85546875" style="3" customWidth="1"/>
    <col min="1550" max="1550" width="5.140625" style="3" customWidth="1"/>
    <col min="1551" max="1551" width="10.5703125" style="3" customWidth="1"/>
    <col min="1552" max="1552" width="6.28515625" style="3" customWidth="1"/>
    <col min="1553" max="1553" width="6.5703125" style="3" customWidth="1"/>
    <col min="1554" max="1554" width="7.42578125" style="3" customWidth="1"/>
    <col min="1555" max="1555" width="6.85546875" style="3" customWidth="1"/>
    <col min="1556" max="1556" width="10.7109375" style="3" customWidth="1"/>
    <col min="1557" max="1557" width="5.140625" style="3" customWidth="1"/>
    <col min="1558" max="1789" width="11.42578125" style="3"/>
    <col min="1790" max="1790" width="23.7109375" style="3" customWidth="1"/>
    <col min="1791" max="1791" width="0" style="3" hidden="1" customWidth="1"/>
    <col min="1792" max="1792" width="41.42578125" style="3" customWidth="1"/>
    <col min="1793" max="1793" width="19.140625" style="3" customWidth="1"/>
    <col min="1794" max="1794" width="6.28515625" style="3" customWidth="1"/>
    <col min="1795" max="1795" width="6" style="3" customWidth="1"/>
    <col min="1796" max="1796" width="7.42578125" style="3" customWidth="1"/>
    <col min="1797" max="1797" width="5.7109375" style="3" customWidth="1"/>
    <col min="1798" max="1798" width="5.28515625" style="3" customWidth="1"/>
    <col min="1799" max="1799" width="10" style="3" customWidth="1"/>
    <col min="1800" max="1800" width="6.28515625" style="3" customWidth="1"/>
    <col min="1801" max="1801" width="8.28515625" style="3" customWidth="1"/>
    <col min="1802" max="1802" width="12.42578125" style="3" customWidth="1"/>
    <col min="1803" max="1803" width="5.28515625" style="3" customWidth="1"/>
    <col min="1804" max="1804" width="10.85546875" style="3" customWidth="1"/>
    <col min="1805" max="1805" width="4.85546875" style="3" customWidth="1"/>
    <col min="1806" max="1806" width="5.140625" style="3" customWidth="1"/>
    <col min="1807" max="1807" width="10.5703125" style="3" customWidth="1"/>
    <col min="1808" max="1808" width="6.28515625" style="3" customWidth="1"/>
    <col min="1809" max="1809" width="6.5703125" style="3" customWidth="1"/>
    <col min="1810" max="1810" width="7.42578125" style="3" customWidth="1"/>
    <col min="1811" max="1811" width="6.85546875" style="3" customWidth="1"/>
    <col min="1812" max="1812" width="10.7109375" style="3" customWidth="1"/>
    <col min="1813" max="1813" width="5.140625" style="3" customWidth="1"/>
    <col min="1814" max="2045" width="11.42578125" style="3"/>
    <col min="2046" max="2046" width="23.7109375" style="3" customWidth="1"/>
    <col min="2047" max="2047" width="0" style="3" hidden="1" customWidth="1"/>
    <col min="2048" max="2048" width="41.42578125" style="3" customWidth="1"/>
    <col min="2049" max="2049" width="19.140625" style="3" customWidth="1"/>
    <col min="2050" max="2050" width="6.28515625" style="3" customWidth="1"/>
    <col min="2051" max="2051" width="6" style="3" customWidth="1"/>
    <col min="2052" max="2052" width="7.42578125" style="3" customWidth="1"/>
    <col min="2053" max="2053" width="5.7109375" style="3" customWidth="1"/>
    <col min="2054" max="2054" width="5.28515625" style="3" customWidth="1"/>
    <col min="2055" max="2055" width="10" style="3" customWidth="1"/>
    <col min="2056" max="2056" width="6.28515625" style="3" customWidth="1"/>
    <col min="2057" max="2057" width="8.28515625" style="3" customWidth="1"/>
    <col min="2058" max="2058" width="12.42578125" style="3" customWidth="1"/>
    <col min="2059" max="2059" width="5.28515625" style="3" customWidth="1"/>
    <col min="2060" max="2060" width="10.85546875" style="3" customWidth="1"/>
    <col min="2061" max="2061" width="4.85546875" style="3" customWidth="1"/>
    <col min="2062" max="2062" width="5.140625" style="3" customWidth="1"/>
    <col min="2063" max="2063" width="10.5703125" style="3" customWidth="1"/>
    <col min="2064" max="2064" width="6.28515625" style="3" customWidth="1"/>
    <col min="2065" max="2065" width="6.5703125" style="3" customWidth="1"/>
    <col min="2066" max="2066" width="7.42578125" style="3" customWidth="1"/>
    <col min="2067" max="2067" width="6.85546875" style="3" customWidth="1"/>
    <col min="2068" max="2068" width="10.7109375" style="3" customWidth="1"/>
    <col min="2069" max="2069" width="5.140625" style="3" customWidth="1"/>
    <col min="2070" max="2301" width="11.42578125" style="3"/>
    <col min="2302" max="2302" width="23.7109375" style="3" customWidth="1"/>
    <col min="2303" max="2303" width="0" style="3" hidden="1" customWidth="1"/>
    <col min="2304" max="2304" width="41.42578125" style="3" customWidth="1"/>
    <col min="2305" max="2305" width="19.140625" style="3" customWidth="1"/>
    <col min="2306" max="2306" width="6.28515625" style="3" customWidth="1"/>
    <col min="2307" max="2307" width="6" style="3" customWidth="1"/>
    <col min="2308" max="2308" width="7.42578125" style="3" customWidth="1"/>
    <col min="2309" max="2309" width="5.7109375" style="3" customWidth="1"/>
    <col min="2310" max="2310" width="5.28515625" style="3" customWidth="1"/>
    <col min="2311" max="2311" width="10" style="3" customWidth="1"/>
    <col min="2312" max="2312" width="6.28515625" style="3" customWidth="1"/>
    <col min="2313" max="2313" width="8.28515625" style="3" customWidth="1"/>
    <col min="2314" max="2314" width="12.42578125" style="3" customWidth="1"/>
    <col min="2315" max="2315" width="5.28515625" style="3" customWidth="1"/>
    <col min="2316" max="2316" width="10.85546875" style="3" customWidth="1"/>
    <col min="2317" max="2317" width="4.85546875" style="3" customWidth="1"/>
    <col min="2318" max="2318" width="5.140625" style="3" customWidth="1"/>
    <col min="2319" max="2319" width="10.5703125" style="3" customWidth="1"/>
    <col min="2320" max="2320" width="6.28515625" style="3" customWidth="1"/>
    <col min="2321" max="2321" width="6.5703125" style="3" customWidth="1"/>
    <col min="2322" max="2322" width="7.42578125" style="3" customWidth="1"/>
    <col min="2323" max="2323" width="6.85546875" style="3" customWidth="1"/>
    <col min="2324" max="2324" width="10.7109375" style="3" customWidth="1"/>
    <col min="2325" max="2325" width="5.140625" style="3" customWidth="1"/>
    <col min="2326" max="2557" width="11.42578125" style="3"/>
    <col min="2558" max="2558" width="23.7109375" style="3" customWidth="1"/>
    <col min="2559" max="2559" width="0" style="3" hidden="1" customWidth="1"/>
    <col min="2560" max="2560" width="41.42578125" style="3" customWidth="1"/>
    <col min="2561" max="2561" width="19.140625" style="3" customWidth="1"/>
    <col min="2562" max="2562" width="6.28515625" style="3" customWidth="1"/>
    <col min="2563" max="2563" width="6" style="3" customWidth="1"/>
    <col min="2564" max="2564" width="7.42578125" style="3" customWidth="1"/>
    <col min="2565" max="2565" width="5.7109375" style="3" customWidth="1"/>
    <col min="2566" max="2566" width="5.28515625" style="3" customWidth="1"/>
    <col min="2567" max="2567" width="10" style="3" customWidth="1"/>
    <col min="2568" max="2568" width="6.28515625" style="3" customWidth="1"/>
    <col min="2569" max="2569" width="8.28515625" style="3" customWidth="1"/>
    <col min="2570" max="2570" width="12.42578125" style="3" customWidth="1"/>
    <col min="2571" max="2571" width="5.28515625" style="3" customWidth="1"/>
    <col min="2572" max="2572" width="10.85546875" style="3" customWidth="1"/>
    <col min="2573" max="2573" width="4.85546875" style="3" customWidth="1"/>
    <col min="2574" max="2574" width="5.140625" style="3" customWidth="1"/>
    <col min="2575" max="2575" width="10.5703125" style="3" customWidth="1"/>
    <col min="2576" max="2576" width="6.28515625" style="3" customWidth="1"/>
    <col min="2577" max="2577" width="6.5703125" style="3" customWidth="1"/>
    <col min="2578" max="2578" width="7.42578125" style="3" customWidth="1"/>
    <col min="2579" max="2579" width="6.85546875" style="3" customWidth="1"/>
    <col min="2580" max="2580" width="10.7109375" style="3" customWidth="1"/>
    <col min="2581" max="2581" width="5.140625" style="3" customWidth="1"/>
    <col min="2582" max="2813" width="11.42578125" style="3"/>
    <col min="2814" max="2814" width="23.7109375" style="3" customWidth="1"/>
    <col min="2815" max="2815" width="0" style="3" hidden="1" customWidth="1"/>
    <col min="2816" max="2816" width="41.42578125" style="3" customWidth="1"/>
    <col min="2817" max="2817" width="19.140625" style="3" customWidth="1"/>
    <col min="2818" max="2818" width="6.28515625" style="3" customWidth="1"/>
    <col min="2819" max="2819" width="6" style="3" customWidth="1"/>
    <col min="2820" max="2820" width="7.42578125" style="3" customWidth="1"/>
    <col min="2821" max="2821" width="5.7109375" style="3" customWidth="1"/>
    <col min="2822" max="2822" width="5.28515625" style="3" customWidth="1"/>
    <col min="2823" max="2823" width="10" style="3" customWidth="1"/>
    <col min="2824" max="2824" width="6.28515625" style="3" customWidth="1"/>
    <col min="2825" max="2825" width="8.28515625" style="3" customWidth="1"/>
    <col min="2826" max="2826" width="12.42578125" style="3" customWidth="1"/>
    <col min="2827" max="2827" width="5.28515625" style="3" customWidth="1"/>
    <col min="2828" max="2828" width="10.85546875" style="3" customWidth="1"/>
    <col min="2829" max="2829" width="4.85546875" style="3" customWidth="1"/>
    <col min="2830" max="2830" width="5.140625" style="3" customWidth="1"/>
    <col min="2831" max="2831" width="10.5703125" style="3" customWidth="1"/>
    <col min="2832" max="2832" width="6.28515625" style="3" customWidth="1"/>
    <col min="2833" max="2833" width="6.5703125" style="3" customWidth="1"/>
    <col min="2834" max="2834" width="7.42578125" style="3" customWidth="1"/>
    <col min="2835" max="2835" width="6.85546875" style="3" customWidth="1"/>
    <col min="2836" max="2836" width="10.7109375" style="3" customWidth="1"/>
    <col min="2837" max="2837" width="5.140625" style="3" customWidth="1"/>
    <col min="2838" max="3069" width="11.42578125" style="3"/>
    <col min="3070" max="3070" width="23.7109375" style="3" customWidth="1"/>
    <col min="3071" max="3071" width="0" style="3" hidden="1" customWidth="1"/>
    <col min="3072" max="3072" width="41.42578125" style="3" customWidth="1"/>
    <col min="3073" max="3073" width="19.140625" style="3" customWidth="1"/>
    <col min="3074" max="3074" width="6.28515625" style="3" customWidth="1"/>
    <col min="3075" max="3075" width="6" style="3" customWidth="1"/>
    <col min="3076" max="3076" width="7.42578125" style="3" customWidth="1"/>
    <col min="3077" max="3077" width="5.7109375" style="3" customWidth="1"/>
    <col min="3078" max="3078" width="5.28515625" style="3" customWidth="1"/>
    <col min="3079" max="3079" width="10" style="3" customWidth="1"/>
    <col min="3080" max="3080" width="6.28515625" style="3" customWidth="1"/>
    <col min="3081" max="3081" width="8.28515625" style="3" customWidth="1"/>
    <col min="3082" max="3082" width="12.42578125" style="3" customWidth="1"/>
    <col min="3083" max="3083" width="5.28515625" style="3" customWidth="1"/>
    <col min="3084" max="3084" width="10.85546875" style="3" customWidth="1"/>
    <col min="3085" max="3085" width="4.85546875" style="3" customWidth="1"/>
    <col min="3086" max="3086" width="5.140625" style="3" customWidth="1"/>
    <col min="3087" max="3087" width="10.5703125" style="3" customWidth="1"/>
    <col min="3088" max="3088" width="6.28515625" style="3" customWidth="1"/>
    <col min="3089" max="3089" width="6.5703125" style="3" customWidth="1"/>
    <col min="3090" max="3090" width="7.42578125" style="3" customWidth="1"/>
    <col min="3091" max="3091" width="6.85546875" style="3" customWidth="1"/>
    <col min="3092" max="3092" width="10.7109375" style="3" customWidth="1"/>
    <col min="3093" max="3093" width="5.140625" style="3" customWidth="1"/>
    <col min="3094" max="3325" width="11.42578125" style="3"/>
    <col min="3326" max="3326" width="23.7109375" style="3" customWidth="1"/>
    <col min="3327" max="3327" width="0" style="3" hidden="1" customWidth="1"/>
    <col min="3328" max="3328" width="41.42578125" style="3" customWidth="1"/>
    <col min="3329" max="3329" width="19.140625" style="3" customWidth="1"/>
    <col min="3330" max="3330" width="6.28515625" style="3" customWidth="1"/>
    <col min="3331" max="3331" width="6" style="3" customWidth="1"/>
    <col min="3332" max="3332" width="7.42578125" style="3" customWidth="1"/>
    <col min="3333" max="3333" width="5.7109375" style="3" customWidth="1"/>
    <col min="3334" max="3334" width="5.28515625" style="3" customWidth="1"/>
    <col min="3335" max="3335" width="10" style="3" customWidth="1"/>
    <col min="3336" max="3336" width="6.28515625" style="3" customWidth="1"/>
    <col min="3337" max="3337" width="8.28515625" style="3" customWidth="1"/>
    <col min="3338" max="3338" width="12.42578125" style="3" customWidth="1"/>
    <col min="3339" max="3339" width="5.28515625" style="3" customWidth="1"/>
    <col min="3340" max="3340" width="10.85546875" style="3" customWidth="1"/>
    <col min="3341" max="3341" width="4.85546875" style="3" customWidth="1"/>
    <col min="3342" max="3342" width="5.140625" style="3" customWidth="1"/>
    <col min="3343" max="3343" width="10.5703125" style="3" customWidth="1"/>
    <col min="3344" max="3344" width="6.28515625" style="3" customWidth="1"/>
    <col min="3345" max="3345" width="6.5703125" style="3" customWidth="1"/>
    <col min="3346" max="3346" width="7.42578125" style="3" customWidth="1"/>
    <col min="3347" max="3347" width="6.85546875" style="3" customWidth="1"/>
    <col min="3348" max="3348" width="10.7109375" style="3" customWidth="1"/>
    <col min="3349" max="3349" width="5.140625" style="3" customWidth="1"/>
    <col min="3350" max="3581" width="11.42578125" style="3"/>
    <col min="3582" max="3582" width="23.7109375" style="3" customWidth="1"/>
    <col min="3583" max="3583" width="0" style="3" hidden="1" customWidth="1"/>
    <col min="3584" max="3584" width="41.42578125" style="3" customWidth="1"/>
    <col min="3585" max="3585" width="19.140625" style="3" customWidth="1"/>
    <col min="3586" max="3586" width="6.28515625" style="3" customWidth="1"/>
    <col min="3587" max="3587" width="6" style="3" customWidth="1"/>
    <col min="3588" max="3588" width="7.42578125" style="3" customWidth="1"/>
    <col min="3589" max="3589" width="5.7109375" style="3" customWidth="1"/>
    <col min="3590" max="3590" width="5.28515625" style="3" customWidth="1"/>
    <col min="3591" max="3591" width="10" style="3" customWidth="1"/>
    <col min="3592" max="3592" width="6.28515625" style="3" customWidth="1"/>
    <col min="3593" max="3593" width="8.28515625" style="3" customWidth="1"/>
    <col min="3594" max="3594" width="12.42578125" style="3" customWidth="1"/>
    <col min="3595" max="3595" width="5.28515625" style="3" customWidth="1"/>
    <col min="3596" max="3596" width="10.85546875" style="3" customWidth="1"/>
    <col min="3597" max="3597" width="4.85546875" style="3" customWidth="1"/>
    <col min="3598" max="3598" width="5.140625" style="3" customWidth="1"/>
    <col min="3599" max="3599" width="10.5703125" style="3" customWidth="1"/>
    <col min="3600" max="3600" width="6.28515625" style="3" customWidth="1"/>
    <col min="3601" max="3601" width="6.5703125" style="3" customWidth="1"/>
    <col min="3602" max="3602" width="7.42578125" style="3" customWidth="1"/>
    <col min="3603" max="3603" width="6.85546875" style="3" customWidth="1"/>
    <col min="3604" max="3604" width="10.7109375" style="3" customWidth="1"/>
    <col min="3605" max="3605" width="5.140625" style="3" customWidth="1"/>
    <col min="3606" max="3837" width="11.42578125" style="3"/>
    <col min="3838" max="3838" width="23.7109375" style="3" customWidth="1"/>
    <col min="3839" max="3839" width="0" style="3" hidden="1" customWidth="1"/>
    <col min="3840" max="3840" width="41.42578125" style="3" customWidth="1"/>
    <col min="3841" max="3841" width="19.140625" style="3" customWidth="1"/>
    <col min="3842" max="3842" width="6.28515625" style="3" customWidth="1"/>
    <col min="3843" max="3843" width="6" style="3" customWidth="1"/>
    <col min="3844" max="3844" width="7.42578125" style="3" customWidth="1"/>
    <col min="3845" max="3845" width="5.7109375" style="3" customWidth="1"/>
    <col min="3846" max="3846" width="5.28515625" style="3" customWidth="1"/>
    <col min="3847" max="3847" width="10" style="3" customWidth="1"/>
    <col min="3848" max="3848" width="6.28515625" style="3" customWidth="1"/>
    <col min="3849" max="3849" width="8.28515625" style="3" customWidth="1"/>
    <col min="3850" max="3850" width="12.42578125" style="3" customWidth="1"/>
    <col min="3851" max="3851" width="5.28515625" style="3" customWidth="1"/>
    <col min="3852" max="3852" width="10.85546875" style="3" customWidth="1"/>
    <col min="3853" max="3853" width="4.85546875" style="3" customWidth="1"/>
    <col min="3854" max="3854" width="5.140625" style="3" customWidth="1"/>
    <col min="3855" max="3855" width="10.5703125" style="3" customWidth="1"/>
    <col min="3856" max="3856" width="6.28515625" style="3" customWidth="1"/>
    <col min="3857" max="3857" width="6.5703125" style="3" customWidth="1"/>
    <col min="3858" max="3858" width="7.42578125" style="3" customWidth="1"/>
    <col min="3859" max="3859" width="6.85546875" style="3" customWidth="1"/>
    <col min="3860" max="3860" width="10.7109375" style="3" customWidth="1"/>
    <col min="3861" max="3861" width="5.140625" style="3" customWidth="1"/>
    <col min="3862" max="4093" width="11.42578125" style="3"/>
    <col min="4094" max="4094" width="23.7109375" style="3" customWidth="1"/>
    <col min="4095" max="4095" width="0" style="3" hidden="1" customWidth="1"/>
    <col min="4096" max="4096" width="41.42578125" style="3" customWidth="1"/>
    <col min="4097" max="4097" width="19.140625" style="3" customWidth="1"/>
    <col min="4098" max="4098" width="6.28515625" style="3" customWidth="1"/>
    <col min="4099" max="4099" width="6" style="3" customWidth="1"/>
    <col min="4100" max="4100" width="7.42578125" style="3" customWidth="1"/>
    <col min="4101" max="4101" width="5.7109375" style="3" customWidth="1"/>
    <col min="4102" max="4102" width="5.28515625" style="3" customWidth="1"/>
    <col min="4103" max="4103" width="10" style="3" customWidth="1"/>
    <col min="4104" max="4104" width="6.28515625" style="3" customWidth="1"/>
    <col min="4105" max="4105" width="8.28515625" style="3" customWidth="1"/>
    <col min="4106" max="4106" width="12.42578125" style="3" customWidth="1"/>
    <col min="4107" max="4107" width="5.28515625" style="3" customWidth="1"/>
    <col min="4108" max="4108" width="10.85546875" style="3" customWidth="1"/>
    <col min="4109" max="4109" width="4.85546875" style="3" customWidth="1"/>
    <col min="4110" max="4110" width="5.140625" style="3" customWidth="1"/>
    <col min="4111" max="4111" width="10.5703125" style="3" customWidth="1"/>
    <col min="4112" max="4112" width="6.28515625" style="3" customWidth="1"/>
    <col min="4113" max="4113" width="6.5703125" style="3" customWidth="1"/>
    <col min="4114" max="4114" width="7.42578125" style="3" customWidth="1"/>
    <col min="4115" max="4115" width="6.85546875" style="3" customWidth="1"/>
    <col min="4116" max="4116" width="10.7109375" style="3" customWidth="1"/>
    <col min="4117" max="4117" width="5.140625" style="3" customWidth="1"/>
    <col min="4118" max="4349" width="11.42578125" style="3"/>
    <col min="4350" max="4350" width="23.7109375" style="3" customWidth="1"/>
    <col min="4351" max="4351" width="0" style="3" hidden="1" customWidth="1"/>
    <col min="4352" max="4352" width="41.42578125" style="3" customWidth="1"/>
    <col min="4353" max="4353" width="19.140625" style="3" customWidth="1"/>
    <col min="4354" max="4354" width="6.28515625" style="3" customWidth="1"/>
    <col min="4355" max="4355" width="6" style="3" customWidth="1"/>
    <col min="4356" max="4356" width="7.42578125" style="3" customWidth="1"/>
    <col min="4357" max="4357" width="5.7109375" style="3" customWidth="1"/>
    <col min="4358" max="4358" width="5.28515625" style="3" customWidth="1"/>
    <col min="4359" max="4359" width="10" style="3" customWidth="1"/>
    <col min="4360" max="4360" width="6.28515625" style="3" customWidth="1"/>
    <col min="4361" max="4361" width="8.28515625" style="3" customWidth="1"/>
    <col min="4362" max="4362" width="12.42578125" style="3" customWidth="1"/>
    <col min="4363" max="4363" width="5.28515625" style="3" customWidth="1"/>
    <col min="4364" max="4364" width="10.85546875" style="3" customWidth="1"/>
    <col min="4365" max="4365" width="4.85546875" style="3" customWidth="1"/>
    <col min="4366" max="4366" width="5.140625" style="3" customWidth="1"/>
    <col min="4367" max="4367" width="10.5703125" style="3" customWidth="1"/>
    <col min="4368" max="4368" width="6.28515625" style="3" customWidth="1"/>
    <col min="4369" max="4369" width="6.5703125" style="3" customWidth="1"/>
    <col min="4370" max="4370" width="7.42578125" style="3" customWidth="1"/>
    <col min="4371" max="4371" width="6.85546875" style="3" customWidth="1"/>
    <col min="4372" max="4372" width="10.7109375" style="3" customWidth="1"/>
    <col min="4373" max="4373" width="5.140625" style="3" customWidth="1"/>
    <col min="4374" max="4605" width="11.42578125" style="3"/>
    <col min="4606" max="4606" width="23.7109375" style="3" customWidth="1"/>
    <col min="4607" max="4607" width="0" style="3" hidden="1" customWidth="1"/>
    <col min="4608" max="4608" width="41.42578125" style="3" customWidth="1"/>
    <col min="4609" max="4609" width="19.140625" style="3" customWidth="1"/>
    <col min="4610" max="4610" width="6.28515625" style="3" customWidth="1"/>
    <col min="4611" max="4611" width="6" style="3" customWidth="1"/>
    <col min="4612" max="4612" width="7.42578125" style="3" customWidth="1"/>
    <col min="4613" max="4613" width="5.7109375" style="3" customWidth="1"/>
    <col min="4614" max="4614" width="5.28515625" style="3" customWidth="1"/>
    <col min="4615" max="4615" width="10" style="3" customWidth="1"/>
    <col min="4616" max="4616" width="6.28515625" style="3" customWidth="1"/>
    <col min="4617" max="4617" width="8.28515625" style="3" customWidth="1"/>
    <col min="4618" max="4618" width="12.42578125" style="3" customWidth="1"/>
    <col min="4619" max="4619" width="5.28515625" style="3" customWidth="1"/>
    <col min="4620" max="4620" width="10.85546875" style="3" customWidth="1"/>
    <col min="4621" max="4621" width="4.85546875" style="3" customWidth="1"/>
    <col min="4622" max="4622" width="5.140625" style="3" customWidth="1"/>
    <col min="4623" max="4623" width="10.5703125" style="3" customWidth="1"/>
    <col min="4624" max="4624" width="6.28515625" style="3" customWidth="1"/>
    <col min="4625" max="4625" width="6.5703125" style="3" customWidth="1"/>
    <col min="4626" max="4626" width="7.42578125" style="3" customWidth="1"/>
    <col min="4627" max="4627" width="6.85546875" style="3" customWidth="1"/>
    <col min="4628" max="4628" width="10.7109375" style="3" customWidth="1"/>
    <col min="4629" max="4629" width="5.140625" style="3" customWidth="1"/>
    <col min="4630" max="4861" width="11.42578125" style="3"/>
    <col min="4862" max="4862" width="23.7109375" style="3" customWidth="1"/>
    <col min="4863" max="4863" width="0" style="3" hidden="1" customWidth="1"/>
    <col min="4864" max="4864" width="41.42578125" style="3" customWidth="1"/>
    <col min="4865" max="4865" width="19.140625" style="3" customWidth="1"/>
    <col min="4866" max="4866" width="6.28515625" style="3" customWidth="1"/>
    <col min="4867" max="4867" width="6" style="3" customWidth="1"/>
    <col min="4868" max="4868" width="7.42578125" style="3" customWidth="1"/>
    <col min="4869" max="4869" width="5.7109375" style="3" customWidth="1"/>
    <col min="4870" max="4870" width="5.28515625" style="3" customWidth="1"/>
    <col min="4871" max="4871" width="10" style="3" customWidth="1"/>
    <col min="4872" max="4872" width="6.28515625" style="3" customWidth="1"/>
    <col min="4873" max="4873" width="8.28515625" style="3" customWidth="1"/>
    <col min="4874" max="4874" width="12.42578125" style="3" customWidth="1"/>
    <col min="4875" max="4875" width="5.28515625" style="3" customWidth="1"/>
    <col min="4876" max="4876" width="10.85546875" style="3" customWidth="1"/>
    <col min="4877" max="4877" width="4.85546875" style="3" customWidth="1"/>
    <col min="4878" max="4878" width="5.140625" style="3" customWidth="1"/>
    <col min="4879" max="4879" width="10.5703125" style="3" customWidth="1"/>
    <col min="4880" max="4880" width="6.28515625" style="3" customWidth="1"/>
    <col min="4881" max="4881" width="6.5703125" style="3" customWidth="1"/>
    <col min="4882" max="4882" width="7.42578125" style="3" customWidth="1"/>
    <col min="4883" max="4883" width="6.85546875" style="3" customWidth="1"/>
    <col min="4884" max="4884" width="10.7109375" style="3" customWidth="1"/>
    <col min="4885" max="4885" width="5.140625" style="3" customWidth="1"/>
    <col min="4886" max="5117" width="11.42578125" style="3"/>
    <col min="5118" max="5118" width="23.7109375" style="3" customWidth="1"/>
    <col min="5119" max="5119" width="0" style="3" hidden="1" customWidth="1"/>
    <col min="5120" max="5120" width="41.42578125" style="3" customWidth="1"/>
    <col min="5121" max="5121" width="19.140625" style="3" customWidth="1"/>
    <col min="5122" max="5122" width="6.28515625" style="3" customWidth="1"/>
    <col min="5123" max="5123" width="6" style="3" customWidth="1"/>
    <col min="5124" max="5124" width="7.42578125" style="3" customWidth="1"/>
    <col min="5125" max="5125" width="5.7109375" style="3" customWidth="1"/>
    <col min="5126" max="5126" width="5.28515625" style="3" customWidth="1"/>
    <col min="5127" max="5127" width="10" style="3" customWidth="1"/>
    <col min="5128" max="5128" width="6.28515625" style="3" customWidth="1"/>
    <col min="5129" max="5129" width="8.28515625" style="3" customWidth="1"/>
    <col min="5130" max="5130" width="12.42578125" style="3" customWidth="1"/>
    <col min="5131" max="5131" width="5.28515625" style="3" customWidth="1"/>
    <col min="5132" max="5132" width="10.85546875" style="3" customWidth="1"/>
    <col min="5133" max="5133" width="4.85546875" style="3" customWidth="1"/>
    <col min="5134" max="5134" width="5.140625" style="3" customWidth="1"/>
    <col min="5135" max="5135" width="10.5703125" style="3" customWidth="1"/>
    <col min="5136" max="5136" width="6.28515625" style="3" customWidth="1"/>
    <col min="5137" max="5137" width="6.5703125" style="3" customWidth="1"/>
    <col min="5138" max="5138" width="7.42578125" style="3" customWidth="1"/>
    <col min="5139" max="5139" width="6.85546875" style="3" customWidth="1"/>
    <col min="5140" max="5140" width="10.7109375" style="3" customWidth="1"/>
    <col min="5141" max="5141" width="5.140625" style="3" customWidth="1"/>
    <col min="5142" max="5373" width="11.42578125" style="3"/>
    <col min="5374" max="5374" width="23.7109375" style="3" customWidth="1"/>
    <col min="5375" max="5375" width="0" style="3" hidden="1" customWidth="1"/>
    <col min="5376" max="5376" width="41.42578125" style="3" customWidth="1"/>
    <col min="5377" max="5377" width="19.140625" style="3" customWidth="1"/>
    <col min="5378" max="5378" width="6.28515625" style="3" customWidth="1"/>
    <col min="5379" max="5379" width="6" style="3" customWidth="1"/>
    <col min="5380" max="5380" width="7.42578125" style="3" customWidth="1"/>
    <col min="5381" max="5381" width="5.7109375" style="3" customWidth="1"/>
    <col min="5382" max="5382" width="5.28515625" style="3" customWidth="1"/>
    <col min="5383" max="5383" width="10" style="3" customWidth="1"/>
    <col min="5384" max="5384" width="6.28515625" style="3" customWidth="1"/>
    <col min="5385" max="5385" width="8.28515625" style="3" customWidth="1"/>
    <col min="5386" max="5386" width="12.42578125" style="3" customWidth="1"/>
    <col min="5387" max="5387" width="5.28515625" style="3" customWidth="1"/>
    <col min="5388" max="5388" width="10.85546875" style="3" customWidth="1"/>
    <col min="5389" max="5389" width="4.85546875" style="3" customWidth="1"/>
    <col min="5390" max="5390" width="5.140625" style="3" customWidth="1"/>
    <col min="5391" max="5391" width="10.5703125" style="3" customWidth="1"/>
    <col min="5392" max="5392" width="6.28515625" style="3" customWidth="1"/>
    <col min="5393" max="5393" width="6.5703125" style="3" customWidth="1"/>
    <col min="5394" max="5394" width="7.42578125" style="3" customWidth="1"/>
    <col min="5395" max="5395" width="6.85546875" style="3" customWidth="1"/>
    <col min="5396" max="5396" width="10.7109375" style="3" customWidth="1"/>
    <col min="5397" max="5397" width="5.140625" style="3" customWidth="1"/>
    <col min="5398" max="5629" width="11.42578125" style="3"/>
    <col min="5630" max="5630" width="23.7109375" style="3" customWidth="1"/>
    <col min="5631" max="5631" width="0" style="3" hidden="1" customWidth="1"/>
    <col min="5632" max="5632" width="41.42578125" style="3" customWidth="1"/>
    <col min="5633" max="5633" width="19.140625" style="3" customWidth="1"/>
    <col min="5634" max="5634" width="6.28515625" style="3" customWidth="1"/>
    <col min="5635" max="5635" width="6" style="3" customWidth="1"/>
    <col min="5636" max="5636" width="7.42578125" style="3" customWidth="1"/>
    <col min="5637" max="5637" width="5.7109375" style="3" customWidth="1"/>
    <col min="5638" max="5638" width="5.28515625" style="3" customWidth="1"/>
    <col min="5639" max="5639" width="10" style="3" customWidth="1"/>
    <col min="5640" max="5640" width="6.28515625" style="3" customWidth="1"/>
    <col min="5641" max="5641" width="8.28515625" style="3" customWidth="1"/>
    <col min="5642" max="5642" width="12.42578125" style="3" customWidth="1"/>
    <col min="5643" max="5643" width="5.28515625" style="3" customWidth="1"/>
    <col min="5644" max="5644" width="10.85546875" style="3" customWidth="1"/>
    <col min="5645" max="5645" width="4.85546875" style="3" customWidth="1"/>
    <col min="5646" max="5646" width="5.140625" style="3" customWidth="1"/>
    <col min="5647" max="5647" width="10.5703125" style="3" customWidth="1"/>
    <col min="5648" max="5648" width="6.28515625" style="3" customWidth="1"/>
    <col min="5649" max="5649" width="6.5703125" style="3" customWidth="1"/>
    <col min="5650" max="5650" width="7.42578125" style="3" customWidth="1"/>
    <col min="5651" max="5651" width="6.85546875" style="3" customWidth="1"/>
    <col min="5652" max="5652" width="10.7109375" style="3" customWidth="1"/>
    <col min="5653" max="5653" width="5.140625" style="3" customWidth="1"/>
    <col min="5654" max="5885" width="11.42578125" style="3"/>
    <col min="5886" max="5886" width="23.7109375" style="3" customWidth="1"/>
    <col min="5887" max="5887" width="0" style="3" hidden="1" customWidth="1"/>
    <col min="5888" max="5888" width="41.42578125" style="3" customWidth="1"/>
    <col min="5889" max="5889" width="19.140625" style="3" customWidth="1"/>
    <col min="5890" max="5890" width="6.28515625" style="3" customWidth="1"/>
    <col min="5891" max="5891" width="6" style="3" customWidth="1"/>
    <col min="5892" max="5892" width="7.42578125" style="3" customWidth="1"/>
    <col min="5893" max="5893" width="5.7109375" style="3" customWidth="1"/>
    <col min="5894" max="5894" width="5.28515625" style="3" customWidth="1"/>
    <col min="5895" max="5895" width="10" style="3" customWidth="1"/>
    <col min="5896" max="5896" width="6.28515625" style="3" customWidth="1"/>
    <col min="5897" max="5897" width="8.28515625" style="3" customWidth="1"/>
    <col min="5898" max="5898" width="12.42578125" style="3" customWidth="1"/>
    <col min="5899" max="5899" width="5.28515625" style="3" customWidth="1"/>
    <col min="5900" max="5900" width="10.85546875" style="3" customWidth="1"/>
    <col min="5901" max="5901" width="4.85546875" style="3" customWidth="1"/>
    <col min="5902" max="5902" width="5.140625" style="3" customWidth="1"/>
    <col min="5903" max="5903" width="10.5703125" style="3" customWidth="1"/>
    <col min="5904" max="5904" width="6.28515625" style="3" customWidth="1"/>
    <col min="5905" max="5905" width="6.5703125" style="3" customWidth="1"/>
    <col min="5906" max="5906" width="7.42578125" style="3" customWidth="1"/>
    <col min="5907" max="5907" width="6.85546875" style="3" customWidth="1"/>
    <col min="5908" max="5908" width="10.7109375" style="3" customWidth="1"/>
    <col min="5909" max="5909" width="5.140625" style="3" customWidth="1"/>
    <col min="5910" max="6141" width="11.42578125" style="3"/>
    <col min="6142" max="6142" width="23.7109375" style="3" customWidth="1"/>
    <col min="6143" max="6143" width="0" style="3" hidden="1" customWidth="1"/>
    <col min="6144" max="6144" width="41.42578125" style="3" customWidth="1"/>
    <col min="6145" max="6145" width="19.140625" style="3" customWidth="1"/>
    <col min="6146" max="6146" width="6.28515625" style="3" customWidth="1"/>
    <col min="6147" max="6147" width="6" style="3" customWidth="1"/>
    <col min="6148" max="6148" width="7.42578125" style="3" customWidth="1"/>
    <col min="6149" max="6149" width="5.7109375" style="3" customWidth="1"/>
    <col min="6150" max="6150" width="5.28515625" style="3" customWidth="1"/>
    <col min="6151" max="6151" width="10" style="3" customWidth="1"/>
    <col min="6152" max="6152" width="6.28515625" style="3" customWidth="1"/>
    <col min="6153" max="6153" width="8.28515625" style="3" customWidth="1"/>
    <col min="6154" max="6154" width="12.42578125" style="3" customWidth="1"/>
    <col min="6155" max="6155" width="5.28515625" style="3" customWidth="1"/>
    <col min="6156" max="6156" width="10.85546875" style="3" customWidth="1"/>
    <col min="6157" max="6157" width="4.85546875" style="3" customWidth="1"/>
    <col min="6158" max="6158" width="5.140625" style="3" customWidth="1"/>
    <col min="6159" max="6159" width="10.5703125" style="3" customWidth="1"/>
    <col min="6160" max="6160" width="6.28515625" style="3" customWidth="1"/>
    <col min="6161" max="6161" width="6.5703125" style="3" customWidth="1"/>
    <col min="6162" max="6162" width="7.42578125" style="3" customWidth="1"/>
    <col min="6163" max="6163" width="6.85546875" style="3" customWidth="1"/>
    <col min="6164" max="6164" width="10.7109375" style="3" customWidth="1"/>
    <col min="6165" max="6165" width="5.140625" style="3" customWidth="1"/>
    <col min="6166" max="6397" width="11.42578125" style="3"/>
    <col min="6398" max="6398" width="23.7109375" style="3" customWidth="1"/>
    <col min="6399" max="6399" width="0" style="3" hidden="1" customWidth="1"/>
    <col min="6400" max="6400" width="41.42578125" style="3" customWidth="1"/>
    <col min="6401" max="6401" width="19.140625" style="3" customWidth="1"/>
    <col min="6402" max="6402" width="6.28515625" style="3" customWidth="1"/>
    <col min="6403" max="6403" width="6" style="3" customWidth="1"/>
    <col min="6404" max="6404" width="7.42578125" style="3" customWidth="1"/>
    <col min="6405" max="6405" width="5.7109375" style="3" customWidth="1"/>
    <col min="6406" max="6406" width="5.28515625" style="3" customWidth="1"/>
    <col min="6407" max="6407" width="10" style="3" customWidth="1"/>
    <col min="6408" max="6408" width="6.28515625" style="3" customWidth="1"/>
    <col min="6409" max="6409" width="8.28515625" style="3" customWidth="1"/>
    <col min="6410" max="6410" width="12.42578125" style="3" customWidth="1"/>
    <col min="6411" max="6411" width="5.28515625" style="3" customWidth="1"/>
    <col min="6412" max="6412" width="10.85546875" style="3" customWidth="1"/>
    <col min="6413" max="6413" width="4.85546875" style="3" customWidth="1"/>
    <col min="6414" max="6414" width="5.140625" style="3" customWidth="1"/>
    <col min="6415" max="6415" width="10.5703125" style="3" customWidth="1"/>
    <col min="6416" max="6416" width="6.28515625" style="3" customWidth="1"/>
    <col min="6417" max="6417" width="6.5703125" style="3" customWidth="1"/>
    <col min="6418" max="6418" width="7.42578125" style="3" customWidth="1"/>
    <col min="6419" max="6419" width="6.85546875" style="3" customWidth="1"/>
    <col min="6420" max="6420" width="10.7109375" style="3" customWidth="1"/>
    <col min="6421" max="6421" width="5.140625" style="3" customWidth="1"/>
    <col min="6422" max="6653" width="11.42578125" style="3"/>
    <col min="6654" max="6654" width="23.7109375" style="3" customWidth="1"/>
    <col min="6655" max="6655" width="0" style="3" hidden="1" customWidth="1"/>
    <col min="6656" max="6656" width="41.42578125" style="3" customWidth="1"/>
    <col min="6657" max="6657" width="19.140625" style="3" customWidth="1"/>
    <col min="6658" max="6658" width="6.28515625" style="3" customWidth="1"/>
    <col min="6659" max="6659" width="6" style="3" customWidth="1"/>
    <col min="6660" max="6660" width="7.42578125" style="3" customWidth="1"/>
    <col min="6661" max="6661" width="5.7109375" style="3" customWidth="1"/>
    <col min="6662" max="6662" width="5.28515625" style="3" customWidth="1"/>
    <col min="6663" max="6663" width="10" style="3" customWidth="1"/>
    <col min="6664" max="6664" width="6.28515625" style="3" customWidth="1"/>
    <col min="6665" max="6665" width="8.28515625" style="3" customWidth="1"/>
    <col min="6666" max="6666" width="12.42578125" style="3" customWidth="1"/>
    <col min="6667" max="6667" width="5.28515625" style="3" customWidth="1"/>
    <col min="6668" max="6668" width="10.85546875" style="3" customWidth="1"/>
    <col min="6669" max="6669" width="4.85546875" style="3" customWidth="1"/>
    <col min="6670" max="6670" width="5.140625" style="3" customWidth="1"/>
    <col min="6671" max="6671" width="10.5703125" style="3" customWidth="1"/>
    <col min="6672" max="6672" width="6.28515625" style="3" customWidth="1"/>
    <col min="6673" max="6673" width="6.5703125" style="3" customWidth="1"/>
    <col min="6674" max="6674" width="7.42578125" style="3" customWidth="1"/>
    <col min="6675" max="6675" width="6.85546875" style="3" customWidth="1"/>
    <col min="6676" max="6676" width="10.7109375" style="3" customWidth="1"/>
    <col min="6677" max="6677" width="5.140625" style="3" customWidth="1"/>
    <col min="6678" max="6909" width="11.42578125" style="3"/>
    <col min="6910" max="6910" width="23.7109375" style="3" customWidth="1"/>
    <col min="6911" max="6911" width="0" style="3" hidden="1" customWidth="1"/>
    <col min="6912" max="6912" width="41.42578125" style="3" customWidth="1"/>
    <col min="6913" max="6913" width="19.140625" style="3" customWidth="1"/>
    <col min="6914" max="6914" width="6.28515625" style="3" customWidth="1"/>
    <col min="6915" max="6915" width="6" style="3" customWidth="1"/>
    <col min="6916" max="6916" width="7.42578125" style="3" customWidth="1"/>
    <col min="6917" max="6917" width="5.7109375" style="3" customWidth="1"/>
    <col min="6918" max="6918" width="5.28515625" style="3" customWidth="1"/>
    <col min="6919" max="6919" width="10" style="3" customWidth="1"/>
    <col min="6920" max="6920" width="6.28515625" style="3" customWidth="1"/>
    <col min="6921" max="6921" width="8.28515625" style="3" customWidth="1"/>
    <col min="6922" max="6922" width="12.42578125" style="3" customWidth="1"/>
    <col min="6923" max="6923" width="5.28515625" style="3" customWidth="1"/>
    <col min="6924" max="6924" width="10.85546875" style="3" customWidth="1"/>
    <col min="6925" max="6925" width="4.85546875" style="3" customWidth="1"/>
    <col min="6926" max="6926" width="5.140625" style="3" customWidth="1"/>
    <col min="6927" max="6927" width="10.5703125" style="3" customWidth="1"/>
    <col min="6928" max="6928" width="6.28515625" style="3" customWidth="1"/>
    <col min="6929" max="6929" width="6.5703125" style="3" customWidth="1"/>
    <col min="6930" max="6930" width="7.42578125" style="3" customWidth="1"/>
    <col min="6931" max="6931" width="6.85546875" style="3" customWidth="1"/>
    <col min="6932" max="6932" width="10.7109375" style="3" customWidth="1"/>
    <col min="6933" max="6933" width="5.140625" style="3" customWidth="1"/>
    <col min="6934" max="7165" width="11.42578125" style="3"/>
    <col min="7166" max="7166" width="23.7109375" style="3" customWidth="1"/>
    <col min="7167" max="7167" width="0" style="3" hidden="1" customWidth="1"/>
    <col min="7168" max="7168" width="41.42578125" style="3" customWidth="1"/>
    <col min="7169" max="7169" width="19.140625" style="3" customWidth="1"/>
    <col min="7170" max="7170" width="6.28515625" style="3" customWidth="1"/>
    <col min="7171" max="7171" width="6" style="3" customWidth="1"/>
    <col min="7172" max="7172" width="7.42578125" style="3" customWidth="1"/>
    <col min="7173" max="7173" width="5.7109375" style="3" customWidth="1"/>
    <col min="7174" max="7174" width="5.28515625" style="3" customWidth="1"/>
    <col min="7175" max="7175" width="10" style="3" customWidth="1"/>
    <col min="7176" max="7176" width="6.28515625" style="3" customWidth="1"/>
    <col min="7177" max="7177" width="8.28515625" style="3" customWidth="1"/>
    <col min="7178" max="7178" width="12.42578125" style="3" customWidth="1"/>
    <col min="7179" max="7179" width="5.28515625" style="3" customWidth="1"/>
    <col min="7180" max="7180" width="10.85546875" style="3" customWidth="1"/>
    <col min="7181" max="7181" width="4.85546875" style="3" customWidth="1"/>
    <col min="7182" max="7182" width="5.140625" style="3" customWidth="1"/>
    <col min="7183" max="7183" width="10.5703125" style="3" customWidth="1"/>
    <col min="7184" max="7184" width="6.28515625" style="3" customWidth="1"/>
    <col min="7185" max="7185" width="6.5703125" style="3" customWidth="1"/>
    <col min="7186" max="7186" width="7.42578125" style="3" customWidth="1"/>
    <col min="7187" max="7187" width="6.85546875" style="3" customWidth="1"/>
    <col min="7188" max="7188" width="10.7109375" style="3" customWidth="1"/>
    <col min="7189" max="7189" width="5.140625" style="3" customWidth="1"/>
    <col min="7190" max="7421" width="11.42578125" style="3"/>
    <col min="7422" max="7422" width="23.7109375" style="3" customWidth="1"/>
    <col min="7423" max="7423" width="0" style="3" hidden="1" customWidth="1"/>
    <col min="7424" max="7424" width="41.42578125" style="3" customWidth="1"/>
    <col min="7425" max="7425" width="19.140625" style="3" customWidth="1"/>
    <col min="7426" max="7426" width="6.28515625" style="3" customWidth="1"/>
    <col min="7427" max="7427" width="6" style="3" customWidth="1"/>
    <col min="7428" max="7428" width="7.42578125" style="3" customWidth="1"/>
    <col min="7429" max="7429" width="5.7109375" style="3" customWidth="1"/>
    <col min="7430" max="7430" width="5.28515625" style="3" customWidth="1"/>
    <col min="7431" max="7431" width="10" style="3" customWidth="1"/>
    <col min="7432" max="7432" width="6.28515625" style="3" customWidth="1"/>
    <col min="7433" max="7433" width="8.28515625" style="3" customWidth="1"/>
    <col min="7434" max="7434" width="12.42578125" style="3" customWidth="1"/>
    <col min="7435" max="7435" width="5.28515625" style="3" customWidth="1"/>
    <col min="7436" max="7436" width="10.85546875" style="3" customWidth="1"/>
    <col min="7437" max="7437" width="4.85546875" style="3" customWidth="1"/>
    <col min="7438" max="7438" width="5.140625" style="3" customWidth="1"/>
    <col min="7439" max="7439" width="10.5703125" style="3" customWidth="1"/>
    <col min="7440" max="7440" width="6.28515625" style="3" customWidth="1"/>
    <col min="7441" max="7441" width="6.5703125" style="3" customWidth="1"/>
    <col min="7442" max="7442" width="7.42578125" style="3" customWidth="1"/>
    <col min="7443" max="7443" width="6.85546875" style="3" customWidth="1"/>
    <col min="7444" max="7444" width="10.7109375" style="3" customWidth="1"/>
    <col min="7445" max="7445" width="5.140625" style="3" customWidth="1"/>
    <col min="7446" max="7677" width="11.42578125" style="3"/>
    <col min="7678" max="7678" width="23.7109375" style="3" customWidth="1"/>
    <col min="7679" max="7679" width="0" style="3" hidden="1" customWidth="1"/>
    <col min="7680" max="7680" width="41.42578125" style="3" customWidth="1"/>
    <col min="7681" max="7681" width="19.140625" style="3" customWidth="1"/>
    <col min="7682" max="7682" width="6.28515625" style="3" customWidth="1"/>
    <col min="7683" max="7683" width="6" style="3" customWidth="1"/>
    <col min="7684" max="7684" width="7.42578125" style="3" customWidth="1"/>
    <col min="7685" max="7685" width="5.7109375" style="3" customWidth="1"/>
    <col min="7686" max="7686" width="5.28515625" style="3" customWidth="1"/>
    <col min="7687" max="7687" width="10" style="3" customWidth="1"/>
    <col min="7688" max="7688" width="6.28515625" style="3" customWidth="1"/>
    <col min="7689" max="7689" width="8.28515625" style="3" customWidth="1"/>
    <col min="7690" max="7690" width="12.42578125" style="3" customWidth="1"/>
    <col min="7691" max="7691" width="5.28515625" style="3" customWidth="1"/>
    <col min="7692" max="7692" width="10.85546875" style="3" customWidth="1"/>
    <col min="7693" max="7693" width="4.85546875" style="3" customWidth="1"/>
    <col min="7694" max="7694" width="5.140625" style="3" customWidth="1"/>
    <col min="7695" max="7695" width="10.5703125" style="3" customWidth="1"/>
    <col min="7696" max="7696" width="6.28515625" style="3" customWidth="1"/>
    <col min="7697" max="7697" width="6.5703125" style="3" customWidth="1"/>
    <col min="7698" max="7698" width="7.42578125" style="3" customWidth="1"/>
    <col min="7699" max="7699" width="6.85546875" style="3" customWidth="1"/>
    <col min="7700" max="7700" width="10.7109375" style="3" customWidth="1"/>
    <col min="7701" max="7701" width="5.140625" style="3" customWidth="1"/>
    <col min="7702" max="7933" width="11.42578125" style="3"/>
    <col min="7934" max="7934" width="23.7109375" style="3" customWidth="1"/>
    <col min="7935" max="7935" width="0" style="3" hidden="1" customWidth="1"/>
    <col min="7936" max="7936" width="41.42578125" style="3" customWidth="1"/>
    <col min="7937" max="7937" width="19.140625" style="3" customWidth="1"/>
    <col min="7938" max="7938" width="6.28515625" style="3" customWidth="1"/>
    <col min="7939" max="7939" width="6" style="3" customWidth="1"/>
    <col min="7940" max="7940" width="7.42578125" style="3" customWidth="1"/>
    <col min="7941" max="7941" width="5.7109375" style="3" customWidth="1"/>
    <col min="7942" max="7942" width="5.28515625" style="3" customWidth="1"/>
    <col min="7943" max="7943" width="10" style="3" customWidth="1"/>
    <col min="7944" max="7944" width="6.28515625" style="3" customWidth="1"/>
    <col min="7945" max="7945" width="8.28515625" style="3" customWidth="1"/>
    <col min="7946" max="7946" width="12.42578125" style="3" customWidth="1"/>
    <col min="7947" max="7947" width="5.28515625" style="3" customWidth="1"/>
    <col min="7948" max="7948" width="10.85546875" style="3" customWidth="1"/>
    <col min="7949" max="7949" width="4.85546875" style="3" customWidth="1"/>
    <col min="7950" max="7950" width="5.140625" style="3" customWidth="1"/>
    <col min="7951" max="7951" width="10.5703125" style="3" customWidth="1"/>
    <col min="7952" max="7952" width="6.28515625" style="3" customWidth="1"/>
    <col min="7953" max="7953" width="6.5703125" style="3" customWidth="1"/>
    <col min="7954" max="7954" width="7.42578125" style="3" customWidth="1"/>
    <col min="7955" max="7955" width="6.85546875" style="3" customWidth="1"/>
    <col min="7956" max="7956" width="10.7109375" style="3" customWidth="1"/>
    <col min="7957" max="7957" width="5.140625" style="3" customWidth="1"/>
    <col min="7958" max="8189" width="11.42578125" style="3"/>
    <col min="8190" max="8190" width="23.7109375" style="3" customWidth="1"/>
    <col min="8191" max="8191" width="0" style="3" hidden="1" customWidth="1"/>
    <col min="8192" max="8192" width="41.42578125" style="3" customWidth="1"/>
    <col min="8193" max="8193" width="19.140625" style="3" customWidth="1"/>
    <col min="8194" max="8194" width="6.28515625" style="3" customWidth="1"/>
    <col min="8195" max="8195" width="6" style="3" customWidth="1"/>
    <col min="8196" max="8196" width="7.42578125" style="3" customWidth="1"/>
    <col min="8197" max="8197" width="5.7109375" style="3" customWidth="1"/>
    <col min="8198" max="8198" width="5.28515625" style="3" customWidth="1"/>
    <col min="8199" max="8199" width="10" style="3" customWidth="1"/>
    <col min="8200" max="8200" width="6.28515625" style="3" customWidth="1"/>
    <col min="8201" max="8201" width="8.28515625" style="3" customWidth="1"/>
    <col min="8202" max="8202" width="12.42578125" style="3" customWidth="1"/>
    <col min="8203" max="8203" width="5.28515625" style="3" customWidth="1"/>
    <col min="8204" max="8204" width="10.85546875" style="3" customWidth="1"/>
    <col min="8205" max="8205" width="4.85546875" style="3" customWidth="1"/>
    <col min="8206" max="8206" width="5.140625" style="3" customWidth="1"/>
    <col min="8207" max="8207" width="10.5703125" style="3" customWidth="1"/>
    <col min="8208" max="8208" width="6.28515625" style="3" customWidth="1"/>
    <col min="8209" max="8209" width="6.5703125" style="3" customWidth="1"/>
    <col min="8210" max="8210" width="7.42578125" style="3" customWidth="1"/>
    <col min="8211" max="8211" width="6.85546875" style="3" customWidth="1"/>
    <col min="8212" max="8212" width="10.7109375" style="3" customWidth="1"/>
    <col min="8213" max="8213" width="5.140625" style="3" customWidth="1"/>
    <col min="8214" max="8445" width="11.42578125" style="3"/>
    <col min="8446" max="8446" width="23.7109375" style="3" customWidth="1"/>
    <col min="8447" max="8447" width="0" style="3" hidden="1" customWidth="1"/>
    <col min="8448" max="8448" width="41.42578125" style="3" customWidth="1"/>
    <col min="8449" max="8449" width="19.140625" style="3" customWidth="1"/>
    <col min="8450" max="8450" width="6.28515625" style="3" customWidth="1"/>
    <col min="8451" max="8451" width="6" style="3" customWidth="1"/>
    <col min="8452" max="8452" width="7.42578125" style="3" customWidth="1"/>
    <col min="8453" max="8453" width="5.7109375" style="3" customWidth="1"/>
    <col min="8454" max="8454" width="5.28515625" style="3" customWidth="1"/>
    <col min="8455" max="8455" width="10" style="3" customWidth="1"/>
    <col min="8456" max="8456" width="6.28515625" style="3" customWidth="1"/>
    <col min="8457" max="8457" width="8.28515625" style="3" customWidth="1"/>
    <col min="8458" max="8458" width="12.42578125" style="3" customWidth="1"/>
    <col min="8459" max="8459" width="5.28515625" style="3" customWidth="1"/>
    <col min="8460" max="8460" width="10.85546875" style="3" customWidth="1"/>
    <col min="8461" max="8461" width="4.85546875" style="3" customWidth="1"/>
    <col min="8462" max="8462" width="5.140625" style="3" customWidth="1"/>
    <col min="8463" max="8463" width="10.5703125" style="3" customWidth="1"/>
    <col min="8464" max="8464" width="6.28515625" style="3" customWidth="1"/>
    <col min="8465" max="8465" width="6.5703125" style="3" customWidth="1"/>
    <col min="8466" max="8466" width="7.42578125" style="3" customWidth="1"/>
    <col min="8467" max="8467" width="6.85546875" style="3" customWidth="1"/>
    <col min="8468" max="8468" width="10.7109375" style="3" customWidth="1"/>
    <col min="8469" max="8469" width="5.140625" style="3" customWidth="1"/>
    <col min="8470" max="8701" width="11.42578125" style="3"/>
    <col min="8702" max="8702" width="23.7109375" style="3" customWidth="1"/>
    <col min="8703" max="8703" width="0" style="3" hidden="1" customWidth="1"/>
    <col min="8704" max="8704" width="41.42578125" style="3" customWidth="1"/>
    <col min="8705" max="8705" width="19.140625" style="3" customWidth="1"/>
    <col min="8706" max="8706" width="6.28515625" style="3" customWidth="1"/>
    <col min="8707" max="8707" width="6" style="3" customWidth="1"/>
    <col min="8708" max="8708" width="7.42578125" style="3" customWidth="1"/>
    <col min="8709" max="8709" width="5.7109375" style="3" customWidth="1"/>
    <col min="8710" max="8710" width="5.28515625" style="3" customWidth="1"/>
    <col min="8711" max="8711" width="10" style="3" customWidth="1"/>
    <col min="8712" max="8712" width="6.28515625" style="3" customWidth="1"/>
    <col min="8713" max="8713" width="8.28515625" style="3" customWidth="1"/>
    <col min="8714" max="8714" width="12.42578125" style="3" customWidth="1"/>
    <col min="8715" max="8715" width="5.28515625" style="3" customWidth="1"/>
    <col min="8716" max="8716" width="10.85546875" style="3" customWidth="1"/>
    <col min="8717" max="8717" width="4.85546875" style="3" customWidth="1"/>
    <col min="8718" max="8718" width="5.140625" style="3" customWidth="1"/>
    <col min="8719" max="8719" width="10.5703125" style="3" customWidth="1"/>
    <col min="8720" max="8720" width="6.28515625" style="3" customWidth="1"/>
    <col min="8721" max="8721" width="6.5703125" style="3" customWidth="1"/>
    <col min="8722" max="8722" width="7.42578125" style="3" customWidth="1"/>
    <col min="8723" max="8723" width="6.85546875" style="3" customWidth="1"/>
    <col min="8724" max="8724" width="10.7109375" style="3" customWidth="1"/>
    <col min="8725" max="8725" width="5.140625" style="3" customWidth="1"/>
    <col min="8726" max="8957" width="11.42578125" style="3"/>
    <col min="8958" max="8958" width="23.7109375" style="3" customWidth="1"/>
    <col min="8959" max="8959" width="0" style="3" hidden="1" customWidth="1"/>
    <col min="8960" max="8960" width="41.42578125" style="3" customWidth="1"/>
    <col min="8961" max="8961" width="19.140625" style="3" customWidth="1"/>
    <col min="8962" max="8962" width="6.28515625" style="3" customWidth="1"/>
    <col min="8963" max="8963" width="6" style="3" customWidth="1"/>
    <col min="8964" max="8964" width="7.42578125" style="3" customWidth="1"/>
    <col min="8965" max="8965" width="5.7109375" style="3" customWidth="1"/>
    <col min="8966" max="8966" width="5.28515625" style="3" customWidth="1"/>
    <col min="8967" max="8967" width="10" style="3" customWidth="1"/>
    <col min="8968" max="8968" width="6.28515625" style="3" customWidth="1"/>
    <col min="8969" max="8969" width="8.28515625" style="3" customWidth="1"/>
    <col min="8970" max="8970" width="12.42578125" style="3" customWidth="1"/>
    <col min="8971" max="8971" width="5.28515625" style="3" customWidth="1"/>
    <col min="8972" max="8972" width="10.85546875" style="3" customWidth="1"/>
    <col min="8973" max="8973" width="4.85546875" style="3" customWidth="1"/>
    <col min="8974" max="8974" width="5.140625" style="3" customWidth="1"/>
    <col min="8975" max="8975" width="10.5703125" style="3" customWidth="1"/>
    <col min="8976" max="8976" width="6.28515625" style="3" customWidth="1"/>
    <col min="8977" max="8977" width="6.5703125" style="3" customWidth="1"/>
    <col min="8978" max="8978" width="7.42578125" style="3" customWidth="1"/>
    <col min="8979" max="8979" width="6.85546875" style="3" customWidth="1"/>
    <col min="8980" max="8980" width="10.7109375" style="3" customWidth="1"/>
    <col min="8981" max="8981" width="5.140625" style="3" customWidth="1"/>
    <col min="8982" max="9213" width="11.42578125" style="3"/>
    <col min="9214" max="9214" width="23.7109375" style="3" customWidth="1"/>
    <col min="9215" max="9215" width="0" style="3" hidden="1" customWidth="1"/>
    <col min="9216" max="9216" width="41.42578125" style="3" customWidth="1"/>
    <col min="9217" max="9217" width="19.140625" style="3" customWidth="1"/>
    <col min="9218" max="9218" width="6.28515625" style="3" customWidth="1"/>
    <col min="9219" max="9219" width="6" style="3" customWidth="1"/>
    <col min="9220" max="9220" width="7.42578125" style="3" customWidth="1"/>
    <col min="9221" max="9221" width="5.7109375" style="3" customWidth="1"/>
    <col min="9222" max="9222" width="5.28515625" style="3" customWidth="1"/>
    <col min="9223" max="9223" width="10" style="3" customWidth="1"/>
    <col min="9224" max="9224" width="6.28515625" style="3" customWidth="1"/>
    <col min="9225" max="9225" width="8.28515625" style="3" customWidth="1"/>
    <col min="9226" max="9226" width="12.42578125" style="3" customWidth="1"/>
    <col min="9227" max="9227" width="5.28515625" style="3" customWidth="1"/>
    <col min="9228" max="9228" width="10.85546875" style="3" customWidth="1"/>
    <col min="9229" max="9229" width="4.85546875" style="3" customWidth="1"/>
    <col min="9230" max="9230" width="5.140625" style="3" customWidth="1"/>
    <col min="9231" max="9231" width="10.5703125" style="3" customWidth="1"/>
    <col min="9232" max="9232" width="6.28515625" style="3" customWidth="1"/>
    <col min="9233" max="9233" width="6.5703125" style="3" customWidth="1"/>
    <col min="9234" max="9234" width="7.42578125" style="3" customWidth="1"/>
    <col min="9235" max="9235" width="6.85546875" style="3" customWidth="1"/>
    <col min="9236" max="9236" width="10.7109375" style="3" customWidth="1"/>
    <col min="9237" max="9237" width="5.140625" style="3" customWidth="1"/>
    <col min="9238" max="9469" width="11.42578125" style="3"/>
    <col min="9470" max="9470" width="23.7109375" style="3" customWidth="1"/>
    <col min="9471" max="9471" width="0" style="3" hidden="1" customWidth="1"/>
    <col min="9472" max="9472" width="41.42578125" style="3" customWidth="1"/>
    <col min="9473" max="9473" width="19.140625" style="3" customWidth="1"/>
    <col min="9474" max="9474" width="6.28515625" style="3" customWidth="1"/>
    <col min="9475" max="9475" width="6" style="3" customWidth="1"/>
    <col min="9476" max="9476" width="7.42578125" style="3" customWidth="1"/>
    <col min="9477" max="9477" width="5.7109375" style="3" customWidth="1"/>
    <col min="9478" max="9478" width="5.28515625" style="3" customWidth="1"/>
    <col min="9479" max="9479" width="10" style="3" customWidth="1"/>
    <col min="9480" max="9480" width="6.28515625" style="3" customWidth="1"/>
    <col min="9481" max="9481" width="8.28515625" style="3" customWidth="1"/>
    <col min="9482" max="9482" width="12.42578125" style="3" customWidth="1"/>
    <col min="9483" max="9483" width="5.28515625" style="3" customWidth="1"/>
    <col min="9484" max="9484" width="10.85546875" style="3" customWidth="1"/>
    <col min="9485" max="9485" width="4.85546875" style="3" customWidth="1"/>
    <col min="9486" max="9486" width="5.140625" style="3" customWidth="1"/>
    <col min="9487" max="9487" width="10.5703125" style="3" customWidth="1"/>
    <col min="9488" max="9488" width="6.28515625" style="3" customWidth="1"/>
    <col min="9489" max="9489" width="6.5703125" style="3" customWidth="1"/>
    <col min="9490" max="9490" width="7.42578125" style="3" customWidth="1"/>
    <col min="9491" max="9491" width="6.85546875" style="3" customWidth="1"/>
    <col min="9492" max="9492" width="10.7109375" style="3" customWidth="1"/>
    <col min="9493" max="9493" width="5.140625" style="3" customWidth="1"/>
    <col min="9494" max="9725" width="11.42578125" style="3"/>
    <col min="9726" max="9726" width="23.7109375" style="3" customWidth="1"/>
    <col min="9727" max="9727" width="0" style="3" hidden="1" customWidth="1"/>
    <col min="9728" max="9728" width="41.42578125" style="3" customWidth="1"/>
    <col min="9729" max="9729" width="19.140625" style="3" customWidth="1"/>
    <col min="9730" max="9730" width="6.28515625" style="3" customWidth="1"/>
    <col min="9731" max="9731" width="6" style="3" customWidth="1"/>
    <col min="9732" max="9732" width="7.42578125" style="3" customWidth="1"/>
    <col min="9733" max="9733" width="5.7109375" style="3" customWidth="1"/>
    <col min="9734" max="9734" width="5.28515625" style="3" customWidth="1"/>
    <col min="9735" max="9735" width="10" style="3" customWidth="1"/>
    <col min="9736" max="9736" width="6.28515625" style="3" customWidth="1"/>
    <col min="9737" max="9737" width="8.28515625" style="3" customWidth="1"/>
    <col min="9738" max="9738" width="12.42578125" style="3" customWidth="1"/>
    <col min="9739" max="9739" width="5.28515625" style="3" customWidth="1"/>
    <col min="9740" max="9740" width="10.85546875" style="3" customWidth="1"/>
    <col min="9741" max="9741" width="4.85546875" style="3" customWidth="1"/>
    <col min="9742" max="9742" width="5.140625" style="3" customWidth="1"/>
    <col min="9743" max="9743" width="10.5703125" style="3" customWidth="1"/>
    <col min="9744" max="9744" width="6.28515625" style="3" customWidth="1"/>
    <col min="9745" max="9745" width="6.5703125" style="3" customWidth="1"/>
    <col min="9746" max="9746" width="7.42578125" style="3" customWidth="1"/>
    <col min="9747" max="9747" width="6.85546875" style="3" customWidth="1"/>
    <col min="9748" max="9748" width="10.7109375" style="3" customWidth="1"/>
    <col min="9749" max="9749" width="5.140625" style="3" customWidth="1"/>
    <col min="9750" max="9981" width="11.42578125" style="3"/>
    <col min="9982" max="9982" width="23.7109375" style="3" customWidth="1"/>
    <col min="9983" max="9983" width="0" style="3" hidden="1" customWidth="1"/>
    <col min="9984" max="9984" width="41.42578125" style="3" customWidth="1"/>
    <col min="9985" max="9985" width="19.140625" style="3" customWidth="1"/>
    <col min="9986" max="9986" width="6.28515625" style="3" customWidth="1"/>
    <col min="9987" max="9987" width="6" style="3" customWidth="1"/>
    <col min="9988" max="9988" width="7.42578125" style="3" customWidth="1"/>
    <col min="9989" max="9989" width="5.7109375" style="3" customWidth="1"/>
    <col min="9990" max="9990" width="5.28515625" style="3" customWidth="1"/>
    <col min="9991" max="9991" width="10" style="3" customWidth="1"/>
    <col min="9992" max="9992" width="6.28515625" style="3" customWidth="1"/>
    <col min="9993" max="9993" width="8.28515625" style="3" customWidth="1"/>
    <col min="9994" max="9994" width="12.42578125" style="3" customWidth="1"/>
    <col min="9995" max="9995" width="5.28515625" style="3" customWidth="1"/>
    <col min="9996" max="9996" width="10.85546875" style="3" customWidth="1"/>
    <col min="9997" max="9997" width="4.85546875" style="3" customWidth="1"/>
    <col min="9998" max="9998" width="5.140625" style="3" customWidth="1"/>
    <col min="9999" max="9999" width="10.5703125" style="3" customWidth="1"/>
    <col min="10000" max="10000" width="6.28515625" style="3" customWidth="1"/>
    <col min="10001" max="10001" width="6.5703125" style="3" customWidth="1"/>
    <col min="10002" max="10002" width="7.42578125" style="3" customWidth="1"/>
    <col min="10003" max="10003" width="6.85546875" style="3" customWidth="1"/>
    <col min="10004" max="10004" width="10.7109375" style="3" customWidth="1"/>
    <col min="10005" max="10005" width="5.140625" style="3" customWidth="1"/>
    <col min="10006" max="10237" width="11.42578125" style="3"/>
    <col min="10238" max="10238" width="23.7109375" style="3" customWidth="1"/>
    <col min="10239" max="10239" width="0" style="3" hidden="1" customWidth="1"/>
    <col min="10240" max="10240" width="41.42578125" style="3" customWidth="1"/>
    <col min="10241" max="10241" width="19.140625" style="3" customWidth="1"/>
    <col min="10242" max="10242" width="6.28515625" style="3" customWidth="1"/>
    <col min="10243" max="10243" width="6" style="3" customWidth="1"/>
    <col min="10244" max="10244" width="7.42578125" style="3" customWidth="1"/>
    <col min="10245" max="10245" width="5.7109375" style="3" customWidth="1"/>
    <col min="10246" max="10246" width="5.28515625" style="3" customWidth="1"/>
    <col min="10247" max="10247" width="10" style="3" customWidth="1"/>
    <col min="10248" max="10248" width="6.28515625" style="3" customWidth="1"/>
    <col min="10249" max="10249" width="8.28515625" style="3" customWidth="1"/>
    <col min="10250" max="10250" width="12.42578125" style="3" customWidth="1"/>
    <col min="10251" max="10251" width="5.28515625" style="3" customWidth="1"/>
    <col min="10252" max="10252" width="10.85546875" style="3" customWidth="1"/>
    <col min="10253" max="10253" width="4.85546875" style="3" customWidth="1"/>
    <col min="10254" max="10254" width="5.140625" style="3" customWidth="1"/>
    <col min="10255" max="10255" width="10.5703125" style="3" customWidth="1"/>
    <col min="10256" max="10256" width="6.28515625" style="3" customWidth="1"/>
    <col min="10257" max="10257" width="6.5703125" style="3" customWidth="1"/>
    <col min="10258" max="10258" width="7.42578125" style="3" customWidth="1"/>
    <col min="10259" max="10259" width="6.85546875" style="3" customWidth="1"/>
    <col min="10260" max="10260" width="10.7109375" style="3" customWidth="1"/>
    <col min="10261" max="10261" width="5.140625" style="3" customWidth="1"/>
    <col min="10262" max="10493" width="11.42578125" style="3"/>
    <col min="10494" max="10494" width="23.7109375" style="3" customWidth="1"/>
    <col min="10495" max="10495" width="0" style="3" hidden="1" customWidth="1"/>
    <col min="10496" max="10496" width="41.42578125" style="3" customWidth="1"/>
    <col min="10497" max="10497" width="19.140625" style="3" customWidth="1"/>
    <col min="10498" max="10498" width="6.28515625" style="3" customWidth="1"/>
    <col min="10499" max="10499" width="6" style="3" customWidth="1"/>
    <col min="10500" max="10500" width="7.42578125" style="3" customWidth="1"/>
    <col min="10501" max="10501" width="5.7109375" style="3" customWidth="1"/>
    <col min="10502" max="10502" width="5.28515625" style="3" customWidth="1"/>
    <col min="10503" max="10503" width="10" style="3" customWidth="1"/>
    <col min="10504" max="10504" width="6.28515625" style="3" customWidth="1"/>
    <col min="10505" max="10505" width="8.28515625" style="3" customWidth="1"/>
    <col min="10506" max="10506" width="12.42578125" style="3" customWidth="1"/>
    <col min="10507" max="10507" width="5.28515625" style="3" customWidth="1"/>
    <col min="10508" max="10508" width="10.85546875" style="3" customWidth="1"/>
    <col min="10509" max="10509" width="4.85546875" style="3" customWidth="1"/>
    <col min="10510" max="10510" width="5.140625" style="3" customWidth="1"/>
    <col min="10511" max="10511" width="10.5703125" style="3" customWidth="1"/>
    <col min="10512" max="10512" width="6.28515625" style="3" customWidth="1"/>
    <col min="10513" max="10513" width="6.5703125" style="3" customWidth="1"/>
    <col min="10514" max="10514" width="7.42578125" style="3" customWidth="1"/>
    <col min="10515" max="10515" width="6.85546875" style="3" customWidth="1"/>
    <col min="10516" max="10516" width="10.7109375" style="3" customWidth="1"/>
    <col min="10517" max="10517" width="5.140625" style="3" customWidth="1"/>
    <col min="10518" max="10749" width="11.42578125" style="3"/>
    <col min="10750" max="10750" width="23.7109375" style="3" customWidth="1"/>
    <col min="10751" max="10751" width="0" style="3" hidden="1" customWidth="1"/>
    <col min="10752" max="10752" width="41.42578125" style="3" customWidth="1"/>
    <col min="10753" max="10753" width="19.140625" style="3" customWidth="1"/>
    <col min="10754" max="10754" width="6.28515625" style="3" customWidth="1"/>
    <col min="10755" max="10755" width="6" style="3" customWidth="1"/>
    <col min="10756" max="10756" width="7.42578125" style="3" customWidth="1"/>
    <col min="10757" max="10757" width="5.7109375" style="3" customWidth="1"/>
    <col min="10758" max="10758" width="5.28515625" style="3" customWidth="1"/>
    <col min="10759" max="10759" width="10" style="3" customWidth="1"/>
    <col min="10760" max="10760" width="6.28515625" style="3" customWidth="1"/>
    <col min="10761" max="10761" width="8.28515625" style="3" customWidth="1"/>
    <col min="10762" max="10762" width="12.42578125" style="3" customWidth="1"/>
    <col min="10763" max="10763" width="5.28515625" style="3" customWidth="1"/>
    <col min="10764" max="10764" width="10.85546875" style="3" customWidth="1"/>
    <col min="10765" max="10765" width="4.85546875" style="3" customWidth="1"/>
    <col min="10766" max="10766" width="5.140625" style="3" customWidth="1"/>
    <col min="10767" max="10767" width="10.5703125" style="3" customWidth="1"/>
    <col min="10768" max="10768" width="6.28515625" style="3" customWidth="1"/>
    <col min="10769" max="10769" width="6.5703125" style="3" customWidth="1"/>
    <col min="10770" max="10770" width="7.42578125" style="3" customWidth="1"/>
    <col min="10771" max="10771" width="6.85546875" style="3" customWidth="1"/>
    <col min="10772" max="10772" width="10.7109375" style="3" customWidth="1"/>
    <col min="10773" max="10773" width="5.140625" style="3" customWidth="1"/>
    <col min="10774" max="11005" width="11.42578125" style="3"/>
    <col min="11006" max="11006" width="23.7109375" style="3" customWidth="1"/>
    <col min="11007" max="11007" width="0" style="3" hidden="1" customWidth="1"/>
    <col min="11008" max="11008" width="41.42578125" style="3" customWidth="1"/>
    <col min="11009" max="11009" width="19.140625" style="3" customWidth="1"/>
    <col min="11010" max="11010" width="6.28515625" style="3" customWidth="1"/>
    <col min="11011" max="11011" width="6" style="3" customWidth="1"/>
    <col min="11012" max="11012" width="7.42578125" style="3" customWidth="1"/>
    <col min="11013" max="11013" width="5.7109375" style="3" customWidth="1"/>
    <col min="11014" max="11014" width="5.28515625" style="3" customWidth="1"/>
    <col min="11015" max="11015" width="10" style="3" customWidth="1"/>
    <col min="11016" max="11016" width="6.28515625" style="3" customWidth="1"/>
    <col min="11017" max="11017" width="8.28515625" style="3" customWidth="1"/>
    <col min="11018" max="11018" width="12.42578125" style="3" customWidth="1"/>
    <col min="11019" max="11019" width="5.28515625" style="3" customWidth="1"/>
    <col min="11020" max="11020" width="10.85546875" style="3" customWidth="1"/>
    <col min="11021" max="11021" width="4.85546875" style="3" customWidth="1"/>
    <col min="11022" max="11022" width="5.140625" style="3" customWidth="1"/>
    <col min="11023" max="11023" width="10.5703125" style="3" customWidth="1"/>
    <col min="11024" max="11024" width="6.28515625" style="3" customWidth="1"/>
    <col min="11025" max="11025" width="6.5703125" style="3" customWidth="1"/>
    <col min="11026" max="11026" width="7.42578125" style="3" customWidth="1"/>
    <col min="11027" max="11027" width="6.85546875" style="3" customWidth="1"/>
    <col min="11028" max="11028" width="10.7109375" style="3" customWidth="1"/>
    <col min="11029" max="11029" width="5.140625" style="3" customWidth="1"/>
    <col min="11030" max="11261" width="11.42578125" style="3"/>
    <col min="11262" max="11262" width="23.7109375" style="3" customWidth="1"/>
    <col min="11263" max="11263" width="0" style="3" hidden="1" customWidth="1"/>
    <col min="11264" max="11264" width="41.42578125" style="3" customWidth="1"/>
    <col min="11265" max="11265" width="19.140625" style="3" customWidth="1"/>
    <col min="11266" max="11266" width="6.28515625" style="3" customWidth="1"/>
    <col min="11267" max="11267" width="6" style="3" customWidth="1"/>
    <col min="11268" max="11268" width="7.42578125" style="3" customWidth="1"/>
    <col min="11269" max="11269" width="5.7109375" style="3" customWidth="1"/>
    <col min="11270" max="11270" width="5.28515625" style="3" customWidth="1"/>
    <col min="11271" max="11271" width="10" style="3" customWidth="1"/>
    <col min="11272" max="11272" width="6.28515625" style="3" customWidth="1"/>
    <col min="11273" max="11273" width="8.28515625" style="3" customWidth="1"/>
    <col min="11274" max="11274" width="12.42578125" style="3" customWidth="1"/>
    <col min="11275" max="11275" width="5.28515625" style="3" customWidth="1"/>
    <col min="11276" max="11276" width="10.85546875" style="3" customWidth="1"/>
    <col min="11277" max="11277" width="4.85546875" style="3" customWidth="1"/>
    <col min="11278" max="11278" width="5.140625" style="3" customWidth="1"/>
    <col min="11279" max="11279" width="10.5703125" style="3" customWidth="1"/>
    <col min="11280" max="11280" width="6.28515625" style="3" customWidth="1"/>
    <col min="11281" max="11281" width="6.5703125" style="3" customWidth="1"/>
    <col min="11282" max="11282" width="7.42578125" style="3" customWidth="1"/>
    <col min="11283" max="11283" width="6.85546875" style="3" customWidth="1"/>
    <col min="11284" max="11284" width="10.7109375" style="3" customWidth="1"/>
    <col min="11285" max="11285" width="5.140625" style="3" customWidth="1"/>
    <col min="11286" max="11517" width="11.42578125" style="3"/>
    <col min="11518" max="11518" width="23.7109375" style="3" customWidth="1"/>
    <col min="11519" max="11519" width="0" style="3" hidden="1" customWidth="1"/>
    <col min="11520" max="11520" width="41.42578125" style="3" customWidth="1"/>
    <col min="11521" max="11521" width="19.140625" style="3" customWidth="1"/>
    <col min="11522" max="11522" width="6.28515625" style="3" customWidth="1"/>
    <col min="11523" max="11523" width="6" style="3" customWidth="1"/>
    <col min="11524" max="11524" width="7.42578125" style="3" customWidth="1"/>
    <col min="11525" max="11525" width="5.7109375" style="3" customWidth="1"/>
    <col min="11526" max="11526" width="5.28515625" style="3" customWidth="1"/>
    <col min="11527" max="11527" width="10" style="3" customWidth="1"/>
    <col min="11528" max="11528" width="6.28515625" style="3" customWidth="1"/>
    <col min="11529" max="11529" width="8.28515625" style="3" customWidth="1"/>
    <col min="11530" max="11530" width="12.42578125" style="3" customWidth="1"/>
    <col min="11531" max="11531" width="5.28515625" style="3" customWidth="1"/>
    <col min="11532" max="11532" width="10.85546875" style="3" customWidth="1"/>
    <col min="11533" max="11533" width="4.85546875" style="3" customWidth="1"/>
    <col min="11534" max="11534" width="5.140625" style="3" customWidth="1"/>
    <col min="11535" max="11535" width="10.5703125" style="3" customWidth="1"/>
    <col min="11536" max="11536" width="6.28515625" style="3" customWidth="1"/>
    <col min="11537" max="11537" width="6.5703125" style="3" customWidth="1"/>
    <col min="11538" max="11538" width="7.42578125" style="3" customWidth="1"/>
    <col min="11539" max="11539" width="6.85546875" style="3" customWidth="1"/>
    <col min="11540" max="11540" width="10.7109375" style="3" customWidth="1"/>
    <col min="11541" max="11541" width="5.140625" style="3" customWidth="1"/>
    <col min="11542" max="11773" width="11.42578125" style="3"/>
    <col min="11774" max="11774" width="23.7109375" style="3" customWidth="1"/>
    <col min="11775" max="11775" width="0" style="3" hidden="1" customWidth="1"/>
    <col min="11776" max="11776" width="41.42578125" style="3" customWidth="1"/>
    <col min="11777" max="11777" width="19.140625" style="3" customWidth="1"/>
    <col min="11778" max="11778" width="6.28515625" style="3" customWidth="1"/>
    <col min="11779" max="11779" width="6" style="3" customWidth="1"/>
    <col min="11780" max="11780" width="7.42578125" style="3" customWidth="1"/>
    <col min="11781" max="11781" width="5.7109375" style="3" customWidth="1"/>
    <col min="11782" max="11782" width="5.28515625" style="3" customWidth="1"/>
    <col min="11783" max="11783" width="10" style="3" customWidth="1"/>
    <col min="11784" max="11784" width="6.28515625" style="3" customWidth="1"/>
    <col min="11785" max="11785" width="8.28515625" style="3" customWidth="1"/>
    <col min="11786" max="11786" width="12.42578125" style="3" customWidth="1"/>
    <col min="11787" max="11787" width="5.28515625" style="3" customWidth="1"/>
    <col min="11788" max="11788" width="10.85546875" style="3" customWidth="1"/>
    <col min="11789" max="11789" width="4.85546875" style="3" customWidth="1"/>
    <col min="11790" max="11790" width="5.140625" style="3" customWidth="1"/>
    <col min="11791" max="11791" width="10.5703125" style="3" customWidth="1"/>
    <col min="11792" max="11792" width="6.28515625" style="3" customWidth="1"/>
    <col min="11793" max="11793" width="6.5703125" style="3" customWidth="1"/>
    <col min="11794" max="11794" width="7.42578125" style="3" customWidth="1"/>
    <col min="11795" max="11795" width="6.85546875" style="3" customWidth="1"/>
    <col min="11796" max="11796" width="10.7109375" style="3" customWidth="1"/>
    <col min="11797" max="11797" width="5.140625" style="3" customWidth="1"/>
    <col min="11798" max="12029" width="11.42578125" style="3"/>
    <col min="12030" max="12030" width="23.7109375" style="3" customWidth="1"/>
    <col min="12031" max="12031" width="0" style="3" hidden="1" customWidth="1"/>
    <col min="12032" max="12032" width="41.42578125" style="3" customWidth="1"/>
    <col min="12033" max="12033" width="19.140625" style="3" customWidth="1"/>
    <col min="12034" max="12034" width="6.28515625" style="3" customWidth="1"/>
    <col min="12035" max="12035" width="6" style="3" customWidth="1"/>
    <col min="12036" max="12036" width="7.42578125" style="3" customWidth="1"/>
    <col min="12037" max="12037" width="5.7109375" style="3" customWidth="1"/>
    <col min="12038" max="12038" width="5.28515625" style="3" customWidth="1"/>
    <col min="12039" max="12039" width="10" style="3" customWidth="1"/>
    <col min="12040" max="12040" width="6.28515625" style="3" customWidth="1"/>
    <col min="12041" max="12041" width="8.28515625" style="3" customWidth="1"/>
    <col min="12042" max="12042" width="12.42578125" style="3" customWidth="1"/>
    <col min="12043" max="12043" width="5.28515625" style="3" customWidth="1"/>
    <col min="12044" max="12044" width="10.85546875" style="3" customWidth="1"/>
    <col min="12045" max="12045" width="4.85546875" style="3" customWidth="1"/>
    <col min="12046" max="12046" width="5.140625" style="3" customWidth="1"/>
    <col min="12047" max="12047" width="10.5703125" style="3" customWidth="1"/>
    <col min="12048" max="12048" width="6.28515625" style="3" customWidth="1"/>
    <col min="12049" max="12049" width="6.5703125" style="3" customWidth="1"/>
    <col min="12050" max="12050" width="7.42578125" style="3" customWidth="1"/>
    <col min="12051" max="12051" width="6.85546875" style="3" customWidth="1"/>
    <col min="12052" max="12052" width="10.7109375" style="3" customWidth="1"/>
    <col min="12053" max="12053" width="5.140625" style="3" customWidth="1"/>
    <col min="12054" max="12285" width="11.42578125" style="3"/>
    <col min="12286" max="12286" width="23.7109375" style="3" customWidth="1"/>
    <col min="12287" max="12287" width="0" style="3" hidden="1" customWidth="1"/>
    <col min="12288" max="12288" width="41.42578125" style="3" customWidth="1"/>
    <col min="12289" max="12289" width="19.140625" style="3" customWidth="1"/>
    <col min="12290" max="12290" width="6.28515625" style="3" customWidth="1"/>
    <col min="12291" max="12291" width="6" style="3" customWidth="1"/>
    <col min="12292" max="12292" width="7.42578125" style="3" customWidth="1"/>
    <col min="12293" max="12293" width="5.7109375" style="3" customWidth="1"/>
    <col min="12294" max="12294" width="5.28515625" style="3" customWidth="1"/>
    <col min="12295" max="12295" width="10" style="3" customWidth="1"/>
    <col min="12296" max="12296" width="6.28515625" style="3" customWidth="1"/>
    <col min="12297" max="12297" width="8.28515625" style="3" customWidth="1"/>
    <col min="12298" max="12298" width="12.42578125" style="3" customWidth="1"/>
    <col min="12299" max="12299" width="5.28515625" style="3" customWidth="1"/>
    <col min="12300" max="12300" width="10.85546875" style="3" customWidth="1"/>
    <col min="12301" max="12301" width="4.85546875" style="3" customWidth="1"/>
    <col min="12302" max="12302" width="5.140625" style="3" customWidth="1"/>
    <col min="12303" max="12303" width="10.5703125" style="3" customWidth="1"/>
    <col min="12304" max="12304" width="6.28515625" style="3" customWidth="1"/>
    <col min="12305" max="12305" width="6.5703125" style="3" customWidth="1"/>
    <col min="12306" max="12306" width="7.42578125" style="3" customWidth="1"/>
    <col min="12307" max="12307" width="6.85546875" style="3" customWidth="1"/>
    <col min="12308" max="12308" width="10.7109375" style="3" customWidth="1"/>
    <col min="12309" max="12309" width="5.140625" style="3" customWidth="1"/>
    <col min="12310" max="12541" width="11.42578125" style="3"/>
    <col min="12542" max="12542" width="23.7109375" style="3" customWidth="1"/>
    <col min="12543" max="12543" width="0" style="3" hidden="1" customWidth="1"/>
    <col min="12544" max="12544" width="41.42578125" style="3" customWidth="1"/>
    <col min="12545" max="12545" width="19.140625" style="3" customWidth="1"/>
    <col min="12546" max="12546" width="6.28515625" style="3" customWidth="1"/>
    <col min="12547" max="12547" width="6" style="3" customWidth="1"/>
    <col min="12548" max="12548" width="7.42578125" style="3" customWidth="1"/>
    <col min="12549" max="12549" width="5.7109375" style="3" customWidth="1"/>
    <col min="12550" max="12550" width="5.28515625" style="3" customWidth="1"/>
    <col min="12551" max="12551" width="10" style="3" customWidth="1"/>
    <col min="12552" max="12552" width="6.28515625" style="3" customWidth="1"/>
    <col min="12553" max="12553" width="8.28515625" style="3" customWidth="1"/>
    <col min="12554" max="12554" width="12.42578125" style="3" customWidth="1"/>
    <col min="12555" max="12555" width="5.28515625" style="3" customWidth="1"/>
    <col min="12556" max="12556" width="10.85546875" style="3" customWidth="1"/>
    <col min="12557" max="12557" width="4.85546875" style="3" customWidth="1"/>
    <col min="12558" max="12558" width="5.140625" style="3" customWidth="1"/>
    <col min="12559" max="12559" width="10.5703125" style="3" customWidth="1"/>
    <col min="12560" max="12560" width="6.28515625" style="3" customWidth="1"/>
    <col min="12561" max="12561" width="6.5703125" style="3" customWidth="1"/>
    <col min="12562" max="12562" width="7.42578125" style="3" customWidth="1"/>
    <col min="12563" max="12563" width="6.85546875" style="3" customWidth="1"/>
    <col min="12564" max="12564" width="10.7109375" style="3" customWidth="1"/>
    <col min="12565" max="12565" width="5.140625" style="3" customWidth="1"/>
    <col min="12566" max="12797" width="11.42578125" style="3"/>
    <col min="12798" max="12798" width="23.7109375" style="3" customWidth="1"/>
    <col min="12799" max="12799" width="0" style="3" hidden="1" customWidth="1"/>
    <col min="12800" max="12800" width="41.42578125" style="3" customWidth="1"/>
    <col min="12801" max="12801" width="19.140625" style="3" customWidth="1"/>
    <col min="12802" max="12802" width="6.28515625" style="3" customWidth="1"/>
    <col min="12803" max="12803" width="6" style="3" customWidth="1"/>
    <col min="12804" max="12804" width="7.42578125" style="3" customWidth="1"/>
    <col min="12805" max="12805" width="5.7109375" style="3" customWidth="1"/>
    <col min="12806" max="12806" width="5.28515625" style="3" customWidth="1"/>
    <col min="12807" max="12807" width="10" style="3" customWidth="1"/>
    <col min="12808" max="12808" width="6.28515625" style="3" customWidth="1"/>
    <col min="12809" max="12809" width="8.28515625" style="3" customWidth="1"/>
    <col min="12810" max="12810" width="12.42578125" style="3" customWidth="1"/>
    <col min="12811" max="12811" width="5.28515625" style="3" customWidth="1"/>
    <col min="12812" max="12812" width="10.85546875" style="3" customWidth="1"/>
    <col min="12813" max="12813" width="4.85546875" style="3" customWidth="1"/>
    <col min="12814" max="12814" width="5.140625" style="3" customWidth="1"/>
    <col min="12815" max="12815" width="10.5703125" style="3" customWidth="1"/>
    <col min="12816" max="12816" width="6.28515625" style="3" customWidth="1"/>
    <col min="12817" max="12817" width="6.5703125" style="3" customWidth="1"/>
    <col min="12818" max="12818" width="7.42578125" style="3" customWidth="1"/>
    <col min="12819" max="12819" width="6.85546875" style="3" customWidth="1"/>
    <col min="12820" max="12820" width="10.7109375" style="3" customWidth="1"/>
    <col min="12821" max="12821" width="5.140625" style="3" customWidth="1"/>
    <col min="12822" max="13053" width="11.42578125" style="3"/>
    <col min="13054" max="13054" width="23.7109375" style="3" customWidth="1"/>
    <col min="13055" max="13055" width="0" style="3" hidden="1" customWidth="1"/>
    <col min="13056" max="13056" width="41.42578125" style="3" customWidth="1"/>
    <col min="13057" max="13057" width="19.140625" style="3" customWidth="1"/>
    <col min="13058" max="13058" width="6.28515625" style="3" customWidth="1"/>
    <col min="13059" max="13059" width="6" style="3" customWidth="1"/>
    <col min="13060" max="13060" width="7.42578125" style="3" customWidth="1"/>
    <col min="13061" max="13061" width="5.7109375" style="3" customWidth="1"/>
    <col min="13062" max="13062" width="5.28515625" style="3" customWidth="1"/>
    <col min="13063" max="13063" width="10" style="3" customWidth="1"/>
    <col min="13064" max="13064" width="6.28515625" style="3" customWidth="1"/>
    <col min="13065" max="13065" width="8.28515625" style="3" customWidth="1"/>
    <col min="13066" max="13066" width="12.42578125" style="3" customWidth="1"/>
    <col min="13067" max="13067" width="5.28515625" style="3" customWidth="1"/>
    <col min="13068" max="13068" width="10.85546875" style="3" customWidth="1"/>
    <col min="13069" max="13069" width="4.85546875" style="3" customWidth="1"/>
    <col min="13070" max="13070" width="5.140625" style="3" customWidth="1"/>
    <col min="13071" max="13071" width="10.5703125" style="3" customWidth="1"/>
    <col min="13072" max="13072" width="6.28515625" style="3" customWidth="1"/>
    <col min="13073" max="13073" width="6.5703125" style="3" customWidth="1"/>
    <col min="13074" max="13074" width="7.42578125" style="3" customWidth="1"/>
    <col min="13075" max="13075" width="6.85546875" style="3" customWidth="1"/>
    <col min="13076" max="13076" width="10.7109375" style="3" customWidth="1"/>
    <col min="13077" max="13077" width="5.140625" style="3" customWidth="1"/>
    <col min="13078" max="13309" width="11.42578125" style="3"/>
    <col min="13310" max="13310" width="23.7109375" style="3" customWidth="1"/>
    <col min="13311" max="13311" width="0" style="3" hidden="1" customWidth="1"/>
    <col min="13312" max="13312" width="41.42578125" style="3" customWidth="1"/>
    <col min="13313" max="13313" width="19.140625" style="3" customWidth="1"/>
    <col min="13314" max="13314" width="6.28515625" style="3" customWidth="1"/>
    <col min="13315" max="13315" width="6" style="3" customWidth="1"/>
    <col min="13316" max="13316" width="7.42578125" style="3" customWidth="1"/>
    <col min="13317" max="13317" width="5.7109375" style="3" customWidth="1"/>
    <col min="13318" max="13318" width="5.28515625" style="3" customWidth="1"/>
    <col min="13319" max="13319" width="10" style="3" customWidth="1"/>
    <col min="13320" max="13320" width="6.28515625" style="3" customWidth="1"/>
    <col min="13321" max="13321" width="8.28515625" style="3" customWidth="1"/>
    <col min="13322" max="13322" width="12.42578125" style="3" customWidth="1"/>
    <col min="13323" max="13323" width="5.28515625" style="3" customWidth="1"/>
    <col min="13324" max="13324" width="10.85546875" style="3" customWidth="1"/>
    <col min="13325" max="13325" width="4.85546875" style="3" customWidth="1"/>
    <col min="13326" max="13326" width="5.140625" style="3" customWidth="1"/>
    <col min="13327" max="13327" width="10.5703125" style="3" customWidth="1"/>
    <col min="13328" max="13328" width="6.28515625" style="3" customWidth="1"/>
    <col min="13329" max="13329" width="6.5703125" style="3" customWidth="1"/>
    <col min="13330" max="13330" width="7.42578125" style="3" customWidth="1"/>
    <col min="13331" max="13331" width="6.85546875" style="3" customWidth="1"/>
    <col min="13332" max="13332" width="10.7109375" style="3" customWidth="1"/>
    <col min="13333" max="13333" width="5.140625" style="3" customWidth="1"/>
    <col min="13334" max="13565" width="11.42578125" style="3"/>
    <col min="13566" max="13566" width="23.7109375" style="3" customWidth="1"/>
    <col min="13567" max="13567" width="0" style="3" hidden="1" customWidth="1"/>
    <col min="13568" max="13568" width="41.42578125" style="3" customWidth="1"/>
    <col min="13569" max="13569" width="19.140625" style="3" customWidth="1"/>
    <col min="13570" max="13570" width="6.28515625" style="3" customWidth="1"/>
    <col min="13571" max="13571" width="6" style="3" customWidth="1"/>
    <col min="13572" max="13572" width="7.42578125" style="3" customWidth="1"/>
    <col min="13573" max="13573" width="5.7109375" style="3" customWidth="1"/>
    <col min="13574" max="13574" width="5.28515625" style="3" customWidth="1"/>
    <col min="13575" max="13575" width="10" style="3" customWidth="1"/>
    <col min="13576" max="13576" width="6.28515625" style="3" customWidth="1"/>
    <col min="13577" max="13577" width="8.28515625" style="3" customWidth="1"/>
    <col min="13578" max="13578" width="12.42578125" style="3" customWidth="1"/>
    <col min="13579" max="13579" width="5.28515625" style="3" customWidth="1"/>
    <col min="13580" max="13580" width="10.85546875" style="3" customWidth="1"/>
    <col min="13581" max="13581" width="4.85546875" style="3" customWidth="1"/>
    <col min="13582" max="13582" width="5.140625" style="3" customWidth="1"/>
    <col min="13583" max="13583" width="10.5703125" style="3" customWidth="1"/>
    <col min="13584" max="13584" width="6.28515625" style="3" customWidth="1"/>
    <col min="13585" max="13585" width="6.5703125" style="3" customWidth="1"/>
    <col min="13586" max="13586" width="7.42578125" style="3" customWidth="1"/>
    <col min="13587" max="13587" width="6.85546875" style="3" customWidth="1"/>
    <col min="13588" max="13588" width="10.7109375" style="3" customWidth="1"/>
    <col min="13589" max="13589" width="5.140625" style="3" customWidth="1"/>
    <col min="13590" max="13821" width="11.42578125" style="3"/>
    <col min="13822" max="13822" width="23.7109375" style="3" customWidth="1"/>
    <col min="13823" max="13823" width="0" style="3" hidden="1" customWidth="1"/>
    <col min="13824" max="13824" width="41.42578125" style="3" customWidth="1"/>
    <col min="13825" max="13825" width="19.140625" style="3" customWidth="1"/>
    <col min="13826" max="13826" width="6.28515625" style="3" customWidth="1"/>
    <col min="13827" max="13827" width="6" style="3" customWidth="1"/>
    <col min="13828" max="13828" width="7.42578125" style="3" customWidth="1"/>
    <col min="13829" max="13829" width="5.7109375" style="3" customWidth="1"/>
    <col min="13830" max="13830" width="5.28515625" style="3" customWidth="1"/>
    <col min="13831" max="13831" width="10" style="3" customWidth="1"/>
    <col min="13832" max="13832" width="6.28515625" style="3" customWidth="1"/>
    <col min="13833" max="13833" width="8.28515625" style="3" customWidth="1"/>
    <col min="13834" max="13834" width="12.42578125" style="3" customWidth="1"/>
    <col min="13835" max="13835" width="5.28515625" style="3" customWidth="1"/>
    <col min="13836" max="13836" width="10.85546875" style="3" customWidth="1"/>
    <col min="13837" max="13837" width="4.85546875" style="3" customWidth="1"/>
    <col min="13838" max="13838" width="5.140625" style="3" customWidth="1"/>
    <col min="13839" max="13839" width="10.5703125" style="3" customWidth="1"/>
    <col min="13840" max="13840" width="6.28515625" style="3" customWidth="1"/>
    <col min="13841" max="13841" width="6.5703125" style="3" customWidth="1"/>
    <col min="13842" max="13842" width="7.42578125" style="3" customWidth="1"/>
    <col min="13843" max="13843" width="6.85546875" style="3" customWidth="1"/>
    <col min="13844" max="13844" width="10.7109375" style="3" customWidth="1"/>
    <col min="13845" max="13845" width="5.140625" style="3" customWidth="1"/>
    <col min="13846" max="14077" width="11.42578125" style="3"/>
    <col min="14078" max="14078" width="23.7109375" style="3" customWidth="1"/>
    <col min="14079" max="14079" width="0" style="3" hidden="1" customWidth="1"/>
    <col min="14080" max="14080" width="41.42578125" style="3" customWidth="1"/>
    <col min="14081" max="14081" width="19.140625" style="3" customWidth="1"/>
    <col min="14082" max="14082" width="6.28515625" style="3" customWidth="1"/>
    <col min="14083" max="14083" width="6" style="3" customWidth="1"/>
    <col min="14084" max="14084" width="7.42578125" style="3" customWidth="1"/>
    <col min="14085" max="14085" width="5.7109375" style="3" customWidth="1"/>
    <col min="14086" max="14086" width="5.28515625" style="3" customWidth="1"/>
    <col min="14087" max="14087" width="10" style="3" customWidth="1"/>
    <col min="14088" max="14088" width="6.28515625" style="3" customWidth="1"/>
    <col min="14089" max="14089" width="8.28515625" style="3" customWidth="1"/>
    <col min="14090" max="14090" width="12.42578125" style="3" customWidth="1"/>
    <col min="14091" max="14091" width="5.28515625" style="3" customWidth="1"/>
    <col min="14092" max="14092" width="10.85546875" style="3" customWidth="1"/>
    <col min="14093" max="14093" width="4.85546875" style="3" customWidth="1"/>
    <col min="14094" max="14094" width="5.140625" style="3" customWidth="1"/>
    <col min="14095" max="14095" width="10.5703125" style="3" customWidth="1"/>
    <col min="14096" max="14096" width="6.28515625" style="3" customWidth="1"/>
    <col min="14097" max="14097" width="6.5703125" style="3" customWidth="1"/>
    <col min="14098" max="14098" width="7.42578125" style="3" customWidth="1"/>
    <col min="14099" max="14099" width="6.85546875" style="3" customWidth="1"/>
    <col min="14100" max="14100" width="10.7109375" style="3" customWidth="1"/>
    <col min="14101" max="14101" width="5.140625" style="3" customWidth="1"/>
    <col min="14102" max="14333" width="11.42578125" style="3"/>
    <col min="14334" max="14334" width="23.7109375" style="3" customWidth="1"/>
    <col min="14335" max="14335" width="0" style="3" hidden="1" customWidth="1"/>
    <col min="14336" max="14336" width="41.42578125" style="3" customWidth="1"/>
    <col min="14337" max="14337" width="19.140625" style="3" customWidth="1"/>
    <col min="14338" max="14338" width="6.28515625" style="3" customWidth="1"/>
    <col min="14339" max="14339" width="6" style="3" customWidth="1"/>
    <col min="14340" max="14340" width="7.42578125" style="3" customWidth="1"/>
    <col min="14341" max="14341" width="5.7109375" style="3" customWidth="1"/>
    <col min="14342" max="14342" width="5.28515625" style="3" customWidth="1"/>
    <col min="14343" max="14343" width="10" style="3" customWidth="1"/>
    <col min="14344" max="14344" width="6.28515625" style="3" customWidth="1"/>
    <col min="14345" max="14345" width="8.28515625" style="3" customWidth="1"/>
    <col min="14346" max="14346" width="12.42578125" style="3" customWidth="1"/>
    <col min="14347" max="14347" width="5.28515625" style="3" customWidth="1"/>
    <col min="14348" max="14348" width="10.85546875" style="3" customWidth="1"/>
    <col min="14349" max="14349" width="4.85546875" style="3" customWidth="1"/>
    <col min="14350" max="14350" width="5.140625" style="3" customWidth="1"/>
    <col min="14351" max="14351" width="10.5703125" style="3" customWidth="1"/>
    <col min="14352" max="14352" width="6.28515625" style="3" customWidth="1"/>
    <col min="14353" max="14353" width="6.5703125" style="3" customWidth="1"/>
    <col min="14354" max="14354" width="7.42578125" style="3" customWidth="1"/>
    <col min="14355" max="14355" width="6.85546875" style="3" customWidth="1"/>
    <col min="14356" max="14356" width="10.7109375" style="3" customWidth="1"/>
    <col min="14357" max="14357" width="5.140625" style="3" customWidth="1"/>
    <col min="14358" max="14589" width="11.42578125" style="3"/>
    <col min="14590" max="14590" width="23.7109375" style="3" customWidth="1"/>
    <col min="14591" max="14591" width="0" style="3" hidden="1" customWidth="1"/>
    <col min="14592" max="14592" width="41.42578125" style="3" customWidth="1"/>
    <col min="14593" max="14593" width="19.140625" style="3" customWidth="1"/>
    <col min="14594" max="14594" width="6.28515625" style="3" customWidth="1"/>
    <col min="14595" max="14595" width="6" style="3" customWidth="1"/>
    <col min="14596" max="14596" width="7.42578125" style="3" customWidth="1"/>
    <col min="14597" max="14597" width="5.7109375" style="3" customWidth="1"/>
    <col min="14598" max="14598" width="5.28515625" style="3" customWidth="1"/>
    <col min="14599" max="14599" width="10" style="3" customWidth="1"/>
    <col min="14600" max="14600" width="6.28515625" style="3" customWidth="1"/>
    <col min="14601" max="14601" width="8.28515625" style="3" customWidth="1"/>
    <col min="14602" max="14602" width="12.42578125" style="3" customWidth="1"/>
    <col min="14603" max="14603" width="5.28515625" style="3" customWidth="1"/>
    <col min="14604" max="14604" width="10.85546875" style="3" customWidth="1"/>
    <col min="14605" max="14605" width="4.85546875" style="3" customWidth="1"/>
    <col min="14606" max="14606" width="5.140625" style="3" customWidth="1"/>
    <col min="14607" max="14607" width="10.5703125" style="3" customWidth="1"/>
    <col min="14608" max="14608" width="6.28515625" style="3" customWidth="1"/>
    <col min="14609" max="14609" width="6.5703125" style="3" customWidth="1"/>
    <col min="14610" max="14610" width="7.42578125" style="3" customWidth="1"/>
    <col min="14611" max="14611" width="6.85546875" style="3" customWidth="1"/>
    <col min="14612" max="14612" width="10.7109375" style="3" customWidth="1"/>
    <col min="14613" max="14613" width="5.140625" style="3" customWidth="1"/>
    <col min="14614" max="14845" width="11.42578125" style="3"/>
    <col min="14846" max="14846" width="23.7109375" style="3" customWidth="1"/>
    <col min="14847" max="14847" width="0" style="3" hidden="1" customWidth="1"/>
    <col min="14848" max="14848" width="41.42578125" style="3" customWidth="1"/>
    <col min="14849" max="14849" width="19.140625" style="3" customWidth="1"/>
    <col min="14850" max="14850" width="6.28515625" style="3" customWidth="1"/>
    <col min="14851" max="14851" width="6" style="3" customWidth="1"/>
    <col min="14852" max="14852" width="7.42578125" style="3" customWidth="1"/>
    <col min="14853" max="14853" width="5.7109375" style="3" customWidth="1"/>
    <col min="14854" max="14854" width="5.28515625" style="3" customWidth="1"/>
    <col min="14855" max="14855" width="10" style="3" customWidth="1"/>
    <col min="14856" max="14856" width="6.28515625" style="3" customWidth="1"/>
    <col min="14857" max="14857" width="8.28515625" style="3" customWidth="1"/>
    <col min="14858" max="14858" width="12.42578125" style="3" customWidth="1"/>
    <col min="14859" max="14859" width="5.28515625" style="3" customWidth="1"/>
    <col min="14860" max="14860" width="10.85546875" style="3" customWidth="1"/>
    <col min="14861" max="14861" width="4.85546875" style="3" customWidth="1"/>
    <col min="14862" max="14862" width="5.140625" style="3" customWidth="1"/>
    <col min="14863" max="14863" width="10.5703125" style="3" customWidth="1"/>
    <col min="14864" max="14864" width="6.28515625" style="3" customWidth="1"/>
    <col min="14865" max="14865" width="6.5703125" style="3" customWidth="1"/>
    <col min="14866" max="14866" width="7.42578125" style="3" customWidth="1"/>
    <col min="14867" max="14867" width="6.85546875" style="3" customWidth="1"/>
    <col min="14868" max="14868" width="10.7109375" style="3" customWidth="1"/>
    <col min="14869" max="14869" width="5.140625" style="3" customWidth="1"/>
    <col min="14870" max="15101" width="11.42578125" style="3"/>
    <col min="15102" max="15102" width="23.7109375" style="3" customWidth="1"/>
    <col min="15103" max="15103" width="0" style="3" hidden="1" customWidth="1"/>
    <col min="15104" max="15104" width="41.42578125" style="3" customWidth="1"/>
    <col min="15105" max="15105" width="19.140625" style="3" customWidth="1"/>
    <col min="15106" max="15106" width="6.28515625" style="3" customWidth="1"/>
    <col min="15107" max="15107" width="6" style="3" customWidth="1"/>
    <col min="15108" max="15108" width="7.42578125" style="3" customWidth="1"/>
    <col min="15109" max="15109" width="5.7109375" style="3" customWidth="1"/>
    <col min="15110" max="15110" width="5.28515625" style="3" customWidth="1"/>
    <col min="15111" max="15111" width="10" style="3" customWidth="1"/>
    <col min="15112" max="15112" width="6.28515625" style="3" customWidth="1"/>
    <col min="15113" max="15113" width="8.28515625" style="3" customWidth="1"/>
    <col min="15114" max="15114" width="12.42578125" style="3" customWidth="1"/>
    <col min="15115" max="15115" width="5.28515625" style="3" customWidth="1"/>
    <col min="15116" max="15116" width="10.85546875" style="3" customWidth="1"/>
    <col min="15117" max="15117" width="4.85546875" style="3" customWidth="1"/>
    <col min="15118" max="15118" width="5.140625" style="3" customWidth="1"/>
    <col min="15119" max="15119" width="10.5703125" style="3" customWidth="1"/>
    <col min="15120" max="15120" width="6.28515625" style="3" customWidth="1"/>
    <col min="15121" max="15121" width="6.5703125" style="3" customWidth="1"/>
    <col min="15122" max="15122" width="7.42578125" style="3" customWidth="1"/>
    <col min="15123" max="15123" width="6.85546875" style="3" customWidth="1"/>
    <col min="15124" max="15124" width="10.7109375" style="3" customWidth="1"/>
    <col min="15125" max="15125" width="5.140625" style="3" customWidth="1"/>
    <col min="15126" max="15357" width="11.42578125" style="3"/>
    <col min="15358" max="15358" width="23.7109375" style="3" customWidth="1"/>
    <col min="15359" max="15359" width="0" style="3" hidden="1" customWidth="1"/>
    <col min="15360" max="15360" width="41.42578125" style="3" customWidth="1"/>
    <col min="15361" max="15361" width="19.140625" style="3" customWidth="1"/>
    <col min="15362" max="15362" width="6.28515625" style="3" customWidth="1"/>
    <col min="15363" max="15363" width="6" style="3" customWidth="1"/>
    <col min="15364" max="15364" width="7.42578125" style="3" customWidth="1"/>
    <col min="15365" max="15365" width="5.7109375" style="3" customWidth="1"/>
    <col min="15366" max="15366" width="5.28515625" style="3" customWidth="1"/>
    <col min="15367" max="15367" width="10" style="3" customWidth="1"/>
    <col min="15368" max="15368" width="6.28515625" style="3" customWidth="1"/>
    <col min="15369" max="15369" width="8.28515625" style="3" customWidth="1"/>
    <col min="15370" max="15370" width="12.42578125" style="3" customWidth="1"/>
    <col min="15371" max="15371" width="5.28515625" style="3" customWidth="1"/>
    <col min="15372" max="15372" width="10.85546875" style="3" customWidth="1"/>
    <col min="15373" max="15373" width="4.85546875" style="3" customWidth="1"/>
    <col min="15374" max="15374" width="5.140625" style="3" customWidth="1"/>
    <col min="15375" max="15375" width="10.5703125" style="3" customWidth="1"/>
    <col min="15376" max="15376" width="6.28515625" style="3" customWidth="1"/>
    <col min="15377" max="15377" width="6.5703125" style="3" customWidth="1"/>
    <col min="15378" max="15378" width="7.42578125" style="3" customWidth="1"/>
    <col min="15379" max="15379" width="6.85546875" style="3" customWidth="1"/>
    <col min="15380" max="15380" width="10.7109375" style="3" customWidth="1"/>
    <col min="15381" max="15381" width="5.140625" style="3" customWidth="1"/>
    <col min="15382" max="15613" width="11.42578125" style="3"/>
    <col min="15614" max="15614" width="23.7109375" style="3" customWidth="1"/>
    <col min="15615" max="15615" width="0" style="3" hidden="1" customWidth="1"/>
    <col min="15616" max="15616" width="41.42578125" style="3" customWidth="1"/>
    <col min="15617" max="15617" width="19.140625" style="3" customWidth="1"/>
    <col min="15618" max="15618" width="6.28515625" style="3" customWidth="1"/>
    <col min="15619" max="15619" width="6" style="3" customWidth="1"/>
    <col min="15620" max="15620" width="7.42578125" style="3" customWidth="1"/>
    <col min="15621" max="15621" width="5.7109375" style="3" customWidth="1"/>
    <col min="15622" max="15622" width="5.28515625" style="3" customWidth="1"/>
    <col min="15623" max="15623" width="10" style="3" customWidth="1"/>
    <col min="15624" max="15624" width="6.28515625" style="3" customWidth="1"/>
    <col min="15625" max="15625" width="8.28515625" style="3" customWidth="1"/>
    <col min="15626" max="15626" width="12.42578125" style="3" customWidth="1"/>
    <col min="15627" max="15627" width="5.28515625" style="3" customWidth="1"/>
    <col min="15628" max="15628" width="10.85546875" style="3" customWidth="1"/>
    <col min="15629" max="15629" width="4.85546875" style="3" customWidth="1"/>
    <col min="15630" max="15630" width="5.140625" style="3" customWidth="1"/>
    <col min="15631" max="15631" width="10.5703125" style="3" customWidth="1"/>
    <col min="15632" max="15632" width="6.28515625" style="3" customWidth="1"/>
    <col min="15633" max="15633" width="6.5703125" style="3" customWidth="1"/>
    <col min="15634" max="15634" width="7.42578125" style="3" customWidth="1"/>
    <col min="15635" max="15635" width="6.85546875" style="3" customWidth="1"/>
    <col min="15636" max="15636" width="10.7109375" style="3" customWidth="1"/>
    <col min="15637" max="15637" width="5.140625" style="3" customWidth="1"/>
    <col min="15638" max="15869" width="11.42578125" style="3"/>
    <col min="15870" max="15870" width="23.7109375" style="3" customWidth="1"/>
    <col min="15871" max="15871" width="0" style="3" hidden="1" customWidth="1"/>
    <col min="15872" max="15872" width="41.42578125" style="3" customWidth="1"/>
    <col min="15873" max="15873" width="19.140625" style="3" customWidth="1"/>
    <col min="15874" max="15874" width="6.28515625" style="3" customWidth="1"/>
    <col min="15875" max="15875" width="6" style="3" customWidth="1"/>
    <col min="15876" max="15876" width="7.42578125" style="3" customWidth="1"/>
    <col min="15877" max="15877" width="5.7109375" style="3" customWidth="1"/>
    <col min="15878" max="15878" width="5.28515625" style="3" customWidth="1"/>
    <col min="15879" max="15879" width="10" style="3" customWidth="1"/>
    <col min="15880" max="15880" width="6.28515625" style="3" customWidth="1"/>
    <col min="15881" max="15881" width="8.28515625" style="3" customWidth="1"/>
    <col min="15882" max="15882" width="12.42578125" style="3" customWidth="1"/>
    <col min="15883" max="15883" width="5.28515625" style="3" customWidth="1"/>
    <col min="15884" max="15884" width="10.85546875" style="3" customWidth="1"/>
    <col min="15885" max="15885" width="4.85546875" style="3" customWidth="1"/>
    <col min="15886" max="15886" width="5.140625" style="3" customWidth="1"/>
    <col min="15887" max="15887" width="10.5703125" style="3" customWidth="1"/>
    <col min="15888" max="15888" width="6.28515625" style="3" customWidth="1"/>
    <col min="15889" max="15889" width="6.5703125" style="3" customWidth="1"/>
    <col min="15890" max="15890" width="7.42578125" style="3" customWidth="1"/>
    <col min="15891" max="15891" width="6.85546875" style="3" customWidth="1"/>
    <col min="15892" max="15892" width="10.7109375" style="3" customWidth="1"/>
    <col min="15893" max="15893" width="5.140625" style="3" customWidth="1"/>
    <col min="15894" max="16125" width="11.42578125" style="3"/>
    <col min="16126" max="16126" width="23.7109375" style="3" customWidth="1"/>
    <col min="16127" max="16127" width="0" style="3" hidden="1" customWidth="1"/>
    <col min="16128" max="16128" width="41.42578125" style="3" customWidth="1"/>
    <col min="16129" max="16129" width="19.140625" style="3" customWidth="1"/>
    <col min="16130" max="16130" width="6.28515625" style="3" customWidth="1"/>
    <col min="16131" max="16131" width="6" style="3" customWidth="1"/>
    <col min="16132" max="16132" width="7.42578125" style="3" customWidth="1"/>
    <col min="16133" max="16133" width="5.7109375" style="3" customWidth="1"/>
    <col min="16134" max="16134" width="5.28515625" style="3" customWidth="1"/>
    <col min="16135" max="16135" width="10" style="3" customWidth="1"/>
    <col min="16136" max="16136" width="6.28515625" style="3" customWidth="1"/>
    <col min="16137" max="16137" width="8.28515625" style="3" customWidth="1"/>
    <col min="16138" max="16138" width="12.42578125" style="3" customWidth="1"/>
    <col min="16139" max="16139" width="5.28515625" style="3" customWidth="1"/>
    <col min="16140" max="16140" width="10.85546875" style="3" customWidth="1"/>
    <col min="16141" max="16141" width="4.85546875" style="3" customWidth="1"/>
    <col min="16142" max="16142" width="5.140625" style="3" customWidth="1"/>
    <col min="16143" max="16143" width="10.5703125" style="3" customWidth="1"/>
    <col min="16144" max="16144" width="6.28515625" style="3" customWidth="1"/>
    <col min="16145" max="16145" width="6.5703125" style="3" customWidth="1"/>
    <col min="16146" max="16146" width="7.42578125" style="3" customWidth="1"/>
    <col min="16147" max="16147" width="6.85546875" style="3" customWidth="1"/>
    <col min="16148" max="16148" width="10.7109375" style="3" customWidth="1"/>
    <col min="16149" max="16149" width="5.140625" style="3" customWidth="1"/>
    <col min="16150" max="16384" width="11.42578125" style="3"/>
  </cols>
  <sheetData>
    <row r="1" spans="1:125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5"/>
    </row>
    <row r="2" spans="1:125" s="2" customFormat="1" ht="22.5" customHeight="1">
      <c r="A2" s="6"/>
      <c r="B2" s="175"/>
      <c r="C2" s="1801" t="s">
        <v>4</v>
      </c>
      <c r="D2" s="1802"/>
      <c r="E2" s="1789" t="s">
        <v>5</v>
      </c>
      <c r="F2" s="1801" t="s">
        <v>6</v>
      </c>
      <c r="G2" s="1821"/>
      <c r="H2" s="1821"/>
      <c r="I2" s="1802"/>
      <c r="J2" s="1520" t="s">
        <v>7</v>
      </c>
      <c r="K2" s="1520" t="s">
        <v>8</v>
      </c>
      <c r="L2" s="1520" t="s">
        <v>9</v>
      </c>
      <c r="M2" s="1520" t="s">
        <v>9</v>
      </c>
      <c r="N2" s="1520"/>
      <c r="O2" s="1789" t="s">
        <v>22</v>
      </c>
      <c r="P2" s="1821" t="s">
        <v>148</v>
      </c>
      <c r="Q2" s="1821"/>
      <c r="R2" s="1821"/>
      <c r="S2" s="1802"/>
      <c r="T2" s="1520" t="s">
        <v>12</v>
      </c>
      <c r="U2" s="14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</row>
    <row r="3" spans="1:125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1801" t="s">
        <v>16</v>
      </c>
      <c r="G3" s="1802"/>
      <c r="H3" s="1801" t="s">
        <v>17</v>
      </c>
      <c r="I3" s="1802"/>
      <c r="J3" s="1521" t="s">
        <v>18</v>
      </c>
      <c r="K3" s="1521" t="s">
        <v>19</v>
      </c>
      <c r="L3" s="1527" t="s">
        <v>127</v>
      </c>
      <c r="M3" s="1521" t="s">
        <v>0</v>
      </c>
      <c r="N3" s="1521" t="s">
        <v>21</v>
      </c>
      <c r="O3" s="1790"/>
      <c r="P3" s="1521" t="s">
        <v>25</v>
      </c>
      <c r="Q3" s="1521" t="s">
        <v>26</v>
      </c>
      <c r="R3" s="1521" t="s">
        <v>27</v>
      </c>
      <c r="S3" s="1521" t="s">
        <v>28</v>
      </c>
      <c r="T3" s="1521" t="s">
        <v>29</v>
      </c>
      <c r="U3" s="14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05"/>
      <c r="DD3" s="105"/>
      <c r="DE3" s="105"/>
      <c r="DF3" s="105"/>
      <c r="DG3" s="105"/>
      <c r="DH3" s="105"/>
      <c r="DI3" s="105"/>
      <c r="DJ3" s="105"/>
      <c r="DK3" s="105"/>
      <c r="DL3" s="105"/>
      <c r="DM3" s="105"/>
      <c r="DN3" s="105"/>
      <c r="DO3" s="105"/>
      <c r="DP3" s="105"/>
      <c r="DQ3" s="105"/>
      <c r="DR3" s="105"/>
      <c r="DS3" s="105"/>
      <c r="DT3" s="105"/>
      <c r="DU3" s="105"/>
    </row>
    <row r="4" spans="1:125" s="2" customFormat="1" ht="22.5" customHeight="1">
      <c r="A4" s="6"/>
      <c r="B4" s="176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21" t="s">
        <v>34</v>
      </c>
      <c r="K4" s="1521" t="s">
        <v>34</v>
      </c>
      <c r="L4" s="1521"/>
      <c r="M4" s="1521" t="s">
        <v>35</v>
      </c>
      <c r="N4" s="1521" t="s">
        <v>36</v>
      </c>
      <c r="O4" s="1524" t="s">
        <v>37</v>
      </c>
      <c r="P4" s="1521"/>
      <c r="Q4" s="1521" t="s">
        <v>40</v>
      </c>
      <c r="R4" s="1521" t="s">
        <v>41</v>
      </c>
      <c r="S4" s="1521" t="s">
        <v>41</v>
      </c>
      <c r="T4" s="1521" t="s">
        <v>42</v>
      </c>
      <c r="U4" s="14"/>
      <c r="Z4"/>
      <c r="AA4"/>
      <c r="AB4"/>
      <c r="AC4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  <c r="BM4" s="105"/>
      <c r="BN4" s="105"/>
      <c r="BO4" s="105"/>
      <c r="BP4" s="105"/>
      <c r="BQ4" s="105"/>
      <c r="BR4" s="105"/>
      <c r="BS4" s="105"/>
      <c r="BT4" s="105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05"/>
      <c r="CF4" s="105"/>
      <c r="CG4" s="105"/>
      <c r="CH4" s="105"/>
      <c r="CI4" s="105"/>
      <c r="CJ4" s="105"/>
      <c r="CK4" s="105"/>
      <c r="CL4" s="105"/>
      <c r="CM4" s="105"/>
      <c r="CN4" s="105"/>
      <c r="CO4" s="105"/>
      <c r="CP4" s="105"/>
      <c r="CQ4" s="105"/>
      <c r="CR4" s="105"/>
      <c r="CS4" s="105"/>
      <c r="CT4" s="105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05"/>
      <c r="DM4" s="105"/>
      <c r="DN4" s="105"/>
      <c r="DO4" s="105"/>
      <c r="DP4" s="105"/>
      <c r="DQ4" s="105"/>
      <c r="DR4" s="105"/>
      <c r="DS4" s="105"/>
      <c r="DT4" s="105"/>
      <c r="DU4" s="105"/>
    </row>
    <row r="5" spans="1:125" s="2" customFormat="1" ht="18" customHeight="1">
      <c r="A5" s="6"/>
      <c r="B5" s="1820" t="s">
        <v>103</v>
      </c>
      <c r="C5" s="38" t="s">
        <v>101</v>
      </c>
      <c r="D5" s="39">
        <v>187</v>
      </c>
      <c r="E5" s="38" t="s">
        <v>128</v>
      </c>
      <c r="F5" s="39">
        <v>15</v>
      </c>
      <c r="G5" s="40">
        <v>9.67</v>
      </c>
      <c r="H5" s="39">
        <v>92</v>
      </c>
      <c r="I5" s="40">
        <v>1.55</v>
      </c>
      <c r="J5" s="41">
        <f t="shared" ref="J5:J7" si="0">IF(F5="","",((H5-F5)*20)+I5-G5)</f>
        <v>1531.8799999999999</v>
      </c>
      <c r="K5" s="40"/>
      <c r="L5" s="460">
        <v>18783.7</v>
      </c>
      <c r="M5" s="41">
        <f t="shared" ref="M5:M7" si="1">IF(F5="","",(J5*K5)+L5)</f>
        <v>18783.7</v>
      </c>
      <c r="N5" s="43">
        <v>20</v>
      </c>
      <c r="O5" s="41">
        <f t="shared" ref="O5:O7" si="2">IF(F5="","",ROUND(M5*N5/100,2))</f>
        <v>3756.74</v>
      </c>
      <c r="P5" s="40">
        <v>0.04</v>
      </c>
      <c r="Q5" s="40">
        <f t="shared" ref="Q5:Q7" si="3">IF(F5="","",IF(D5&gt;H5,((D5-H5)*0.02),IF(D5&lt;F5,((F5-D5)*0.02),IF(F5="","",0))))</f>
        <v>1.9000000000000001</v>
      </c>
      <c r="R5" s="40">
        <f t="shared" ref="R5:R7" si="4">IF(F5="","",IF(D5&gt;H5,((((H5-F5)*20)+I5-G5)/2000),IF(D5&gt;F5,((((D5-F5)*0.02)^2)+(((H5-D5)*0.02)^2))/(2*((H5-F5)*0.02)),((((H5-F5)*20)+I5-G5)/2000))))</f>
        <v>0.76593999999999995</v>
      </c>
      <c r="S5" s="40">
        <f t="shared" ref="S5:S7" si="5">IF(F5="","",P5+Q5+R5)</f>
        <v>2.70594</v>
      </c>
      <c r="T5" s="41">
        <f t="shared" ref="T5:T7" si="6">IF(F5="","",O5*S5)</f>
        <v>10165.513035599999</v>
      </c>
      <c r="U5" s="29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5"/>
      <c r="DC5" s="105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5"/>
      <c r="DP5" s="105"/>
      <c r="DQ5" s="105"/>
      <c r="DR5" s="105"/>
      <c r="DS5" s="105"/>
      <c r="DT5" s="105"/>
      <c r="DU5" s="105"/>
    </row>
    <row r="6" spans="1:125" s="2" customFormat="1" ht="18" customHeight="1">
      <c r="A6" s="6"/>
      <c r="B6" s="1820"/>
      <c r="C6" s="184" t="s">
        <v>101</v>
      </c>
      <c r="D6" s="185">
        <v>187</v>
      </c>
      <c r="E6" s="184" t="s">
        <v>130</v>
      </c>
      <c r="F6" s="185">
        <v>92</v>
      </c>
      <c r="G6" s="186">
        <v>1.55</v>
      </c>
      <c r="H6" s="185">
        <v>132</v>
      </c>
      <c r="I6" s="186">
        <v>12.12</v>
      </c>
      <c r="J6" s="187">
        <f t="shared" si="0"/>
        <v>810.57</v>
      </c>
      <c r="K6" s="186">
        <v>10.3</v>
      </c>
      <c r="L6" s="187"/>
      <c r="M6" s="187">
        <f t="shared" si="1"/>
        <v>8348.871000000001</v>
      </c>
      <c r="N6" s="189">
        <v>20</v>
      </c>
      <c r="O6" s="187">
        <f t="shared" si="2"/>
        <v>1669.77</v>
      </c>
      <c r="P6" s="186">
        <v>0.04</v>
      </c>
      <c r="Q6" s="186">
        <f t="shared" si="3"/>
        <v>1.1000000000000001</v>
      </c>
      <c r="R6" s="186">
        <f t="shared" si="4"/>
        <v>0.40528500000000001</v>
      </c>
      <c r="S6" s="186">
        <f t="shared" si="5"/>
        <v>1.5452850000000002</v>
      </c>
      <c r="T6" s="187">
        <f t="shared" si="6"/>
        <v>2580.2705344500005</v>
      </c>
      <c r="U6" s="29"/>
      <c r="W6" s="117"/>
      <c r="Z6" s="456" t="s">
        <v>235</v>
      </c>
      <c r="AA6" s="456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</row>
    <row r="7" spans="1:125" s="2" customFormat="1" ht="18" customHeight="1">
      <c r="A7" s="6"/>
      <c r="B7" s="1820"/>
      <c r="C7" s="38" t="s">
        <v>101</v>
      </c>
      <c r="D7" s="39">
        <v>187</v>
      </c>
      <c r="E7" s="461" t="s">
        <v>241</v>
      </c>
      <c r="F7" s="39">
        <v>132</v>
      </c>
      <c r="G7" s="40">
        <v>12.12</v>
      </c>
      <c r="H7" s="39">
        <v>176</v>
      </c>
      <c r="I7" s="40">
        <v>12.12</v>
      </c>
      <c r="J7" s="41">
        <f t="shared" si="0"/>
        <v>880</v>
      </c>
      <c r="K7" s="40"/>
      <c r="L7" s="460">
        <v>11914.46</v>
      </c>
      <c r="M7" s="41">
        <f t="shared" si="1"/>
        <v>11914.46</v>
      </c>
      <c r="N7" s="43">
        <v>20</v>
      </c>
      <c r="O7" s="41">
        <f t="shared" si="2"/>
        <v>2382.89</v>
      </c>
      <c r="P7" s="40">
        <v>0.04</v>
      </c>
      <c r="Q7" s="40">
        <f t="shared" si="3"/>
        <v>0.22</v>
      </c>
      <c r="R7" s="40">
        <f t="shared" si="4"/>
        <v>0.44</v>
      </c>
      <c r="S7" s="40">
        <f t="shared" si="5"/>
        <v>0.7</v>
      </c>
      <c r="T7" s="41">
        <f t="shared" si="6"/>
        <v>1668.0229999999999</v>
      </c>
      <c r="U7" s="29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</row>
    <row r="8" spans="1:125" s="2" customFormat="1" ht="18" hidden="1" customHeight="1">
      <c r="A8" s="6"/>
      <c r="B8" s="48"/>
      <c r="C8" s="38"/>
      <c r="D8" s="39"/>
      <c r="E8" s="38"/>
      <c r="F8" s="39"/>
      <c r="G8" s="40"/>
      <c r="H8" s="39"/>
      <c r="I8" s="40"/>
      <c r="J8" s="41"/>
      <c r="K8" s="40"/>
      <c r="L8" s="41"/>
      <c r="M8" s="42"/>
      <c r="N8" s="43"/>
      <c r="O8" s="41"/>
      <c r="P8" s="40"/>
      <c r="Q8" s="46"/>
      <c r="R8" s="46"/>
      <c r="S8" s="46"/>
      <c r="T8" s="41"/>
      <c r="U8" s="29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</row>
    <row r="9" spans="1:125" s="2" customFormat="1" ht="18" hidden="1" customHeight="1">
      <c r="A9" s="6"/>
      <c r="B9" s="48"/>
      <c r="C9" s="184"/>
      <c r="D9" s="185"/>
      <c r="E9" s="184"/>
      <c r="F9" s="185"/>
      <c r="G9" s="186"/>
      <c r="H9" s="185"/>
      <c r="I9" s="186"/>
      <c r="J9" s="41"/>
      <c r="K9" s="186"/>
      <c r="L9" s="187"/>
      <c r="M9" s="188"/>
      <c r="N9" s="189"/>
      <c r="O9" s="187"/>
      <c r="P9" s="186"/>
      <c r="Q9" s="192"/>
      <c r="R9" s="192"/>
      <c r="S9" s="192"/>
      <c r="T9" s="187"/>
      <c r="U9" s="29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</row>
    <row r="10" spans="1:125" s="2" customFormat="1" ht="18" hidden="1" customHeight="1">
      <c r="A10" s="6"/>
      <c r="B10" s="48"/>
      <c r="C10" s="38"/>
      <c r="D10" s="39"/>
      <c r="E10" s="38"/>
      <c r="F10" s="39"/>
      <c r="G10" s="40"/>
      <c r="H10" s="39"/>
      <c r="I10" s="40"/>
      <c r="J10" s="41"/>
      <c r="K10" s="40"/>
      <c r="L10" s="41"/>
      <c r="M10" s="42"/>
      <c r="N10" s="43"/>
      <c r="O10" s="41"/>
      <c r="P10" s="40"/>
      <c r="Q10" s="46"/>
      <c r="R10" s="46"/>
      <c r="S10" s="46"/>
      <c r="T10" s="41"/>
      <c r="U10" s="29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</row>
    <row r="11" spans="1:125" s="2" customFormat="1" ht="18" hidden="1" customHeight="1">
      <c r="A11" s="6"/>
      <c r="B11" s="48"/>
      <c r="C11" s="184"/>
      <c r="D11" s="185"/>
      <c r="E11" s="184"/>
      <c r="F11" s="185"/>
      <c r="G11" s="186"/>
      <c r="H11" s="185"/>
      <c r="I11" s="186"/>
      <c r="J11" s="41"/>
      <c r="K11" s="186"/>
      <c r="L11" s="187"/>
      <c r="M11" s="188"/>
      <c r="N11" s="189"/>
      <c r="O11" s="187"/>
      <c r="P11" s="186"/>
      <c r="Q11" s="192"/>
      <c r="R11" s="192"/>
      <c r="S11" s="192"/>
      <c r="T11" s="187"/>
      <c r="U11" s="29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</row>
    <row r="12" spans="1:125" s="2" customFormat="1" ht="18" hidden="1" customHeight="1">
      <c r="A12" s="6"/>
      <c r="B12" s="48"/>
      <c r="C12" s="38"/>
      <c r="D12" s="39"/>
      <c r="E12" s="38"/>
      <c r="F12" s="39"/>
      <c r="G12" s="40"/>
      <c r="H12" s="39"/>
      <c r="I12" s="40"/>
      <c r="J12" s="41"/>
      <c r="K12" s="40"/>
      <c r="L12" s="41"/>
      <c r="M12" s="42"/>
      <c r="N12" s="43"/>
      <c r="O12" s="41"/>
      <c r="P12" s="40"/>
      <c r="Q12" s="46"/>
      <c r="R12" s="46"/>
      <c r="S12" s="46"/>
      <c r="T12" s="41"/>
      <c r="U12" s="29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</row>
    <row r="13" spans="1:125" s="2" customFormat="1" ht="18" hidden="1" customHeight="1">
      <c r="A13" s="6"/>
      <c r="B13" s="48"/>
      <c r="C13" s="184"/>
      <c r="D13" s="185"/>
      <c r="E13" s="184"/>
      <c r="F13" s="185"/>
      <c r="G13" s="186"/>
      <c r="H13" s="185"/>
      <c r="I13" s="186"/>
      <c r="J13" s="41"/>
      <c r="K13" s="186"/>
      <c r="L13" s="187"/>
      <c r="M13" s="188"/>
      <c r="N13" s="189"/>
      <c r="O13" s="187"/>
      <c r="P13" s="186"/>
      <c r="Q13" s="192"/>
      <c r="R13" s="192"/>
      <c r="S13" s="192"/>
      <c r="T13" s="187"/>
      <c r="U13" s="29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</row>
    <row r="14" spans="1:125" s="2" customFormat="1" ht="18" hidden="1" customHeight="1">
      <c r="A14" s="6"/>
      <c r="B14" s="48"/>
      <c r="C14" s="38"/>
      <c r="D14" s="39"/>
      <c r="E14" s="38"/>
      <c r="F14" s="39"/>
      <c r="G14" s="40"/>
      <c r="H14" s="39"/>
      <c r="I14" s="40"/>
      <c r="J14" s="41"/>
      <c r="K14" s="40"/>
      <c r="L14" s="41"/>
      <c r="M14" s="42"/>
      <c r="N14" s="43"/>
      <c r="O14" s="41"/>
      <c r="P14" s="40"/>
      <c r="Q14" s="46"/>
      <c r="R14" s="46"/>
      <c r="S14" s="46"/>
      <c r="T14" s="41"/>
      <c r="U14" s="29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</row>
    <row r="15" spans="1:125" s="2" customFormat="1" ht="18" hidden="1" customHeight="1">
      <c r="A15" s="6"/>
      <c r="B15" s="48"/>
      <c r="C15" s="184"/>
      <c r="D15" s="185"/>
      <c r="E15" s="184"/>
      <c r="F15" s="185"/>
      <c r="G15" s="186"/>
      <c r="H15" s="185"/>
      <c r="I15" s="186"/>
      <c r="J15" s="41"/>
      <c r="K15" s="186"/>
      <c r="L15" s="187"/>
      <c r="M15" s="188"/>
      <c r="N15" s="189"/>
      <c r="O15" s="187"/>
      <c r="P15" s="186"/>
      <c r="Q15" s="192"/>
      <c r="R15" s="192"/>
      <c r="S15" s="192"/>
      <c r="T15" s="187"/>
      <c r="U15" s="29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</row>
    <row r="16" spans="1:125" s="2" customFormat="1" ht="18" hidden="1" customHeight="1">
      <c r="A16" s="6"/>
      <c r="B16" s="48"/>
      <c r="C16" s="38"/>
      <c r="D16" s="39"/>
      <c r="E16" s="38"/>
      <c r="F16" s="39"/>
      <c r="G16" s="40"/>
      <c r="H16" s="39"/>
      <c r="I16" s="40"/>
      <c r="J16" s="41"/>
      <c r="K16" s="40"/>
      <c r="L16" s="41"/>
      <c r="M16" s="42"/>
      <c r="N16" s="43"/>
      <c r="O16" s="41"/>
      <c r="P16" s="40"/>
      <c r="Q16" s="46"/>
      <c r="R16" s="46"/>
      <c r="S16" s="46"/>
      <c r="T16" s="41"/>
      <c r="U16" s="29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</row>
    <row r="17" spans="1:125" s="2" customFormat="1" ht="18" hidden="1" customHeight="1">
      <c r="A17" s="6"/>
      <c r="B17" s="48"/>
      <c r="C17" s="184"/>
      <c r="D17" s="185"/>
      <c r="E17" s="184"/>
      <c r="F17" s="185"/>
      <c r="G17" s="186"/>
      <c r="H17" s="185"/>
      <c r="I17" s="186"/>
      <c r="J17" s="41"/>
      <c r="K17" s="186"/>
      <c r="L17" s="187"/>
      <c r="M17" s="188"/>
      <c r="N17" s="189"/>
      <c r="O17" s="187"/>
      <c r="P17" s="186"/>
      <c r="Q17" s="192"/>
      <c r="R17" s="192"/>
      <c r="S17" s="192"/>
      <c r="T17" s="187"/>
      <c r="U17" s="29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</row>
    <row r="18" spans="1:125" s="2" customFormat="1" ht="18" hidden="1" customHeight="1">
      <c r="A18" s="6"/>
      <c r="B18" s="48"/>
      <c r="C18" s="38"/>
      <c r="D18" s="39"/>
      <c r="E18" s="38"/>
      <c r="F18" s="39"/>
      <c r="G18" s="40"/>
      <c r="H18" s="39"/>
      <c r="I18" s="40"/>
      <c r="J18" s="41"/>
      <c r="K18" s="40"/>
      <c r="L18" s="41"/>
      <c r="M18" s="42"/>
      <c r="N18" s="43"/>
      <c r="O18" s="41"/>
      <c r="P18" s="40"/>
      <c r="Q18" s="46"/>
      <c r="R18" s="46"/>
      <c r="S18" s="46"/>
      <c r="T18" s="41"/>
      <c r="U18" s="29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</row>
    <row r="19" spans="1:125" s="2" customFormat="1" ht="18" hidden="1" customHeight="1">
      <c r="A19" s="6"/>
      <c r="B19" s="48"/>
      <c r="C19" s="184"/>
      <c r="D19" s="185"/>
      <c r="E19" s="184"/>
      <c r="F19" s="185"/>
      <c r="G19" s="186"/>
      <c r="H19" s="185"/>
      <c r="I19" s="186"/>
      <c r="J19" s="41"/>
      <c r="K19" s="186"/>
      <c r="L19" s="187"/>
      <c r="M19" s="188"/>
      <c r="N19" s="189"/>
      <c r="O19" s="187"/>
      <c r="P19" s="186"/>
      <c r="Q19" s="192"/>
      <c r="R19" s="192"/>
      <c r="S19" s="192"/>
      <c r="T19" s="187"/>
      <c r="U19" s="29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</row>
    <row r="20" spans="1:125" s="2" customFormat="1" ht="18" hidden="1" customHeight="1">
      <c r="A20" s="6"/>
      <c r="B20" s="48"/>
      <c r="C20" s="38"/>
      <c r="D20" s="39"/>
      <c r="E20" s="38"/>
      <c r="F20" s="39"/>
      <c r="G20" s="40"/>
      <c r="H20" s="39"/>
      <c r="I20" s="40"/>
      <c r="J20" s="41"/>
      <c r="K20" s="40"/>
      <c r="L20" s="41"/>
      <c r="M20" s="42"/>
      <c r="N20" s="43"/>
      <c r="O20" s="41"/>
      <c r="P20" s="40"/>
      <c r="Q20" s="46"/>
      <c r="R20" s="46"/>
      <c r="S20" s="46"/>
      <c r="T20" s="41"/>
      <c r="U20" s="29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</row>
    <row r="21" spans="1:125" s="2" customFormat="1" ht="18" hidden="1" customHeight="1">
      <c r="A21" s="6"/>
      <c r="B21" s="48"/>
      <c r="C21" s="184"/>
      <c r="D21" s="185"/>
      <c r="E21" s="184"/>
      <c r="F21" s="185"/>
      <c r="G21" s="186"/>
      <c r="H21" s="185"/>
      <c r="I21" s="186"/>
      <c r="J21" s="41"/>
      <c r="K21" s="186"/>
      <c r="L21" s="187"/>
      <c r="M21" s="188"/>
      <c r="N21" s="189"/>
      <c r="O21" s="187"/>
      <c r="P21" s="186"/>
      <c r="Q21" s="192"/>
      <c r="R21" s="192"/>
      <c r="S21" s="192"/>
      <c r="T21" s="187"/>
      <c r="U21" s="29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</row>
    <row r="22" spans="1:125" s="2" customFormat="1" ht="18" hidden="1" customHeight="1">
      <c r="A22" s="6"/>
      <c r="B22" s="48"/>
      <c r="C22" s="38"/>
      <c r="D22" s="39"/>
      <c r="E22" s="38"/>
      <c r="F22" s="39"/>
      <c r="G22" s="40"/>
      <c r="H22" s="39"/>
      <c r="I22" s="40"/>
      <c r="J22" s="41"/>
      <c r="K22" s="40"/>
      <c r="L22" s="41"/>
      <c r="M22" s="42"/>
      <c r="N22" s="43"/>
      <c r="O22" s="41"/>
      <c r="P22" s="40"/>
      <c r="Q22" s="46"/>
      <c r="R22" s="46"/>
      <c r="S22" s="46"/>
      <c r="T22" s="41"/>
      <c r="U22" s="29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</row>
    <row r="23" spans="1:125" s="2" customFormat="1" ht="18" hidden="1" customHeight="1">
      <c r="A23" s="6"/>
      <c r="B23" s="48"/>
      <c r="C23" s="184"/>
      <c r="D23" s="185"/>
      <c r="E23" s="184"/>
      <c r="F23" s="185"/>
      <c r="G23" s="186"/>
      <c r="H23" s="185"/>
      <c r="I23" s="186"/>
      <c r="J23" s="41"/>
      <c r="K23" s="186"/>
      <c r="L23" s="187"/>
      <c r="M23" s="188"/>
      <c r="N23" s="189"/>
      <c r="O23" s="187"/>
      <c r="P23" s="186"/>
      <c r="Q23" s="192"/>
      <c r="R23" s="192"/>
      <c r="S23" s="192"/>
      <c r="T23" s="187"/>
      <c r="U23" s="29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</row>
    <row r="24" spans="1:125" s="2" customFormat="1" ht="18" hidden="1" customHeight="1">
      <c r="A24" s="6"/>
      <c r="B24" s="48"/>
      <c r="C24" s="38"/>
      <c r="D24" s="39"/>
      <c r="E24" s="38"/>
      <c r="F24" s="39"/>
      <c r="G24" s="40"/>
      <c r="H24" s="39"/>
      <c r="I24" s="40"/>
      <c r="J24" s="41"/>
      <c r="K24" s="40"/>
      <c r="L24" s="41"/>
      <c r="M24" s="42"/>
      <c r="N24" s="43"/>
      <c r="O24" s="41"/>
      <c r="P24" s="40"/>
      <c r="Q24" s="46"/>
      <c r="R24" s="46"/>
      <c r="S24" s="46"/>
      <c r="T24" s="41"/>
      <c r="U24" s="29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</row>
    <row r="25" spans="1:125" s="2" customFormat="1" ht="18" hidden="1" customHeight="1">
      <c r="A25" s="6"/>
      <c r="B25" s="48"/>
      <c r="C25" s="184"/>
      <c r="D25" s="185"/>
      <c r="E25" s="184"/>
      <c r="F25" s="185"/>
      <c r="G25" s="186"/>
      <c r="H25" s="185"/>
      <c r="I25" s="186"/>
      <c r="J25" s="41"/>
      <c r="K25" s="186"/>
      <c r="L25" s="187"/>
      <c r="M25" s="188"/>
      <c r="N25" s="189"/>
      <c r="O25" s="187"/>
      <c r="P25" s="186"/>
      <c r="Q25" s="192"/>
      <c r="R25" s="192"/>
      <c r="S25" s="192"/>
      <c r="T25" s="187"/>
      <c r="U25" s="29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</row>
    <row r="26" spans="1:125" s="2" customFormat="1" ht="18" hidden="1" customHeight="1">
      <c r="A26" s="6"/>
      <c r="B26" s="48"/>
      <c r="C26" s="38"/>
      <c r="D26" s="39"/>
      <c r="E26" s="38"/>
      <c r="F26" s="39"/>
      <c r="G26" s="40"/>
      <c r="H26" s="39"/>
      <c r="I26" s="40"/>
      <c r="J26" s="41"/>
      <c r="K26" s="40"/>
      <c r="L26" s="41"/>
      <c r="M26" s="42"/>
      <c r="N26" s="43"/>
      <c r="O26" s="41"/>
      <c r="P26" s="40"/>
      <c r="Q26" s="46"/>
      <c r="R26" s="46"/>
      <c r="S26" s="46"/>
      <c r="T26" s="41"/>
      <c r="U26" s="29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</row>
    <row r="27" spans="1:125" s="2" customFormat="1" ht="18" customHeight="1">
      <c r="A27" s="6"/>
      <c r="B27" s="48"/>
      <c r="C27" s="1793"/>
      <c r="D27" s="1793"/>
      <c r="E27" s="1793"/>
      <c r="F27" s="1793"/>
      <c r="G27" s="1793"/>
      <c r="H27" s="1793"/>
      <c r="I27" s="1794"/>
      <c r="J27" s="462">
        <f>SUM(J5:J26)</f>
        <v>3222.45</v>
      </c>
      <c r="K27" s="179"/>
      <c r="L27" s="115"/>
      <c r="M27" s="114">
        <f>SUM(M5:M26)</f>
        <v>39047.031000000003</v>
      </c>
      <c r="N27" s="180"/>
      <c r="O27" s="114">
        <f>SUM(O5:O26)</f>
        <v>7809.4</v>
      </c>
      <c r="P27" s="181" t="s">
        <v>44</v>
      </c>
      <c r="Q27" s="182"/>
      <c r="R27" s="116">
        <f>T27/O27</f>
        <v>1.8456996145734628</v>
      </c>
      <c r="S27" s="183" t="s">
        <v>45</v>
      </c>
      <c r="T27" s="1529">
        <f>SUM(T5:T26)</f>
        <v>14413.806570049999</v>
      </c>
      <c r="U27" s="29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</row>
    <row r="28" spans="1:125" s="76" customFormat="1" ht="6" customHeight="1">
      <c r="A28" s="71"/>
      <c r="B28" s="72"/>
      <c r="C28" s="73"/>
      <c r="D28" s="73"/>
      <c r="E28" s="73"/>
      <c r="F28" s="73"/>
      <c r="G28" s="73"/>
      <c r="H28" s="73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5"/>
      <c r="U28" s="29"/>
      <c r="V28" s="2"/>
      <c r="W28" s="2"/>
      <c r="X28" s="2"/>
      <c r="Y28" s="2"/>
      <c r="Z28" s="2"/>
      <c r="AA28" s="2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</row>
    <row r="29" spans="1:125" s="76" customFormat="1">
      <c r="A29" s="71"/>
      <c r="B29" s="1826" t="s">
        <v>134</v>
      </c>
      <c r="C29" s="1827"/>
      <c r="D29" s="1827"/>
      <c r="E29" s="1827"/>
      <c r="F29" s="1827"/>
      <c r="G29" s="1827"/>
      <c r="H29" s="1827"/>
      <c r="I29" s="1827"/>
      <c r="J29" s="1827"/>
      <c r="K29" s="1827"/>
      <c r="L29" s="1827"/>
      <c r="M29" s="1827"/>
      <c r="N29" s="1827"/>
      <c r="O29" s="1827"/>
      <c r="P29" s="1827"/>
      <c r="Q29" s="1827"/>
      <c r="R29" s="1827"/>
      <c r="S29" s="1827"/>
      <c r="T29" s="1828"/>
      <c r="U29" s="29"/>
      <c r="V29" s="2"/>
      <c r="W29" s="2"/>
      <c r="X29" s="2"/>
      <c r="Y29" s="2"/>
      <c r="Z29" s="2"/>
      <c r="AA29" s="2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</row>
    <row r="30" spans="1:125" s="76" customFormat="1">
      <c r="A30" s="71"/>
      <c r="B30" s="1829"/>
      <c r="C30" s="1830"/>
      <c r="D30" s="1830"/>
      <c r="E30" s="1830"/>
      <c r="F30" s="1830"/>
      <c r="G30" s="1830"/>
      <c r="H30" s="1830"/>
      <c r="I30" s="1830"/>
      <c r="J30" s="1830"/>
      <c r="K30" s="1830"/>
      <c r="L30" s="1830"/>
      <c r="M30" s="1830"/>
      <c r="N30" s="1830"/>
      <c r="O30" s="1830"/>
      <c r="P30" s="1830"/>
      <c r="Q30" s="1830"/>
      <c r="R30" s="1830"/>
      <c r="S30" s="1830"/>
      <c r="T30" s="1831"/>
      <c r="U30" s="29"/>
      <c r="V30" s="2"/>
      <c r="W30" s="2"/>
      <c r="X30" s="2"/>
      <c r="Y30" s="2"/>
      <c r="Z30" s="2"/>
      <c r="AA30" s="2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</row>
    <row r="31" spans="1:125" s="76" customFormat="1" ht="5.0999999999999996" customHeight="1">
      <c r="A31" s="97"/>
      <c r="B31" s="72"/>
      <c r="C31" s="72"/>
      <c r="D31" s="72"/>
      <c r="E31" s="72"/>
      <c r="F31" s="72"/>
      <c r="G31" s="72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  <c r="T31" s="78"/>
      <c r="U31" s="104"/>
      <c r="V31" s="2"/>
      <c r="W31" s="2"/>
      <c r="X31" s="2"/>
      <c r="Y31" s="2"/>
      <c r="Z31" s="2"/>
      <c r="AA31" s="2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</row>
    <row r="32" spans="1:125">
      <c r="Z32" s="2"/>
      <c r="AA32" s="2"/>
    </row>
    <row r="33" spans="2:27">
      <c r="Z33" s="2"/>
      <c r="AA33" s="2"/>
    </row>
    <row r="34" spans="2:27">
      <c r="Z34" s="2"/>
      <c r="AA34" s="2"/>
    </row>
    <row r="35" spans="2:27">
      <c r="B35" s="3" t="s">
        <v>133</v>
      </c>
      <c r="Z35" s="76"/>
      <c r="AA35" s="76"/>
    </row>
    <row r="36" spans="2:27">
      <c r="Z36" s="76"/>
      <c r="AA36" s="76"/>
    </row>
    <row r="37" spans="2:27">
      <c r="Z37" s="3"/>
      <c r="AA37" s="3"/>
    </row>
    <row r="38" spans="2:27">
      <c r="Z38" s="3"/>
      <c r="AA38" s="3"/>
    </row>
    <row r="39" spans="2:27">
      <c r="Z39" s="3"/>
      <c r="AA39" s="3"/>
    </row>
    <row r="40" spans="2:27">
      <c r="Z40" s="3"/>
      <c r="AA40" s="3"/>
    </row>
    <row r="41" spans="2:27">
      <c r="B41" s="1535"/>
      <c r="C41" s="1822" t="s">
        <v>4</v>
      </c>
      <c r="D41" s="1823"/>
      <c r="E41" s="1803" t="s">
        <v>5</v>
      </c>
      <c r="F41" s="1822" t="s">
        <v>6</v>
      </c>
      <c r="G41" s="1832"/>
      <c r="H41" s="1832"/>
      <c r="I41" s="1823"/>
      <c r="J41" s="1540" t="s">
        <v>7</v>
      </c>
      <c r="K41" s="1540" t="s">
        <v>8</v>
      </c>
      <c r="L41" s="1540" t="s">
        <v>9</v>
      </c>
      <c r="M41" s="1540" t="s">
        <v>9</v>
      </c>
      <c r="N41" s="1540"/>
      <c r="O41" s="1803" t="s">
        <v>22</v>
      </c>
      <c r="P41" s="1832" t="s">
        <v>148</v>
      </c>
      <c r="Q41" s="1832"/>
      <c r="R41" s="1832"/>
      <c r="S41" s="1823"/>
      <c r="T41" s="1540" t="s">
        <v>12</v>
      </c>
      <c r="Z41" s="3"/>
      <c r="AA41" s="3"/>
    </row>
    <row r="42" spans="2:27">
      <c r="B42" s="1537" t="s">
        <v>228</v>
      </c>
      <c r="C42" s="1803" t="s">
        <v>14</v>
      </c>
      <c r="D42" s="1538" t="s">
        <v>15</v>
      </c>
      <c r="E42" s="1804"/>
      <c r="F42" s="1822" t="s">
        <v>16</v>
      </c>
      <c r="G42" s="1823"/>
      <c r="H42" s="1822" t="s">
        <v>17</v>
      </c>
      <c r="I42" s="1823"/>
      <c r="J42" s="1541" t="s">
        <v>18</v>
      </c>
      <c r="K42" s="1541" t="s">
        <v>19</v>
      </c>
      <c r="L42" s="1534" t="s">
        <v>127</v>
      </c>
      <c r="M42" s="1541" t="s">
        <v>0</v>
      </c>
      <c r="N42" s="1541" t="s">
        <v>21</v>
      </c>
      <c r="O42" s="1804"/>
      <c r="P42" s="1541" t="s">
        <v>25</v>
      </c>
      <c r="Q42" s="1541" t="s">
        <v>26</v>
      </c>
      <c r="R42" s="1541" t="s">
        <v>27</v>
      </c>
      <c r="S42" s="1541" t="s">
        <v>28</v>
      </c>
      <c r="T42" s="1541" t="s">
        <v>29</v>
      </c>
      <c r="Z42" s="3"/>
      <c r="AA42" s="3"/>
    </row>
    <row r="43" spans="2:27">
      <c r="B43" s="1537"/>
      <c r="C43" s="1804"/>
      <c r="D43" s="1538" t="s">
        <v>31</v>
      </c>
      <c r="E43" s="1804"/>
      <c r="F43" s="1536" t="s">
        <v>32</v>
      </c>
      <c r="G43" s="1540" t="s">
        <v>33</v>
      </c>
      <c r="H43" s="1540" t="s">
        <v>32</v>
      </c>
      <c r="I43" s="1540" t="s">
        <v>33</v>
      </c>
      <c r="J43" s="1541" t="s">
        <v>34</v>
      </c>
      <c r="K43" s="1541" t="s">
        <v>34</v>
      </c>
      <c r="L43" s="1541"/>
      <c r="M43" s="1541" t="s">
        <v>35</v>
      </c>
      <c r="N43" s="1541" t="s">
        <v>36</v>
      </c>
      <c r="O43" s="1542" t="s">
        <v>37</v>
      </c>
      <c r="P43" s="1541"/>
      <c r="Q43" s="1541" t="s">
        <v>40</v>
      </c>
      <c r="R43" s="1541" t="s">
        <v>41</v>
      </c>
      <c r="S43" s="1541" t="s">
        <v>41</v>
      </c>
      <c r="T43" s="1541" t="s">
        <v>42</v>
      </c>
      <c r="Z43" s="3"/>
      <c r="AA43" s="3"/>
    </row>
    <row r="44" spans="2:27">
      <c r="B44" s="1812" t="s">
        <v>103</v>
      </c>
      <c r="C44" s="38" t="s">
        <v>101</v>
      </c>
      <c r="D44" s="39">
        <v>187</v>
      </c>
      <c r="E44" s="38" t="s">
        <v>128</v>
      </c>
      <c r="F44" s="39">
        <v>15</v>
      </c>
      <c r="G44" s="40">
        <v>9.67</v>
      </c>
      <c r="H44" s="39">
        <v>92</v>
      </c>
      <c r="I44" s="40">
        <v>1.55</v>
      </c>
      <c r="J44" s="41">
        <f t="shared" ref="J44:J46" si="7">IF(F44="","",((H44-F44)*20)+I44-G44)</f>
        <v>1531.8799999999999</v>
      </c>
      <c r="K44" s="40"/>
      <c r="L44" s="41">
        <f>L5</f>
        <v>18783.7</v>
      </c>
      <c r="M44" s="41">
        <f t="shared" ref="M44:M46" si="8">IF(F44="","",(J44*K44)+L44)</f>
        <v>18783.7</v>
      </c>
      <c r="N44" s="43">
        <v>20</v>
      </c>
      <c r="O44" s="41">
        <f t="shared" ref="O44:O46" si="9">IF(F44="","",ROUND(M44*N44/100,2))</f>
        <v>3756.74</v>
      </c>
      <c r="P44" s="40">
        <v>0.04</v>
      </c>
      <c r="Q44" s="40">
        <f t="shared" ref="Q44:Q46" si="10">IF(F44="","",IF(D44&gt;H44,((D44-H44)*0.02),IF(D44&lt;F44,((F44-D44)*0.02),IF(F44="","",0))))</f>
        <v>1.9000000000000001</v>
      </c>
      <c r="R44" s="40">
        <f t="shared" ref="R44:R46" si="11">IF(F44="","",IF(D44&gt;H44,((((H44-F44)*20)+I44-G44)/2000),IF(D44&gt;F44,((((D44-F44)*0.02)^2)+(((H44-D44)*0.02)^2))/(2*((H44-F44)*0.02)),((((H44-F44)*20)+I44-G44)/2000))))</f>
        <v>0.76593999999999995</v>
      </c>
      <c r="S44" s="40">
        <f t="shared" ref="S44:S46" si="12">IF(F44="","",P44+Q44+R44)</f>
        <v>2.70594</v>
      </c>
      <c r="T44" s="41">
        <f t="shared" ref="T44:T46" si="13">IF(F44="","",O44*S44)</f>
        <v>10165.513035599999</v>
      </c>
      <c r="Z44" s="3"/>
      <c r="AA44" s="3"/>
    </row>
    <row r="45" spans="2:27">
      <c r="B45" s="1812"/>
      <c r="C45" s="38" t="s">
        <v>101</v>
      </c>
      <c r="D45" s="39">
        <v>187</v>
      </c>
      <c r="E45" s="38" t="s">
        <v>130</v>
      </c>
      <c r="F45" s="39">
        <v>92</v>
      </c>
      <c r="G45" s="40">
        <v>1.55</v>
      </c>
      <c r="H45" s="39">
        <v>132</v>
      </c>
      <c r="I45" s="40">
        <v>12.12</v>
      </c>
      <c r="J45" s="41">
        <f t="shared" si="7"/>
        <v>810.57</v>
      </c>
      <c r="K45" s="40">
        <v>10.3</v>
      </c>
      <c r="L45" s="41"/>
      <c r="M45" s="41">
        <f t="shared" si="8"/>
        <v>8348.871000000001</v>
      </c>
      <c r="N45" s="43">
        <v>20</v>
      </c>
      <c r="O45" s="41">
        <f t="shared" si="9"/>
        <v>1669.77</v>
      </c>
      <c r="P45" s="40">
        <v>0.04</v>
      </c>
      <c r="Q45" s="40">
        <f t="shared" si="10"/>
        <v>1.1000000000000001</v>
      </c>
      <c r="R45" s="40">
        <f t="shared" si="11"/>
        <v>0.40528500000000001</v>
      </c>
      <c r="S45" s="40">
        <f t="shared" si="12"/>
        <v>1.5452850000000002</v>
      </c>
      <c r="T45" s="41">
        <f t="shared" si="13"/>
        <v>2580.2705344500005</v>
      </c>
      <c r="Z45" s="3"/>
      <c r="AA45" s="3"/>
    </row>
    <row r="46" spans="2:27" ht="25.5">
      <c r="B46" s="1812"/>
      <c r="C46" s="38" t="s">
        <v>101</v>
      </c>
      <c r="D46" s="39">
        <v>187</v>
      </c>
      <c r="E46" s="38" t="s">
        <v>241</v>
      </c>
      <c r="F46" s="39">
        <v>132</v>
      </c>
      <c r="G46" s="40">
        <v>12.12</v>
      </c>
      <c r="H46" s="39">
        <v>176</v>
      </c>
      <c r="I46" s="40">
        <v>12.12</v>
      </c>
      <c r="J46" s="41">
        <f t="shared" si="7"/>
        <v>880</v>
      </c>
      <c r="K46" s="40"/>
      <c r="L46" s="41">
        <f>L7</f>
        <v>11914.46</v>
      </c>
      <c r="M46" s="41">
        <f t="shared" si="8"/>
        <v>11914.46</v>
      </c>
      <c r="N46" s="43">
        <v>20</v>
      </c>
      <c r="O46" s="41">
        <f t="shared" si="9"/>
        <v>2382.89</v>
      </c>
      <c r="P46" s="40">
        <v>0.04</v>
      </c>
      <c r="Q46" s="40">
        <f t="shared" si="10"/>
        <v>0.22</v>
      </c>
      <c r="R46" s="40">
        <f t="shared" si="11"/>
        <v>0.44</v>
      </c>
      <c r="S46" s="40">
        <f t="shared" si="12"/>
        <v>0.7</v>
      </c>
      <c r="T46" s="41">
        <f t="shared" si="13"/>
        <v>1668.0229999999999</v>
      </c>
      <c r="Z46" s="3"/>
      <c r="AA46" s="3"/>
    </row>
    <row r="47" spans="2:27">
      <c r="B47" s="1580"/>
      <c r="C47" s="38"/>
      <c r="D47" s="39"/>
      <c r="E47" s="38"/>
      <c r="F47" s="39"/>
      <c r="G47" s="40"/>
      <c r="H47" s="39"/>
      <c r="I47" s="40"/>
      <c r="J47" s="41"/>
      <c r="K47" s="40"/>
      <c r="L47" s="41"/>
      <c r="M47" s="42"/>
      <c r="N47" s="43"/>
      <c r="O47" s="41"/>
      <c r="P47" s="40"/>
      <c r="Q47" s="46"/>
      <c r="R47" s="46"/>
      <c r="S47" s="46"/>
      <c r="T47" s="41"/>
      <c r="Z47" s="3"/>
      <c r="AA47" s="3"/>
    </row>
    <row r="48" spans="2:27">
      <c r="B48" s="1580"/>
      <c r="C48" s="38"/>
      <c r="D48" s="39"/>
      <c r="E48" s="38"/>
      <c r="F48" s="39"/>
      <c r="G48" s="40"/>
      <c r="H48" s="39"/>
      <c r="I48" s="40"/>
      <c r="J48" s="41"/>
      <c r="K48" s="40"/>
      <c r="L48" s="41"/>
      <c r="M48" s="42"/>
      <c r="N48" s="43"/>
      <c r="O48" s="41"/>
      <c r="P48" s="40"/>
      <c r="Q48" s="46"/>
      <c r="R48" s="46"/>
      <c r="S48" s="46"/>
      <c r="T48" s="41"/>
      <c r="Z48" s="3"/>
      <c r="AA48" s="3"/>
    </row>
    <row r="49" spans="2:27">
      <c r="B49" s="1580"/>
      <c r="C49" s="38"/>
      <c r="D49" s="39"/>
      <c r="E49" s="38"/>
      <c r="F49" s="39"/>
      <c r="G49" s="40"/>
      <c r="H49" s="39"/>
      <c r="I49" s="40"/>
      <c r="J49" s="41"/>
      <c r="K49" s="40"/>
      <c r="L49" s="41"/>
      <c r="M49" s="42"/>
      <c r="N49" s="43"/>
      <c r="O49" s="41"/>
      <c r="P49" s="40"/>
      <c r="Q49" s="46"/>
      <c r="R49" s="46"/>
      <c r="S49" s="46"/>
      <c r="T49" s="41"/>
      <c r="Z49" s="3"/>
      <c r="AA49" s="3"/>
    </row>
    <row r="50" spans="2:27">
      <c r="B50" s="1580"/>
      <c r="C50" s="38"/>
      <c r="D50" s="39"/>
      <c r="E50" s="38"/>
      <c r="F50" s="39"/>
      <c r="G50" s="40"/>
      <c r="H50" s="39"/>
      <c r="I50" s="40"/>
      <c r="J50" s="41"/>
      <c r="K50" s="40"/>
      <c r="L50" s="41"/>
      <c r="M50" s="42"/>
      <c r="N50" s="43"/>
      <c r="O50" s="41"/>
      <c r="P50" s="40"/>
      <c r="Q50" s="46"/>
      <c r="R50" s="46"/>
      <c r="S50" s="46"/>
      <c r="T50" s="41"/>
      <c r="Z50" s="3"/>
      <c r="AA50" s="3"/>
    </row>
    <row r="51" spans="2:27">
      <c r="B51" s="1580"/>
      <c r="C51" s="38"/>
      <c r="D51" s="39"/>
      <c r="E51" s="38"/>
      <c r="F51" s="39"/>
      <c r="G51" s="40"/>
      <c r="H51" s="39"/>
      <c r="I51" s="40"/>
      <c r="J51" s="41"/>
      <c r="K51" s="40"/>
      <c r="L51" s="41"/>
      <c r="M51" s="42"/>
      <c r="N51" s="43"/>
      <c r="O51" s="41"/>
      <c r="P51" s="40"/>
      <c r="Q51" s="46"/>
      <c r="R51" s="46"/>
      <c r="S51" s="46"/>
      <c r="T51" s="41"/>
      <c r="Z51" s="3"/>
      <c r="AA51" s="3"/>
    </row>
    <row r="52" spans="2:27">
      <c r="B52" s="1580"/>
      <c r="C52" s="38"/>
      <c r="D52" s="39"/>
      <c r="E52" s="38"/>
      <c r="F52" s="39"/>
      <c r="G52" s="40"/>
      <c r="H52" s="39"/>
      <c r="I52" s="40"/>
      <c r="J52" s="41"/>
      <c r="K52" s="40"/>
      <c r="L52" s="41"/>
      <c r="M52" s="42"/>
      <c r="N52" s="43"/>
      <c r="O52" s="41"/>
      <c r="P52" s="40"/>
      <c r="Q52" s="46"/>
      <c r="R52" s="46"/>
      <c r="S52" s="46"/>
      <c r="T52" s="41"/>
      <c r="Z52" s="456" t="s">
        <v>237</v>
      </c>
      <c r="AA52" s="456"/>
    </row>
    <row r="53" spans="2:27">
      <c r="B53" s="1580"/>
      <c r="C53" s="38"/>
      <c r="D53" s="39"/>
      <c r="E53" s="38"/>
      <c r="F53" s="39"/>
      <c r="G53" s="40"/>
      <c r="H53" s="39"/>
      <c r="I53" s="40"/>
      <c r="J53" s="41"/>
      <c r="K53" s="40"/>
      <c r="L53" s="41"/>
      <c r="M53" s="42"/>
      <c r="N53" s="43"/>
      <c r="O53" s="41"/>
      <c r="P53" s="40"/>
      <c r="Q53" s="46"/>
      <c r="R53" s="46"/>
      <c r="S53" s="46"/>
      <c r="T53" s="41"/>
      <c r="Z53" s="3"/>
      <c r="AA53" s="3"/>
    </row>
    <row r="54" spans="2:27">
      <c r="B54" s="1580"/>
      <c r="C54" s="1824"/>
      <c r="D54" s="1824"/>
      <c r="E54" s="1824"/>
      <c r="F54" s="1824"/>
      <c r="G54" s="1824"/>
      <c r="H54" s="1824"/>
      <c r="I54" s="1825"/>
      <c r="J54" s="462">
        <f>SUM(J44:J53)</f>
        <v>3222.45</v>
      </c>
      <c r="K54" s="1581"/>
      <c r="L54" s="1582"/>
      <c r="M54" s="462">
        <f>SUM(M44:M53)</f>
        <v>39047.031000000003</v>
      </c>
      <c r="N54" s="1583"/>
      <c r="O54" s="462">
        <f>SUM(O44:O53)</f>
        <v>7809.4</v>
      </c>
      <c r="P54" s="1584" t="s">
        <v>44</v>
      </c>
      <c r="Q54" s="1585"/>
      <c r="R54" s="1586">
        <f>T54/O54</f>
        <v>1.8456996145734628</v>
      </c>
      <c r="S54" s="1587" t="s">
        <v>45</v>
      </c>
      <c r="T54" s="1588">
        <f>SUM(T44:T53)</f>
        <v>14413.806570049999</v>
      </c>
      <c r="Z54" s="3"/>
      <c r="AA54" s="3"/>
    </row>
    <row r="55" spans="2:27">
      <c r="B55" s="72"/>
      <c r="C55" s="73"/>
      <c r="D55" s="73"/>
      <c r="E55" s="73"/>
      <c r="F55" s="73"/>
      <c r="G55" s="73"/>
      <c r="H55" s="73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5"/>
      <c r="Z55" s="3"/>
      <c r="AA55" s="3"/>
    </row>
    <row r="56" spans="2:27">
      <c r="B56" s="1826" t="s">
        <v>134</v>
      </c>
      <c r="C56" s="1827"/>
      <c r="D56" s="1827"/>
      <c r="E56" s="1827"/>
      <c r="F56" s="1827"/>
      <c r="G56" s="1827"/>
      <c r="H56" s="1827"/>
      <c r="I56" s="1827"/>
      <c r="J56" s="1827"/>
      <c r="K56" s="1827"/>
      <c r="L56" s="1827"/>
      <c r="M56" s="1827"/>
      <c r="N56" s="1827"/>
      <c r="O56" s="1827"/>
      <c r="P56" s="1827"/>
      <c r="Q56" s="1827"/>
      <c r="R56" s="1827"/>
      <c r="S56" s="1827"/>
      <c r="T56" s="1828"/>
      <c r="Z56" s="3"/>
      <c r="AA56" s="3"/>
    </row>
    <row r="57" spans="2:27">
      <c r="B57" s="1829"/>
      <c r="C57" s="1830"/>
      <c r="D57" s="1830"/>
      <c r="E57" s="1830"/>
      <c r="F57" s="1830"/>
      <c r="G57" s="1830"/>
      <c r="H57" s="1830"/>
      <c r="I57" s="1830"/>
      <c r="J57" s="1830"/>
      <c r="K57" s="1830"/>
      <c r="L57" s="1830"/>
      <c r="M57" s="1830"/>
      <c r="N57" s="1830"/>
      <c r="O57" s="1830"/>
      <c r="P57" s="1830"/>
      <c r="Q57" s="1830"/>
      <c r="R57" s="1830"/>
      <c r="S57" s="1830"/>
      <c r="T57" s="1831"/>
      <c r="Z57" s="3"/>
      <c r="AA57" s="3"/>
    </row>
  </sheetData>
  <mergeCells count="22">
    <mergeCell ref="H42:I42"/>
    <mergeCell ref="B44:B46"/>
    <mergeCell ref="C54:I54"/>
    <mergeCell ref="B56:T57"/>
    <mergeCell ref="B5:B7"/>
    <mergeCell ref="C27:I27"/>
    <mergeCell ref="B29:T30"/>
    <mergeCell ref="C41:D41"/>
    <mergeCell ref="E41:E43"/>
    <mergeCell ref="F41:I41"/>
    <mergeCell ref="O41:O42"/>
    <mergeCell ref="P41:S41"/>
    <mergeCell ref="C42:C43"/>
    <mergeCell ref="F42:G42"/>
    <mergeCell ref="C2:D2"/>
    <mergeCell ref="E2:E4"/>
    <mergeCell ref="F2:I2"/>
    <mergeCell ref="O2:O3"/>
    <mergeCell ref="P2:S2"/>
    <mergeCell ref="C3:C4"/>
    <mergeCell ref="F3:G3"/>
    <mergeCell ref="H3:I3"/>
  </mergeCells>
  <conditionalFormatting sqref="L5 L7:L8 L10 L12 L14 L16 L18 L20 L22 L24 L26">
    <cfRule type="cellIs" dxfId="236" priority="4" operator="equal">
      <formula>0</formula>
    </cfRule>
  </conditionalFormatting>
  <conditionalFormatting sqref="L6 L9 L11 L13 L15 L17 L19 L21 L23 L25">
    <cfRule type="cellIs" dxfId="235" priority="3" operator="equal">
      <formula>0</formula>
    </cfRule>
  </conditionalFormatting>
  <conditionalFormatting sqref="L44 L46:L47 L49 L51 L53">
    <cfRule type="cellIs" dxfId="234" priority="2" operator="equal">
      <formula>0</formula>
    </cfRule>
  </conditionalFormatting>
  <conditionalFormatting sqref="L45 L48 L50 L52">
    <cfRule type="cellIs" dxfId="233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1" fitToHeight="10" orientation="landscape" horizontalDpi="4294967294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85AA2-78A7-429A-8A61-5206EB7C0496}">
  <sheetPr>
    <tabColor rgb="FF00FF00"/>
  </sheetPr>
  <dimension ref="A1:V30"/>
  <sheetViews>
    <sheetView view="pageBreakPreview" zoomScaleNormal="75" zoomScaleSheetLayoutView="100" workbookViewId="0">
      <selection activeCell="DQ46" sqref="DQ46:DR6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.7109375" style="3" bestFit="1" customWidth="1"/>
    <col min="5" max="5" width="28" style="3" bestFit="1" customWidth="1"/>
    <col min="6" max="9" width="6.85546875" style="3" customWidth="1"/>
    <col min="10" max="10" width="11.7109375" style="3" bestFit="1" customWidth="1"/>
    <col min="11" max="11" width="15.85546875" style="3" customWidth="1"/>
    <col min="12" max="12" width="14.7109375" style="3" customWidth="1"/>
    <col min="13" max="13" width="15.85546875" style="3" customWidth="1"/>
    <col min="14" max="14" width="6.28515625" style="3" customWidth="1"/>
    <col min="15" max="15" width="5.42578125" style="3" bestFit="1" customWidth="1"/>
    <col min="16" max="16" width="11.7109375" style="3" customWidth="1"/>
    <col min="17" max="17" width="3" style="107" customWidth="1"/>
    <col min="18" max="249" width="11.42578125" style="3"/>
    <col min="250" max="250" width="23.7109375" style="3" customWidth="1"/>
    <col min="251" max="251" width="0" style="3" hidden="1" customWidth="1"/>
    <col min="252" max="252" width="41.42578125" style="3" customWidth="1"/>
    <col min="253" max="253" width="19.140625" style="3" customWidth="1"/>
    <col min="254" max="254" width="6.28515625" style="3" customWidth="1"/>
    <col min="255" max="255" width="6" style="3" customWidth="1"/>
    <col min="256" max="256" width="7.42578125" style="3" customWidth="1"/>
    <col min="257" max="257" width="5.7109375" style="3" customWidth="1"/>
    <col min="258" max="258" width="5.28515625" style="3" customWidth="1"/>
    <col min="259" max="259" width="10" style="3" customWidth="1"/>
    <col min="260" max="260" width="6.28515625" style="3" customWidth="1"/>
    <col min="261" max="261" width="8.28515625" style="3" customWidth="1"/>
    <col min="262" max="262" width="12.42578125" style="3" customWidth="1"/>
    <col min="263" max="263" width="5.28515625" style="3" customWidth="1"/>
    <col min="264" max="264" width="10.85546875" style="3" customWidth="1"/>
    <col min="265" max="265" width="4.85546875" style="3" customWidth="1"/>
    <col min="266" max="266" width="5.140625" style="3" customWidth="1"/>
    <col min="267" max="267" width="10.5703125" style="3" customWidth="1"/>
    <col min="268" max="268" width="6.28515625" style="3" customWidth="1"/>
    <col min="269" max="269" width="6.5703125" style="3" customWidth="1"/>
    <col min="270" max="270" width="7.42578125" style="3" customWidth="1"/>
    <col min="271" max="271" width="6.85546875" style="3" customWidth="1"/>
    <col min="272" max="272" width="10.7109375" style="3" customWidth="1"/>
    <col min="273" max="273" width="5.140625" style="3" customWidth="1"/>
    <col min="274" max="505" width="11.42578125" style="3"/>
    <col min="506" max="506" width="23.7109375" style="3" customWidth="1"/>
    <col min="507" max="507" width="0" style="3" hidden="1" customWidth="1"/>
    <col min="508" max="508" width="41.42578125" style="3" customWidth="1"/>
    <col min="509" max="509" width="19.140625" style="3" customWidth="1"/>
    <col min="510" max="510" width="6.28515625" style="3" customWidth="1"/>
    <col min="511" max="511" width="6" style="3" customWidth="1"/>
    <col min="512" max="512" width="7.42578125" style="3" customWidth="1"/>
    <col min="513" max="513" width="5.7109375" style="3" customWidth="1"/>
    <col min="514" max="514" width="5.28515625" style="3" customWidth="1"/>
    <col min="515" max="515" width="10" style="3" customWidth="1"/>
    <col min="516" max="516" width="6.28515625" style="3" customWidth="1"/>
    <col min="517" max="517" width="8.28515625" style="3" customWidth="1"/>
    <col min="518" max="518" width="12.42578125" style="3" customWidth="1"/>
    <col min="519" max="519" width="5.28515625" style="3" customWidth="1"/>
    <col min="520" max="520" width="10.85546875" style="3" customWidth="1"/>
    <col min="521" max="521" width="4.85546875" style="3" customWidth="1"/>
    <col min="522" max="522" width="5.140625" style="3" customWidth="1"/>
    <col min="523" max="523" width="10.5703125" style="3" customWidth="1"/>
    <col min="524" max="524" width="6.28515625" style="3" customWidth="1"/>
    <col min="525" max="525" width="6.5703125" style="3" customWidth="1"/>
    <col min="526" max="526" width="7.42578125" style="3" customWidth="1"/>
    <col min="527" max="527" width="6.85546875" style="3" customWidth="1"/>
    <col min="528" max="528" width="10.7109375" style="3" customWidth="1"/>
    <col min="529" max="529" width="5.140625" style="3" customWidth="1"/>
    <col min="530" max="761" width="11.42578125" style="3"/>
    <col min="762" max="762" width="23.7109375" style="3" customWidth="1"/>
    <col min="763" max="763" width="0" style="3" hidden="1" customWidth="1"/>
    <col min="764" max="764" width="41.42578125" style="3" customWidth="1"/>
    <col min="765" max="765" width="19.140625" style="3" customWidth="1"/>
    <col min="766" max="766" width="6.28515625" style="3" customWidth="1"/>
    <col min="767" max="767" width="6" style="3" customWidth="1"/>
    <col min="768" max="768" width="7.42578125" style="3" customWidth="1"/>
    <col min="769" max="769" width="5.7109375" style="3" customWidth="1"/>
    <col min="770" max="770" width="5.28515625" style="3" customWidth="1"/>
    <col min="771" max="771" width="10" style="3" customWidth="1"/>
    <col min="772" max="772" width="6.28515625" style="3" customWidth="1"/>
    <col min="773" max="773" width="8.28515625" style="3" customWidth="1"/>
    <col min="774" max="774" width="12.42578125" style="3" customWidth="1"/>
    <col min="775" max="775" width="5.28515625" style="3" customWidth="1"/>
    <col min="776" max="776" width="10.85546875" style="3" customWidth="1"/>
    <col min="777" max="777" width="4.85546875" style="3" customWidth="1"/>
    <col min="778" max="778" width="5.140625" style="3" customWidth="1"/>
    <col min="779" max="779" width="10.5703125" style="3" customWidth="1"/>
    <col min="780" max="780" width="6.28515625" style="3" customWidth="1"/>
    <col min="781" max="781" width="6.5703125" style="3" customWidth="1"/>
    <col min="782" max="782" width="7.42578125" style="3" customWidth="1"/>
    <col min="783" max="783" width="6.85546875" style="3" customWidth="1"/>
    <col min="784" max="784" width="10.7109375" style="3" customWidth="1"/>
    <col min="785" max="785" width="5.140625" style="3" customWidth="1"/>
    <col min="786" max="1017" width="11.42578125" style="3"/>
    <col min="1018" max="1018" width="23.7109375" style="3" customWidth="1"/>
    <col min="1019" max="1019" width="0" style="3" hidden="1" customWidth="1"/>
    <col min="1020" max="1020" width="41.42578125" style="3" customWidth="1"/>
    <col min="1021" max="1021" width="19.140625" style="3" customWidth="1"/>
    <col min="1022" max="1022" width="6.28515625" style="3" customWidth="1"/>
    <col min="1023" max="1023" width="6" style="3" customWidth="1"/>
    <col min="1024" max="1024" width="7.42578125" style="3" customWidth="1"/>
    <col min="1025" max="1025" width="5.7109375" style="3" customWidth="1"/>
    <col min="1026" max="1026" width="5.28515625" style="3" customWidth="1"/>
    <col min="1027" max="1027" width="10" style="3" customWidth="1"/>
    <col min="1028" max="1028" width="6.28515625" style="3" customWidth="1"/>
    <col min="1029" max="1029" width="8.28515625" style="3" customWidth="1"/>
    <col min="1030" max="1030" width="12.42578125" style="3" customWidth="1"/>
    <col min="1031" max="1031" width="5.28515625" style="3" customWidth="1"/>
    <col min="1032" max="1032" width="10.85546875" style="3" customWidth="1"/>
    <col min="1033" max="1033" width="4.85546875" style="3" customWidth="1"/>
    <col min="1034" max="1034" width="5.140625" style="3" customWidth="1"/>
    <col min="1035" max="1035" width="10.5703125" style="3" customWidth="1"/>
    <col min="1036" max="1036" width="6.28515625" style="3" customWidth="1"/>
    <col min="1037" max="1037" width="6.5703125" style="3" customWidth="1"/>
    <col min="1038" max="1038" width="7.42578125" style="3" customWidth="1"/>
    <col min="1039" max="1039" width="6.85546875" style="3" customWidth="1"/>
    <col min="1040" max="1040" width="10.7109375" style="3" customWidth="1"/>
    <col min="1041" max="1041" width="5.140625" style="3" customWidth="1"/>
    <col min="1042" max="1273" width="11.42578125" style="3"/>
    <col min="1274" max="1274" width="23.7109375" style="3" customWidth="1"/>
    <col min="1275" max="1275" width="0" style="3" hidden="1" customWidth="1"/>
    <col min="1276" max="1276" width="41.42578125" style="3" customWidth="1"/>
    <col min="1277" max="1277" width="19.140625" style="3" customWidth="1"/>
    <col min="1278" max="1278" width="6.28515625" style="3" customWidth="1"/>
    <col min="1279" max="1279" width="6" style="3" customWidth="1"/>
    <col min="1280" max="1280" width="7.42578125" style="3" customWidth="1"/>
    <col min="1281" max="1281" width="5.7109375" style="3" customWidth="1"/>
    <col min="1282" max="1282" width="5.28515625" style="3" customWidth="1"/>
    <col min="1283" max="1283" width="10" style="3" customWidth="1"/>
    <col min="1284" max="1284" width="6.28515625" style="3" customWidth="1"/>
    <col min="1285" max="1285" width="8.28515625" style="3" customWidth="1"/>
    <col min="1286" max="1286" width="12.42578125" style="3" customWidth="1"/>
    <col min="1287" max="1287" width="5.28515625" style="3" customWidth="1"/>
    <col min="1288" max="1288" width="10.85546875" style="3" customWidth="1"/>
    <col min="1289" max="1289" width="4.85546875" style="3" customWidth="1"/>
    <col min="1290" max="1290" width="5.140625" style="3" customWidth="1"/>
    <col min="1291" max="1291" width="10.5703125" style="3" customWidth="1"/>
    <col min="1292" max="1292" width="6.28515625" style="3" customWidth="1"/>
    <col min="1293" max="1293" width="6.5703125" style="3" customWidth="1"/>
    <col min="1294" max="1294" width="7.42578125" style="3" customWidth="1"/>
    <col min="1295" max="1295" width="6.85546875" style="3" customWidth="1"/>
    <col min="1296" max="1296" width="10.7109375" style="3" customWidth="1"/>
    <col min="1297" max="1297" width="5.140625" style="3" customWidth="1"/>
    <col min="1298" max="1529" width="11.42578125" style="3"/>
    <col min="1530" max="1530" width="23.7109375" style="3" customWidth="1"/>
    <col min="1531" max="1531" width="0" style="3" hidden="1" customWidth="1"/>
    <col min="1532" max="1532" width="41.42578125" style="3" customWidth="1"/>
    <col min="1533" max="1533" width="19.140625" style="3" customWidth="1"/>
    <col min="1534" max="1534" width="6.28515625" style="3" customWidth="1"/>
    <col min="1535" max="1535" width="6" style="3" customWidth="1"/>
    <col min="1536" max="1536" width="7.42578125" style="3" customWidth="1"/>
    <col min="1537" max="1537" width="5.7109375" style="3" customWidth="1"/>
    <col min="1538" max="1538" width="5.28515625" style="3" customWidth="1"/>
    <col min="1539" max="1539" width="10" style="3" customWidth="1"/>
    <col min="1540" max="1540" width="6.28515625" style="3" customWidth="1"/>
    <col min="1541" max="1541" width="8.28515625" style="3" customWidth="1"/>
    <col min="1542" max="1542" width="12.42578125" style="3" customWidth="1"/>
    <col min="1543" max="1543" width="5.28515625" style="3" customWidth="1"/>
    <col min="1544" max="1544" width="10.85546875" style="3" customWidth="1"/>
    <col min="1545" max="1545" width="4.85546875" style="3" customWidth="1"/>
    <col min="1546" max="1546" width="5.140625" style="3" customWidth="1"/>
    <col min="1547" max="1547" width="10.5703125" style="3" customWidth="1"/>
    <col min="1548" max="1548" width="6.28515625" style="3" customWidth="1"/>
    <col min="1549" max="1549" width="6.5703125" style="3" customWidth="1"/>
    <col min="1550" max="1550" width="7.42578125" style="3" customWidth="1"/>
    <col min="1551" max="1551" width="6.85546875" style="3" customWidth="1"/>
    <col min="1552" max="1552" width="10.7109375" style="3" customWidth="1"/>
    <col min="1553" max="1553" width="5.140625" style="3" customWidth="1"/>
    <col min="1554" max="1785" width="11.42578125" style="3"/>
    <col min="1786" max="1786" width="23.7109375" style="3" customWidth="1"/>
    <col min="1787" max="1787" width="0" style="3" hidden="1" customWidth="1"/>
    <col min="1788" max="1788" width="41.42578125" style="3" customWidth="1"/>
    <col min="1789" max="1789" width="19.140625" style="3" customWidth="1"/>
    <col min="1790" max="1790" width="6.28515625" style="3" customWidth="1"/>
    <col min="1791" max="1791" width="6" style="3" customWidth="1"/>
    <col min="1792" max="1792" width="7.42578125" style="3" customWidth="1"/>
    <col min="1793" max="1793" width="5.7109375" style="3" customWidth="1"/>
    <col min="1794" max="1794" width="5.28515625" style="3" customWidth="1"/>
    <col min="1795" max="1795" width="10" style="3" customWidth="1"/>
    <col min="1796" max="1796" width="6.28515625" style="3" customWidth="1"/>
    <col min="1797" max="1797" width="8.28515625" style="3" customWidth="1"/>
    <col min="1798" max="1798" width="12.42578125" style="3" customWidth="1"/>
    <col min="1799" max="1799" width="5.28515625" style="3" customWidth="1"/>
    <col min="1800" max="1800" width="10.85546875" style="3" customWidth="1"/>
    <col min="1801" max="1801" width="4.85546875" style="3" customWidth="1"/>
    <col min="1802" max="1802" width="5.140625" style="3" customWidth="1"/>
    <col min="1803" max="1803" width="10.5703125" style="3" customWidth="1"/>
    <col min="1804" max="1804" width="6.28515625" style="3" customWidth="1"/>
    <col min="1805" max="1805" width="6.5703125" style="3" customWidth="1"/>
    <col min="1806" max="1806" width="7.42578125" style="3" customWidth="1"/>
    <col min="1807" max="1807" width="6.85546875" style="3" customWidth="1"/>
    <col min="1808" max="1808" width="10.7109375" style="3" customWidth="1"/>
    <col min="1809" max="1809" width="5.140625" style="3" customWidth="1"/>
    <col min="1810" max="2041" width="11.42578125" style="3"/>
    <col min="2042" max="2042" width="23.7109375" style="3" customWidth="1"/>
    <col min="2043" max="2043" width="0" style="3" hidden="1" customWidth="1"/>
    <col min="2044" max="2044" width="41.42578125" style="3" customWidth="1"/>
    <col min="2045" max="2045" width="19.140625" style="3" customWidth="1"/>
    <col min="2046" max="2046" width="6.28515625" style="3" customWidth="1"/>
    <col min="2047" max="2047" width="6" style="3" customWidth="1"/>
    <col min="2048" max="2048" width="7.42578125" style="3" customWidth="1"/>
    <col min="2049" max="2049" width="5.7109375" style="3" customWidth="1"/>
    <col min="2050" max="2050" width="5.28515625" style="3" customWidth="1"/>
    <col min="2051" max="2051" width="10" style="3" customWidth="1"/>
    <col min="2052" max="2052" width="6.28515625" style="3" customWidth="1"/>
    <col min="2053" max="2053" width="8.28515625" style="3" customWidth="1"/>
    <col min="2054" max="2054" width="12.42578125" style="3" customWidth="1"/>
    <col min="2055" max="2055" width="5.28515625" style="3" customWidth="1"/>
    <col min="2056" max="2056" width="10.85546875" style="3" customWidth="1"/>
    <col min="2057" max="2057" width="4.85546875" style="3" customWidth="1"/>
    <col min="2058" max="2058" width="5.140625" style="3" customWidth="1"/>
    <col min="2059" max="2059" width="10.5703125" style="3" customWidth="1"/>
    <col min="2060" max="2060" width="6.28515625" style="3" customWidth="1"/>
    <col min="2061" max="2061" width="6.5703125" style="3" customWidth="1"/>
    <col min="2062" max="2062" width="7.42578125" style="3" customWidth="1"/>
    <col min="2063" max="2063" width="6.85546875" style="3" customWidth="1"/>
    <col min="2064" max="2064" width="10.7109375" style="3" customWidth="1"/>
    <col min="2065" max="2065" width="5.140625" style="3" customWidth="1"/>
    <col min="2066" max="2297" width="11.42578125" style="3"/>
    <col min="2298" max="2298" width="23.7109375" style="3" customWidth="1"/>
    <col min="2299" max="2299" width="0" style="3" hidden="1" customWidth="1"/>
    <col min="2300" max="2300" width="41.42578125" style="3" customWidth="1"/>
    <col min="2301" max="2301" width="19.140625" style="3" customWidth="1"/>
    <col min="2302" max="2302" width="6.28515625" style="3" customWidth="1"/>
    <col min="2303" max="2303" width="6" style="3" customWidth="1"/>
    <col min="2304" max="2304" width="7.42578125" style="3" customWidth="1"/>
    <col min="2305" max="2305" width="5.7109375" style="3" customWidth="1"/>
    <col min="2306" max="2306" width="5.28515625" style="3" customWidth="1"/>
    <col min="2307" max="2307" width="10" style="3" customWidth="1"/>
    <col min="2308" max="2308" width="6.28515625" style="3" customWidth="1"/>
    <col min="2309" max="2309" width="8.28515625" style="3" customWidth="1"/>
    <col min="2310" max="2310" width="12.42578125" style="3" customWidth="1"/>
    <col min="2311" max="2311" width="5.28515625" style="3" customWidth="1"/>
    <col min="2312" max="2312" width="10.85546875" style="3" customWidth="1"/>
    <col min="2313" max="2313" width="4.85546875" style="3" customWidth="1"/>
    <col min="2314" max="2314" width="5.140625" style="3" customWidth="1"/>
    <col min="2315" max="2315" width="10.5703125" style="3" customWidth="1"/>
    <col min="2316" max="2316" width="6.28515625" style="3" customWidth="1"/>
    <col min="2317" max="2317" width="6.5703125" style="3" customWidth="1"/>
    <col min="2318" max="2318" width="7.42578125" style="3" customWidth="1"/>
    <col min="2319" max="2319" width="6.85546875" style="3" customWidth="1"/>
    <col min="2320" max="2320" width="10.7109375" style="3" customWidth="1"/>
    <col min="2321" max="2321" width="5.140625" style="3" customWidth="1"/>
    <col min="2322" max="2553" width="11.42578125" style="3"/>
    <col min="2554" max="2554" width="23.7109375" style="3" customWidth="1"/>
    <col min="2555" max="2555" width="0" style="3" hidden="1" customWidth="1"/>
    <col min="2556" max="2556" width="41.42578125" style="3" customWidth="1"/>
    <col min="2557" max="2557" width="19.140625" style="3" customWidth="1"/>
    <col min="2558" max="2558" width="6.28515625" style="3" customWidth="1"/>
    <col min="2559" max="2559" width="6" style="3" customWidth="1"/>
    <col min="2560" max="2560" width="7.42578125" style="3" customWidth="1"/>
    <col min="2561" max="2561" width="5.7109375" style="3" customWidth="1"/>
    <col min="2562" max="2562" width="5.28515625" style="3" customWidth="1"/>
    <col min="2563" max="2563" width="10" style="3" customWidth="1"/>
    <col min="2564" max="2564" width="6.28515625" style="3" customWidth="1"/>
    <col min="2565" max="2565" width="8.28515625" style="3" customWidth="1"/>
    <col min="2566" max="2566" width="12.42578125" style="3" customWidth="1"/>
    <col min="2567" max="2567" width="5.28515625" style="3" customWidth="1"/>
    <col min="2568" max="2568" width="10.85546875" style="3" customWidth="1"/>
    <col min="2569" max="2569" width="4.85546875" style="3" customWidth="1"/>
    <col min="2570" max="2570" width="5.140625" style="3" customWidth="1"/>
    <col min="2571" max="2571" width="10.5703125" style="3" customWidth="1"/>
    <col min="2572" max="2572" width="6.28515625" style="3" customWidth="1"/>
    <col min="2573" max="2573" width="6.5703125" style="3" customWidth="1"/>
    <col min="2574" max="2574" width="7.42578125" style="3" customWidth="1"/>
    <col min="2575" max="2575" width="6.85546875" style="3" customWidth="1"/>
    <col min="2576" max="2576" width="10.7109375" style="3" customWidth="1"/>
    <col min="2577" max="2577" width="5.140625" style="3" customWidth="1"/>
    <col min="2578" max="2809" width="11.42578125" style="3"/>
    <col min="2810" max="2810" width="23.7109375" style="3" customWidth="1"/>
    <col min="2811" max="2811" width="0" style="3" hidden="1" customWidth="1"/>
    <col min="2812" max="2812" width="41.42578125" style="3" customWidth="1"/>
    <col min="2813" max="2813" width="19.140625" style="3" customWidth="1"/>
    <col min="2814" max="2814" width="6.28515625" style="3" customWidth="1"/>
    <col min="2815" max="2815" width="6" style="3" customWidth="1"/>
    <col min="2816" max="2816" width="7.42578125" style="3" customWidth="1"/>
    <col min="2817" max="2817" width="5.7109375" style="3" customWidth="1"/>
    <col min="2818" max="2818" width="5.28515625" style="3" customWidth="1"/>
    <col min="2819" max="2819" width="10" style="3" customWidth="1"/>
    <col min="2820" max="2820" width="6.28515625" style="3" customWidth="1"/>
    <col min="2821" max="2821" width="8.28515625" style="3" customWidth="1"/>
    <col min="2822" max="2822" width="12.42578125" style="3" customWidth="1"/>
    <col min="2823" max="2823" width="5.28515625" style="3" customWidth="1"/>
    <col min="2824" max="2824" width="10.85546875" style="3" customWidth="1"/>
    <col min="2825" max="2825" width="4.85546875" style="3" customWidth="1"/>
    <col min="2826" max="2826" width="5.140625" style="3" customWidth="1"/>
    <col min="2827" max="2827" width="10.5703125" style="3" customWidth="1"/>
    <col min="2828" max="2828" width="6.28515625" style="3" customWidth="1"/>
    <col min="2829" max="2829" width="6.5703125" style="3" customWidth="1"/>
    <col min="2830" max="2830" width="7.42578125" style="3" customWidth="1"/>
    <col min="2831" max="2831" width="6.85546875" style="3" customWidth="1"/>
    <col min="2832" max="2832" width="10.7109375" style="3" customWidth="1"/>
    <col min="2833" max="2833" width="5.140625" style="3" customWidth="1"/>
    <col min="2834" max="3065" width="11.42578125" style="3"/>
    <col min="3066" max="3066" width="23.7109375" style="3" customWidth="1"/>
    <col min="3067" max="3067" width="0" style="3" hidden="1" customWidth="1"/>
    <col min="3068" max="3068" width="41.42578125" style="3" customWidth="1"/>
    <col min="3069" max="3069" width="19.140625" style="3" customWidth="1"/>
    <col min="3070" max="3070" width="6.28515625" style="3" customWidth="1"/>
    <col min="3071" max="3071" width="6" style="3" customWidth="1"/>
    <col min="3072" max="3072" width="7.42578125" style="3" customWidth="1"/>
    <col min="3073" max="3073" width="5.7109375" style="3" customWidth="1"/>
    <col min="3074" max="3074" width="5.28515625" style="3" customWidth="1"/>
    <col min="3075" max="3075" width="10" style="3" customWidth="1"/>
    <col min="3076" max="3076" width="6.28515625" style="3" customWidth="1"/>
    <col min="3077" max="3077" width="8.28515625" style="3" customWidth="1"/>
    <col min="3078" max="3078" width="12.42578125" style="3" customWidth="1"/>
    <col min="3079" max="3079" width="5.28515625" style="3" customWidth="1"/>
    <col min="3080" max="3080" width="10.85546875" style="3" customWidth="1"/>
    <col min="3081" max="3081" width="4.85546875" style="3" customWidth="1"/>
    <col min="3082" max="3082" width="5.140625" style="3" customWidth="1"/>
    <col min="3083" max="3083" width="10.5703125" style="3" customWidth="1"/>
    <col min="3084" max="3084" width="6.28515625" style="3" customWidth="1"/>
    <col min="3085" max="3085" width="6.5703125" style="3" customWidth="1"/>
    <col min="3086" max="3086" width="7.42578125" style="3" customWidth="1"/>
    <col min="3087" max="3087" width="6.85546875" style="3" customWidth="1"/>
    <col min="3088" max="3088" width="10.7109375" style="3" customWidth="1"/>
    <col min="3089" max="3089" width="5.140625" style="3" customWidth="1"/>
    <col min="3090" max="3321" width="11.42578125" style="3"/>
    <col min="3322" max="3322" width="23.7109375" style="3" customWidth="1"/>
    <col min="3323" max="3323" width="0" style="3" hidden="1" customWidth="1"/>
    <col min="3324" max="3324" width="41.42578125" style="3" customWidth="1"/>
    <col min="3325" max="3325" width="19.140625" style="3" customWidth="1"/>
    <col min="3326" max="3326" width="6.28515625" style="3" customWidth="1"/>
    <col min="3327" max="3327" width="6" style="3" customWidth="1"/>
    <col min="3328" max="3328" width="7.42578125" style="3" customWidth="1"/>
    <col min="3329" max="3329" width="5.7109375" style="3" customWidth="1"/>
    <col min="3330" max="3330" width="5.28515625" style="3" customWidth="1"/>
    <col min="3331" max="3331" width="10" style="3" customWidth="1"/>
    <col min="3332" max="3332" width="6.28515625" style="3" customWidth="1"/>
    <col min="3333" max="3333" width="8.28515625" style="3" customWidth="1"/>
    <col min="3334" max="3334" width="12.42578125" style="3" customWidth="1"/>
    <col min="3335" max="3335" width="5.28515625" style="3" customWidth="1"/>
    <col min="3336" max="3336" width="10.85546875" style="3" customWidth="1"/>
    <col min="3337" max="3337" width="4.85546875" style="3" customWidth="1"/>
    <col min="3338" max="3338" width="5.140625" style="3" customWidth="1"/>
    <col min="3339" max="3339" width="10.5703125" style="3" customWidth="1"/>
    <col min="3340" max="3340" width="6.28515625" style="3" customWidth="1"/>
    <col min="3341" max="3341" width="6.5703125" style="3" customWidth="1"/>
    <col min="3342" max="3342" width="7.42578125" style="3" customWidth="1"/>
    <col min="3343" max="3343" width="6.85546875" style="3" customWidth="1"/>
    <col min="3344" max="3344" width="10.7109375" style="3" customWidth="1"/>
    <col min="3345" max="3345" width="5.140625" style="3" customWidth="1"/>
    <col min="3346" max="3577" width="11.42578125" style="3"/>
    <col min="3578" max="3578" width="23.7109375" style="3" customWidth="1"/>
    <col min="3579" max="3579" width="0" style="3" hidden="1" customWidth="1"/>
    <col min="3580" max="3580" width="41.42578125" style="3" customWidth="1"/>
    <col min="3581" max="3581" width="19.140625" style="3" customWidth="1"/>
    <col min="3582" max="3582" width="6.28515625" style="3" customWidth="1"/>
    <col min="3583" max="3583" width="6" style="3" customWidth="1"/>
    <col min="3584" max="3584" width="7.42578125" style="3" customWidth="1"/>
    <col min="3585" max="3585" width="5.7109375" style="3" customWidth="1"/>
    <col min="3586" max="3586" width="5.28515625" style="3" customWidth="1"/>
    <col min="3587" max="3587" width="10" style="3" customWidth="1"/>
    <col min="3588" max="3588" width="6.28515625" style="3" customWidth="1"/>
    <col min="3589" max="3589" width="8.28515625" style="3" customWidth="1"/>
    <col min="3590" max="3590" width="12.42578125" style="3" customWidth="1"/>
    <col min="3591" max="3591" width="5.28515625" style="3" customWidth="1"/>
    <col min="3592" max="3592" width="10.85546875" style="3" customWidth="1"/>
    <col min="3593" max="3593" width="4.85546875" style="3" customWidth="1"/>
    <col min="3594" max="3594" width="5.140625" style="3" customWidth="1"/>
    <col min="3595" max="3595" width="10.5703125" style="3" customWidth="1"/>
    <col min="3596" max="3596" width="6.28515625" style="3" customWidth="1"/>
    <col min="3597" max="3597" width="6.5703125" style="3" customWidth="1"/>
    <col min="3598" max="3598" width="7.42578125" style="3" customWidth="1"/>
    <col min="3599" max="3599" width="6.85546875" style="3" customWidth="1"/>
    <col min="3600" max="3600" width="10.7109375" style="3" customWidth="1"/>
    <col min="3601" max="3601" width="5.140625" style="3" customWidth="1"/>
    <col min="3602" max="3833" width="11.42578125" style="3"/>
    <col min="3834" max="3834" width="23.7109375" style="3" customWidth="1"/>
    <col min="3835" max="3835" width="0" style="3" hidden="1" customWidth="1"/>
    <col min="3836" max="3836" width="41.42578125" style="3" customWidth="1"/>
    <col min="3837" max="3837" width="19.140625" style="3" customWidth="1"/>
    <col min="3838" max="3838" width="6.28515625" style="3" customWidth="1"/>
    <col min="3839" max="3839" width="6" style="3" customWidth="1"/>
    <col min="3840" max="3840" width="7.42578125" style="3" customWidth="1"/>
    <col min="3841" max="3841" width="5.7109375" style="3" customWidth="1"/>
    <col min="3842" max="3842" width="5.28515625" style="3" customWidth="1"/>
    <col min="3843" max="3843" width="10" style="3" customWidth="1"/>
    <col min="3844" max="3844" width="6.28515625" style="3" customWidth="1"/>
    <col min="3845" max="3845" width="8.28515625" style="3" customWidth="1"/>
    <col min="3846" max="3846" width="12.42578125" style="3" customWidth="1"/>
    <col min="3847" max="3847" width="5.28515625" style="3" customWidth="1"/>
    <col min="3848" max="3848" width="10.85546875" style="3" customWidth="1"/>
    <col min="3849" max="3849" width="4.85546875" style="3" customWidth="1"/>
    <col min="3850" max="3850" width="5.140625" style="3" customWidth="1"/>
    <col min="3851" max="3851" width="10.5703125" style="3" customWidth="1"/>
    <col min="3852" max="3852" width="6.28515625" style="3" customWidth="1"/>
    <col min="3853" max="3853" width="6.5703125" style="3" customWidth="1"/>
    <col min="3854" max="3854" width="7.42578125" style="3" customWidth="1"/>
    <col min="3855" max="3855" width="6.85546875" style="3" customWidth="1"/>
    <col min="3856" max="3856" width="10.7109375" style="3" customWidth="1"/>
    <col min="3857" max="3857" width="5.140625" style="3" customWidth="1"/>
    <col min="3858" max="4089" width="11.42578125" style="3"/>
    <col min="4090" max="4090" width="23.7109375" style="3" customWidth="1"/>
    <col min="4091" max="4091" width="0" style="3" hidden="1" customWidth="1"/>
    <col min="4092" max="4092" width="41.42578125" style="3" customWidth="1"/>
    <col min="4093" max="4093" width="19.140625" style="3" customWidth="1"/>
    <col min="4094" max="4094" width="6.28515625" style="3" customWidth="1"/>
    <col min="4095" max="4095" width="6" style="3" customWidth="1"/>
    <col min="4096" max="4096" width="7.42578125" style="3" customWidth="1"/>
    <col min="4097" max="4097" width="5.7109375" style="3" customWidth="1"/>
    <col min="4098" max="4098" width="5.28515625" style="3" customWidth="1"/>
    <col min="4099" max="4099" width="10" style="3" customWidth="1"/>
    <col min="4100" max="4100" width="6.28515625" style="3" customWidth="1"/>
    <col min="4101" max="4101" width="8.28515625" style="3" customWidth="1"/>
    <col min="4102" max="4102" width="12.42578125" style="3" customWidth="1"/>
    <col min="4103" max="4103" width="5.28515625" style="3" customWidth="1"/>
    <col min="4104" max="4104" width="10.85546875" style="3" customWidth="1"/>
    <col min="4105" max="4105" width="4.85546875" style="3" customWidth="1"/>
    <col min="4106" max="4106" width="5.140625" style="3" customWidth="1"/>
    <col min="4107" max="4107" width="10.5703125" style="3" customWidth="1"/>
    <col min="4108" max="4108" width="6.28515625" style="3" customWidth="1"/>
    <col min="4109" max="4109" width="6.5703125" style="3" customWidth="1"/>
    <col min="4110" max="4110" width="7.42578125" style="3" customWidth="1"/>
    <col min="4111" max="4111" width="6.85546875" style="3" customWidth="1"/>
    <col min="4112" max="4112" width="10.7109375" style="3" customWidth="1"/>
    <col min="4113" max="4113" width="5.140625" style="3" customWidth="1"/>
    <col min="4114" max="4345" width="11.42578125" style="3"/>
    <col min="4346" max="4346" width="23.7109375" style="3" customWidth="1"/>
    <col min="4347" max="4347" width="0" style="3" hidden="1" customWidth="1"/>
    <col min="4348" max="4348" width="41.42578125" style="3" customWidth="1"/>
    <col min="4349" max="4349" width="19.140625" style="3" customWidth="1"/>
    <col min="4350" max="4350" width="6.28515625" style="3" customWidth="1"/>
    <col min="4351" max="4351" width="6" style="3" customWidth="1"/>
    <col min="4352" max="4352" width="7.42578125" style="3" customWidth="1"/>
    <col min="4353" max="4353" width="5.7109375" style="3" customWidth="1"/>
    <col min="4354" max="4354" width="5.28515625" style="3" customWidth="1"/>
    <col min="4355" max="4355" width="10" style="3" customWidth="1"/>
    <col min="4356" max="4356" width="6.28515625" style="3" customWidth="1"/>
    <col min="4357" max="4357" width="8.28515625" style="3" customWidth="1"/>
    <col min="4358" max="4358" width="12.42578125" style="3" customWidth="1"/>
    <col min="4359" max="4359" width="5.28515625" style="3" customWidth="1"/>
    <col min="4360" max="4360" width="10.85546875" style="3" customWidth="1"/>
    <col min="4361" max="4361" width="4.85546875" style="3" customWidth="1"/>
    <col min="4362" max="4362" width="5.140625" style="3" customWidth="1"/>
    <col min="4363" max="4363" width="10.5703125" style="3" customWidth="1"/>
    <col min="4364" max="4364" width="6.28515625" style="3" customWidth="1"/>
    <col min="4365" max="4365" width="6.5703125" style="3" customWidth="1"/>
    <col min="4366" max="4366" width="7.42578125" style="3" customWidth="1"/>
    <col min="4367" max="4367" width="6.85546875" style="3" customWidth="1"/>
    <col min="4368" max="4368" width="10.7109375" style="3" customWidth="1"/>
    <col min="4369" max="4369" width="5.140625" style="3" customWidth="1"/>
    <col min="4370" max="4601" width="11.42578125" style="3"/>
    <col min="4602" max="4602" width="23.7109375" style="3" customWidth="1"/>
    <col min="4603" max="4603" width="0" style="3" hidden="1" customWidth="1"/>
    <col min="4604" max="4604" width="41.42578125" style="3" customWidth="1"/>
    <col min="4605" max="4605" width="19.140625" style="3" customWidth="1"/>
    <col min="4606" max="4606" width="6.28515625" style="3" customWidth="1"/>
    <col min="4607" max="4607" width="6" style="3" customWidth="1"/>
    <col min="4608" max="4608" width="7.42578125" style="3" customWidth="1"/>
    <col min="4609" max="4609" width="5.7109375" style="3" customWidth="1"/>
    <col min="4610" max="4610" width="5.28515625" style="3" customWidth="1"/>
    <col min="4611" max="4611" width="10" style="3" customWidth="1"/>
    <col min="4612" max="4612" width="6.28515625" style="3" customWidth="1"/>
    <col min="4613" max="4613" width="8.28515625" style="3" customWidth="1"/>
    <col min="4614" max="4614" width="12.42578125" style="3" customWidth="1"/>
    <col min="4615" max="4615" width="5.28515625" style="3" customWidth="1"/>
    <col min="4616" max="4616" width="10.85546875" style="3" customWidth="1"/>
    <col min="4617" max="4617" width="4.85546875" style="3" customWidth="1"/>
    <col min="4618" max="4618" width="5.140625" style="3" customWidth="1"/>
    <col min="4619" max="4619" width="10.5703125" style="3" customWidth="1"/>
    <col min="4620" max="4620" width="6.28515625" style="3" customWidth="1"/>
    <col min="4621" max="4621" width="6.5703125" style="3" customWidth="1"/>
    <col min="4622" max="4622" width="7.42578125" style="3" customWidth="1"/>
    <col min="4623" max="4623" width="6.85546875" style="3" customWidth="1"/>
    <col min="4624" max="4624" width="10.7109375" style="3" customWidth="1"/>
    <col min="4625" max="4625" width="5.140625" style="3" customWidth="1"/>
    <col min="4626" max="4857" width="11.42578125" style="3"/>
    <col min="4858" max="4858" width="23.7109375" style="3" customWidth="1"/>
    <col min="4859" max="4859" width="0" style="3" hidden="1" customWidth="1"/>
    <col min="4860" max="4860" width="41.42578125" style="3" customWidth="1"/>
    <col min="4861" max="4861" width="19.140625" style="3" customWidth="1"/>
    <col min="4862" max="4862" width="6.28515625" style="3" customWidth="1"/>
    <col min="4863" max="4863" width="6" style="3" customWidth="1"/>
    <col min="4864" max="4864" width="7.42578125" style="3" customWidth="1"/>
    <col min="4865" max="4865" width="5.7109375" style="3" customWidth="1"/>
    <col min="4866" max="4866" width="5.28515625" style="3" customWidth="1"/>
    <col min="4867" max="4867" width="10" style="3" customWidth="1"/>
    <col min="4868" max="4868" width="6.28515625" style="3" customWidth="1"/>
    <col min="4869" max="4869" width="8.28515625" style="3" customWidth="1"/>
    <col min="4870" max="4870" width="12.42578125" style="3" customWidth="1"/>
    <col min="4871" max="4871" width="5.28515625" style="3" customWidth="1"/>
    <col min="4872" max="4872" width="10.85546875" style="3" customWidth="1"/>
    <col min="4873" max="4873" width="4.85546875" style="3" customWidth="1"/>
    <col min="4874" max="4874" width="5.140625" style="3" customWidth="1"/>
    <col min="4875" max="4875" width="10.5703125" style="3" customWidth="1"/>
    <col min="4876" max="4876" width="6.28515625" style="3" customWidth="1"/>
    <col min="4877" max="4877" width="6.5703125" style="3" customWidth="1"/>
    <col min="4878" max="4878" width="7.42578125" style="3" customWidth="1"/>
    <col min="4879" max="4879" width="6.85546875" style="3" customWidth="1"/>
    <col min="4880" max="4880" width="10.7109375" style="3" customWidth="1"/>
    <col min="4881" max="4881" width="5.140625" style="3" customWidth="1"/>
    <col min="4882" max="5113" width="11.42578125" style="3"/>
    <col min="5114" max="5114" width="23.7109375" style="3" customWidth="1"/>
    <col min="5115" max="5115" width="0" style="3" hidden="1" customWidth="1"/>
    <col min="5116" max="5116" width="41.42578125" style="3" customWidth="1"/>
    <col min="5117" max="5117" width="19.140625" style="3" customWidth="1"/>
    <col min="5118" max="5118" width="6.28515625" style="3" customWidth="1"/>
    <col min="5119" max="5119" width="6" style="3" customWidth="1"/>
    <col min="5120" max="5120" width="7.42578125" style="3" customWidth="1"/>
    <col min="5121" max="5121" width="5.7109375" style="3" customWidth="1"/>
    <col min="5122" max="5122" width="5.28515625" style="3" customWidth="1"/>
    <col min="5123" max="5123" width="10" style="3" customWidth="1"/>
    <col min="5124" max="5124" width="6.28515625" style="3" customWidth="1"/>
    <col min="5125" max="5125" width="8.28515625" style="3" customWidth="1"/>
    <col min="5126" max="5126" width="12.42578125" style="3" customWidth="1"/>
    <col min="5127" max="5127" width="5.28515625" style="3" customWidth="1"/>
    <col min="5128" max="5128" width="10.85546875" style="3" customWidth="1"/>
    <col min="5129" max="5129" width="4.85546875" style="3" customWidth="1"/>
    <col min="5130" max="5130" width="5.140625" style="3" customWidth="1"/>
    <col min="5131" max="5131" width="10.5703125" style="3" customWidth="1"/>
    <col min="5132" max="5132" width="6.28515625" style="3" customWidth="1"/>
    <col min="5133" max="5133" width="6.5703125" style="3" customWidth="1"/>
    <col min="5134" max="5134" width="7.42578125" style="3" customWidth="1"/>
    <col min="5135" max="5135" width="6.85546875" style="3" customWidth="1"/>
    <col min="5136" max="5136" width="10.7109375" style="3" customWidth="1"/>
    <col min="5137" max="5137" width="5.140625" style="3" customWidth="1"/>
    <col min="5138" max="5369" width="11.42578125" style="3"/>
    <col min="5370" max="5370" width="23.7109375" style="3" customWidth="1"/>
    <col min="5371" max="5371" width="0" style="3" hidden="1" customWidth="1"/>
    <col min="5372" max="5372" width="41.42578125" style="3" customWidth="1"/>
    <col min="5373" max="5373" width="19.140625" style="3" customWidth="1"/>
    <col min="5374" max="5374" width="6.28515625" style="3" customWidth="1"/>
    <col min="5375" max="5375" width="6" style="3" customWidth="1"/>
    <col min="5376" max="5376" width="7.42578125" style="3" customWidth="1"/>
    <col min="5377" max="5377" width="5.7109375" style="3" customWidth="1"/>
    <col min="5378" max="5378" width="5.28515625" style="3" customWidth="1"/>
    <col min="5379" max="5379" width="10" style="3" customWidth="1"/>
    <col min="5380" max="5380" width="6.28515625" style="3" customWidth="1"/>
    <col min="5381" max="5381" width="8.28515625" style="3" customWidth="1"/>
    <col min="5382" max="5382" width="12.42578125" style="3" customWidth="1"/>
    <col min="5383" max="5383" width="5.28515625" style="3" customWidth="1"/>
    <col min="5384" max="5384" width="10.85546875" style="3" customWidth="1"/>
    <col min="5385" max="5385" width="4.85546875" style="3" customWidth="1"/>
    <col min="5386" max="5386" width="5.140625" style="3" customWidth="1"/>
    <col min="5387" max="5387" width="10.5703125" style="3" customWidth="1"/>
    <col min="5388" max="5388" width="6.28515625" style="3" customWidth="1"/>
    <col min="5389" max="5389" width="6.5703125" style="3" customWidth="1"/>
    <col min="5390" max="5390" width="7.42578125" style="3" customWidth="1"/>
    <col min="5391" max="5391" width="6.85546875" style="3" customWidth="1"/>
    <col min="5392" max="5392" width="10.7109375" style="3" customWidth="1"/>
    <col min="5393" max="5393" width="5.140625" style="3" customWidth="1"/>
    <col min="5394" max="5625" width="11.42578125" style="3"/>
    <col min="5626" max="5626" width="23.7109375" style="3" customWidth="1"/>
    <col min="5627" max="5627" width="0" style="3" hidden="1" customWidth="1"/>
    <col min="5628" max="5628" width="41.42578125" style="3" customWidth="1"/>
    <col min="5629" max="5629" width="19.140625" style="3" customWidth="1"/>
    <col min="5630" max="5630" width="6.28515625" style="3" customWidth="1"/>
    <col min="5631" max="5631" width="6" style="3" customWidth="1"/>
    <col min="5632" max="5632" width="7.42578125" style="3" customWidth="1"/>
    <col min="5633" max="5633" width="5.7109375" style="3" customWidth="1"/>
    <col min="5634" max="5634" width="5.28515625" style="3" customWidth="1"/>
    <col min="5635" max="5635" width="10" style="3" customWidth="1"/>
    <col min="5636" max="5636" width="6.28515625" style="3" customWidth="1"/>
    <col min="5637" max="5637" width="8.28515625" style="3" customWidth="1"/>
    <col min="5638" max="5638" width="12.42578125" style="3" customWidth="1"/>
    <col min="5639" max="5639" width="5.28515625" style="3" customWidth="1"/>
    <col min="5640" max="5640" width="10.85546875" style="3" customWidth="1"/>
    <col min="5641" max="5641" width="4.85546875" style="3" customWidth="1"/>
    <col min="5642" max="5642" width="5.140625" style="3" customWidth="1"/>
    <col min="5643" max="5643" width="10.5703125" style="3" customWidth="1"/>
    <col min="5644" max="5644" width="6.28515625" style="3" customWidth="1"/>
    <col min="5645" max="5645" width="6.5703125" style="3" customWidth="1"/>
    <col min="5646" max="5646" width="7.42578125" style="3" customWidth="1"/>
    <col min="5647" max="5647" width="6.85546875" style="3" customWidth="1"/>
    <col min="5648" max="5648" width="10.7109375" style="3" customWidth="1"/>
    <col min="5649" max="5649" width="5.140625" style="3" customWidth="1"/>
    <col min="5650" max="5881" width="11.42578125" style="3"/>
    <col min="5882" max="5882" width="23.7109375" style="3" customWidth="1"/>
    <col min="5883" max="5883" width="0" style="3" hidden="1" customWidth="1"/>
    <col min="5884" max="5884" width="41.42578125" style="3" customWidth="1"/>
    <col min="5885" max="5885" width="19.140625" style="3" customWidth="1"/>
    <col min="5886" max="5886" width="6.28515625" style="3" customWidth="1"/>
    <col min="5887" max="5887" width="6" style="3" customWidth="1"/>
    <col min="5888" max="5888" width="7.42578125" style="3" customWidth="1"/>
    <col min="5889" max="5889" width="5.7109375" style="3" customWidth="1"/>
    <col min="5890" max="5890" width="5.28515625" style="3" customWidth="1"/>
    <col min="5891" max="5891" width="10" style="3" customWidth="1"/>
    <col min="5892" max="5892" width="6.28515625" style="3" customWidth="1"/>
    <col min="5893" max="5893" width="8.28515625" style="3" customWidth="1"/>
    <col min="5894" max="5894" width="12.42578125" style="3" customWidth="1"/>
    <col min="5895" max="5895" width="5.28515625" style="3" customWidth="1"/>
    <col min="5896" max="5896" width="10.85546875" style="3" customWidth="1"/>
    <col min="5897" max="5897" width="4.85546875" style="3" customWidth="1"/>
    <col min="5898" max="5898" width="5.140625" style="3" customWidth="1"/>
    <col min="5899" max="5899" width="10.5703125" style="3" customWidth="1"/>
    <col min="5900" max="5900" width="6.28515625" style="3" customWidth="1"/>
    <col min="5901" max="5901" width="6.5703125" style="3" customWidth="1"/>
    <col min="5902" max="5902" width="7.42578125" style="3" customWidth="1"/>
    <col min="5903" max="5903" width="6.85546875" style="3" customWidth="1"/>
    <col min="5904" max="5904" width="10.7109375" style="3" customWidth="1"/>
    <col min="5905" max="5905" width="5.140625" style="3" customWidth="1"/>
    <col min="5906" max="6137" width="11.42578125" style="3"/>
    <col min="6138" max="6138" width="23.7109375" style="3" customWidth="1"/>
    <col min="6139" max="6139" width="0" style="3" hidden="1" customWidth="1"/>
    <col min="6140" max="6140" width="41.42578125" style="3" customWidth="1"/>
    <col min="6141" max="6141" width="19.140625" style="3" customWidth="1"/>
    <col min="6142" max="6142" width="6.28515625" style="3" customWidth="1"/>
    <col min="6143" max="6143" width="6" style="3" customWidth="1"/>
    <col min="6144" max="6144" width="7.42578125" style="3" customWidth="1"/>
    <col min="6145" max="6145" width="5.7109375" style="3" customWidth="1"/>
    <col min="6146" max="6146" width="5.28515625" style="3" customWidth="1"/>
    <col min="6147" max="6147" width="10" style="3" customWidth="1"/>
    <col min="6148" max="6148" width="6.28515625" style="3" customWidth="1"/>
    <col min="6149" max="6149" width="8.28515625" style="3" customWidth="1"/>
    <col min="6150" max="6150" width="12.42578125" style="3" customWidth="1"/>
    <col min="6151" max="6151" width="5.28515625" style="3" customWidth="1"/>
    <col min="6152" max="6152" width="10.85546875" style="3" customWidth="1"/>
    <col min="6153" max="6153" width="4.85546875" style="3" customWidth="1"/>
    <col min="6154" max="6154" width="5.140625" style="3" customWidth="1"/>
    <col min="6155" max="6155" width="10.5703125" style="3" customWidth="1"/>
    <col min="6156" max="6156" width="6.28515625" style="3" customWidth="1"/>
    <col min="6157" max="6157" width="6.5703125" style="3" customWidth="1"/>
    <col min="6158" max="6158" width="7.42578125" style="3" customWidth="1"/>
    <col min="6159" max="6159" width="6.85546875" style="3" customWidth="1"/>
    <col min="6160" max="6160" width="10.7109375" style="3" customWidth="1"/>
    <col min="6161" max="6161" width="5.140625" style="3" customWidth="1"/>
    <col min="6162" max="6393" width="11.42578125" style="3"/>
    <col min="6394" max="6394" width="23.7109375" style="3" customWidth="1"/>
    <col min="6395" max="6395" width="0" style="3" hidden="1" customWidth="1"/>
    <col min="6396" max="6396" width="41.42578125" style="3" customWidth="1"/>
    <col min="6397" max="6397" width="19.140625" style="3" customWidth="1"/>
    <col min="6398" max="6398" width="6.28515625" style="3" customWidth="1"/>
    <col min="6399" max="6399" width="6" style="3" customWidth="1"/>
    <col min="6400" max="6400" width="7.42578125" style="3" customWidth="1"/>
    <col min="6401" max="6401" width="5.7109375" style="3" customWidth="1"/>
    <col min="6402" max="6402" width="5.28515625" style="3" customWidth="1"/>
    <col min="6403" max="6403" width="10" style="3" customWidth="1"/>
    <col min="6404" max="6404" width="6.28515625" style="3" customWidth="1"/>
    <col min="6405" max="6405" width="8.28515625" style="3" customWidth="1"/>
    <col min="6406" max="6406" width="12.42578125" style="3" customWidth="1"/>
    <col min="6407" max="6407" width="5.28515625" style="3" customWidth="1"/>
    <col min="6408" max="6408" width="10.85546875" style="3" customWidth="1"/>
    <col min="6409" max="6409" width="4.85546875" style="3" customWidth="1"/>
    <col min="6410" max="6410" width="5.140625" style="3" customWidth="1"/>
    <col min="6411" max="6411" width="10.5703125" style="3" customWidth="1"/>
    <col min="6412" max="6412" width="6.28515625" style="3" customWidth="1"/>
    <col min="6413" max="6413" width="6.5703125" style="3" customWidth="1"/>
    <col min="6414" max="6414" width="7.42578125" style="3" customWidth="1"/>
    <col min="6415" max="6415" width="6.85546875" style="3" customWidth="1"/>
    <col min="6416" max="6416" width="10.7109375" style="3" customWidth="1"/>
    <col min="6417" max="6417" width="5.140625" style="3" customWidth="1"/>
    <col min="6418" max="6649" width="11.42578125" style="3"/>
    <col min="6650" max="6650" width="23.7109375" style="3" customWidth="1"/>
    <col min="6651" max="6651" width="0" style="3" hidden="1" customWidth="1"/>
    <col min="6652" max="6652" width="41.42578125" style="3" customWidth="1"/>
    <col min="6653" max="6653" width="19.140625" style="3" customWidth="1"/>
    <col min="6654" max="6654" width="6.28515625" style="3" customWidth="1"/>
    <col min="6655" max="6655" width="6" style="3" customWidth="1"/>
    <col min="6656" max="6656" width="7.42578125" style="3" customWidth="1"/>
    <col min="6657" max="6657" width="5.7109375" style="3" customWidth="1"/>
    <col min="6658" max="6658" width="5.28515625" style="3" customWidth="1"/>
    <col min="6659" max="6659" width="10" style="3" customWidth="1"/>
    <col min="6660" max="6660" width="6.28515625" style="3" customWidth="1"/>
    <col min="6661" max="6661" width="8.28515625" style="3" customWidth="1"/>
    <col min="6662" max="6662" width="12.42578125" style="3" customWidth="1"/>
    <col min="6663" max="6663" width="5.28515625" style="3" customWidth="1"/>
    <col min="6664" max="6664" width="10.85546875" style="3" customWidth="1"/>
    <col min="6665" max="6665" width="4.85546875" style="3" customWidth="1"/>
    <col min="6666" max="6666" width="5.140625" style="3" customWidth="1"/>
    <col min="6667" max="6667" width="10.5703125" style="3" customWidth="1"/>
    <col min="6668" max="6668" width="6.28515625" style="3" customWidth="1"/>
    <col min="6669" max="6669" width="6.5703125" style="3" customWidth="1"/>
    <col min="6670" max="6670" width="7.42578125" style="3" customWidth="1"/>
    <col min="6671" max="6671" width="6.85546875" style="3" customWidth="1"/>
    <col min="6672" max="6672" width="10.7109375" style="3" customWidth="1"/>
    <col min="6673" max="6673" width="5.140625" style="3" customWidth="1"/>
    <col min="6674" max="6905" width="11.42578125" style="3"/>
    <col min="6906" max="6906" width="23.7109375" style="3" customWidth="1"/>
    <col min="6907" max="6907" width="0" style="3" hidden="1" customWidth="1"/>
    <col min="6908" max="6908" width="41.42578125" style="3" customWidth="1"/>
    <col min="6909" max="6909" width="19.140625" style="3" customWidth="1"/>
    <col min="6910" max="6910" width="6.28515625" style="3" customWidth="1"/>
    <col min="6911" max="6911" width="6" style="3" customWidth="1"/>
    <col min="6912" max="6912" width="7.42578125" style="3" customWidth="1"/>
    <col min="6913" max="6913" width="5.7109375" style="3" customWidth="1"/>
    <col min="6914" max="6914" width="5.28515625" style="3" customWidth="1"/>
    <col min="6915" max="6915" width="10" style="3" customWidth="1"/>
    <col min="6916" max="6916" width="6.28515625" style="3" customWidth="1"/>
    <col min="6917" max="6917" width="8.28515625" style="3" customWidth="1"/>
    <col min="6918" max="6918" width="12.42578125" style="3" customWidth="1"/>
    <col min="6919" max="6919" width="5.28515625" style="3" customWidth="1"/>
    <col min="6920" max="6920" width="10.85546875" style="3" customWidth="1"/>
    <col min="6921" max="6921" width="4.85546875" style="3" customWidth="1"/>
    <col min="6922" max="6922" width="5.140625" style="3" customWidth="1"/>
    <col min="6923" max="6923" width="10.5703125" style="3" customWidth="1"/>
    <col min="6924" max="6924" width="6.28515625" style="3" customWidth="1"/>
    <col min="6925" max="6925" width="6.5703125" style="3" customWidth="1"/>
    <col min="6926" max="6926" width="7.42578125" style="3" customWidth="1"/>
    <col min="6927" max="6927" width="6.85546875" style="3" customWidth="1"/>
    <col min="6928" max="6928" width="10.7109375" style="3" customWidth="1"/>
    <col min="6929" max="6929" width="5.140625" style="3" customWidth="1"/>
    <col min="6930" max="7161" width="11.42578125" style="3"/>
    <col min="7162" max="7162" width="23.7109375" style="3" customWidth="1"/>
    <col min="7163" max="7163" width="0" style="3" hidden="1" customWidth="1"/>
    <col min="7164" max="7164" width="41.42578125" style="3" customWidth="1"/>
    <col min="7165" max="7165" width="19.140625" style="3" customWidth="1"/>
    <col min="7166" max="7166" width="6.28515625" style="3" customWidth="1"/>
    <col min="7167" max="7167" width="6" style="3" customWidth="1"/>
    <col min="7168" max="7168" width="7.42578125" style="3" customWidth="1"/>
    <col min="7169" max="7169" width="5.7109375" style="3" customWidth="1"/>
    <col min="7170" max="7170" width="5.28515625" style="3" customWidth="1"/>
    <col min="7171" max="7171" width="10" style="3" customWidth="1"/>
    <col min="7172" max="7172" width="6.28515625" style="3" customWidth="1"/>
    <col min="7173" max="7173" width="8.28515625" style="3" customWidth="1"/>
    <col min="7174" max="7174" width="12.42578125" style="3" customWidth="1"/>
    <col min="7175" max="7175" width="5.28515625" style="3" customWidth="1"/>
    <col min="7176" max="7176" width="10.85546875" style="3" customWidth="1"/>
    <col min="7177" max="7177" width="4.85546875" style="3" customWidth="1"/>
    <col min="7178" max="7178" width="5.140625" style="3" customWidth="1"/>
    <col min="7179" max="7179" width="10.5703125" style="3" customWidth="1"/>
    <col min="7180" max="7180" width="6.28515625" style="3" customWidth="1"/>
    <col min="7181" max="7181" width="6.5703125" style="3" customWidth="1"/>
    <col min="7182" max="7182" width="7.42578125" style="3" customWidth="1"/>
    <col min="7183" max="7183" width="6.85546875" style="3" customWidth="1"/>
    <col min="7184" max="7184" width="10.7109375" style="3" customWidth="1"/>
    <col min="7185" max="7185" width="5.140625" style="3" customWidth="1"/>
    <col min="7186" max="7417" width="11.42578125" style="3"/>
    <col min="7418" max="7418" width="23.7109375" style="3" customWidth="1"/>
    <col min="7419" max="7419" width="0" style="3" hidden="1" customWidth="1"/>
    <col min="7420" max="7420" width="41.42578125" style="3" customWidth="1"/>
    <col min="7421" max="7421" width="19.140625" style="3" customWidth="1"/>
    <col min="7422" max="7422" width="6.28515625" style="3" customWidth="1"/>
    <col min="7423" max="7423" width="6" style="3" customWidth="1"/>
    <col min="7424" max="7424" width="7.42578125" style="3" customWidth="1"/>
    <col min="7425" max="7425" width="5.7109375" style="3" customWidth="1"/>
    <col min="7426" max="7426" width="5.28515625" style="3" customWidth="1"/>
    <col min="7427" max="7427" width="10" style="3" customWidth="1"/>
    <col min="7428" max="7428" width="6.28515625" style="3" customWidth="1"/>
    <col min="7429" max="7429" width="8.28515625" style="3" customWidth="1"/>
    <col min="7430" max="7430" width="12.42578125" style="3" customWidth="1"/>
    <col min="7431" max="7431" width="5.28515625" style="3" customWidth="1"/>
    <col min="7432" max="7432" width="10.85546875" style="3" customWidth="1"/>
    <col min="7433" max="7433" width="4.85546875" style="3" customWidth="1"/>
    <col min="7434" max="7434" width="5.140625" style="3" customWidth="1"/>
    <col min="7435" max="7435" width="10.5703125" style="3" customWidth="1"/>
    <col min="7436" max="7436" width="6.28515625" style="3" customWidth="1"/>
    <col min="7437" max="7437" width="6.5703125" style="3" customWidth="1"/>
    <col min="7438" max="7438" width="7.42578125" style="3" customWidth="1"/>
    <col min="7439" max="7439" width="6.85546875" style="3" customWidth="1"/>
    <col min="7440" max="7440" width="10.7109375" style="3" customWidth="1"/>
    <col min="7441" max="7441" width="5.140625" style="3" customWidth="1"/>
    <col min="7442" max="7673" width="11.42578125" style="3"/>
    <col min="7674" max="7674" width="23.7109375" style="3" customWidth="1"/>
    <col min="7675" max="7675" width="0" style="3" hidden="1" customWidth="1"/>
    <col min="7676" max="7676" width="41.42578125" style="3" customWidth="1"/>
    <col min="7677" max="7677" width="19.140625" style="3" customWidth="1"/>
    <col min="7678" max="7678" width="6.28515625" style="3" customWidth="1"/>
    <col min="7679" max="7679" width="6" style="3" customWidth="1"/>
    <col min="7680" max="7680" width="7.42578125" style="3" customWidth="1"/>
    <col min="7681" max="7681" width="5.7109375" style="3" customWidth="1"/>
    <col min="7682" max="7682" width="5.28515625" style="3" customWidth="1"/>
    <col min="7683" max="7683" width="10" style="3" customWidth="1"/>
    <col min="7684" max="7684" width="6.28515625" style="3" customWidth="1"/>
    <col min="7685" max="7685" width="8.28515625" style="3" customWidth="1"/>
    <col min="7686" max="7686" width="12.42578125" style="3" customWidth="1"/>
    <col min="7687" max="7687" width="5.28515625" style="3" customWidth="1"/>
    <col min="7688" max="7688" width="10.85546875" style="3" customWidth="1"/>
    <col min="7689" max="7689" width="4.85546875" style="3" customWidth="1"/>
    <col min="7690" max="7690" width="5.140625" style="3" customWidth="1"/>
    <col min="7691" max="7691" width="10.5703125" style="3" customWidth="1"/>
    <col min="7692" max="7692" width="6.28515625" style="3" customWidth="1"/>
    <col min="7693" max="7693" width="6.5703125" style="3" customWidth="1"/>
    <col min="7694" max="7694" width="7.42578125" style="3" customWidth="1"/>
    <col min="7695" max="7695" width="6.85546875" style="3" customWidth="1"/>
    <col min="7696" max="7696" width="10.7109375" style="3" customWidth="1"/>
    <col min="7697" max="7697" width="5.140625" style="3" customWidth="1"/>
    <col min="7698" max="7929" width="11.42578125" style="3"/>
    <col min="7930" max="7930" width="23.7109375" style="3" customWidth="1"/>
    <col min="7931" max="7931" width="0" style="3" hidden="1" customWidth="1"/>
    <col min="7932" max="7932" width="41.42578125" style="3" customWidth="1"/>
    <col min="7933" max="7933" width="19.140625" style="3" customWidth="1"/>
    <col min="7934" max="7934" width="6.28515625" style="3" customWidth="1"/>
    <col min="7935" max="7935" width="6" style="3" customWidth="1"/>
    <col min="7936" max="7936" width="7.42578125" style="3" customWidth="1"/>
    <col min="7937" max="7937" width="5.7109375" style="3" customWidth="1"/>
    <col min="7938" max="7938" width="5.28515625" style="3" customWidth="1"/>
    <col min="7939" max="7939" width="10" style="3" customWidth="1"/>
    <col min="7940" max="7940" width="6.28515625" style="3" customWidth="1"/>
    <col min="7941" max="7941" width="8.28515625" style="3" customWidth="1"/>
    <col min="7942" max="7942" width="12.42578125" style="3" customWidth="1"/>
    <col min="7943" max="7943" width="5.28515625" style="3" customWidth="1"/>
    <col min="7944" max="7944" width="10.85546875" style="3" customWidth="1"/>
    <col min="7945" max="7945" width="4.85546875" style="3" customWidth="1"/>
    <col min="7946" max="7946" width="5.140625" style="3" customWidth="1"/>
    <col min="7947" max="7947" width="10.5703125" style="3" customWidth="1"/>
    <col min="7948" max="7948" width="6.28515625" style="3" customWidth="1"/>
    <col min="7949" max="7949" width="6.5703125" style="3" customWidth="1"/>
    <col min="7950" max="7950" width="7.42578125" style="3" customWidth="1"/>
    <col min="7951" max="7951" width="6.85546875" style="3" customWidth="1"/>
    <col min="7952" max="7952" width="10.7109375" style="3" customWidth="1"/>
    <col min="7953" max="7953" width="5.140625" style="3" customWidth="1"/>
    <col min="7954" max="8185" width="11.42578125" style="3"/>
    <col min="8186" max="8186" width="23.7109375" style="3" customWidth="1"/>
    <col min="8187" max="8187" width="0" style="3" hidden="1" customWidth="1"/>
    <col min="8188" max="8188" width="41.42578125" style="3" customWidth="1"/>
    <col min="8189" max="8189" width="19.140625" style="3" customWidth="1"/>
    <col min="8190" max="8190" width="6.28515625" style="3" customWidth="1"/>
    <col min="8191" max="8191" width="6" style="3" customWidth="1"/>
    <col min="8192" max="8192" width="7.42578125" style="3" customWidth="1"/>
    <col min="8193" max="8193" width="5.7109375" style="3" customWidth="1"/>
    <col min="8194" max="8194" width="5.28515625" style="3" customWidth="1"/>
    <col min="8195" max="8195" width="10" style="3" customWidth="1"/>
    <col min="8196" max="8196" width="6.28515625" style="3" customWidth="1"/>
    <col min="8197" max="8197" width="8.28515625" style="3" customWidth="1"/>
    <col min="8198" max="8198" width="12.42578125" style="3" customWidth="1"/>
    <col min="8199" max="8199" width="5.28515625" style="3" customWidth="1"/>
    <col min="8200" max="8200" width="10.85546875" style="3" customWidth="1"/>
    <col min="8201" max="8201" width="4.85546875" style="3" customWidth="1"/>
    <col min="8202" max="8202" width="5.140625" style="3" customWidth="1"/>
    <col min="8203" max="8203" width="10.5703125" style="3" customWidth="1"/>
    <col min="8204" max="8204" width="6.28515625" style="3" customWidth="1"/>
    <col min="8205" max="8205" width="6.5703125" style="3" customWidth="1"/>
    <col min="8206" max="8206" width="7.42578125" style="3" customWidth="1"/>
    <col min="8207" max="8207" width="6.85546875" style="3" customWidth="1"/>
    <col min="8208" max="8208" width="10.7109375" style="3" customWidth="1"/>
    <col min="8209" max="8209" width="5.140625" style="3" customWidth="1"/>
    <col min="8210" max="8441" width="11.42578125" style="3"/>
    <col min="8442" max="8442" width="23.7109375" style="3" customWidth="1"/>
    <col min="8443" max="8443" width="0" style="3" hidden="1" customWidth="1"/>
    <col min="8444" max="8444" width="41.42578125" style="3" customWidth="1"/>
    <col min="8445" max="8445" width="19.140625" style="3" customWidth="1"/>
    <col min="8446" max="8446" width="6.28515625" style="3" customWidth="1"/>
    <col min="8447" max="8447" width="6" style="3" customWidth="1"/>
    <col min="8448" max="8448" width="7.42578125" style="3" customWidth="1"/>
    <col min="8449" max="8449" width="5.7109375" style="3" customWidth="1"/>
    <col min="8450" max="8450" width="5.28515625" style="3" customWidth="1"/>
    <col min="8451" max="8451" width="10" style="3" customWidth="1"/>
    <col min="8452" max="8452" width="6.28515625" style="3" customWidth="1"/>
    <col min="8453" max="8453" width="8.28515625" style="3" customWidth="1"/>
    <col min="8454" max="8454" width="12.42578125" style="3" customWidth="1"/>
    <col min="8455" max="8455" width="5.28515625" style="3" customWidth="1"/>
    <col min="8456" max="8456" width="10.85546875" style="3" customWidth="1"/>
    <col min="8457" max="8457" width="4.85546875" style="3" customWidth="1"/>
    <col min="8458" max="8458" width="5.140625" style="3" customWidth="1"/>
    <col min="8459" max="8459" width="10.5703125" style="3" customWidth="1"/>
    <col min="8460" max="8460" width="6.28515625" style="3" customWidth="1"/>
    <col min="8461" max="8461" width="6.5703125" style="3" customWidth="1"/>
    <col min="8462" max="8462" width="7.42578125" style="3" customWidth="1"/>
    <col min="8463" max="8463" width="6.85546875" style="3" customWidth="1"/>
    <col min="8464" max="8464" width="10.7109375" style="3" customWidth="1"/>
    <col min="8465" max="8465" width="5.140625" style="3" customWidth="1"/>
    <col min="8466" max="8697" width="11.42578125" style="3"/>
    <col min="8698" max="8698" width="23.7109375" style="3" customWidth="1"/>
    <col min="8699" max="8699" width="0" style="3" hidden="1" customWidth="1"/>
    <col min="8700" max="8700" width="41.42578125" style="3" customWidth="1"/>
    <col min="8701" max="8701" width="19.140625" style="3" customWidth="1"/>
    <col min="8702" max="8702" width="6.28515625" style="3" customWidth="1"/>
    <col min="8703" max="8703" width="6" style="3" customWidth="1"/>
    <col min="8704" max="8704" width="7.42578125" style="3" customWidth="1"/>
    <col min="8705" max="8705" width="5.7109375" style="3" customWidth="1"/>
    <col min="8706" max="8706" width="5.28515625" style="3" customWidth="1"/>
    <col min="8707" max="8707" width="10" style="3" customWidth="1"/>
    <col min="8708" max="8708" width="6.28515625" style="3" customWidth="1"/>
    <col min="8709" max="8709" width="8.28515625" style="3" customWidth="1"/>
    <col min="8710" max="8710" width="12.42578125" style="3" customWidth="1"/>
    <col min="8711" max="8711" width="5.28515625" style="3" customWidth="1"/>
    <col min="8712" max="8712" width="10.85546875" style="3" customWidth="1"/>
    <col min="8713" max="8713" width="4.85546875" style="3" customWidth="1"/>
    <col min="8714" max="8714" width="5.140625" style="3" customWidth="1"/>
    <col min="8715" max="8715" width="10.5703125" style="3" customWidth="1"/>
    <col min="8716" max="8716" width="6.28515625" style="3" customWidth="1"/>
    <col min="8717" max="8717" width="6.5703125" style="3" customWidth="1"/>
    <col min="8718" max="8718" width="7.42578125" style="3" customWidth="1"/>
    <col min="8719" max="8719" width="6.85546875" style="3" customWidth="1"/>
    <col min="8720" max="8720" width="10.7109375" style="3" customWidth="1"/>
    <col min="8721" max="8721" width="5.140625" style="3" customWidth="1"/>
    <col min="8722" max="8953" width="11.42578125" style="3"/>
    <col min="8954" max="8954" width="23.7109375" style="3" customWidth="1"/>
    <col min="8955" max="8955" width="0" style="3" hidden="1" customWidth="1"/>
    <col min="8956" max="8956" width="41.42578125" style="3" customWidth="1"/>
    <col min="8957" max="8957" width="19.140625" style="3" customWidth="1"/>
    <col min="8958" max="8958" width="6.28515625" style="3" customWidth="1"/>
    <col min="8959" max="8959" width="6" style="3" customWidth="1"/>
    <col min="8960" max="8960" width="7.42578125" style="3" customWidth="1"/>
    <col min="8961" max="8961" width="5.7109375" style="3" customWidth="1"/>
    <col min="8962" max="8962" width="5.28515625" style="3" customWidth="1"/>
    <col min="8963" max="8963" width="10" style="3" customWidth="1"/>
    <col min="8964" max="8964" width="6.28515625" style="3" customWidth="1"/>
    <col min="8965" max="8965" width="8.28515625" style="3" customWidth="1"/>
    <col min="8966" max="8966" width="12.42578125" style="3" customWidth="1"/>
    <col min="8967" max="8967" width="5.28515625" style="3" customWidth="1"/>
    <col min="8968" max="8968" width="10.85546875" style="3" customWidth="1"/>
    <col min="8969" max="8969" width="4.85546875" style="3" customWidth="1"/>
    <col min="8970" max="8970" width="5.140625" style="3" customWidth="1"/>
    <col min="8971" max="8971" width="10.5703125" style="3" customWidth="1"/>
    <col min="8972" max="8972" width="6.28515625" style="3" customWidth="1"/>
    <col min="8973" max="8973" width="6.5703125" style="3" customWidth="1"/>
    <col min="8974" max="8974" width="7.42578125" style="3" customWidth="1"/>
    <col min="8975" max="8975" width="6.85546875" style="3" customWidth="1"/>
    <col min="8976" max="8976" width="10.7109375" style="3" customWidth="1"/>
    <col min="8977" max="8977" width="5.140625" style="3" customWidth="1"/>
    <col min="8978" max="9209" width="11.42578125" style="3"/>
    <col min="9210" max="9210" width="23.7109375" style="3" customWidth="1"/>
    <col min="9211" max="9211" width="0" style="3" hidden="1" customWidth="1"/>
    <col min="9212" max="9212" width="41.42578125" style="3" customWidth="1"/>
    <col min="9213" max="9213" width="19.140625" style="3" customWidth="1"/>
    <col min="9214" max="9214" width="6.28515625" style="3" customWidth="1"/>
    <col min="9215" max="9215" width="6" style="3" customWidth="1"/>
    <col min="9216" max="9216" width="7.42578125" style="3" customWidth="1"/>
    <col min="9217" max="9217" width="5.7109375" style="3" customWidth="1"/>
    <col min="9218" max="9218" width="5.28515625" style="3" customWidth="1"/>
    <col min="9219" max="9219" width="10" style="3" customWidth="1"/>
    <col min="9220" max="9220" width="6.28515625" style="3" customWidth="1"/>
    <col min="9221" max="9221" width="8.28515625" style="3" customWidth="1"/>
    <col min="9222" max="9222" width="12.42578125" style="3" customWidth="1"/>
    <col min="9223" max="9223" width="5.28515625" style="3" customWidth="1"/>
    <col min="9224" max="9224" width="10.85546875" style="3" customWidth="1"/>
    <col min="9225" max="9225" width="4.85546875" style="3" customWidth="1"/>
    <col min="9226" max="9226" width="5.140625" style="3" customWidth="1"/>
    <col min="9227" max="9227" width="10.5703125" style="3" customWidth="1"/>
    <col min="9228" max="9228" width="6.28515625" style="3" customWidth="1"/>
    <col min="9229" max="9229" width="6.5703125" style="3" customWidth="1"/>
    <col min="9230" max="9230" width="7.42578125" style="3" customWidth="1"/>
    <col min="9231" max="9231" width="6.85546875" style="3" customWidth="1"/>
    <col min="9232" max="9232" width="10.7109375" style="3" customWidth="1"/>
    <col min="9233" max="9233" width="5.140625" style="3" customWidth="1"/>
    <col min="9234" max="9465" width="11.42578125" style="3"/>
    <col min="9466" max="9466" width="23.7109375" style="3" customWidth="1"/>
    <col min="9467" max="9467" width="0" style="3" hidden="1" customWidth="1"/>
    <col min="9468" max="9468" width="41.42578125" style="3" customWidth="1"/>
    <col min="9469" max="9469" width="19.140625" style="3" customWidth="1"/>
    <col min="9470" max="9470" width="6.28515625" style="3" customWidth="1"/>
    <col min="9471" max="9471" width="6" style="3" customWidth="1"/>
    <col min="9472" max="9472" width="7.42578125" style="3" customWidth="1"/>
    <col min="9473" max="9473" width="5.7109375" style="3" customWidth="1"/>
    <col min="9474" max="9474" width="5.28515625" style="3" customWidth="1"/>
    <col min="9475" max="9475" width="10" style="3" customWidth="1"/>
    <col min="9476" max="9476" width="6.28515625" style="3" customWidth="1"/>
    <col min="9477" max="9477" width="8.28515625" style="3" customWidth="1"/>
    <col min="9478" max="9478" width="12.42578125" style="3" customWidth="1"/>
    <col min="9479" max="9479" width="5.28515625" style="3" customWidth="1"/>
    <col min="9480" max="9480" width="10.85546875" style="3" customWidth="1"/>
    <col min="9481" max="9481" width="4.85546875" style="3" customWidth="1"/>
    <col min="9482" max="9482" width="5.140625" style="3" customWidth="1"/>
    <col min="9483" max="9483" width="10.5703125" style="3" customWidth="1"/>
    <col min="9484" max="9484" width="6.28515625" style="3" customWidth="1"/>
    <col min="9485" max="9485" width="6.5703125" style="3" customWidth="1"/>
    <col min="9486" max="9486" width="7.42578125" style="3" customWidth="1"/>
    <col min="9487" max="9487" width="6.85546875" style="3" customWidth="1"/>
    <col min="9488" max="9488" width="10.7109375" style="3" customWidth="1"/>
    <col min="9489" max="9489" width="5.140625" style="3" customWidth="1"/>
    <col min="9490" max="9721" width="11.42578125" style="3"/>
    <col min="9722" max="9722" width="23.7109375" style="3" customWidth="1"/>
    <col min="9723" max="9723" width="0" style="3" hidden="1" customWidth="1"/>
    <col min="9724" max="9724" width="41.42578125" style="3" customWidth="1"/>
    <col min="9725" max="9725" width="19.140625" style="3" customWidth="1"/>
    <col min="9726" max="9726" width="6.28515625" style="3" customWidth="1"/>
    <col min="9727" max="9727" width="6" style="3" customWidth="1"/>
    <col min="9728" max="9728" width="7.42578125" style="3" customWidth="1"/>
    <col min="9729" max="9729" width="5.7109375" style="3" customWidth="1"/>
    <col min="9730" max="9730" width="5.28515625" style="3" customWidth="1"/>
    <col min="9731" max="9731" width="10" style="3" customWidth="1"/>
    <col min="9732" max="9732" width="6.28515625" style="3" customWidth="1"/>
    <col min="9733" max="9733" width="8.28515625" style="3" customWidth="1"/>
    <col min="9734" max="9734" width="12.42578125" style="3" customWidth="1"/>
    <col min="9735" max="9735" width="5.28515625" style="3" customWidth="1"/>
    <col min="9736" max="9736" width="10.85546875" style="3" customWidth="1"/>
    <col min="9737" max="9737" width="4.85546875" style="3" customWidth="1"/>
    <col min="9738" max="9738" width="5.140625" style="3" customWidth="1"/>
    <col min="9739" max="9739" width="10.5703125" style="3" customWidth="1"/>
    <col min="9740" max="9740" width="6.28515625" style="3" customWidth="1"/>
    <col min="9741" max="9741" width="6.5703125" style="3" customWidth="1"/>
    <col min="9742" max="9742" width="7.42578125" style="3" customWidth="1"/>
    <col min="9743" max="9743" width="6.85546875" style="3" customWidth="1"/>
    <col min="9744" max="9744" width="10.7109375" style="3" customWidth="1"/>
    <col min="9745" max="9745" width="5.140625" style="3" customWidth="1"/>
    <col min="9746" max="9977" width="11.42578125" style="3"/>
    <col min="9978" max="9978" width="23.7109375" style="3" customWidth="1"/>
    <col min="9979" max="9979" width="0" style="3" hidden="1" customWidth="1"/>
    <col min="9980" max="9980" width="41.42578125" style="3" customWidth="1"/>
    <col min="9981" max="9981" width="19.140625" style="3" customWidth="1"/>
    <col min="9982" max="9982" width="6.28515625" style="3" customWidth="1"/>
    <col min="9983" max="9983" width="6" style="3" customWidth="1"/>
    <col min="9984" max="9984" width="7.42578125" style="3" customWidth="1"/>
    <col min="9985" max="9985" width="5.7109375" style="3" customWidth="1"/>
    <col min="9986" max="9986" width="5.28515625" style="3" customWidth="1"/>
    <col min="9987" max="9987" width="10" style="3" customWidth="1"/>
    <col min="9988" max="9988" width="6.28515625" style="3" customWidth="1"/>
    <col min="9989" max="9989" width="8.28515625" style="3" customWidth="1"/>
    <col min="9990" max="9990" width="12.42578125" style="3" customWidth="1"/>
    <col min="9991" max="9991" width="5.28515625" style="3" customWidth="1"/>
    <col min="9992" max="9992" width="10.85546875" style="3" customWidth="1"/>
    <col min="9993" max="9993" width="4.85546875" style="3" customWidth="1"/>
    <col min="9994" max="9994" width="5.140625" style="3" customWidth="1"/>
    <col min="9995" max="9995" width="10.5703125" style="3" customWidth="1"/>
    <col min="9996" max="9996" width="6.28515625" style="3" customWidth="1"/>
    <col min="9997" max="9997" width="6.5703125" style="3" customWidth="1"/>
    <col min="9998" max="9998" width="7.42578125" style="3" customWidth="1"/>
    <col min="9999" max="9999" width="6.85546875" style="3" customWidth="1"/>
    <col min="10000" max="10000" width="10.7109375" style="3" customWidth="1"/>
    <col min="10001" max="10001" width="5.140625" style="3" customWidth="1"/>
    <col min="10002" max="10233" width="11.42578125" style="3"/>
    <col min="10234" max="10234" width="23.7109375" style="3" customWidth="1"/>
    <col min="10235" max="10235" width="0" style="3" hidden="1" customWidth="1"/>
    <col min="10236" max="10236" width="41.42578125" style="3" customWidth="1"/>
    <col min="10237" max="10237" width="19.140625" style="3" customWidth="1"/>
    <col min="10238" max="10238" width="6.28515625" style="3" customWidth="1"/>
    <col min="10239" max="10239" width="6" style="3" customWidth="1"/>
    <col min="10240" max="10240" width="7.42578125" style="3" customWidth="1"/>
    <col min="10241" max="10241" width="5.7109375" style="3" customWidth="1"/>
    <col min="10242" max="10242" width="5.28515625" style="3" customWidth="1"/>
    <col min="10243" max="10243" width="10" style="3" customWidth="1"/>
    <col min="10244" max="10244" width="6.28515625" style="3" customWidth="1"/>
    <col min="10245" max="10245" width="8.28515625" style="3" customWidth="1"/>
    <col min="10246" max="10246" width="12.42578125" style="3" customWidth="1"/>
    <col min="10247" max="10247" width="5.28515625" style="3" customWidth="1"/>
    <col min="10248" max="10248" width="10.85546875" style="3" customWidth="1"/>
    <col min="10249" max="10249" width="4.85546875" style="3" customWidth="1"/>
    <col min="10250" max="10250" width="5.140625" style="3" customWidth="1"/>
    <col min="10251" max="10251" width="10.5703125" style="3" customWidth="1"/>
    <col min="10252" max="10252" width="6.28515625" style="3" customWidth="1"/>
    <col min="10253" max="10253" width="6.5703125" style="3" customWidth="1"/>
    <col min="10254" max="10254" width="7.42578125" style="3" customWidth="1"/>
    <col min="10255" max="10255" width="6.85546875" style="3" customWidth="1"/>
    <col min="10256" max="10256" width="10.7109375" style="3" customWidth="1"/>
    <col min="10257" max="10257" width="5.140625" style="3" customWidth="1"/>
    <col min="10258" max="10489" width="11.42578125" style="3"/>
    <col min="10490" max="10490" width="23.7109375" style="3" customWidth="1"/>
    <col min="10491" max="10491" width="0" style="3" hidden="1" customWidth="1"/>
    <col min="10492" max="10492" width="41.42578125" style="3" customWidth="1"/>
    <col min="10493" max="10493" width="19.140625" style="3" customWidth="1"/>
    <col min="10494" max="10494" width="6.28515625" style="3" customWidth="1"/>
    <col min="10495" max="10495" width="6" style="3" customWidth="1"/>
    <col min="10496" max="10496" width="7.42578125" style="3" customWidth="1"/>
    <col min="10497" max="10497" width="5.7109375" style="3" customWidth="1"/>
    <col min="10498" max="10498" width="5.28515625" style="3" customWidth="1"/>
    <col min="10499" max="10499" width="10" style="3" customWidth="1"/>
    <col min="10500" max="10500" width="6.28515625" style="3" customWidth="1"/>
    <col min="10501" max="10501" width="8.28515625" style="3" customWidth="1"/>
    <col min="10502" max="10502" width="12.42578125" style="3" customWidth="1"/>
    <col min="10503" max="10503" width="5.28515625" style="3" customWidth="1"/>
    <col min="10504" max="10504" width="10.85546875" style="3" customWidth="1"/>
    <col min="10505" max="10505" width="4.85546875" style="3" customWidth="1"/>
    <col min="10506" max="10506" width="5.140625" style="3" customWidth="1"/>
    <col min="10507" max="10507" width="10.5703125" style="3" customWidth="1"/>
    <col min="10508" max="10508" width="6.28515625" style="3" customWidth="1"/>
    <col min="10509" max="10509" width="6.5703125" style="3" customWidth="1"/>
    <col min="10510" max="10510" width="7.42578125" style="3" customWidth="1"/>
    <col min="10511" max="10511" width="6.85546875" style="3" customWidth="1"/>
    <col min="10512" max="10512" width="10.7109375" style="3" customWidth="1"/>
    <col min="10513" max="10513" width="5.140625" style="3" customWidth="1"/>
    <col min="10514" max="10745" width="11.42578125" style="3"/>
    <col min="10746" max="10746" width="23.7109375" style="3" customWidth="1"/>
    <col min="10747" max="10747" width="0" style="3" hidden="1" customWidth="1"/>
    <col min="10748" max="10748" width="41.42578125" style="3" customWidth="1"/>
    <col min="10749" max="10749" width="19.140625" style="3" customWidth="1"/>
    <col min="10750" max="10750" width="6.28515625" style="3" customWidth="1"/>
    <col min="10751" max="10751" width="6" style="3" customWidth="1"/>
    <col min="10752" max="10752" width="7.42578125" style="3" customWidth="1"/>
    <col min="10753" max="10753" width="5.7109375" style="3" customWidth="1"/>
    <col min="10754" max="10754" width="5.28515625" style="3" customWidth="1"/>
    <col min="10755" max="10755" width="10" style="3" customWidth="1"/>
    <col min="10756" max="10756" width="6.28515625" style="3" customWidth="1"/>
    <col min="10757" max="10757" width="8.28515625" style="3" customWidth="1"/>
    <col min="10758" max="10758" width="12.42578125" style="3" customWidth="1"/>
    <col min="10759" max="10759" width="5.28515625" style="3" customWidth="1"/>
    <col min="10760" max="10760" width="10.85546875" style="3" customWidth="1"/>
    <col min="10761" max="10761" width="4.85546875" style="3" customWidth="1"/>
    <col min="10762" max="10762" width="5.140625" style="3" customWidth="1"/>
    <col min="10763" max="10763" width="10.5703125" style="3" customWidth="1"/>
    <col min="10764" max="10764" width="6.28515625" style="3" customWidth="1"/>
    <col min="10765" max="10765" width="6.5703125" style="3" customWidth="1"/>
    <col min="10766" max="10766" width="7.42578125" style="3" customWidth="1"/>
    <col min="10767" max="10767" width="6.85546875" style="3" customWidth="1"/>
    <col min="10768" max="10768" width="10.7109375" style="3" customWidth="1"/>
    <col min="10769" max="10769" width="5.140625" style="3" customWidth="1"/>
    <col min="10770" max="11001" width="11.42578125" style="3"/>
    <col min="11002" max="11002" width="23.7109375" style="3" customWidth="1"/>
    <col min="11003" max="11003" width="0" style="3" hidden="1" customWidth="1"/>
    <col min="11004" max="11004" width="41.42578125" style="3" customWidth="1"/>
    <col min="11005" max="11005" width="19.140625" style="3" customWidth="1"/>
    <col min="11006" max="11006" width="6.28515625" style="3" customWidth="1"/>
    <col min="11007" max="11007" width="6" style="3" customWidth="1"/>
    <col min="11008" max="11008" width="7.42578125" style="3" customWidth="1"/>
    <col min="11009" max="11009" width="5.7109375" style="3" customWidth="1"/>
    <col min="11010" max="11010" width="5.28515625" style="3" customWidth="1"/>
    <col min="11011" max="11011" width="10" style="3" customWidth="1"/>
    <col min="11012" max="11012" width="6.28515625" style="3" customWidth="1"/>
    <col min="11013" max="11013" width="8.28515625" style="3" customWidth="1"/>
    <col min="11014" max="11014" width="12.42578125" style="3" customWidth="1"/>
    <col min="11015" max="11015" width="5.28515625" style="3" customWidth="1"/>
    <col min="11016" max="11016" width="10.85546875" style="3" customWidth="1"/>
    <col min="11017" max="11017" width="4.85546875" style="3" customWidth="1"/>
    <col min="11018" max="11018" width="5.140625" style="3" customWidth="1"/>
    <col min="11019" max="11019" width="10.5703125" style="3" customWidth="1"/>
    <col min="11020" max="11020" width="6.28515625" style="3" customWidth="1"/>
    <col min="11021" max="11021" width="6.5703125" style="3" customWidth="1"/>
    <col min="11022" max="11022" width="7.42578125" style="3" customWidth="1"/>
    <col min="11023" max="11023" width="6.85546875" style="3" customWidth="1"/>
    <col min="11024" max="11024" width="10.7109375" style="3" customWidth="1"/>
    <col min="11025" max="11025" width="5.140625" style="3" customWidth="1"/>
    <col min="11026" max="11257" width="11.42578125" style="3"/>
    <col min="11258" max="11258" width="23.7109375" style="3" customWidth="1"/>
    <col min="11259" max="11259" width="0" style="3" hidden="1" customWidth="1"/>
    <col min="11260" max="11260" width="41.42578125" style="3" customWidth="1"/>
    <col min="11261" max="11261" width="19.140625" style="3" customWidth="1"/>
    <col min="11262" max="11262" width="6.28515625" style="3" customWidth="1"/>
    <col min="11263" max="11263" width="6" style="3" customWidth="1"/>
    <col min="11264" max="11264" width="7.42578125" style="3" customWidth="1"/>
    <col min="11265" max="11265" width="5.7109375" style="3" customWidth="1"/>
    <col min="11266" max="11266" width="5.28515625" style="3" customWidth="1"/>
    <col min="11267" max="11267" width="10" style="3" customWidth="1"/>
    <col min="11268" max="11268" width="6.28515625" style="3" customWidth="1"/>
    <col min="11269" max="11269" width="8.28515625" style="3" customWidth="1"/>
    <col min="11270" max="11270" width="12.42578125" style="3" customWidth="1"/>
    <col min="11271" max="11271" width="5.28515625" style="3" customWidth="1"/>
    <col min="11272" max="11272" width="10.85546875" style="3" customWidth="1"/>
    <col min="11273" max="11273" width="4.85546875" style="3" customWidth="1"/>
    <col min="11274" max="11274" width="5.140625" style="3" customWidth="1"/>
    <col min="11275" max="11275" width="10.5703125" style="3" customWidth="1"/>
    <col min="11276" max="11276" width="6.28515625" style="3" customWidth="1"/>
    <col min="11277" max="11277" width="6.5703125" style="3" customWidth="1"/>
    <col min="11278" max="11278" width="7.42578125" style="3" customWidth="1"/>
    <col min="11279" max="11279" width="6.85546875" style="3" customWidth="1"/>
    <col min="11280" max="11280" width="10.7109375" style="3" customWidth="1"/>
    <col min="11281" max="11281" width="5.140625" style="3" customWidth="1"/>
    <col min="11282" max="11513" width="11.42578125" style="3"/>
    <col min="11514" max="11514" width="23.7109375" style="3" customWidth="1"/>
    <col min="11515" max="11515" width="0" style="3" hidden="1" customWidth="1"/>
    <col min="11516" max="11516" width="41.42578125" style="3" customWidth="1"/>
    <col min="11517" max="11517" width="19.140625" style="3" customWidth="1"/>
    <col min="11518" max="11518" width="6.28515625" style="3" customWidth="1"/>
    <col min="11519" max="11519" width="6" style="3" customWidth="1"/>
    <col min="11520" max="11520" width="7.42578125" style="3" customWidth="1"/>
    <col min="11521" max="11521" width="5.7109375" style="3" customWidth="1"/>
    <col min="11522" max="11522" width="5.28515625" style="3" customWidth="1"/>
    <col min="11523" max="11523" width="10" style="3" customWidth="1"/>
    <col min="11524" max="11524" width="6.28515625" style="3" customWidth="1"/>
    <col min="11525" max="11525" width="8.28515625" style="3" customWidth="1"/>
    <col min="11526" max="11526" width="12.42578125" style="3" customWidth="1"/>
    <col min="11527" max="11527" width="5.28515625" style="3" customWidth="1"/>
    <col min="11528" max="11528" width="10.85546875" style="3" customWidth="1"/>
    <col min="11529" max="11529" width="4.85546875" style="3" customWidth="1"/>
    <col min="11530" max="11530" width="5.140625" style="3" customWidth="1"/>
    <col min="11531" max="11531" width="10.5703125" style="3" customWidth="1"/>
    <col min="11532" max="11532" width="6.28515625" style="3" customWidth="1"/>
    <col min="11533" max="11533" width="6.5703125" style="3" customWidth="1"/>
    <col min="11534" max="11534" width="7.42578125" style="3" customWidth="1"/>
    <col min="11535" max="11535" width="6.85546875" style="3" customWidth="1"/>
    <col min="11536" max="11536" width="10.7109375" style="3" customWidth="1"/>
    <col min="11537" max="11537" width="5.140625" style="3" customWidth="1"/>
    <col min="11538" max="11769" width="11.42578125" style="3"/>
    <col min="11770" max="11770" width="23.7109375" style="3" customWidth="1"/>
    <col min="11771" max="11771" width="0" style="3" hidden="1" customWidth="1"/>
    <col min="11772" max="11772" width="41.42578125" style="3" customWidth="1"/>
    <col min="11773" max="11773" width="19.140625" style="3" customWidth="1"/>
    <col min="11774" max="11774" width="6.28515625" style="3" customWidth="1"/>
    <col min="11775" max="11775" width="6" style="3" customWidth="1"/>
    <col min="11776" max="11776" width="7.42578125" style="3" customWidth="1"/>
    <col min="11777" max="11777" width="5.7109375" style="3" customWidth="1"/>
    <col min="11778" max="11778" width="5.28515625" style="3" customWidth="1"/>
    <col min="11779" max="11779" width="10" style="3" customWidth="1"/>
    <col min="11780" max="11780" width="6.28515625" style="3" customWidth="1"/>
    <col min="11781" max="11781" width="8.28515625" style="3" customWidth="1"/>
    <col min="11782" max="11782" width="12.42578125" style="3" customWidth="1"/>
    <col min="11783" max="11783" width="5.28515625" style="3" customWidth="1"/>
    <col min="11784" max="11784" width="10.85546875" style="3" customWidth="1"/>
    <col min="11785" max="11785" width="4.85546875" style="3" customWidth="1"/>
    <col min="11786" max="11786" width="5.140625" style="3" customWidth="1"/>
    <col min="11787" max="11787" width="10.5703125" style="3" customWidth="1"/>
    <col min="11788" max="11788" width="6.28515625" style="3" customWidth="1"/>
    <col min="11789" max="11789" width="6.5703125" style="3" customWidth="1"/>
    <col min="11790" max="11790" width="7.42578125" style="3" customWidth="1"/>
    <col min="11791" max="11791" width="6.85546875" style="3" customWidth="1"/>
    <col min="11792" max="11792" width="10.7109375" style="3" customWidth="1"/>
    <col min="11793" max="11793" width="5.140625" style="3" customWidth="1"/>
    <col min="11794" max="12025" width="11.42578125" style="3"/>
    <col min="12026" max="12026" width="23.7109375" style="3" customWidth="1"/>
    <col min="12027" max="12027" width="0" style="3" hidden="1" customWidth="1"/>
    <col min="12028" max="12028" width="41.42578125" style="3" customWidth="1"/>
    <col min="12029" max="12029" width="19.140625" style="3" customWidth="1"/>
    <col min="12030" max="12030" width="6.28515625" style="3" customWidth="1"/>
    <col min="12031" max="12031" width="6" style="3" customWidth="1"/>
    <col min="12032" max="12032" width="7.42578125" style="3" customWidth="1"/>
    <col min="12033" max="12033" width="5.7109375" style="3" customWidth="1"/>
    <col min="12034" max="12034" width="5.28515625" style="3" customWidth="1"/>
    <col min="12035" max="12035" width="10" style="3" customWidth="1"/>
    <col min="12036" max="12036" width="6.28515625" style="3" customWidth="1"/>
    <col min="12037" max="12037" width="8.28515625" style="3" customWidth="1"/>
    <col min="12038" max="12038" width="12.42578125" style="3" customWidth="1"/>
    <col min="12039" max="12039" width="5.28515625" style="3" customWidth="1"/>
    <col min="12040" max="12040" width="10.85546875" style="3" customWidth="1"/>
    <col min="12041" max="12041" width="4.85546875" style="3" customWidth="1"/>
    <col min="12042" max="12042" width="5.140625" style="3" customWidth="1"/>
    <col min="12043" max="12043" width="10.5703125" style="3" customWidth="1"/>
    <col min="12044" max="12044" width="6.28515625" style="3" customWidth="1"/>
    <col min="12045" max="12045" width="6.5703125" style="3" customWidth="1"/>
    <col min="12046" max="12046" width="7.42578125" style="3" customWidth="1"/>
    <col min="12047" max="12047" width="6.85546875" style="3" customWidth="1"/>
    <col min="12048" max="12048" width="10.7109375" style="3" customWidth="1"/>
    <col min="12049" max="12049" width="5.140625" style="3" customWidth="1"/>
    <col min="12050" max="12281" width="11.42578125" style="3"/>
    <col min="12282" max="12282" width="23.7109375" style="3" customWidth="1"/>
    <col min="12283" max="12283" width="0" style="3" hidden="1" customWidth="1"/>
    <col min="12284" max="12284" width="41.42578125" style="3" customWidth="1"/>
    <col min="12285" max="12285" width="19.140625" style="3" customWidth="1"/>
    <col min="12286" max="12286" width="6.28515625" style="3" customWidth="1"/>
    <col min="12287" max="12287" width="6" style="3" customWidth="1"/>
    <col min="12288" max="12288" width="7.42578125" style="3" customWidth="1"/>
    <col min="12289" max="12289" width="5.7109375" style="3" customWidth="1"/>
    <col min="12290" max="12290" width="5.28515625" style="3" customWidth="1"/>
    <col min="12291" max="12291" width="10" style="3" customWidth="1"/>
    <col min="12292" max="12292" width="6.28515625" style="3" customWidth="1"/>
    <col min="12293" max="12293" width="8.28515625" style="3" customWidth="1"/>
    <col min="12294" max="12294" width="12.42578125" style="3" customWidth="1"/>
    <col min="12295" max="12295" width="5.28515625" style="3" customWidth="1"/>
    <col min="12296" max="12296" width="10.85546875" style="3" customWidth="1"/>
    <col min="12297" max="12297" width="4.85546875" style="3" customWidth="1"/>
    <col min="12298" max="12298" width="5.140625" style="3" customWidth="1"/>
    <col min="12299" max="12299" width="10.5703125" style="3" customWidth="1"/>
    <col min="12300" max="12300" width="6.28515625" style="3" customWidth="1"/>
    <col min="12301" max="12301" width="6.5703125" style="3" customWidth="1"/>
    <col min="12302" max="12302" width="7.42578125" style="3" customWidth="1"/>
    <col min="12303" max="12303" width="6.85546875" style="3" customWidth="1"/>
    <col min="12304" max="12304" width="10.7109375" style="3" customWidth="1"/>
    <col min="12305" max="12305" width="5.140625" style="3" customWidth="1"/>
    <col min="12306" max="12537" width="11.42578125" style="3"/>
    <col min="12538" max="12538" width="23.7109375" style="3" customWidth="1"/>
    <col min="12539" max="12539" width="0" style="3" hidden="1" customWidth="1"/>
    <col min="12540" max="12540" width="41.42578125" style="3" customWidth="1"/>
    <col min="12541" max="12541" width="19.140625" style="3" customWidth="1"/>
    <col min="12542" max="12542" width="6.28515625" style="3" customWidth="1"/>
    <col min="12543" max="12543" width="6" style="3" customWidth="1"/>
    <col min="12544" max="12544" width="7.42578125" style="3" customWidth="1"/>
    <col min="12545" max="12545" width="5.7109375" style="3" customWidth="1"/>
    <col min="12546" max="12546" width="5.28515625" style="3" customWidth="1"/>
    <col min="12547" max="12547" width="10" style="3" customWidth="1"/>
    <col min="12548" max="12548" width="6.28515625" style="3" customWidth="1"/>
    <col min="12549" max="12549" width="8.28515625" style="3" customWidth="1"/>
    <col min="12550" max="12550" width="12.42578125" style="3" customWidth="1"/>
    <col min="12551" max="12551" width="5.28515625" style="3" customWidth="1"/>
    <col min="12552" max="12552" width="10.85546875" style="3" customWidth="1"/>
    <col min="12553" max="12553" width="4.85546875" style="3" customWidth="1"/>
    <col min="12554" max="12554" width="5.140625" style="3" customWidth="1"/>
    <col min="12555" max="12555" width="10.5703125" style="3" customWidth="1"/>
    <col min="12556" max="12556" width="6.28515625" style="3" customWidth="1"/>
    <col min="12557" max="12557" width="6.5703125" style="3" customWidth="1"/>
    <col min="12558" max="12558" width="7.42578125" style="3" customWidth="1"/>
    <col min="12559" max="12559" width="6.85546875" style="3" customWidth="1"/>
    <col min="12560" max="12560" width="10.7109375" style="3" customWidth="1"/>
    <col min="12561" max="12561" width="5.140625" style="3" customWidth="1"/>
    <col min="12562" max="12793" width="11.42578125" style="3"/>
    <col min="12794" max="12794" width="23.7109375" style="3" customWidth="1"/>
    <col min="12795" max="12795" width="0" style="3" hidden="1" customWidth="1"/>
    <col min="12796" max="12796" width="41.42578125" style="3" customWidth="1"/>
    <col min="12797" max="12797" width="19.140625" style="3" customWidth="1"/>
    <col min="12798" max="12798" width="6.28515625" style="3" customWidth="1"/>
    <col min="12799" max="12799" width="6" style="3" customWidth="1"/>
    <col min="12800" max="12800" width="7.42578125" style="3" customWidth="1"/>
    <col min="12801" max="12801" width="5.7109375" style="3" customWidth="1"/>
    <col min="12802" max="12802" width="5.28515625" style="3" customWidth="1"/>
    <col min="12803" max="12803" width="10" style="3" customWidth="1"/>
    <col min="12804" max="12804" width="6.28515625" style="3" customWidth="1"/>
    <col min="12805" max="12805" width="8.28515625" style="3" customWidth="1"/>
    <col min="12806" max="12806" width="12.42578125" style="3" customWidth="1"/>
    <col min="12807" max="12807" width="5.28515625" style="3" customWidth="1"/>
    <col min="12808" max="12808" width="10.85546875" style="3" customWidth="1"/>
    <col min="12809" max="12809" width="4.85546875" style="3" customWidth="1"/>
    <col min="12810" max="12810" width="5.140625" style="3" customWidth="1"/>
    <col min="12811" max="12811" width="10.5703125" style="3" customWidth="1"/>
    <col min="12812" max="12812" width="6.28515625" style="3" customWidth="1"/>
    <col min="12813" max="12813" width="6.5703125" style="3" customWidth="1"/>
    <col min="12814" max="12814" width="7.42578125" style="3" customWidth="1"/>
    <col min="12815" max="12815" width="6.85546875" style="3" customWidth="1"/>
    <col min="12816" max="12816" width="10.7109375" style="3" customWidth="1"/>
    <col min="12817" max="12817" width="5.140625" style="3" customWidth="1"/>
    <col min="12818" max="13049" width="11.42578125" style="3"/>
    <col min="13050" max="13050" width="23.7109375" style="3" customWidth="1"/>
    <col min="13051" max="13051" width="0" style="3" hidden="1" customWidth="1"/>
    <col min="13052" max="13052" width="41.42578125" style="3" customWidth="1"/>
    <col min="13053" max="13053" width="19.140625" style="3" customWidth="1"/>
    <col min="13054" max="13054" width="6.28515625" style="3" customWidth="1"/>
    <col min="13055" max="13055" width="6" style="3" customWidth="1"/>
    <col min="13056" max="13056" width="7.42578125" style="3" customWidth="1"/>
    <col min="13057" max="13057" width="5.7109375" style="3" customWidth="1"/>
    <col min="13058" max="13058" width="5.28515625" style="3" customWidth="1"/>
    <col min="13059" max="13059" width="10" style="3" customWidth="1"/>
    <col min="13060" max="13060" width="6.28515625" style="3" customWidth="1"/>
    <col min="13061" max="13061" width="8.28515625" style="3" customWidth="1"/>
    <col min="13062" max="13062" width="12.42578125" style="3" customWidth="1"/>
    <col min="13063" max="13063" width="5.28515625" style="3" customWidth="1"/>
    <col min="13064" max="13064" width="10.85546875" style="3" customWidth="1"/>
    <col min="13065" max="13065" width="4.85546875" style="3" customWidth="1"/>
    <col min="13066" max="13066" width="5.140625" style="3" customWidth="1"/>
    <col min="13067" max="13067" width="10.5703125" style="3" customWidth="1"/>
    <col min="13068" max="13068" width="6.28515625" style="3" customWidth="1"/>
    <col min="13069" max="13069" width="6.5703125" style="3" customWidth="1"/>
    <col min="13070" max="13070" width="7.42578125" style="3" customWidth="1"/>
    <col min="13071" max="13071" width="6.85546875" style="3" customWidth="1"/>
    <col min="13072" max="13072" width="10.7109375" style="3" customWidth="1"/>
    <col min="13073" max="13073" width="5.140625" style="3" customWidth="1"/>
    <col min="13074" max="13305" width="11.42578125" style="3"/>
    <col min="13306" max="13306" width="23.7109375" style="3" customWidth="1"/>
    <col min="13307" max="13307" width="0" style="3" hidden="1" customWidth="1"/>
    <col min="13308" max="13308" width="41.42578125" style="3" customWidth="1"/>
    <col min="13309" max="13309" width="19.140625" style="3" customWidth="1"/>
    <col min="13310" max="13310" width="6.28515625" style="3" customWidth="1"/>
    <col min="13311" max="13311" width="6" style="3" customWidth="1"/>
    <col min="13312" max="13312" width="7.42578125" style="3" customWidth="1"/>
    <col min="13313" max="13313" width="5.7109375" style="3" customWidth="1"/>
    <col min="13314" max="13314" width="5.28515625" style="3" customWidth="1"/>
    <col min="13315" max="13315" width="10" style="3" customWidth="1"/>
    <col min="13316" max="13316" width="6.28515625" style="3" customWidth="1"/>
    <col min="13317" max="13317" width="8.28515625" style="3" customWidth="1"/>
    <col min="13318" max="13318" width="12.42578125" style="3" customWidth="1"/>
    <col min="13319" max="13319" width="5.28515625" style="3" customWidth="1"/>
    <col min="13320" max="13320" width="10.85546875" style="3" customWidth="1"/>
    <col min="13321" max="13321" width="4.85546875" style="3" customWidth="1"/>
    <col min="13322" max="13322" width="5.140625" style="3" customWidth="1"/>
    <col min="13323" max="13323" width="10.5703125" style="3" customWidth="1"/>
    <col min="13324" max="13324" width="6.28515625" style="3" customWidth="1"/>
    <col min="13325" max="13325" width="6.5703125" style="3" customWidth="1"/>
    <col min="13326" max="13326" width="7.42578125" style="3" customWidth="1"/>
    <col min="13327" max="13327" width="6.85546875" style="3" customWidth="1"/>
    <col min="13328" max="13328" width="10.7109375" style="3" customWidth="1"/>
    <col min="13329" max="13329" width="5.140625" style="3" customWidth="1"/>
    <col min="13330" max="13561" width="11.42578125" style="3"/>
    <col min="13562" max="13562" width="23.7109375" style="3" customWidth="1"/>
    <col min="13563" max="13563" width="0" style="3" hidden="1" customWidth="1"/>
    <col min="13564" max="13564" width="41.42578125" style="3" customWidth="1"/>
    <col min="13565" max="13565" width="19.140625" style="3" customWidth="1"/>
    <col min="13566" max="13566" width="6.28515625" style="3" customWidth="1"/>
    <col min="13567" max="13567" width="6" style="3" customWidth="1"/>
    <col min="13568" max="13568" width="7.42578125" style="3" customWidth="1"/>
    <col min="13569" max="13569" width="5.7109375" style="3" customWidth="1"/>
    <col min="13570" max="13570" width="5.28515625" style="3" customWidth="1"/>
    <col min="13571" max="13571" width="10" style="3" customWidth="1"/>
    <col min="13572" max="13572" width="6.28515625" style="3" customWidth="1"/>
    <col min="13573" max="13573" width="8.28515625" style="3" customWidth="1"/>
    <col min="13574" max="13574" width="12.42578125" style="3" customWidth="1"/>
    <col min="13575" max="13575" width="5.28515625" style="3" customWidth="1"/>
    <col min="13576" max="13576" width="10.85546875" style="3" customWidth="1"/>
    <col min="13577" max="13577" width="4.85546875" style="3" customWidth="1"/>
    <col min="13578" max="13578" width="5.140625" style="3" customWidth="1"/>
    <col min="13579" max="13579" width="10.5703125" style="3" customWidth="1"/>
    <col min="13580" max="13580" width="6.28515625" style="3" customWidth="1"/>
    <col min="13581" max="13581" width="6.5703125" style="3" customWidth="1"/>
    <col min="13582" max="13582" width="7.42578125" style="3" customWidth="1"/>
    <col min="13583" max="13583" width="6.85546875" style="3" customWidth="1"/>
    <col min="13584" max="13584" width="10.7109375" style="3" customWidth="1"/>
    <col min="13585" max="13585" width="5.140625" style="3" customWidth="1"/>
    <col min="13586" max="13817" width="11.42578125" style="3"/>
    <col min="13818" max="13818" width="23.7109375" style="3" customWidth="1"/>
    <col min="13819" max="13819" width="0" style="3" hidden="1" customWidth="1"/>
    <col min="13820" max="13820" width="41.42578125" style="3" customWidth="1"/>
    <col min="13821" max="13821" width="19.140625" style="3" customWidth="1"/>
    <col min="13822" max="13822" width="6.28515625" style="3" customWidth="1"/>
    <col min="13823" max="13823" width="6" style="3" customWidth="1"/>
    <col min="13824" max="13824" width="7.42578125" style="3" customWidth="1"/>
    <col min="13825" max="13825" width="5.7109375" style="3" customWidth="1"/>
    <col min="13826" max="13826" width="5.28515625" style="3" customWidth="1"/>
    <col min="13827" max="13827" width="10" style="3" customWidth="1"/>
    <col min="13828" max="13828" width="6.28515625" style="3" customWidth="1"/>
    <col min="13829" max="13829" width="8.28515625" style="3" customWidth="1"/>
    <col min="13830" max="13830" width="12.42578125" style="3" customWidth="1"/>
    <col min="13831" max="13831" width="5.28515625" style="3" customWidth="1"/>
    <col min="13832" max="13832" width="10.85546875" style="3" customWidth="1"/>
    <col min="13833" max="13833" width="4.85546875" style="3" customWidth="1"/>
    <col min="13834" max="13834" width="5.140625" style="3" customWidth="1"/>
    <col min="13835" max="13835" width="10.5703125" style="3" customWidth="1"/>
    <col min="13836" max="13836" width="6.28515625" style="3" customWidth="1"/>
    <col min="13837" max="13837" width="6.5703125" style="3" customWidth="1"/>
    <col min="13838" max="13838" width="7.42578125" style="3" customWidth="1"/>
    <col min="13839" max="13839" width="6.85546875" style="3" customWidth="1"/>
    <col min="13840" max="13840" width="10.7109375" style="3" customWidth="1"/>
    <col min="13841" max="13841" width="5.140625" style="3" customWidth="1"/>
    <col min="13842" max="14073" width="11.42578125" style="3"/>
    <col min="14074" max="14074" width="23.7109375" style="3" customWidth="1"/>
    <col min="14075" max="14075" width="0" style="3" hidden="1" customWidth="1"/>
    <col min="14076" max="14076" width="41.42578125" style="3" customWidth="1"/>
    <col min="14077" max="14077" width="19.140625" style="3" customWidth="1"/>
    <col min="14078" max="14078" width="6.28515625" style="3" customWidth="1"/>
    <col min="14079" max="14079" width="6" style="3" customWidth="1"/>
    <col min="14080" max="14080" width="7.42578125" style="3" customWidth="1"/>
    <col min="14081" max="14081" width="5.7109375" style="3" customWidth="1"/>
    <col min="14082" max="14082" width="5.28515625" style="3" customWidth="1"/>
    <col min="14083" max="14083" width="10" style="3" customWidth="1"/>
    <col min="14084" max="14084" width="6.28515625" style="3" customWidth="1"/>
    <col min="14085" max="14085" width="8.28515625" style="3" customWidth="1"/>
    <col min="14086" max="14086" width="12.42578125" style="3" customWidth="1"/>
    <col min="14087" max="14087" width="5.28515625" style="3" customWidth="1"/>
    <col min="14088" max="14088" width="10.85546875" style="3" customWidth="1"/>
    <col min="14089" max="14089" width="4.85546875" style="3" customWidth="1"/>
    <col min="14090" max="14090" width="5.140625" style="3" customWidth="1"/>
    <col min="14091" max="14091" width="10.5703125" style="3" customWidth="1"/>
    <col min="14092" max="14092" width="6.28515625" style="3" customWidth="1"/>
    <col min="14093" max="14093" width="6.5703125" style="3" customWidth="1"/>
    <col min="14094" max="14094" width="7.42578125" style="3" customWidth="1"/>
    <col min="14095" max="14095" width="6.85546875" style="3" customWidth="1"/>
    <col min="14096" max="14096" width="10.7109375" style="3" customWidth="1"/>
    <col min="14097" max="14097" width="5.140625" style="3" customWidth="1"/>
    <col min="14098" max="14329" width="11.42578125" style="3"/>
    <col min="14330" max="14330" width="23.7109375" style="3" customWidth="1"/>
    <col min="14331" max="14331" width="0" style="3" hidden="1" customWidth="1"/>
    <col min="14332" max="14332" width="41.42578125" style="3" customWidth="1"/>
    <col min="14333" max="14333" width="19.140625" style="3" customWidth="1"/>
    <col min="14334" max="14334" width="6.28515625" style="3" customWidth="1"/>
    <col min="14335" max="14335" width="6" style="3" customWidth="1"/>
    <col min="14336" max="14336" width="7.42578125" style="3" customWidth="1"/>
    <col min="14337" max="14337" width="5.7109375" style="3" customWidth="1"/>
    <col min="14338" max="14338" width="5.28515625" style="3" customWidth="1"/>
    <col min="14339" max="14339" width="10" style="3" customWidth="1"/>
    <col min="14340" max="14340" width="6.28515625" style="3" customWidth="1"/>
    <col min="14341" max="14341" width="8.28515625" style="3" customWidth="1"/>
    <col min="14342" max="14342" width="12.42578125" style="3" customWidth="1"/>
    <col min="14343" max="14343" width="5.28515625" style="3" customWidth="1"/>
    <col min="14344" max="14344" width="10.85546875" style="3" customWidth="1"/>
    <col min="14345" max="14345" width="4.85546875" style="3" customWidth="1"/>
    <col min="14346" max="14346" width="5.140625" style="3" customWidth="1"/>
    <col min="14347" max="14347" width="10.5703125" style="3" customWidth="1"/>
    <col min="14348" max="14348" width="6.28515625" style="3" customWidth="1"/>
    <col min="14349" max="14349" width="6.5703125" style="3" customWidth="1"/>
    <col min="14350" max="14350" width="7.42578125" style="3" customWidth="1"/>
    <col min="14351" max="14351" width="6.85546875" style="3" customWidth="1"/>
    <col min="14352" max="14352" width="10.7109375" style="3" customWidth="1"/>
    <col min="14353" max="14353" width="5.140625" style="3" customWidth="1"/>
    <col min="14354" max="14585" width="11.42578125" style="3"/>
    <col min="14586" max="14586" width="23.7109375" style="3" customWidth="1"/>
    <col min="14587" max="14587" width="0" style="3" hidden="1" customWidth="1"/>
    <col min="14588" max="14588" width="41.42578125" style="3" customWidth="1"/>
    <col min="14589" max="14589" width="19.140625" style="3" customWidth="1"/>
    <col min="14590" max="14590" width="6.28515625" style="3" customWidth="1"/>
    <col min="14591" max="14591" width="6" style="3" customWidth="1"/>
    <col min="14592" max="14592" width="7.42578125" style="3" customWidth="1"/>
    <col min="14593" max="14593" width="5.7109375" style="3" customWidth="1"/>
    <col min="14594" max="14594" width="5.28515625" style="3" customWidth="1"/>
    <col min="14595" max="14595" width="10" style="3" customWidth="1"/>
    <col min="14596" max="14596" width="6.28515625" style="3" customWidth="1"/>
    <col min="14597" max="14597" width="8.28515625" style="3" customWidth="1"/>
    <col min="14598" max="14598" width="12.42578125" style="3" customWidth="1"/>
    <col min="14599" max="14599" width="5.28515625" style="3" customWidth="1"/>
    <col min="14600" max="14600" width="10.85546875" style="3" customWidth="1"/>
    <col min="14601" max="14601" width="4.85546875" style="3" customWidth="1"/>
    <col min="14602" max="14602" width="5.140625" style="3" customWidth="1"/>
    <col min="14603" max="14603" width="10.5703125" style="3" customWidth="1"/>
    <col min="14604" max="14604" width="6.28515625" style="3" customWidth="1"/>
    <col min="14605" max="14605" width="6.5703125" style="3" customWidth="1"/>
    <col min="14606" max="14606" width="7.42578125" style="3" customWidth="1"/>
    <col min="14607" max="14607" width="6.85546875" style="3" customWidth="1"/>
    <col min="14608" max="14608" width="10.7109375" style="3" customWidth="1"/>
    <col min="14609" max="14609" width="5.140625" style="3" customWidth="1"/>
    <col min="14610" max="14841" width="11.42578125" style="3"/>
    <col min="14842" max="14842" width="23.7109375" style="3" customWidth="1"/>
    <col min="14843" max="14843" width="0" style="3" hidden="1" customWidth="1"/>
    <col min="14844" max="14844" width="41.42578125" style="3" customWidth="1"/>
    <col min="14845" max="14845" width="19.140625" style="3" customWidth="1"/>
    <col min="14846" max="14846" width="6.28515625" style="3" customWidth="1"/>
    <col min="14847" max="14847" width="6" style="3" customWidth="1"/>
    <col min="14848" max="14848" width="7.42578125" style="3" customWidth="1"/>
    <col min="14849" max="14849" width="5.7109375" style="3" customWidth="1"/>
    <col min="14850" max="14850" width="5.28515625" style="3" customWidth="1"/>
    <col min="14851" max="14851" width="10" style="3" customWidth="1"/>
    <col min="14852" max="14852" width="6.28515625" style="3" customWidth="1"/>
    <col min="14853" max="14853" width="8.28515625" style="3" customWidth="1"/>
    <col min="14854" max="14854" width="12.42578125" style="3" customWidth="1"/>
    <col min="14855" max="14855" width="5.28515625" style="3" customWidth="1"/>
    <col min="14856" max="14856" width="10.85546875" style="3" customWidth="1"/>
    <col min="14857" max="14857" width="4.85546875" style="3" customWidth="1"/>
    <col min="14858" max="14858" width="5.140625" style="3" customWidth="1"/>
    <col min="14859" max="14859" width="10.5703125" style="3" customWidth="1"/>
    <col min="14860" max="14860" width="6.28515625" style="3" customWidth="1"/>
    <col min="14861" max="14861" width="6.5703125" style="3" customWidth="1"/>
    <col min="14862" max="14862" width="7.42578125" style="3" customWidth="1"/>
    <col min="14863" max="14863" width="6.85546875" style="3" customWidth="1"/>
    <col min="14864" max="14864" width="10.7109375" style="3" customWidth="1"/>
    <col min="14865" max="14865" width="5.140625" style="3" customWidth="1"/>
    <col min="14866" max="15097" width="11.42578125" style="3"/>
    <col min="15098" max="15098" width="23.7109375" style="3" customWidth="1"/>
    <col min="15099" max="15099" width="0" style="3" hidden="1" customWidth="1"/>
    <col min="15100" max="15100" width="41.42578125" style="3" customWidth="1"/>
    <col min="15101" max="15101" width="19.140625" style="3" customWidth="1"/>
    <col min="15102" max="15102" width="6.28515625" style="3" customWidth="1"/>
    <col min="15103" max="15103" width="6" style="3" customWidth="1"/>
    <col min="15104" max="15104" width="7.42578125" style="3" customWidth="1"/>
    <col min="15105" max="15105" width="5.7109375" style="3" customWidth="1"/>
    <col min="15106" max="15106" width="5.28515625" style="3" customWidth="1"/>
    <col min="15107" max="15107" width="10" style="3" customWidth="1"/>
    <col min="15108" max="15108" width="6.28515625" style="3" customWidth="1"/>
    <col min="15109" max="15109" width="8.28515625" style="3" customWidth="1"/>
    <col min="15110" max="15110" width="12.42578125" style="3" customWidth="1"/>
    <col min="15111" max="15111" width="5.28515625" style="3" customWidth="1"/>
    <col min="15112" max="15112" width="10.85546875" style="3" customWidth="1"/>
    <col min="15113" max="15113" width="4.85546875" style="3" customWidth="1"/>
    <col min="15114" max="15114" width="5.140625" style="3" customWidth="1"/>
    <col min="15115" max="15115" width="10.5703125" style="3" customWidth="1"/>
    <col min="15116" max="15116" width="6.28515625" style="3" customWidth="1"/>
    <col min="15117" max="15117" width="6.5703125" style="3" customWidth="1"/>
    <col min="15118" max="15118" width="7.42578125" style="3" customWidth="1"/>
    <col min="15119" max="15119" width="6.85546875" style="3" customWidth="1"/>
    <col min="15120" max="15120" width="10.7109375" style="3" customWidth="1"/>
    <col min="15121" max="15121" width="5.140625" style="3" customWidth="1"/>
    <col min="15122" max="15353" width="11.42578125" style="3"/>
    <col min="15354" max="15354" width="23.7109375" style="3" customWidth="1"/>
    <col min="15355" max="15355" width="0" style="3" hidden="1" customWidth="1"/>
    <col min="15356" max="15356" width="41.42578125" style="3" customWidth="1"/>
    <col min="15357" max="15357" width="19.140625" style="3" customWidth="1"/>
    <col min="15358" max="15358" width="6.28515625" style="3" customWidth="1"/>
    <col min="15359" max="15359" width="6" style="3" customWidth="1"/>
    <col min="15360" max="15360" width="7.42578125" style="3" customWidth="1"/>
    <col min="15361" max="15361" width="5.7109375" style="3" customWidth="1"/>
    <col min="15362" max="15362" width="5.28515625" style="3" customWidth="1"/>
    <col min="15363" max="15363" width="10" style="3" customWidth="1"/>
    <col min="15364" max="15364" width="6.28515625" style="3" customWidth="1"/>
    <col min="15365" max="15365" width="8.28515625" style="3" customWidth="1"/>
    <col min="15366" max="15366" width="12.42578125" style="3" customWidth="1"/>
    <col min="15367" max="15367" width="5.28515625" style="3" customWidth="1"/>
    <col min="15368" max="15368" width="10.85546875" style="3" customWidth="1"/>
    <col min="15369" max="15369" width="4.85546875" style="3" customWidth="1"/>
    <col min="15370" max="15370" width="5.140625" style="3" customWidth="1"/>
    <col min="15371" max="15371" width="10.5703125" style="3" customWidth="1"/>
    <col min="15372" max="15372" width="6.28515625" style="3" customWidth="1"/>
    <col min="15373" max="15373" width="6.5703125" style="3" customWidth="1"/>
    <col min="15374" max="15374" width="7.42578125" style="3" customWidth="1"/>
    <col min="15375" max="15375" width="6.85546875" style="3" customWidth="1"/>
    <col min="15376" max="15376" width="10.7109375" style="3" customWidth="1"/>
    <col min="15377" max="15377" width="5.140625" style="3" customWidth="1"/>
    <col min="15378" max="15609" width="11.42578125" style="3"/>
    <col min="15610" max="15610" width="23.7109375" style="3" customWidth="1"/>
    <col min="15611" max="15611" width="0" style="3" hidden="1" customWidth="1"/>
    <col min="15612" max="15612" width="41.42578125" style="3" customWidth="1"/>
    <col min="15613" max="15613" width="19.140625" style="3" customWidth="1"/>
    <col min="15614" max="15614" width="6.28515625" style="3" customWidth="1"/>
    <col min="15615" max="15615" width="6" style="3" customWidth="1"/>
    <col min="15616" max="15616" width="7.42578125" style="3" customWidth="1"/>
    <col min="15617" max="15617" width="5.7109375" style="3" customWidth="1"/>
    <col min="15618" max="15618" width="5.28515625" style="3" customWidth="1"/>
    <col min="15619" max="15619" width="10" style="3" customWidth="1"/>
    <col min="15620" max="15620" width="6.28515625" style="3" customWidth="1"/>
    <col min="15621" max="15621" width="8.28515625" style="3" customWidth="1"/>
    <col min="15622" max="15622" width="12.42578125" style="3" customWidth="1"/>
    <col min="15623" max="15623" width="5.28515625" style="3" customWidth="1"/>
    <col min="15624" max="15624" width="10.85546875" style="3" customWidth="1"/>
    <col min="15625" max="15625" width="4.85546875" style="3" customWidth="1"/>
    <col min="15626" max="15626" width="5.140625" style="3" customWidth="1"/>
    <col min="15627" max="15627" width="10.5703125" style="3" customWidth="1"/>
    <col min="15628" max="15628" width="6.28515625" style="3" customWidth="1"/>
    <col min="15629" max="15629" width="6.5703125" style="3" customWidth="1"/>
    <col min="15630" max="15630" width="7.42578125" style="3" customWidth="1"/>
    <col min="15631" max="15631" width="6.85546875" style="3" customWidth="1"/>
    <col min="15632" max="15632" width="10.7109375" style="3" customWidth="1"/>
    <col min="15633" max="15633" width="5.140625" style="3" customWidth="1"/>
    <col min="15634" max="15865" width="11.42578125" style="3"/>
    <col min="15866" max="15866" width="23.7109375" style="3" customWidth="1"/>
    <col min="15867" max="15867" width="0" style="3" hidden="1" customWidth="1"/>
    <col min="15868" max="15868" width="41.42578125" style="3" customWidth="1"/>
    <col min="15869" max="15869" width="19.140625" style="3" customWidth="1"/>
    <col min="15870" max="15870" width="6.28515625" style="3" customWidth="1"/>
    <col min="15871" max="15871" width="6" style="3" customWidth="1"/>
    <col min="15872" max="15872" width="7.42578125" style="3" customWidth="1"/>
    <col min="15873" max="15873" width="5.7109375" style="3" customWidth="1"/>
    <col min="15874" max="15874" width="5.28515625" style="3" customWidth="1"/>
    <col min="15875" max="15875" width="10" style="3" customWidth="1"/>
    <col min="15876" max="15876" width="6.28515625" style="3" customWidth="1"/>
    <col min="15877" max="15877" width="8.28515625" style="3" customWidth="1"/>
    <col min="15878" max="15878" width="12.42578125" style="3" customWidth="1"/>
    <col min="15879" max="15879" width="5.28515625" style="3" customWidth="1"/>
    <col min="15880" max="15880" width="10.85546875" style="3" customWidth="1"/>
    <col min="15881" max="15881" width="4.85546875" style="3" customWidth="1"/>
    <col min="15882" max="15882" width="5.140625" style="3" customWidth="1"/>
    <col min="15883" max="15883" width="10.5703125" style="3" customWidth="1"/>
    <col min="15884" max="15884" width="6.28515625" style="3" customWidth="1"/>
    <col min="15885" max="15885" width="6.5703125" style="3" customWidth="1"/>
    <col min="15886" max="15886" width="7.42578125" style="3" customWidth="1"/>
    <col min="15887" max="15887" width="6.85546875" style="3" customWidth="1"/>
    <col min="15888" max="15888" width="10.7109375" style="3" customWidth="1"/>
    <col min="15889" max="15889" width="5.140625" style="3" customWidth="1"/>
    <col min="15890" max="16121" width="11.42578125" style="3"/>
    <col min="16122" max="16122" width="23.7109375" style="3" customWidth="1"/>
    <col min="16123" max="16123" width="0" style="3" hidden="1" customWidth="1"/>
    <col min="16124" max="16124" width="41.42578125" style="3" customWidth="1"/>
    <col min="16125" max="16125" width="19.140625" style="3" customWidth="1"/>
    <col min="16126" max="16126" width="6.28515625" style="3" customWidth="1"/>
    <col min="16127" max="16127" width="6" style="3" customWidth="1"/>
    <col min="16128" max="16128" width="7.42578125" style="3" customWidth="1"/>
    <col min="16129" max="16129" width="5.7109375" style="3" customWidth="1"/>
    <col min="16130" max="16130" width="5.28515625" style="3" customWidth="1"/>
    <col min="16131" max="16131" width="10" style="3" customWidth="1"/>
    <col min="16132" max="16132" width="6.28515625" style="3" customWidth="1"/>
    <col min="16133" max="16133" width="8.28515625" style="3" customWidth="1"/>
    <col min="16134" max="16134" width="12.42578125" style="3" customWidth="1"/>
    <col min="16135" max="16135" width="5.28515625" style="3" customWidth="1"/>
    <col min="16136" max="16136" width="10.85546875" style="3" customWidth="1"/>
    <col min="16137" max="16137" width="4.85546875" style="3" customWidth="1"/>
    <col min="16138" max="16138" width="5.140625" style="3" customWidth="1"/>
    <col min="16139" max="16139" width="10.5703125" style="3" customWidth="1"/>
    <col min="16140" max="16140" width="6.28515625" style="3" customWidth="1"/>
    <col min="16141" max="16141" width="6.5703125" style="3" customWidth="1"/>
    <col min="16142" max="16142" width="7.42578125" style="3" customWidth="1"/>
    <col min="16143" max="16143" width="6.85546875" style="3" customWidth="1"/>
    <col min="16144" max="16144" width="10.7109375" style="3" customWidth="1"/>
    <col min="16145" max="16145" width="5.140625" style="3" customWidth="1"/>
    <col min="16146" max="16384" width="11.42578125" style="3"/>
  </cols>
  <sheetData>
    <row r="1" spans="1:22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"/>
    </row>
    <row r="2" spans="1:22" s="2" customFormat="1" ht="22.5" customHeight="1">
      <c r="A2" s="6"/>
      <c r="B2" s="163"/>
      <c r="C2" s="1834" t="s">
        <v>4</v>
      </c>
      <c r="D2" s="1835"/>
      <c r="E2" s="1836" t="s">
        <v>5</v>
      </c>
      <c r="F2" s="164" t="s">
        <v>6</v>
      </c>
      <c r="G2" s="164"/>
      <c r="H2" s="164"/>
      <c r="I2" s="165"/>
      <c r="J2" s="1811" t="s">
        <v>1377</v>
      </c>
      <c r="K2" s="1525" t="s">
        <v>108</v>
      </c>
      <c r="L2" s="1839" t="s">
        <v>114</v>
      </c>
      <c r="M2" s="1839" t="s">
        <v>1378</v>
      </c>
      <c r="N2" s="166" t="s">
        <v>10</v>
      </c>
      <c r="O2" s="165"/>
      <c r="P2" s="1525"/>
      <c r="Q2" s="14"/>
    </row>
    <row r="3" spans="1:22" s="2" customFormat="1" ht="22.5" customHeight="1">
      <c r="A3" s="6"/>
      <c r="B3" s="170" t="s">
        <v>228</v>
      </c>
      <c r="C3" s="1836" t="s">
        <v>14</v>
      </c>
      <c r="D3" s="171" t="s">
        <v>15</v>
      </c>
      <c r="E3" s="1837"/>
      <c r="F3" s="168" t="s">
        <v>16</v>
      </c>
      <c r="G3" s="169"/>
      <c r="H3" s="167" t="s">
        <v>17</v>
      </c>
      <c r="I3" s="169"/>
      <c r="J3" s="1812"/>
      <c r="K3" s="1526" t="s">
        <v>116</v>
      </c>
      <c r="L3" s="1820"/>
      <c r="M3" s="1820"/>
      <c r="N3" s="172" t="s">
        <v>23</v>
      </c>
      <c r="O3" s="173"/>
      <c r="P3" s="1526" t="s">
        <v>24</v>
      </c>
      <c r="Q3" s="14"/>
    </row>
    <row r="4" spans="1:22" s="2" customFormat="1" ht="22.5" customHeight="1">
      <c r="A4" s="6"/>
      <c r="B4" s="170"/>
      <c r="C4" s="1837"/>
      <c r="D4" s="171" t="s">
        <v>31</v>
      </c>
      <c r="E4" s="1838"/>
      <c r="F4" s="174" t="s">
        <v>32</v>
      </c>
      <c r="G4" s="1525" t="s">
        <v>33</v>
      </c>
      <c r="H4" s="1525" t="s">
        <v>32</v>
      </c>
      <c r="I4" s="1525" t="s">
        <v>33</v>
      </c>
      <c r="J4" s="1541" t="s">
        <v>34</v>
      </c>
      <c r="K4" s="1526" t="s">
        <v>34</v>
      </c>
      <c r="L4" s="1526" t="s">
        <v>34</v>
      </c>
      <c r="M4" s="1526" t="s">
        <v>34</v>
      </c>
      <c r="N4" s="172" t="s">
        <v>38</v>
      </c>
      <c r="O4" s="173"/>
      <c r="P4" s="1526" t="s">
        <v>120</v>
      </c>
      <c r="Q4" s="14"/>
    </row>
    <row r="5" spans="1:22" s="2" customFormat="1" ht="18" customHeight="1">
      <c r="A5" s="6"/>
      <c r="B5" s="1820" t="s">
        <v>115</v>
      </c>
      <c r="C5" s="38" t="s">
        <v>101</v>
      </c>
      <c r="D5" s="39">
        <v>187</v>
      </c>
      <c r="E5" s="361" t="s">
        <v>69</v>
      </c>
      <c r="F5" s="39">
        <v>15</v>
      </c>
      <c r="G5" s="40">
        <v>9.67</v>
      </c>
      <c r="H5" s="39">
        <v>176</v>
      </c>
      <c r="I5" s="40">
        <v>12.12</v>
      </c>
      <c r="J5" s="41">
        <f>D17*0.5</f>
        <v>11476.5</v>
      </c>
      <c r="K5" s="40">
        <v>0.5</v>
      </c>
      <c r="L5" s="41">
        <v>0.62</v>
      </c>
      <c r="M5" s="123">
        <f>+ROUND(J5/K5*L5,2)</f>
        <v>14230.86</v>
      </c>
      <c r="N5" s="142">
        <v>0.39500000000000002</v>
      </c>
      <c r="O5" s="143" t="s">
        <v>119</v>
      </c>
      <c r="P5" s="123">
        <f>N5*M5</f>
        <v>5621.1897000000008</v>
      </c>
      <c r="Q5" s="29"/>
    </row>
    <row r="6" spans="1:22" s="2" customFormat="1" ht="18" customHeight="1">
      <c r="A6" s="6"/>
      <c r="B6" s="1820"/>
      <c r="C6" s="184"/>
      <c r="D6" s="185"/>
      <c r="E6" s="184"/>
      <c r="F6" s="185"/>
      <c r="G6" s="186"/>
      <c r="H6" s="185"/>
      <c r="I6" s="186"/>
      <c r="J6" s="41"/>
      <c r="K6" s="186"/>
      <c r="L6" s="187"/>
      <c r="M6" s="41"/>
      <c r="N6" s="215"/>
      <c r="O6" s="216"/>
      <c r="P6" s="42"/>
      <c r="Q6" s="29"/>
    </row>
    <row r="7" spans="1:22" s="2" customFormat="1" ht="18" customHeight="1">
      <c r="A7" s="6"/>
      <c r="B7" s="48"/>
      <c r="C7" s="1793"/>
      <c r="D7" s="1793"/>
      <c r="E7" s="1793"/>
      <c r="F7" s="1793"/>
      <c r="G7" s="1793"/>
      <c r="H7" s="1793"/>
      <c r="I7" s="1794"/>
      <c r="J7" s="462">
        <f>SUM(J5:J6)</f>
        <v>11476.5</v>
      </c>
      <c r="K7" s="115">
        <f>SUM(K5:K6)</f>
        <v>0.5</v>
      </c>
      <c r="L7" s="115">
        <f>SUM(L5:L6)</f>
        <v>0.62</v>
      </c>
      <c r="M7" s="346">
        <f>SUM(M5)</f>
        <v>14230.86</v>
      </c>
      <c r="N7" s="217"/>
      <c r="O7" s="218"/>
      <c r="P7" s="346">
        <f>SUM(P5)</f>
        <v>5621.1897000000008</v>
      </c>
      <c r="Q7" s="29"/>
    </row>
    <row r="8" spans="1:22" s="76" customFormat="1">
      <c r="A8" s="71"/>
      <c r="B8" s="72"/>
      <c r="C8" s="73"/>
      <c r="D8" s="73"/>
      <c r="E8" s="73"/>
      <c r="F8" s="73"/>
      <c r="G8" s="73"/>
      <c r="H8" s="73"/>
      <c r="I8" s="74"/>
      <c r="J8" s="74"/>
      <c r="K8" s="74"/>
      <c r="L8" s="74"/>
      <c r="M8" s="74"/>
      <c r="N8" s="74"/>
      <c r="O8" s="74"/>
      <c r="P8" s="74"/>
      <c r="Q8" s="29"/>
      <c r="R8" s="2"/>
      <c r="S8" s="2"/>
      <c r="T8" s="2"/>
      <c r="U8" s="2"/>
      <c r="V8" s="2"/>
    </row>
    <row r="9" spans="1:22" s="76" customFormat="1">
      <c r="A9" s="71"/>
      <c r="B9" s="1795" t="s">
        <v>218</v>
      </c>
      <c r="C9" s="1796"/>
      <c r="D9" s="1796"/>
      <c r="E9" s="1796"/>
      <c r="F9" s="1796"/>
      <c r="G9" s="1796"/>
      <c r="H9" s="1796"/>
      <c r="I9" s="1796"/>
      <c r="J9" s="1796"/>
      <c r="K9" s="1796"/>
      <c r="L9" s="1796"/>
      <c r="M9" s="1796"/>
      <c r="N9" s="1796"/>
      <c r="O9" s="1796"/>
      <c r="P9" s="1797"/>
      <c r="Q9" s="29"/>
      <c r="R9" s="2"/>
      <c r="S9" s="2"/>
      <c r="T9" s="2"/>
      <c r="U9" s="2"/>
      <c r="V9" s="2"/>
    </row>
    <row r="10" spans="1:22" s="76" customFormat="1" ht="7.5" customHeight="1">
      <c r="A10" s="71"/>
      <c r="B10" s="1798"/>
      <c r="C10" s="1799"/>
      <c r="D10" s="1799"/>
      <c r="E10" s="1799"/>
      <c r="F10" s="1799"/>
      <c r="G10" s="1799"/>
      <c r="H10" s="1799"/>
      <c r="I10" s="1799"/>
      <c r="J10" s="1799"/>
      <c r="K10" s="1799"/>
      <c r="L10" s="1799"/>
      <c r="M10" s="1799"/>
      <c r="N10" s="1799"/>
      <c r="O10" s="1799"/>
      <c r="P10" s="1800"/>
      <c r="Q10" s="29"/>
      <c r="R10" s="2"/>
      <c r="S10" s="2"/>
      <c r="T10" s="2"/>
      <c r="U10" s="2"/>
      <c r="V10" s="2"/>
    </row>
    <row r="11" spans="1:22" s="76" customFormat="1" ht="5.0999999999999996" customHeight="1">
      <c r="A11" s="71"/>
      <c r="B11" s="72"/>
      <c r="C11" s="72"/>
      <c r="D11" s="72"/>
      <c r="E11" s="72"/>
      <c r="F11" s="72"/>
      <c r="G11" s="72"/>
      <c r="H11" s="77"/>
      <c r="I11" s="77"/>
      <c r="J11" s="77"/>
      <c r="K11" s="77"/>
      <c r="L11" s="77"/>
      <c r="M11" s="77"/>
      <c r="N11" s="77"/>
      <c r="O11" s="77"/>
      <c r="P11" s="77"/>
      <c r="Q11" s="29"/>
      <c r="R11" s="2"/>
      <c r="S11" s="2"/>
      <c r="T11" s="2"/>
      <c r="U11" s="2"/>
      <c r="V11" s="2"/>
    </row>
    <row r="12" spans="1:22">
      <c r="Q12" s="105"/>
      <c r="R12" s="2"/>
      <c r="S12" s="2"/>
      <c r="T12" s="2"/>
      <c r="U12" s="2"/>
      <c r="V12" s="2"/>
    </row>
    <row r="14" spans="1:22">
      <c r="B14" s="3" t="s">
        <v>1379</v>
      </c>
      <c r="C14" s="3">
        <f>'MCaço CA-25'!E44</f>
        <v>40648.5</v>
      </c>
    </row>
    <row r="16" spans="1:22">
      <c r="D16" s="1589"/>
      <c r="L16" s="1576" t="s">
        <v>1380</v>
      </c>
      <c r="M16" s="1576">
        <v>22953</v>
      </c>
    </row>
    <row r="17" spans="2:13" ht="15" customHeight="1">
      <c r="B17" s="1833" t="s">
        <v>1381</v>
      </c>
      <c r="C17" s="1833"/>
      <c r="D17" s="1590">
        <v>22953</v>
      </c>
      <c r="E17" s="3" t="s">
        <v>1382</v>
      </c>
    </row>
    <row r="18" spans="2:13">
      <c r="C18" s="3" t="s">
        <v>1378</v>
      </c>
      <c r="D18" s="1589">
        <f>D17*0.62</f>
        <v>14230.86</v>
      </c>
      <c r="E18" s="3" t="s">
        <v>107</v>
      </c>
      <c r="M18" s="3">
        <f>M16*0.62</f>
        <v>14230.86</v>
      </c>
    </row>
    <row r="19" spans="2:13">
      <c r="C19" s="3" t="s">
        <v>1383</v>
      </c>
      <c r="D19" s="1589">
        <f>D18*0.395</f>
        <v>5621.1897000000008</v>
      </c>
      <c r="E19" s="3" t="s">
        <v>113</v>
      </c>
    </row>
    <row r="23" spans="2:13">
      <c r="M23" s="3">
        <f>M18/0.62</f>
        <v>22953</v>
      </c>
    </row>
    <row r="24" spans="2:13">
      <c r="M24" s="3">
        <f>M23*0.5</f>
        <v>11476.5</v>
      </c>
    </row>
    <row r="29" spans="2:13">
      <c r="E29" s="3">
        <v>3222.45</v>
      </c>
      <c r="G29" s="3">
        <f>E29*3</f>
        <v>9667.3499999999985</v>
      </c>
    </row>
    <row r="30" spans="2:13">
      <c r="G30" s="3">
        <f>E29*4</f>
        <v>12889.8</v>
      </c>
    </row>
  </sheetData>
  <mergeCells count="10">
    <mergeCell ref="B5:B6"/>
    <mergeCell ref="C7:I7"/>
    <mergeCell ref="B9:P10"/>
    <mergeCell ref="B17:C17"/>
    <mergeCell ref="C2:D2"/>
    <mergeCell ref="E2:E4"/>
    <mergeCell ref="J2:J3"/>
    <mergeCell ref="L2:L3"/>
    <mergeCell ref="M2:M3"/>
    <mergeCell ref="C3:C4"/>
  </mergeCells>
  <conditionalFormatting sqref="L5">
    <cfRule type="cellIs" dxfId="232" priority="5" operator="equal">
      <formula>0</formula>
    </cfRule>
  </conditionalFormatting>
  <conditionalFormatting sqref="L6">
    <cfRule type="cellIs" dxfId="231" priority="4" operator="equal">
      <formula>0</formula>
    </cfRule>
  </conditionalFormatting>
  <conditionalFormatting sqref="M5:M7">
    <cfRule type="cellIs" dxfId="230" priority="2" operator="equal">
      <formula>0</formula>
    </cfRule>
  </conditionalFormatting>
  <conditionalFormatting sqref="P7">
    <cfRule type="cellIs" dxfId="229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1" fitToHeight="10" orientation="landscape" horizontalDpi="4294967294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5E00A-4244-4CEC-A9F3-2317670A4894}">
  <sheetPr>
    <tabColor rgb="FF00FF00"/>
  </sheetPr>
  <dimension ref="A1:Y75"/>
  <sheetViews>
    <sheetView zoomScale="75" zoomScaleNormal="75" zoomScaleSheetLayoutView="70" workbookViewId="0">
      <selection activeCell="DQ46" sqref="DQ46:DR6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" style="3" customWidth="1"/>
    <col min="5" max="5" width="30.28515625" style="3" customWidth="1"/>
    <col min="6" max="9" width="6.7109375" style="3" customWidth="1"/>
    <col min="10" max="10" width="11.7109375" style="3" bestFit="1" customWidth="1"/>
    <col min="11" max="11" width="15.5703125" style="3" customWidth="1"/>
    <col min="12" max="12" width="11.140625" style="3" bestFit="1" customWidth="1"/>
    <col min="13" max="16" width="14.85546875" style="3" customWidth="1"/>
    <col min="17" max="18" width="6.28515625" style="3" customWidth="1"/>
    <col min="19" max="19" width="13.140625" style="3" bestFit="1" customWidth="1"/>
    <col min="20" max="20" width="1.7109375" style="107" customWidth="1"/>
    <col min="21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1:22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5"/>
    </row>
    <row r="2" spans="1:22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540" t="s">
        <v>7</v>
      </c>
      <c r="K2" s="1520" t="s">
        <v>108</v>
      </c>
      <c r="L2" s="1520" t="s">
        <v>125</v>
      </c>
      <c r="M2" s="1520" t="s">
        <v>108</v>
      </c>
      <c r="N2" s="1520" t="s">
        <v>122</v>
      </c>
      <c r="O2" s="1845" t="s">
        <v>1384</v>
      </c>
      <c r="P2" s="1520" t="s">
        <v>122</v>
      </c>
      <c r="Q2" s="198" t="s">
        <v>10</v>
      </c>
      <c r="R2" s="196"/>
      <c r="S2" s="1520"/>
      <c r="T2" s="14"/>
    </row>
    <row r="3" spans="1:22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541" t="s">
        <v>18</v>
      </c>
      <c r="K3" s="1521" t="s">
        <v>121</v>
      </c>
      <c r="L3" s="1521"/>
      <c r="M3" s="1521" t="s">
        <v>116</v>
      </c>
      <c r="N3" s="1521" t="s">
        <v>123</v>
      </c>
      <c r="O3" s="1846"/>
      <c r="P3" s="1521"/>
      <c r="Q3" s="202" t="s">
        <v>23</v>
      </c>
      <c r="R3" s="203"/>
      <c r="S3" s="1521" t="s">
        <v>24</v>
      </c>
      <c r="T3" s="14"/>
    </row>
    <row r="4" spans="1:22" s="2" customFormat="1" ht="22.5" customHeight="1">
      <c r="A4" s="6"/>
      <c r="B4" s="176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41" t="s">
        <v>34</v>
      </c>
      <c r="K4" s="1521" t="s">
        <v>34</v>
      </c>
      <c r="L4" s="1521"/>
      <c r="M4" s="1521" t="s">
        <v>34</v>
      </c>
      <c r="N4" s="1521" t="s">
        <v>34</v>
      </c>
      <c r="O4" s="1847"/>
      <c r="P4" s="1521" t="s">
        <v>34</v>
      </c>
      <c r="Q4" s="202" t="s">
        <v>38</v>
      </c>
      <c r="R4" s="203"/>
      <c r="S4" s="1521" t="s">
        <v>120</v>
      </c>
      <c r="T4" s="14"/>
    </row>
    <row r="5" spans="1:22" s="2" customFormat="1" ht="18" customHeight="1">
      <c r="A5" s="6"/>
      <c r="B5" s="1791" t="s">
        <v>124</v>
      </c>
      <c r="C5" s="38" t="s">
        <v>101</v>
      </c>
      <c r="D5" s="39">
        <v>187</v>
      </c>
      <c r="E5" s="38" t="s">
        <v>69</v>
      </c>
      <c r="F5" s="39">
        <v>15</v>
      </c>
      <c r="G5" s="40">
        <v>9.67</v>
      </c>
      <c r="H5" s="39">
        <v>176</v>
      </c>
      <c r="I5" s="40">
        <v>12.12</v>
      </c>
      <c r="J5" s="41">
        <v>8129.7</v>
      </c>
      <c r="K5" s="40">
        <v>5</v>
      </c>
      <c r="L5" s="40">
        <f t="shared" ref="L5" si="0">+J5/K5</f>
        <v>1625.94</v>
      </c>
      <c r="M5" s="41">
        <v>0.3</v>
      </c>
      <c r="N5" s="41">
        <v>0.46</v>
      </c>
      <c r="O5" s="123">
        <f>J5/M5</f>
        <v>27099</v>
      </c>
      <c r="P5" s="41">
        <f>O5*N5</f>
        <v>12465.54</v>
      </c>
      <c r="Q5" s="131">
        <v>3.8530000000000002</v>
      </c>
      <c r="R5" s="124" t="s">
        <v>119</v>
      </c>
      <c r="S5" s="41">
        <f t="shared" ref="S5" si="1">+Q5*P5</f>
        <v>48029.725620000005</v>
      </c>
      <c r="T5" s="29"/>
    </row>
    <row r="6" spans="1:22" s="2" customFormat="1" ht="18" customHeight="1">
      <c r="A6" s="6"/>
      <c r="B6" s="1792"/>
      <c r="C6" s="184"/>
      <c r="D6" s="185"/>
      <c r="E6" s="184"/>
      <c r="F6" s="185"/>
      <c r="G6" s="186"/>
      <c r="H6" s="185"/>
      <c r="I6" s="186"/>
      <c r="J6" s="41"/>
      <c r="K6" s="186"/>
      <c r="L6" s="186"/>
      <c r="M6" s="187"/>
      <c r="N6" s="187"/>
      <c r="O6" s="187"/>
      <c r="P6" s="187"/>
      <c r="Q6" s="215"/>
      <c r="R6" s="216"/>
      <c r="S6" s="188"/>
      <c r="T6" s="29"/>
    </row>
    <row r="7" spans="1:22" s="2" customFormat="1" ht="18" hidden="1" customHeight="1">
      <c r="A7" s="6"/>
      <c r="B7" s="1850"/>
      <c r="C7" s="38"/>
      <c r="D7" s="39"/>
      <c r="E7" s="38"/>
      <c r="F7" s="39"/>
      <c r="G7" s="40"/>
      <c r="H7" s="39"/>
      <c r="I7" s="40"/>
      <c r="J7" s="41"/>
      <c r="K7" s="40"/>
      <c r="L7" s="39"/>
      <c r="M7" s="41"/>
      <c r="N7" s="41"/>
      <c r="O7" s="41"/>
      <c r="P7" s="41"/>
      <c r="Q7" s="142"/>
      <c r="R7" s="143"/>
      <c r="S7" s="42"/>
      <c r="T7" s="29"/>
    </row>
    <row r="8" spans="1:22" s="2" customFormat="1" ht="18" hidden="1" customHeight="1">
      <c r="A8" s="6"/>
      <c r="B8" s="1850"/>
      <c r="C8" s="184"/>
      <c r="D8" s="185"/>
      <c r="E8" s="184"/>
      <c r="F8" s="185"/>
      <c r="G8" s="186"/>
      <c r="H8" s="185"/>
      <c r="I8" s="186"/>
      <c r="J8" s="41"/>
      <c r="K8" s="186"/>
      <c r="L8" s="185"/>
      <c r="M8" s="187"/>
      <c r="N8" s="187"/>
      <c r="O8" s="187"/>
      <c r="P8" s="187"/>
      <c r="Q8" s="215"/>
      <c r="R8" s="216"/>
      <c r="S8" s="188"/>
      <c r="T8" s="29"/>
      <c r="V8" s="117"/>
    </row>
    <row r="9" spans="1:22" s="2" customFormat="1" ht="18" hidden="1" customHeight="1">
      <c r="A9" s="6"/>
      <c r="B9" s="1850"/>
      <c r="C9" s="38"/>
      <c r="D9" s="39"/>
      <c r="E9" s="38"/>
      <c r="F9" s="39"/>
      <c r="G9" s="40"/>
      <c r="H9" s="39"/>
      <c r="I9" s="40"/>
      <c r="J9" s="41"/>
      <c r="K9" s="40"/>
      <c r="L9" s="39"/>
      <c r="M9" s="41"/>
      <c r="N9" s="41"/>
      <c r="O9" s="41"/>
      <c r="P9" s="41"/>
      <c r="Q9" s="142"/>
      <c r="R9" s="143"/>
      <c r="S9" s="42"/>
      <c r="T9" s="29"/>
    </row>
    <row r="10" spans="1:22" s="2" customFormat="1" ht="18" hidden="1" customHeight="1">
      <c r="A10" s="6"/>
      <c r="B10" s="48"/>
      <c r="C10" s="184"/>
      <c r="D10" s="185"/>
      <c r="E10" s="184"/>
      <c r="F10" s="185"/>
      <c r="G10" s="186"/>
      <c r="H10" s="185"/>
      <c r="I10" s="186"/>
      <c r="J10" s="41"/>
      <c r="K10" s="186"/>
      <c r="L10" s="185"/>
      <c r="M10" s="187"/>
      <c r="N10" s="187"/>
      <c r="O10" s="187"/>
      <c r="P10" s="187"/>
      <c r="Q10" s="215"/>
      <c r="R10" s="216"/>
      <c r="S10" s="188"/>
      <c r="T10" s="29"/>
    </row>
    <row r="11" spans="1:22" s="2" customFormat="1" ht="18" hidden="1" customHeight="1">
      <c r="A11" s="6"/>
      <c r="B11" s="48"/>
      <c r="C11" s="38"/>
      <c r="D11" s="39"/>
      <c r="E11" s="38"/>
      <c r="F11" s="39"/>
      <c r="G11" s="40"/>
      <c r="H11" s="39"/>
      <c r="I11" s="40"/>
      <c r="J11" s="41"/>
      <c r="K11" s="40"/>
      <c r="L11" s="39"/>
      <c r="M11" s="41"/>
      <c r="N11" s="41"/>
      <c r="O11" s="41"/>
      <c r="P11" s="41"/>
      <c r="Q11" s="142"/>
      <c r="R11" s="143"/>
      <c r="S11" s="42"/>
      <c r="T11" s="29"/>
    </row>
    <row r="12" spans="1:22" s="2" customFormat="1" ht="18" hidden="1" customHeight="1">
      <c r="A12" s="6"/>
      <c r="B12" s="48"/>
      <c r="C12" s="184"/>
      <c r="D12" s="185"/>
      <c r="E12" s="184"/>
      <c r="F12" s="185"/>
      <c r="G12" s="186"/>
      <c r="H12" s="185"/>
      <c r="I12" s="186"/>
      <c r="J12" s="41"/>
      <c r="K12" s="186"/>
      <c r="L12" s="185"/>
      <c r="M12" s="187"/>
      <c r="N12" s="187"/>
      <c r="O12" s="187"/>
      <c r="P12" s="187"/>
      <c r="Q12" s="215"/>
      <c r="R12" s="216"/>
      <c r="S12" s="188"/>
      <c r="T12" s="29"/>
    </row>
    <row r="13" spans="1:22" s="2" customFormat="1" ht="18" hidden="1" customHeight="1">
      <c r="A13" s="6"/>
      <c r="B13" s="48"/>
      <c r="C13" s="38"/>
      <c r="D13" s="39"/>
      <c r="E13" s="38"/>
      <c r="F13" s="39"/>
      <c r="G13" s="40"/>
      <c r="H13" s="39"/>
      <c r="I13" s="40"/>
      <c r="J13" s="41"/>
      <c r="K13" s="40"/>
      <c r="L13" s="39"/>
      <c r="M13" s="41"/>
      <c r="N13" s="41"/>
      <c r="O13" s="41"/>
      <c r="P13" s="41"/>
      <c r="Q13" s="142"/>
      <c r="R13" s="143"/>
      <c r="S13" s="42"/>
      <c r="T13" s="29"/>
    </row>
    <row r="14" spans="1:22" s="2" customFormat="1" ht="18" hidden="1" customHeight="1">
      <c r="A14" s="6"/>
      <c r="B14" s="48"/>
      <c r="C14" s="184"/>
      <c r="D14" s="185"/>
      <c r="E14" s="184"/>
      <c r="F14" s="185"/>
      <c r="G14" s="186"/>
      <c r="H14" s="185"/>
      <c r="I14" s="186"/>
      <c r="J14" s="41"/>
      <c r="K14" s="186"/>
      <c r="L14" s="185"/>
      <c r="M14" s="187"/>
      <c r="N14" s="187"/>
      <c r="O14" s="187"/>
      <c r="P14" s="187"/>
      <c r="Q14" s="215"/>
      <c r="R14" s="216"/>
      <c r="S14" s="188"/>
      <c r="T14" s="29"/>
    </row>
    <row r="15" spans="1:22" s="2" customFormat="1" ht="18" hidden="1" customHeight="1">
      <c r="A15" s="6"/>
      <c r="B15" s="48"/>
      <c r="C15" s="38"/>
      <c r="D15" s="39"/>
      <c r="E15" s="38"/>
      <c r="F15" s="39"/>
      <c r="G15" s="40"/>
      <c r="H15" s="39"/>
      <c r="I15" s="40"/>
      <c r="J15" s="41"/>
      <c r="K15" s="40"/>
      <c r="L15" s="39"/>
      <c r="M15" s="41"/>
      <c r="N15" s="41"/>
      <c r="O15" s="41"/>
      <c r="P15" s="41"/>
      <c r="Q15" s="142"/>
      <c r="R15" s="143"/>
      <c r="S15" s="42"/>
      <c r="T15" s="29"/>
    </row>
    <row r="16" spans="1:22" s="2" customFormat="1" ht="18" hidden="1" customHeight="1">
      <c r="A16" s="6"/>
      <c r="B16" s="48"/>
      <c r="C16" s="184"/>
      <c r="D16" s="185"/>
      <c r="E16" s="184"/>
      <c r="F16" s="185"/>
      <c r="G16" s="186"/>
      <c r="H16" s="185"/>
      <c r="I16" s="186"/>
      <c r="J16" s="41"/>
      <c r="K16" s="186"/>
      <c r="L16" s="185"/>
      <c r="M16" s="187"/>
      <c r="N16" s="187"/>
      <c r="O16" s="187"/>
      <c r="P16" s="187"/>
      <c r="Q16" s="215"/>
      <c r="R16" s="216"/>
      <c r="S16" s="188"/>
      <c r="T16" s="29"/>
    </row>
    <row r="17" spans="1:20" s="2" customFormat="1" ht="18" hidden="1" customHeight="1">
      <c r="A17" s="6"/>
      <c r="B17" s="48"/>
      <c r="C17" s="38"/>
      <c r="D17" s="39"/>
      <c r="E17" s="38"/>
      <c r="F17" s="39"/>
      <c r="G17" s="40"/>
      <c r="H17" s="39"/>
      <c r="I17" s="40"/>
      <c r="J17" s="41"/>
      <c r="K17" s="40"/>
      <c r="L17" s="39"/>
      <c r="M17" s="41"/>
      <c r="N17" s="41"/>
      <c r="O17" s="41"/>
      <c r="P17" s="41"/>
      <c r="Q17" s="142"/>
      <c r="R17" s="143"/>
      <c r="S17" s="42"/>
      <c r="T17" s="29"/>
    </row>
    <row r="18" spans="1:20" s="2" customFormat="1" ht="18" hidden="1" customHeight="1">
      <c r="A18" s="6"/>
      <c r="B18" s="48"/>
      <c r="C18" s="184"/>
      <c r="D18" s="185"/>
      <c r="E18" s="184"/>
      <c r="F18" s="185"/>
      <c r="G18" s="186"/>
      <c r="H18" s="185"/>
      <c r="I18" s="186"/>
      <c r="J18" s="41"/>
      <c r="K18" s="186"/>
      <c r="L18" s="185"/>
      <c r="M18" s="187"/>
      <c r="N18" s="187"/>
      <c r="O18" s="187"/>
      <c r="P18" s="187"/>
      <c r="Q18" s="215"/>
      <c r="R18" s="216"/>
      <c r="S18" s="188"/>
      <c r="T18" s="29"/>
    </row>
    <row r="19" spans="1:20" s="2" customFormat="1" ht="18" hidden="1" customHeight="1">
      <c r="A19" s="6"/>
      <c r="B19" s="48"/>
      <c r="C19" s="38"/>
      <c r="D19" s="39"/>
      <c r="E19" s="38"/>
      <c r="F19" s="39"/>
      <c r="G19" s="40"/>
      <c r="H19" s="39"/>
      <c r="I19" s="40"/>
      <c r="J19" s="41"/>
      <c r="K19" s="40"/>
      <c r="L19" s="39"/>
      <c r="M19" s="41"/>
      <c r="N19" s="41"/>
      <c r="O19" s="41"/>
      <c r="P19" s="41"/>
      <c r="Q19" s="142"/>
      <c r="R19" s="143"/>
      <c r="S19" s="42"/>
      <c r="T19" s="29"/>
    </row>
    <row r="20" spans="1:20" s="2" customFormat="1" ht="18" hidden="1" customHeight="1">
      <c r="A20" s="6"/>
      <c r="B20" s="48"/>
      <c r="C20" s="184"/>
      <c r="D20" s="185"/>
      <c r="E20" s="184"/>
      <c r="F20" s="185"/>
      <c r="G20" s="186"/>
      <c r="H20" s="185"/>
      <c r="I20" s="186"/>
      <c r="J20" s="41"/>
      <c r="K20" s="186"/>
      <c r="L20" s="185"/>
      <c r="M20" s="187"/>
      <c r="N20" s="187"/>
      <c r="O20" s="187"/>
      <c r="P20" s="187"/>
      <c r="Q20" s="215"/>
      <c r="R20" s="216"/>
      <c r="S20" s="188"/>
      <c r="T20" s="29"/>
    </row>
    <row r="21" spans="1:20" s="2" customFormat="1" ht="18" hidden="1" customHeight="1">
      <c r="A21" s="6"/>
      <c r="B21" s="48"/>
      <c r="C21" s="38"/>
      <c r="D21" s="39"/>
      <c r="E21" s="38"/>
      <c r="F21" s="39"/>
      <c r="G21" s="40"/>
      <c r="H21" s="39"/>
      <c r="I21" s="40"/>
      <c r="J21" s="41"/>
      <c r="K21" s="40"/>
      <c r="L21" s="39"/>
      <c r="M21" s="41"/>
      <c r="N21" s="41"/>
      <c r="O21" s="41"/>
      <c r="P21" s="41"/>
      <c r="Q21" s="142"/>
      <c r="R21" s="143"/>
      <c r="S21" s="42"/>
      <c r="T21" s="29"/>
    </row>
    <row r="22" spans="1:20" s="2" customFormat="1" ht="18" hidden="1" customHeight="1">
      <c r="A22" s="6"/>
      <c r="B22" s="48"/>
      <c r="C22" s="184"/>
      <c r="D22" s="185"/>
      <c r="E22" s="184"/>
      <c r="F22" s="185"/>
      <c r="G22" s="186"/>
      <c r="H22" s="185"/>
      <c r="I22" s="186"/>
      <c r="J22" s="41"/>
      <c r="K22" s="186"/>
      <c r="L22" s="185"/>
      <c r="M22" s="187"/>
      <c r="N22" s="187"/>
      <c r="O22" s="187"/>
      <c r="P22" s="187"/>
      <c r="Q22" s="215"/>
      <c r="R22" s="216"/>
      <c r="S22" s="188"/>
      <c r="T22" s="29"/>
    </row>
    <row r="23" spans="1:20" s="2" customFormat="1" ht="18" hidden="1" customHeight="1">
      <c r="A23" s="6"/>
      <c r="B23" s="48"/>
      <c r="C23" s="38"/>
      <c r="D23" s="39"/>
      <c r="E23" s="38"/>
      <c r="F23" s="39"/>
      <c r="G23" s="40"/>
      <c r="H23" s="39"/>
      <c r="I23" s="40"/>
      <c r="J23" s="41"/>
      <c r="K23" s="40"/>
      <c r="L23" s="39"/>
      <c r="M23" s="41"/>
      <c r="N23" s="41"/>
      <c r="O23" s="41"/>
      <c r="P23" s="41"/>
      <c r="Q23" s="142"/>
      <c r="R23" s="143"/>
      <c r="S23" s="42"/>
      <c r="T23" s="29"/>
    </row>
    <row r="24" spans="1:20" s="2" customFormat="1" ht="18" hidden="1" customHeight="1">
      <c r="A24" s="6"/>
      <c r="B24" s="48"/>
      <c r="C24" s="184"/>
      <c r="D24" s="185"/>
      <c r="E24" s="184"/>
      <c r="F24" s="185"/>
      <c r="G24" s="186"/>
      <c r="H24" s="185"/>
      <c r="I24" s="186"/>
      <c r="J24" s="41"/>
      <c r="K24" s="186"/>
      <c r="L24" s="185"/>
      <c r="M24" s="187"/>
      <c r="N24" s="187"/>
      <c r="O24" s="187"/>
      <c r="P24" s="187"/>
      <c r="Q24" s="215"/>
      <c r="R24" s="216"/>
      <c r="S24" s="188"/>
      <c r="T24" s="29"/>
    </row>
    <row r="25" spans="1:20" s="2" customFormat="1" ht="18" hidden="1" customHeight="1">
      <c r="A25" s="6"/>
      <c r="B25" s="48"/>
      <c r="C25" s="38"/>
      <c r="D25" s="39"/>
      <c r="E25" s="38"/>
      <c r="F25" s="39"/>
      <c r="G25" s="40"/>
      <c r="H25" s="39"/>
      <c r="I25" s="40"/>
      <c r="J25" s="41"/>
      <c r="K25" s="40"/>
      <c r="L25" s="39"/>
      <c r="M25" s="41"/>
      <c r="N25" s="41"/>
      <c r="O25" s="41"/>
      <c r="P25" s="41"/>
      <c r="Q25" s="142"/>
      <c r="R25" s="143"/>
      <c r="S25" s="42"/>
      <c r="T25" s="29"/>
    </row>
    <row r="26" spans="1:20" s="2" customFormat="1" ht="18" hidden="1" customHeight="1">
      <c r="A26" s="6"/>
      <c r="B26" s="48"/>
      <c r="C26" s="184"/>
      <c r="D26" s="185"/>
      <c r="E26" s="184"/>
      <c r="F26" s="185"/>
      <c r="G26" s="186"/>
      <c r="H26" s="185"/>
      <c r="I26" s="186"/>
      <c r="J26" s="41"/>
      <c r="K26" s="186"/>
      <c r="L26" s="185"/>
      <c r="M26" s="187"/>
      <c r="N26" s="187"/>
      <c r="O26" s="187"/>
      <c r="P26" s="187"/>
      <c r="Q26" s="215"/>
      <c r="R26" s="216"/>
      <c r="S26" s="188"/>
      <c r="T26" s="29"/>
    </row>
    <row r="27" spans="1:20" s="2" customFormat="1" ht="18" hidden="1" customHeight="1">
      <c r="A27" s="6"/>
      <c r="B27" s="48"/>
      <c r="C27" s="38"/>
      <c r="D27" s="39"/>
      <c r="E27" s="38"/>
      <c r="F27" s="39"/>
      <c r="G27" s="40"/>
      <c r="H27" s="39"/>
      <c r="I27" s="40"/>
      <c r="J27" s="41"/>
      <c r="K27" s="40"/>
      <c r="L27" s="39"/>
      <c r="M27" s="41"/>
      <c r="N27" s="41"/>
      <c r="O27" s="41"/>
      <c r="P27" s="41"/>
      <c r="Q27" s="142"/>
      <c r="R27" s="143"/>
      <c r="S27" s="42"/>
      <c r="T27" s="29"/>
    </row>
    <row r="28" spans="1:20" s="2" customFormat="1" ht="18" hidden="1" customHeight="1">
      <c r="A28" s="6"/>
      <c r="B28" s="48"/>
      <c r="C28" s="184"/>
      <c r="D28" s="185"/>
      <c r="E28" s="184"/>
      <c r="F28" s="185"/>
      <c r="G28" s="186"/>
      <c r="H28" s="185"/>
      <c r="I28" s="186"/>
      <c r="J28" s="41"/>
      <c r="K28" s="186"/>
      <c r="L28" s="185"/>
      <c r="M28" s="187"/>
      <c r="N28" s="187"/>
      <c r="O28" s="187"/>
      <c r="P28" s="187"/>
      <c r="Q28" s="215"/>
      <c r="R28" s="216"/>
      <c r="S28" s="188"/>
      <c r="T28" s="29"/>
    </row>
    <row r="29" spans="1:20" s="2" customFormat="1" ht="18" hidden="1" customHeight="1">
      <c r="A29" s="6"/>
      <c r="B29" s="48"/>
      <c r="C29" s="38"/>
      <c r="D29" s="39"/>
      <c r="E29" s="38"/>
      <c r="F29" s="39"/>
      <c r="G29" s="40"/>
      <c r="H29" s="39"/>
      <c r="I29" s="40"/>
      <c r="J29" s="41"/>
      <c r="K29" s="40"/>
      <c r="L29" s="39"/>
      <c r="M29" s="41"/>
      <c r="N29" s="41"/>
      <c r="O29" s="41"/>
      <c r="P29" s="41"/>
      <c r="Q29" s="142"/>
      <c r="R29" s="143"/>
      <c r="S29" s="42"/>
      <c r="T29" s="29"/>
    </row>
    <row r="30" spans="1:20" s="2" customFormat="1" ht="18" hidden="1" customHeight="1">
      <c r="A30" s="6"/>
      <c r="B30" s="48"/>
      <c r="C30" s="184"/>
      <c r="D30" s="185"/>
      <c r="E30" s="184"/>
      <c r="F30" s="185"/>
      <c r="G30" s="186"/>
      <c r="H30" s="185"/>
      <c r="I30" s="186"/>
      <c r="J30" s="41"/>
      <c r="K30" s="186"/>
      <c r="L30" s="185"/>
      <c r="M30" s="187"/>
      <c r="N30" s="187"/>
      <c r="O30" s="187"/>
      <c r="P30" s="187"/>
      <c r="Q30" s="215"/>
      <c r="R30" s="216"/>
      <c r="S30" s="188"/>
      <c r="T30" s="29"/>
    </row>
    <row r="31" spans="1:20" s="2" customFormat="1" ht="18" hidden="1" customHeight="1">
      <c r="A31" s="6"/>
      <c r="B31" s="48"/>
      <c r="C31" s="38"/>
      <c r="D31" s="39"/>
      <c r="E31" s="38"/>
      <c r="F31" s="39"/>
      <c r="G31" s="40"/>
      <c r="H31" s="39"/>
      <c r="I31" s="40"/>
      <c r="J31" s="41"/>
      <c r="K31" s="40"/>
      <c r="L31" s="39"/>
      <c r="M31" s="41"/>
      <c r="N31" s="41"/>
      <c r="O31" s="41"/>
      <c r="P31" s="41"/>
      <c r="Q31" s="142"/>
      <c r="R31" s="143"/>
      <c r="S31" s="42"/>
      <c r="T31" s="29"/>
    </row>
    <row r="32" spans="1:20" s="2" customFormat="1" ht="18" hidden="1" customHeight="1">
      <c r="A32" s="6"/>
      <c r="B32" s="48"/>
      <c r="C32" s="184"/>
      <c r="D32" s="185"/>
      <c r="E32" s="184"/>
      <c r="F32" s="185"/>
      <c r="G32" s="186"/>
      <c r="H32" s="185"/>
      <c r="I32" s="186"/>
      <c r="J32" s="41"/>
      <c r="K32" s="186"/>
      <c r="L32" s="185"/>
      <c r="M32" s="187"/>
      <c r="N32" s="187"/>
      <c r="O32" s="187"/>
      <c r="P32" s="187"/>
      <c r="Q32" s="215"/>
      <c r="R32" s="216"/>
      <c r="S32" s="188"/>
      <c r="T32" s="29"/>
    </row>
    <row r="33" spans="1:25" s="2" customFormat="1" ht="18" hidden="1" customHeight="1">
      <c r="A33" s="6"/>
      <c r="B33" s="48"/>
      <c r="C33" s="38"/>
      <c r="D33" s="39"/>
      <c r="E33" s="38"/>
      <c r="F33" s="39"/>
      <c r="G33" s="40"/>
      <c r="H33" s="39"/>
      <c r="I33" s="40"/>
      <c r="J33" s="41"/>
      <c r="K33" s="40"/>
      <c r="L33" s="39"/>
      <c r="M33" s="41"/>
      <c r="N33" s="41"/>
      <c r="O33" s="41"/>
      <c r="P33" s="41"/>
      <c r="Q33" s="142"/>
      <c r="R33" s="143"/>
      <c r="S33" s="42"/>
      <c r="T33" s="29"/>
    </row>
    <row r="34" spans="1:25" s="2" customFormat="1" ht="18" customHeight="1">
      <c r="A34" s="6"/>
      <c r="B34" s="3" t="s">
        <v>126</v>
      </c>
      <c r="C34" s="1793"/>
      <c r="D34" s="1793"/>
      <c r="E34" s="1793"/>
      <c r="F34" s="1793"/>
      <c r="G34" s="1793"/>
      <c r="H34" s="1793"/>
      <c r="I34" s="1794"/>
      <c r="J34" s="462">
        <f t="shared" ref="J34:P34" si="2">SUM(J5:J33)</f>
        <v>8129.7</v>
      </c>
      <c r="K34" s="114">
        <f t="shared" si="2"/>
        <v>5</v>
      </c>
      <c r="L34" s="114">
        <f t="shared" si="2"/>
        <v>1625.94</v>
      </c>
      <c r="M34" s="114">
        <f t="shared" si="2"/>
        <v>0.3</v>
      </c>
      <c r="N34" s="114">
        <f t="shared" si="2"/>
        <v>0.46</v>
      </c>
      <c r="O34" s="114"/>
      <c r="P34" s="114">
        <f t="shared" si="2"/>
        <v>12465.54</v>
      </c>
      <c r="Q34" s="1528"/>
      <c r="R34" s="1529"/>
      <c r="S34" s="114">
        <f>SUM(S5:S33)</f>
        <v>48029.725620000005</v>
      </c>
      <c r="T34" s="29"/>
    </row>
    <row r="35" spans="1:25" s="76" customFormat="1" ht="6" customHeight="1">
      <c r="A35" s="71"/>
      <c r="B35" s="72"/>
      <c r="C35" s="73"/>
      <c r="D35" s="73"/>
      <c r="E35" s="73"/>
      <c r="F35" s="73"/>
      <c r="G35" s="73"/>
      <c r="H35" s="73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29"/>
      <c r="U35" s="2"/>
      <c r="V35" s="2"/>
      <c r="W35" s="2"/>
      <c r="X35" s="2"/>
      <c r="Y35" s="2"/>
    </row>
    <row r="36" spans="1:25" s="76" customFormat="1">
      <c r="A36" s="71"/>
      <c r="B36" s="1795" t="s">
        <v>217</v>
      </c>
      <c r="C36" s="1796"/>
      <c r="D36" s="1796"/>
      <c r="E36" s="1796"/>
      <c r="F36" s="1796"/>
      <c r="G36" s="1796"/>
      <c r="H36" s="1796"/>
      <c r="I36" s="1796"/>
      <c r="J36" s="1796"/>
      <c r="K36" s="1796"/>
      <c r="L36" s="1796"/>
      <c r="M36" s="1796"/>
      <c r="N36" s="1796"/>
      <c r="O36" s="1796"/>
      <c r="P36" s="1796"/>
      <c r="Q36" s="1796"/>
      <c r="R36" s="1796"/>
      <c r="S36" s="1797"/>
      <c r="T36" s="29"/>
      <c r="U36" s="2"/>
      <c r="V36" s="2"/>
      <c r="W36" s="2"/>
      <c r="X36" s="2"/>
      <c r="Y36" s="2"/>
    </row>
    <row r="37" spans="1:25" s="76" customFormat="1">
      <c r="A37" s="71"/>
      <c r="B37" s="1798"/>
      <c r="C37" s="1799"/>
      <c r="D37" s="1799"/>
      <c r="E37" s="1799"/>
      <c r="F37" s="1799"/>
      <c r="G37" s="1799"/>
      <c r="H37" s="1799"/>
      <c r="I37" s="1799"/>
      <c r="J37" s="1799"/>
      <c r="K37" s="1799"/>
      <c r="L37" s="1799"/>
      <c r="M37" s="1799"/>
      <c r="N37" s="1799"/>
      <c r="O37" s="1799"/>
      <c r="P37" s="1799"/>
      <c r="Q37" s="1799"/>
      <c r="R37" s="1799"/>
      <c r="S37" s="1800"/>
      <c r="T37" s="29"/>
      <c r="U37" s="2"/>
      <c r="V37" s="2"/>
      <c r="W37" s="2"/>
      <c r="X37" s="2"/>
      <c r="Y37" s="2"/>
    </row>
    <row r="38" spans="1:25" s="76" customFormat="1" ht="5.0999999999999996" customHeight="1">
      <c r="A38" s="97"/>
      <c r="B38" s="72"/>
      <c r="C38" s="72"/>
      <c r="D38" s="72"/>
      <c r="E38" s="72"/>
      <c r="F38" s="72"/>
      <c r="G38" s="72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104"/>
      <c r="U38" s="2"/>
      <c r="V38" s="2"/>
      <c r="W38" s="2"/>
      <c r="X38" s="2"/>
      <c r="Y38" s="2"/>
    </row>
    <row r="39" spans="1:25">
      <c r="T39" s="105"/>
      <c r="U39" s="2"/>
      <c r="V39" s="2"/>
      <c r="W39" s="2"/>
      <c r="X39" s="2"/>
      <c r="Y39" s="2"/>
    </row>
    <row r="44" spans="1:25">
      <c r="B44" s="1591" t="s">
        <v>1385</v>
      </c>
      <c r="C44" s="1591"/>
      <c r="E44" s="1592">
        <v>40648.5</v>
      </c>
      <c r="G44" s="3">
        <v>4410</v>
      </c>
      <c r="M44" s="3">
        <v>2940</v>
      </c>
      <c r="O44" s="3">
        <v>2</v>
      </c>
    </row>
    <row r="45" spans="1:25">
      <c r="E45" s="1592"/>
    </row>
    <row r="46" spans="1:25">
      <c r="E46" s="1592"/>
    </row>
    <row r="47" spans="1:25">
      <c r="E47" s="1592">
        <f>E44/5</f>
        <v>8129.7</v>
      </c>
    </row>
    <row r="48" spans="1:25" ht="15" customHeight="1">
      <c r="B48" s="1591" t="s">
        <v>1380</v>
      </c>
      <c r="E48" s="1593">
        <v>27099</v>
      </c>
      <c r="O48" s="1848" t="s">
        <v>1380</v>
      </c>
      <c r="P48" s="1848"/>
      <c r="Q48" s="1849">
        <v>27099</v>
      </c>
      <c r="R48" s="1849"/>
    </row>
    <row r="49" spans="2:13">
      <c r="B49" s="1591" t="s">
        <v>1386</v>
      </c>
      <c r="E49" s="1592">
        <f>E48*0.46</f>
        <v>12465.54</v>
      </c>
    </row>
    <row r="50" spans="2:13">
      <c r="B50" s="1591" t="s">
        <v>24</v>
      </c>
      <c r="E50" s="1592">
        <f>E49*Q5</f>
        <v>48029.725620000005</v>
      </c>
    </row>
    <row r="62" spans="2:13">
      <c r="B62" s="1594"/>
      <c r="C62" s="1"/>
      <c r="D62" s="1"/>
      <c r="E62" s="1"/>
      <c r="F62" s="1"/>
      <c r="G62" s="1"/>
      <c r="H62" s="1"/>
      <c r="I62" s="1"/>
      <c r="J62" s="1"/>
      <c r="K62" s="1"/>
      <c r="L62" s="1"/>
      <c r="M62" s="1595"/>
    </row>
    <row r="63" spans="2:13" ht="27" customHeight="1">
      <c r="B63" s="1843" t="s">
        <v>1387</v>
      </c>
      <c r="C63" s="1844"/>
      <c r="D63" s="1844"/>
      <c r="E63" s="1844"/>
      <c r="F63" s="1844"/>
      <c r="G63" s="1844"/>
      <c r="H63" s="1844"/>
      <c r="I63" s="1844"/>
      <c r="J63" s="1844"/>
      <c r="K63" s="1844"/>
      <c r="L63" s="1591" t="s">
        <v>146</v>
      </c>
      <c r="M63" s="1596">
        <f>F71</f>
        <v>528.41424060000008</v>
      </c>
    </row>
    <row r="64" spans="2:13">
      <c r="B64" s="1597" t="s">
        <v>126</v>
      </c>
      <c r="M64" s="1598"/>
    </row>
    <row r="65" spans="2:13">
      <c r="B65" s="1597"/>
      <c r="M65" s="1598"/>
    </row>
    <row r="66" spans="2:13">
      <c r="B66" s="1597" t="s">
        <v>1388</v>
      </c>
      <c r="C66" s="1599" t="s">
        <v>1389</v>
      </c>
      <c r="D66" s="1600">
        <f>2*3.14*25/(2*1000)</f>
        <v>7.85E-2</v>
      </c>
      <c r="M66" s="1598"/>
    </row>
    <row r="67" spans="2:13">
      <c r="B67" s="1597"/>
      <c r="M67" s="1598"/>
    </row>
    <row r="68" spans="2:13">
      <c r="B68" s="1597" t="s">
        <v>1390</v>
      </c>
      <c r="C68" s="1591"/>
      <c r="D68" s="1591"/>
      <c r="E68" s="1591"/>
      <c r="M68" s="1598"/>
    </row>
    <row r="69" spans="2:13">
      <c r="B69" s="1601"/>
      <c r="M69" s="1598"/>
    </row>
    <row r="70" spans="2:13">
      <c r="B70" s="1601"/>
      <c r="M70" s="1598"/>
    </row>
    <row r="71" spans="2:13">
      <c r="B71" s="1597" t="s">
        <v>1391</v>
      </c>
      <c r="C71" s="1602">
        <f>P5</f>
        <v>12465.54</v>
      </c>
      <c r="D71" s="1591">
        <v>0.54</v>
      </c>
      <c r="E71" s="1602">
        <f>D66</f>
        <v>7.85E-2</v>
      </c>
      <c r="F71" s="1840">
        <f>C71*D71*E71</f>
        <v>528.41424060000008</v>
      </c>
      <c r="G71" s="1841"/>
      <c r="H71" s="1842"/>
      <c r="M71" s="1598"/>
    </row>
    <row r="72" spans="2:13">
      <c r="B72" s="1601"/>
      <c r="M72" s="1598"/>
    </row>
    <row r="73" spans="2:13">
      <c r="B73" s="1601"/>
      <c r="M73" s="1598"/>
    </row>
    <row r="74" spans="2:13">
      <c r="B74" s="1601"/>
      <c r="M74" s="1598"/>
    </row>
    <row r="75" spans="2:13">
      <c r="B75" s="1603"/>
      <c r="C75" s="445"/>
      <c r="D75" s="445"/>
      <c r="E75" s="445"/>
      <c r="F75" s="445"/>
      <c r="G75" s="445"/>
      <c r="H75" s="445"/>
      <c r="I75" s="445"/>
      <c r="J75" s="445"/>
      <c r="K75" s="445"/>
      <c r="L75" s="445"/>
      <c r="M75" s="1604"/>
    </row>
  </sheetData>
  <mergeCells count="12">
    <mergeCell ref="F71:H71"/>
    <mergeCell ref="C2:D2"/>
    <mergeCell ref="E2:E4"/>
    <mergeCell ref="B63:K63"/>
    <mergeCell ref="O2:O4"/>
    <mergeCell ref="C3:C4"/>
    <mergeCell ref="C34:I34"/>
    <mergeCell ref="B36:S37"/>
    <mergeCell ref="O48:P48"/>
    <mergeCell ref="Q48:R48"/>
    <mergeCell ref="B5:B6"/>
    <mergeCell ref="B7:B9"/>
  </mergeCells>
  <conditionalFormatting sqref="M5:O5">
    <cfRule type="cellIs" dxfId="228" priority="1" operator="equal">
      <formula>0</formula>
    </cfRule>
  </conditionalFormatting>
  <conditionalFormatting sqref="M6:O6 M8:O8 M10:O10 M12:O12 M14:O14 M16:O16 M18:O18 M20:O20 M22:O22 M24:O24 M26:O26 M28:O28 M30:O30 M32:O32">
    <cfRule type="cellIs" dxfId="227" priority="2" operator="equal">
      <formula>0</formula>
    </cfRule>
  </conditionalFormatting>
  <conditionalFormatting sqref="M7:O7 M9:O9 M11:O11 M13:O13 M15:O15 M17:O17 M19:O19 M21:O21 M23:O23 M25:O25 M27:O27 M29:O29 M31:O31 M33:O33">
    <cfRule type="cellIs" dxfId="226" priority="3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A5FF-55BE-4D2D-870C-45407B26A0CD}">
  <sheetPr>
    <tabColor rgb="FF00FF00"/>
  </sheetPr>
  <dimension ref="A1:IE43"/>
  <sheetViews>
    <sheetView zoomScale="75" zoomScaleNormal="75" zoomScaleSheetLayoutView="70" workbookViewId="0">
      <selection activeCell="DQ46" sqref="DQ46:DR6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10.7109375" style="3" customWidth="1"/>
    <col min="5" max="5" width="30.28515625" style="3" customWidth="1"/>
    <col min="6" max="9" width="6.85546875" style="3" customWidth="1"/>
    <col min="10" max="10" width="15.28515625" style="3" customWidth="1"/>
    <col min="11" max="11" width="15.7109375" style="3" customWidth="1"/>
    <col min="12" max="12" width="12.42578125" style="3" customWidth="1"/>
    <col min="13" max="13" width="13.140625" style="3" customWidth="1"/>
    <col min="14" max="14" width="7.5703125" style="3" customWidth="1"/>
    <col min="15" max="15" width="5.7109375" style="3" customWidth="1"/>
    <col min="16" max="16" width="13.140625" style="3" bestFit="1" customWidth="1"/>
    <col min="17" max="17" width="1.7109375" style="107" customWidth="1"/>
    <col min="18" max="249" width="11.42578125" style="3"/>
    <col min="250" max="250" width="23.7109375" style="3" customWidth="1"/>
    <col min="251" max="251" width="0" style="3" hidden="1" customWidth="1"/>
    <col min="252" max="252" width="41.42578125" style="3" customWidth="1"/>
    <col min="253" max="253" width="19.140625" style="3" customWidth="1"/>
    <col min="254" max="254" width="6.28515625" style="3" customWidth="1"/>
    <col min="255" max="255" width="6" style="3" customWidth="1"/>
    <col min="256" max="256" width="7.42578125" style="3" customWidth="1"/>
    <col min="257" max="257" width="5.7109375" style="3" customWidth="1"/>
    <col min="258" max="258" width="5.28515625" style="3" customWidth="1"/>
    <col min="259" max="259" width="10" style="3" customWidth="1"/>
    <col min="260" max="260" width="6.28515625" style="3" customWidth="1"/>
    <col min="261" max="261" width="8.28515625" style="3" customWidth="1"/>
    <col min="262" max="262" width="12.42578125" style="3" customWidth="1"/>
    <col min="263" max="263" width="5.28515625" style="3" customWidth="1"/>
    <col min="264" max="264" width="10.85546875" style="3" customWidth="1"/>
    <col min="265" max="265" width="4.85546875" style="3" customWidth="1"/>
    <col min="266" max="266" width="5.140625" style="3" customWidth="1"/>
    <col min="267" max="267" width="10.5703125" style="3" customWidth="1"/>
    <col min="268" max="268" width="6.28515625" style="3" customWidth="1"/>
    <col min="269" max="269" width="6.5703125" style="3" customWidth="1"/>
    <col min="270" max="270" width="7.42578125" style="3" customWidth="1"/>
    <col min="271" max="271" width="6.85546875" style="3" customWidth="1"/>
    <col min="272" max="272" width="10.7109375" style="3" customWidth="1"/>
    <col min="273" max="273" width="5.140625" style="3" customWidth="1"/>
    <col min="274" max="505" width="11.42578125" style="3"/>
    <col min="506" max="506" width="23.7109375" style="3" customWidth="1"/>
    <col min="507" max="507" width="0" style="3" hidden="1" customWidth="1"/>
    <col min="508" max="508" width="41.42578125" style="3" customWidth="1"/>
    <col min="509" max="509" width="19.140625" style="3" customWidth="1"/>
    <col min="510" max="510" width="6.28515625" style="3" customWidth="1"/>
    <col min="511" max="511" width="6" style="3" customWidth="1"/>
    <col min="512" max="512" width="7.42578125" style="3" customWidth="1"/>
    <col min="513" max="513" width="5.7109375" style="3" customWidth="1"/>
    <col min="514" max="514" width="5.28515625" style="3" customWidth="1"/>
    <col min="515" max="515" width="10" style="3" customWidth="1"/>
    <col min="516" max="516" width="6.28515625" style="3" customWidth="1"/>
    <col min="517" max="517" width="8.28515625" style="3" customWidth="1"/>
    <col min="518" max="518" width="12.42578125" style="3" customWidth="1"/>
    <col min="519" max="519" width="5.28515625" style="3" customWidth="1"/>
    <col min="520" max="520" width="10.85546875" style="3" customWidth="1"/>
    <col min="521" max="521" width="4.85546875" style="3" customWidth="1"/>
    <col min="522" max="522" width="5.140625" style="3" customWidth="1"/>
    <col min="523" max="523" width="10.5703125" style="3" customWidth="1"/>
    <col min="524" max="524" width="6.28515625" style="3" customWidth="1"/>
    <col min="525" max="525" width="6.5703125" style="3" customWidth="1"/>
    <col min="526" max="526" width="7.42578125" style="3" customWidth="1"/>
    <col min="527" max="527" width="6.85546875" style="3" customWidth="1"/>
    <col min="528" max="528" width="10.7109375" style="3" customWidth="1"/>
    <col min="529" max="529" width="5.140625" style="3" customWidth="1"/>
    <col min="530" max="761" width="11.42578125" style="3"/>
    <col min="762" max="762" width="23.7109375" style="3" customWidth="1"/>
    <col min="763" max="763" width="0" style="3" hidden="1" customWidth="1"/>
    <col min="764" max="764" width="41.42578125" style="3" customWidth="1"/>
    <col min="765" max="765" width="19.140625" style="3" customWidth="1"/>
    <col min="766" max="766" width="6.28515625" style="3" customWidth="1"/>
    <col min="767" max="767" width="6" style="3" customWidth="1"/>
    <col min="768" max="768" width="7.42578125" style="3" customWidth="1"/>
    <col min="769" max="769" width="5.7109375" style="3" customWidth="1"/>
    <col min="770" max="770" width="5.28515625" style="3" customWidth="1"/>
    <col min="771" max="771" width="10" style="3" customWidth="1"/>
    <col min="772" max="772" width="6.28515625" style="3" customWidth="1"/>
    <col min="773" max="773" width="8.28515625" style="3" customWidth="1"/>
    <col min="774" max="774" width="12.42578125" style="3" customWidth="1"/>
    <col min="775" max="775" width="5.28515625" style="3" customWidth="1"/>
    <col min="776" max="776" width="10.85546875" style="3" customWidth="1"/>
    <col min="777" max="777" width="4.85546875" style="3" customWidth="1"/>
    <col min="778" max="778" width="5.140625" style="3" customWidth="1"/>
    <col min="779" max="779" width="10.5703125" style="3" customWidth="1"/>
    <col min="780" max="780" width="6.28515625" style="3" customWidth="1"/>
    <col min="781" max="781" width="6.5703125" style="3" customWidth="1"/>
    <col min="782" max="782" width="7.42578125" style="3" customWidth="1"/>
    <col min="783" max="783" width="6.85546875" style="3" customWidth="1"/>
    <col min="784" max="784" width="10.7109375" style="3" customWidth="1"/>
    <col min="785" max="785" width="5.140625" style="3" customWidth="1"/>
    <col min="786" max="1017" width="11.42578125" style="3"/>
    <col min="1018" max="1018" width="23.7109375" style="3" customWidth="1"/>
    <col min="1019" max="1019" width="0" style="3" hidden="1" customWidth="1"/>
    <col min="1020" max="1020" width="41.42578125" style="3" customWidth="1"/>
    <col min="1021" max="1021" width="19.140625" style="3" customWidth="1"/>
    <col min="1022" max="1022" width="6.28515625" style="3" customWidth="1"/>
    <col min="1023" max="1023" width="6" style="3" customWidth="1"/>
    <col min="1024" max="1024" width="7.42578125" style="3" customWidth="1"/>
    <col min="1025" max="1025" width="5.7109375" style="3" customWidth="1"/>
    <col min="1026" max="1026" width="5.28515625" style="3" customWidth="1"/>
    <col min="1027" max="1027" width="10" style="3" customWidth="1"/>
    <col min="1028" max="1028" width="6.28515625" style="3" customWidth="1"/>
    <col min="1029" max="1029" width="8.28515625" style="3" customWidth="1"/>
    <col min="1030" max="1030" width="12.42578125" style="3" customWidth="1"/>
    <col min="1031" max="1031" width="5.28515625" style="3" customWidth="1"/>
    <col min="1032" max="1032" width="10.85546875" style="3" customWidth="1"/>
    <col min="1033" max="1033" width="4.85546875" style="3" customWidth="1"/>
    <col min="1034" max="1034" width="5.140625" style="3" customWidth="1"/>
    <col min="1035" max="1035" width="10.5703125" style="3" customWidth="1"/>
    <col min="1036" max="1036" width="6.28515625" style="3" customWidth="1"/>
    <col min="1037" max="1037" width="6.5703125" style="3" customWidth="1"/>
    <col min="1038" max="1038" width="7.42578125" style="3" customWidth="1"/>
    <col min="1039" max="1039" width="6.85546875" style="3" customWidth="1"/>
    <col min="1040" max="1040" width="10.7109375" style="3" customWidth="1"/>
    <col min="1041" max="1041" width="5.140625" style="3" customWidth="1"/>
    <col min="1042" max="1273" width="11.42578125" style="3"/>
    <col min="1274" max="1274" width="23.7109375" style="3" customWidth="1"/>
    <col min="1275" max="1275" width="0" style="3" hidden="1" customWidth="1"/>
    <col min="1276" max="1276" width="41.42578125" style="3" customWidth="1"/>
    <col min="1277" max="1277" width="19.140625" style="3" customWidth="1"/>
    <col min="1278" max="1278" width="6.28515625" style="3" customWidth="1"/>
    <col min="1279" max="1279" width="6" style="3" customWidth="1"/>
    <col min="1280" max="1280" width="7.42578125" style="3" customWidth="1"/>
    <col min="1281" max="1281" width="5.7109375" style="3" customWidth="1"/>
    <col min="1282" max="1282" width="5.28515625" style="3" customWidth="1"/>
    <col min="1283" max="1283" width="10" style="3" customWidth="1"/>
    <col min="1284" max="1284" width="6.28515625" style="3" customWidth="1"/>
    <col min="1285" max="1285" width="8.28515625" style="3" customWidth="1"/>
    <col min="1286" max="1286" width="12.42578125" style="3" customWidth="1"/>
    <col min="1287" max="1287" width="5.28515625" style="3" customWidth="1"/>
    <col min="1288" max="1288" width="10.85546875" style="3" customWidth="1"/>
    <col min="1289" max="1289" width="4.85546875" style="3" customWidth="1"/>
    <col min="1290" max="1290" width="5.140625" style="3" customWidth="1"/>
    <col min="1291" max="1291" width="10.5703125" style="3" customWidth="1"/>
    <col min="1292" max="1292" width="6.28515625" style="3" customWidth="1"/>
    <col min="1293" max="1293" width="6.5703125" style="3" customWidth="1"/>
    <col min="1294" max="1294" width="7.42578125" style="3" customWidth="1"/>
    <col min="1295" max="1295" width="6.85546875" style="3" customWidth="1"/>
    <col min="1296" max="1296" width="10.7109375" style="3" customWidth="1"/>
    <col min="1297" max="1297" width="5.140625" style="3" customWidth="1"/>
    <col min="1298" max="1529" width="11.42578125" style="3"/>
    <col min="1530" max="1530" width="23.7109375" style="3" customWidth="1"/>
    <col min="1531" max="1531" width="0" style="3" hidden="1" customWidth="1"/>
    <col min="1532" max="1532" width="41.42578125" style="3" customWidth="1"/>
    <col min="1533" max="1533" width="19.140625" style="3" customWidth="1"/>
    <col min="1534" max="1534" width="6.28515625" style="3" customWidth="1"/>
    <col min="1535" max="1535" width="6" style="3" customWidth="1"/>
    <col min="1536" max="1536" width="7.42578125" style="3" customWidth="1"/>
    <col min="1537" max="1537" width="5.7109375" style="3" customWidth="1"/>
    <col min="1538" max="1538" width="5.28515625" style="3" customWidth="1"/>
    <col min="1539" max="1539" width="10" style="3" customWidth="1"/>
    <col min="1540" max="1540" width="6.28515625" style="3" customWidth="1"/>
    <col min="1541" max="1541" width="8.28515625" style="3" customWidth="1"/>
    <col min="1542" max="1542" width="12.42578125" style="3" customWidth="1"/>
    <col min="1543" max="1543" width="5.28515625" style="3" customWidth="1"/>
    <col min="1544" max="1544" width="10.85546875" style="3" customWidth="1"/>
    <col min="1545" max="1545" width="4.85546875" style="3" customWidth="1"/>
    <col min="1546" max="1546" width="5.140625" style="3" customWidth="1"/>
    <col min="1547" max="1547" width="10.5703125" style="3" customWidth="1"/>
    <col min="1548" max="1548" width="6.28515625" style="3" customWidth="1"/>
    <col min="1549" max="1549" width="6.5703125" style="3" customWidth="1"/>
    <col min="1550" max="1550" width="7.42578125" style="3" customWidth="1"/>
    <col min="1551" max="1551" width="6.85546875" style="3" customWidth="1"/>
    <col min="1552" max="1552" width="10.7109375" style="3" customWidth="1"/>
    <col min="1553" max="1553" width="5.140625" style="3" customWidth="1"/>
    <col min="1554" max="1785" width="11.42578125" style="3"/>
    <col min="1786" max="1786" width="23.7109375" style="3" customWidth="1"/>
    <col min="1787" max="1787" width="0" style="3" hidden="1" customWidth="1"/>
    <col min="1788" max="1788" width="41.42578125" style="3" customWidth="1"/>
    <col min="1789" max="1789" width="19.140625" style="3" customWidth="1"/>
    <col min="1790" max="1790" width="6.28515625" style="3" customWidth="1"/>
    <col min="1791" max="1791" width="6" style="3" customWidth="1"/>
    <col min="1792" max="1792" width="7.42578125" style="3" customWidth="1"/>
    <col min="1793" max="1793" width="5.7109375" style="3" customWidth="1"/>
    <col min="1794" max="1794" width="5.28515625" style="3" customWidth="1"/>
    <col min="1795" max="1795" width="10" style="3" customWidth="1"/>
    <col min="1796" max="1796" width="6.28515625" style="3" customWidth="1"/>
    <col min="1797" max="1797" width="8.28515625" style="3" customWidth="1"/>
    <col min="1798" max="1798" width="12.42578125" style="3" customWidth="1"/>
    <col min="1799" max="1799" width="5.28515625" style="3" customWidth="1"/>
    <col min="1800" max="1800" width="10.85546875" style="3" customWidth="1"/>
    <col min="1801" max="1801" width="4.85546875" style="3" customWidth="1"/>
    <col min="1802" max="1802" width="5.140625" style="3" customWidth="1"/>
    <col min="1803" max="1803" width="10.5703125" style="3" customWidth="1"/>
    <col min="1804" max="1804" width="6.28515625" style="3" customWidth="1"/>
    <col min="1805" max="1805" width="6.5703125" style="3" customWidth="1"/>
    <col min="1806" max="1806" width="7.42578125" style="3" customWidth="1"/>
    <col min="1807" max="1807" width="6.85546875" style="3" customWidth="1"/>
    <col min="1808" max="1808" width="10.7109375" style="3" customWidth="1"/>
    <col min="1809" max="1809" width="5.140625" style="3" customWidth="1"/>
    <col min="1810" max="2041" width="11.42578125" style="3"/>
    <col min="2042" max="2042" width="23.7109375" style="3" customWidth="1"/>
    <col min="2043" max="2043" width="0" style="3" hidden="1" customWidth="1"/>
    <col min="2044" max="2044" width="41.42578125" style="3" customWidth="1"/>
    <col min="2045" max="2045" width="19.140625" style="3" customWidth="1"/>
    <col min="2046" max="2046" width="6.28515625" style="3" customWidth="1"/>
    <col min="2047" max="2047" width="6" style="3" customWidth="1"/>
    <col min="2048" max="2048" width="7.42578125" style="3" customWidth="1"/>
    <col min="2049" max="2049" width="5.7109375" style="3" customWidth="1"/>
    <col min="2050" max="2050" width="5.28515625" style="3" customWidth="1"/>
    <col min="2051" max="2051" width="10" style="3" customWidth="1"/>
    <col min="2052" max="2052" width="6.28515625" style="3" customWidth="1"/>
    <col min="2053" max="2053" width="8.28515625" style="3" customWidth="1"/>
    <col min="2054" max="2054" width="12.42578125" style="3" customWidth="1"/>
    <col min="2055" max="2055" width="5.28515625" style="3" customWidth="1"/>
    <col min="2056" max="2056" width="10.85546875" style="3" customWidth="1"/>
    <col min="2057" max="2057" width="4.85546875" style="3" customWidth="1"/>
    <col min="2058" max="2058" width="5.140625" style="3" customWidth="1"/>
    <col min="2059" max="2059" width="10.5703125" style="3" customWidth="1"/>
    <col min="2060" max="2060" width="6.28515625" style="3" customWidth="1"/>
    <col min="2061" max="2061" width="6.5703125" style="3" customWidth="1"/>
    <col min="2062" max="2062" width="7.42578125" style="3" customWidth="1"/>
    <col min="2063" max="2063" width="6.85546875" style="3" customWidth="1"/>
    <col min="2064" max="2064" width="10.7109375" style="3" customWidth="1"/>
    <col min="2065" max="2065" width="5.140625" style="3" customWidth="1"/>
    <col min="2066" max="2297" width="11.42578125" style="3"/>
    <col min="2298" max="2298" width="23.7109375" style="3" customWidth="1"/>
    <col min="2299" max="2299" width="0" style="3" hidden="1" customWidth="1"/>
    <col min="2300" max="2300" width="41.42578125" style="3" customWidth="1"/>
    <col min="2301" max="2301" width="19.140625" style="3" customWidth="1"/>
    <col min="2302" max="2302" width="6.28515625" style="3" customWidth="1"/>
    <col min="2303" max="2303" width="6" style="3" customWidth="1"/>
    <col min="2304" max="2304" width="7.42578125" style="3" customWidth="1"/>
    <col min="2305" max="2305" width="5.7109375" style="3" customWidth="1"/>
    <col min="2306" max="2306" width="5.28515625" style="3" customWidth="1"/>
    <col min="2307" max="2307" width="10" style="3" customWidth="1"/>
    <col min="2308" max="2308" width="6.28515625" style="3" customWidth="1"/>
    <col min="2309" max="2309" width="8.28515625" style="3" customWidth="1"/>
    <col min="2310" max="2310" width="12.42578125" style="3" customWidth="1"/>
    <col min="2311" max="2311" width="5.28515625" style="3" customWidth="1"/>
    <col min="2312" max="2312" width="10.85546875" style="3" customWidth="1"/>
    <col min="2313" max="2313" width="4.85546875" style="3" customWidth="1"/>
    <col min="2314" max="2314" width="5.140625" style="3" customWidth="1"/>
    <col min="2315" max="2315" width="10.5703125" style="3" customWidth="1"/>
    <col min="2316" max="2316" width="6.28515625" style="3" customWidth="1"/>
    <col min="2317" max="2317" width="6.5703125" style="3" customWidth="1"/>
    <col min="2318" max="2318" width="7.42578125" style="3" customWidth="1"/>
    <col min="2319" max="2319" width="6.85546875" style="3" customWidth="1"/>
    <col min="2320" max="2320" width="10.7109375" style="3" customWidth="1"/>
    <col min="2321" max="2321" width="5.140625" style="3" customWidth="1"/>
    <col min="2322" max="2553" width="11.42578125" style="3"/>
    <col min="2554" max="2554" width="23.7109375" style="3" customWidth="1"/>
    <col min="2555" max="2555" width="0" style="3" hidden="1" customWidth="1"/>
    <col min="2556" max="2556" width="41.42578125" style="3" customWidth="1"/>
    <col min="2557" max="2557" width="19.140625" style="3" customWidth="1"/>
    <col min="2558" max="2558" width="6.28515625" style="3" customWidth="1"/>
    <col min="2559" max="2559" width="6" style="3" customWidth="1"/>
    <col min="2560" max="2560" width="7.42578125" style="3" customWidth="1"/>
    <col min="2561" max="2561" width="5.7109375" style="3" customWidth="1"/>
    <col min="2562" max="2562" width="5.28515625" style="3" customWidth="1"/>
    <col min="2563" max="2563" width="10" style="3" customWidth="1"/>
    <col min="2564" max="2564" width="6.28515625" style="3" customWidth="1"/>
    <col min="2565" max="2565" width="8.28515625" style="3" customWidth="1"/>
    <col min="2566" max="2566" width="12.42578125" style="3" customWidth="1"/>
    <col min="2567" max="2567" width="5.28515625" style="3" customWidth="1"/>
    <col min="2568" max="2568" width="10.85546875" style="3" customWidth="1"/>
    <col min="2569" max="2569" width="4.85546875" style="3" customWidth="1"/>
    <col min="2570" max="2570" width="5.140625" style="3" customWidth="1"/>
    <col min="2571" max="2571" width="10.5703125" style="3" customWidth="1"/>
    <col min="2572" max="2572" width="6.28515625" style="3" customWidth="1"/>
    <col min="2573" max="2573" width="6.5703125" style="3" customWidth="1"/>
    <col min="2574" max="2574" width="7.42578125" style="3" customWidth="1"/>
    <col min="2575" max="2575" width="6.85546875" style="3" customWidth="1"/>
    <col min="2576" max="2576" width="10.7109375" style="3" customWidth="1"/>
    <col min="2577" max="2577" width="5.140625" style="3" customWidth="1"/>
    <col min="2578" max="2809" width="11.42578125" style="3"/>
    <col min="2810" max="2810" width="23.7109375" style="3" customWidth="1"/>
    <col min="2811" max="2811" width="0" style="3" hidden="1" customWidth="1"/>
    <col min="2812" max="2812" width="41.42578125" style="3" customWidth="1"/>
    <col min="2813" max="2813" width="19.140625" style="3" customWidth="1"/>
    <col min="2814" max="2814" width="6.28515625" style="3" customWidth="1"/>
    <col min="2815" max="2815" width="6" style="3" customWidth="1"/>
    <col min="2816" max="2816" width="7.42578125" style="3" customWidth="1"/>
    <col min="2817" max="2817" width="5.7109375" style="3" customWidth="1"/>
    <col min="2818" max="2818" width="5.28515625" style="3" customWidth="1"/>
    <col min="2819" max="2819" width="10" style="3" customWidth="1"/>
    <col min="2820" max="2820" width="6.28515625" style="3" customWidth="1"/>
    <col min="2821" max="2821" width="8.28515625" style="3" customWidth="1"/>
    <col min="2822" max="2822" width="12.42578125" style="3" customWidth="1"/>
    <col min="2823" max="2823" width="5.28515625" style="3" customWidth="1"/>
    <col min="2824" max="2824" width="10.85546875" style="3" customWidth="1"/>
    <col min="2825" max="2825" width="4.85546875" style="3" customWidth="1"/>
    <col min="2826" max="2826" width="5.140625" style="3" customWidth="1"/>
    <col min="2827" max="2827" width="10.5703125" style="3" customWidth="1"/>
    <col min="2828" max="2828" width="6.28515625" style="3" customWidth="1"/>
    <col min="2829" max="2829" width="6.5703125" style="3" customWidth="1"/>
    <col min="2830" max="2830" width="7.42578125" style="3" customWidth="1"/>
    <col min="2831" max="2831" width="6.85546875" style="3" customWidth="1"/>
    <col min="2832" max="2832" width="10.7109375" style="3" customWidth="1"/>
    <col min="2833" max="2833" width="5.140625" style="3" customWidth="1"/>
    <col min="2834" max="3065" width="11.42578125" style="3"/>
    <col min="3066" max="3066" width="23.7109375" style="3" customWidth="1"/>
    <col min="3067" max="3067" width="0" style="3" hidden="1" customWidth="1"/>
    <col min="3068" max="3068" width="41.42578125" style="3" customWidth="1"/>
    <col min="3069" max="3069" width="19.140625" style="3" customWidth="1"/>
    <col min="3070" max="3070" width="6.28515625" style="3" customWidth="1"/>
    <col min="3071" max="3071" width="6" style="3" customWidth="1"/>
    <col min="3072" max="3072" width="7.42578125" style="3" customWidth="1"/>
    <col min="3073" max="3073" width="5.7109375" style="3" customWidth="1"/>
    <col min="3074" max="3074" width="5.28515625" style="3" customWidth="1"/>
    <col min="3075" max="3075" width="10" style="3" customWidth="1"/>
    <col min="3076" max="3076" width="6.28515625" style="3" customWidth="1"/>
    <col min="3077" max="3077" width="8.28515625" style="3" customWidth="1"/>
    <col min="3078" max="3078" width="12.42578125" style="3" customWidth="1"/>
    <col min="3079" max="3079" width="5.28515625" style="3" customWidth="1"/>
    <col min="3080" max="3080" width="10.85546875" style="3" customWidth="1"/>
    <col min="3081" max="3081" width="4.85546875" style="3" customWidth="1"/>
    <col min="3082" max="3082" width="5.140625" style="3" customWidth="1"/>
    <col min="3083" max="3083" width="10.5703125" style="3" customWidth="1"/>
    <col min="3084" max="3084" width="6.28515625" style="3" customWidth="1"/>
    <col min="3085" max="3085" width="6.5703125" style="3" customWidth="1"/>
    <col min="3086" max="3086" width="7.42578125" style="3" customWidth="1"/>
    <col min="3087" max="3087" width="6.85546875" style="3" customWidth="1"/>
    <col min="3088" max="3088" width="10.7109375" style="3" customWidth="1"/>
    <col min="3089" max="3089" width="5.140625" style="3" customWidth="1"/>
    <col min="3090" max="3321" width="11.42578125" style="3"/>
    <col min="3322" max="3322" width="23.7109375" style="3" customWidth="1"/>
    <col min="3323" max="3323" width="0" style="3" hidden="1" customWidth="1"/>
    <col min="3324" max="3324" width="41.42578125" style="3" customWidth="1"/>
    <col min="3325" max="3325" width="19.140625" style="3" customWidth="1"/>
    <col min="3326" max="3326" width="6.28515625" style="3" customWidth="1"/>
    <col min="3327" max="3327" width="6" style="3" customWidth="1"/>
    <col min="3328" max="3328" width="7.42578125" style="3" customWidth="1"/>
    <col min="3329" max="3329" width="5.7109375" style="3" customWidth="1"/>
    <col min="3330" max="3330" width="5.28515625" style="3" customWidth="1"/>
    <col min="3331" max="3331" width="10" style="3" customWidth="1"/>
    <col min="3332" max="3332" width="6.28515625" style="3" customWidth="1"/>
    <col min="3333" max="3333" width="8.28515625" style="3" customWidth="1"/>
    <col min="3334" max="3334" width="12.42578125" style="3" customWidth="1"/>
    <col min="3335" max="3335" width="5.28515625" style="3" customWidth="1"/>
    <col min="3336" max="3336" width="10.85546875" style="3" customWidth="1"/>
    <col min="3337" max="3337" width="4.85546875" style="3" customWidth="1"/>
    <col min="3338" max="3338" width="5.140625" style="3" customWidth="1"/>
    <col min="3339" max="3339" width="10.5703125" style="3" customWidth="1"/>
    <col min="3340" max="3340" width="6.28515625" style="3" customWidth="1"/>
    <col min="3341" max="3341" width="6.5703125" style="3" customWidth="1"/>
    <col min="3342" max="3342" width="7.42578125" style="3" customWidth="1"/>
    <col min="3343" max="3343" width="6.85546875" style="3" customWidth="1"/>
    <col min="3344" max="3344" width="10.7109375" style="3" customWidth="1"/>
    <col min="3345" max="3345" width="5.140625" style="3" customWidth="1"/>
    <col min="3346" max="3577" width="11.42578125" style="3"/>
    <col min="3578" max="3578" width="23.7109375" style="3" customWidth="1"/>
    <col min="3579" max="3579" width="0" style="3" hidden="1" customWidth="1"/>
    <col min="3580" max="3580" width="41.42578125" style="3" customWidth="1"/>
    <col min="3581" max="3581" width="19.140625" style="3" customWidth="1"/>
    <col min="3582" max="3582" width="6.28515625" style="3" customWidth="1"/>
    <col min="3583" max="3583" width="6" style="3" customWidth="1"/>
    <col min="3584" max="3584" width="7.42578125" style="3" customWidth="1"/>
    <col min="3585" max="3585" width="5.7109375" style="3" customWidth="1"/>
    <col min="3586" max="3586" width="5.28515625" style="3" customWidth="1"/>
    <col min="3587" max="3587" width="10" style="3" customWidth="1"/>
    <col min="3588" max="3588" width="6.28515625" style="3" customWidth="1"/>
    <col min="3589" max="3589" width="8.28515625" style="3" customWidth="1"/>
    <col min="3590" max="3590" width="12.42578125" style="3" customWidth="1"/>
    <col min="3591" max="3591" width="5.28515625" style="3" customWidth="1"/>
    <col min="3592" max="3592" width="10.85546875" style="3" customWidth="1"/>
    <col min="3593" max="3593" width="4.85546875" style="3" customWidth="1"/>
    <col min="3594" max="3594" width="5.140625" style="3" customWidth="1"/>
    <col min="3595" max="3595" width="10.5703125" style="3" customWidth="1"/>
    <col min="3596" max="3596" width="6.28515625" style="3" customWidth="1"/>
    <col min="3597" max="3597" width="6.5703125" style="3" customWidth="1"/>
    <col min="3598" max="3598" width="7.42578125" style="3" customWidth="1"/>
    <col min="3599" max="3599" width="6.85546875" style="3" customWidth="1"/>
    <col min="3600" max="3600" width="10.7109375" style="3" customWidth="1"/>
    <col min="3601" max="3601" width="5.140625" style="3" customWidth="1"/>
    <col min="3602" max="3833" width="11.42578125" style="3"/>
    <col min="3834" max="3834" width="23.7109375" style="3" customWidth="1"/>
    <col min="3835" max="3835" width="0" style="3" hidden="1" customWidth="1"/>
    <col min="3836" max="3836" width="41.42578125" style="3" customWidth="1"/>
    <col min="3837" max="3837" width="19.140625" style="3" customWidth="1"/>
    <col min="3838" max="3838" width="6.28515625" style="3" customWidth="1"/>
    <col min="3839" max="3839" width="6" style="3" customWidth="1"/>
    <col min="3840" max="3840" width="7.42578125" style="3" customWidth="1"/>
    <col min="3841" max="3841" width="5.7109375" style="3" customWidth="1"/>
    <col min="3842" max="3842" width="5.28515625" style="3" customWidth="1"/>
    <col min="3843" max="3843" width="10" style="3" customWidth="1"/>
    <col min="3844" max="3844" width="6.28515625" style="3" customWidth="1"/>
    <col min="3845" max="3845" width="8.28515625" style="3" customWidth="1"/>
    <col min="3846" max="3846" width="12.42578125" style="3" customWidth="1"/>
    <col min="3847" max="3847" width="5.28515625" style="3" customWidth="1"/>
    <col min="3848" max="3848" width="10.85546875" style="3" customWidth="1"/>
    <col min="3849" max="3849" width="4.85546875" style="3" customWidth="1"/>
    <col min="3850" max="3850" width="5.140625" style="3" customWidth="1"/>
    <col min="3851" max="3851" width="10.5703125" style="3" customWidth="1"/>
    <col min="3852" max="3852" width="6.28515625" style="3" customWidth="1"/>
    <col min="3853" max="3853" width="6.5703125" style="3" customWidth="1"/>
    <col min="3854" max="3854" width="7.42578125" style="3" customWidth="1"/>
    <col min="3855" max="3855" width="6.85546875" style="3" customWidth="1"/>
    <col min="3856" max="3856" width="10.7109375" style="3" customWidth="1"/>
    <col min="3857" max="3857" width="5.140625" style="3" customWidth="1"/>
    <col min="3858" max="4089" width="11.42578125" style="3"/>
    <col min="4090" max="4090" width="23.7109375" style="3" customWidth="1"/>
    <col min="4091" max="4091" width="0" style="3" hidden="1" customWidth="1"/>
    <col min="4092" max="4092" width="41.42578125" style="3" customWidth="1"/>
    <col min="4093" max="4093" width="19.140625" style="3" customWidth="1"/>
    <col min="4094" max="4094" width="6.28515625" style="3" customWidth="1"/>
    <col min="4095" max="4095" width="6" style="3" customWidth="1"/>
    <col min="4096" max="4096" width="7.42578125" style="3" customWidth="1"/>
    <col min="4097" max="4097" width="5.7109375" style="3" customWidth="1"/>
    <col min="4098" max="4098" width="5.28515625" style="3" customWidth="1"/>
    <col min="4099" max="4099" width="10" style="3" customWidth="1"/>
    <col min="4100" max="4100" width="6.28515625" style="3" customWidth="1"/>
    <col min="4101" max="4101" width="8.28515625" style="3" customWidth="1"/>
    <col min="4102" max="4102" width="12.42578125" style="3" customWidth="1"/>
    <col min="4103" max="4103" width="5.28515625" style="3" customWidth="1"/>
    <col min="4104" max="4104" width="10.85546875" style="3" customWidth="1"/>
    <col min="4105" max="4105" width="4.85546875" style="3" customWidth="1"/>
    <col min="4106" max="4106" width="5.140625" style="3" customWidth="1"/>
    <col min="4107" max="4107" width="10.5703125" style="3" customWidth="1"/>
    <col min="4108" max="4108" width="6.28515625" style="3" customWidth="1"/>
    <col min="4109" max="4109" width="6.5703125" style="3" customWidth="1"/>
    <col min="4110" max="4110" width="7.42578125" style="3" customWidth="1"/>
    <col min="4111" max="4111" width="6.85546875" style="3" customWidth="1"/>
    <col min="4112" max="4112" width="10.7109375" style="3" customWidth="1"/>
    <col min="4113" max="4113" width="5.140625" style="3" customWidth="1"/>
    <col min="4114" max="4345" width="11.42578125" style="3"/>
    <col min="4346" max="4346" width="23.7109375" style="3" customWidth="1"/>
    <col min="4347" max="4347" width="0" style="3" hidden="1" customWidth="1"/>
    <col min="4348" max="4348" width="41.42578125" style="3" customWidth="1"/>
    <col min="4349" max="4349" width="19.140625" style="3" customWidth="1"/>
    <col min="4350" max="4350" width="6.28515625" style="3" customWidth="1"/>
    <col min="4351" max="4351" width="6" style="3" customWidth="1"/>
    <col min="4352" max="4352" width="7.42578125" style="3" customWidth="1"/>
    <col min="4353" max="4353" width="5.7109375" style="3" customWidth="1"/>
    <col min="4354" max="4354" width="5.28515625" style="3" customWidth="1"/>
    <col min="4355" max="4355" width="10" style="3" customWidth="1"/>
    <col min="4356" max="4356" width="6.28515625" style="3" customWidth="1"/>
    <col min="4357" max="4357" width="8.28515625" style="3" customWidth="1"/>
    <col min="4358" max="4358" width="12.42578125" style="3" customWidth="1"/>
    <col min="4359" max="4359" width="5.28515625" style="3" customWidth="1"/>
    <col min="4360" max="4360" width="10.85546875" style="3" customWidth="1"/>
    <col min="4361" max="4361" width="4.85546875" style="3" customWidth="1"/>
    <col min="4362" max="4362" width="5.140625" style="3" customWidth="1"/>
    <col min="4363" max="4363" width="10.5703125" style="3" customWidth="1"/>
    <col min="4364" max="4364" width="6.28515625" style="3" customWidth="1"/>
    <col min="4365" max="4365" width="6.5703125" style="3" customWidth="1"/>
    <col min="4366" max="4366" width="7.42578125" style="3" customWidth="1"/>
    <col min="4367" max="4367" width="6.85546875" style="3" customWidth="1"/>
    <col min="4368" max="4368" width="10.7109375" style="3" customWidth="1"/>
    <col min="4369" max="4369" width="5.140625" style="3" customWidth="1"/>
    <col min="4370" max="4601" width="11.42578125" style="3"/>
    <col min="4602" max="4602" width="23.7109375" style="3" customWidth="1"/>
    <col min="4603" max="4603" width="0" style="3" hidden="1" customWidth="1"/>
    <col min="4604" max="4604" width="41.42578125" style="3" customWidth="1"/>
    <col min="4605" max="4605" width="19.140625" style="3" customWidth="1"/>
    <col min="4606" max="4606" width="6.28515625" style="3" customWidth="1"/>
    <col min="4607" max="4607" width="6" style="3" customWidth="1"/>
    <col min="4608" max="4608" width="7.42578125" style="3" customWidth="1"/>
    <col min="4609" max="4609" width="5.7109375" style="3" customWidth="1"/>
    <col min="4610" max="4610" width="5.28515625" style="3" customWidth="1"/>
    <col min="4611" max="4611" width="10" style="3" customWidth="1"/>
    <col min="4612" max="4612" width="6.28515625" style="3" customWidth="1"/>
    <col min="4613" max="4613" width="8.28515625" style="3" customWidth="1"/>
    <col min="4614" max="4614" width="12.42578125" style="3" customWidth="1"/>
    <col min="4615" max="4615" width="5.28515625" style="3" customWidth="1"/>
    <col min="4616" max="4616" width="10.85546875" style="3" customWidth="1"/>
    <col min="4617" max="4617" width="4.85546875" style="3" customWidth="1"/>
    <col min="4618" max="4618" width="5.140625" style="3" customWidth="1"/>
    <col min="4619" max="4619" width="10.5703125" style="3" customWidth="1"/>
    <col min="4620" max="4620" width="6.28515625" style="3" customWidth="1"/>
    <col min="4621" max="4621" width="6.5703125" style="3" customWidth="1"/>
    <col min="4622" max="4622" width="7.42578125" style="3" customWidth="1"/>
    <col min="4623" max="4623" width="6.85546875" style="3" customWidth="1"/>
    <col min="4624" max="4624" width="10.7109375" style="3" customWidth="1"/>
    <col min="4625" max="4625" width="5.140625" style="3" customWidth="1"/>
    <col min="4626" max="4857" width="11.42578125" style="3"/>
    <col min="4858" max="4858" width="23.7109375" style="3" customWidth="1"/>
    <col min="4859" max="4859" width="0" style="3" hidden="1" customWidth="1"/>
    <col min="4860" max="4860" width="41.42578125" style="3" customWidth="1"/>
    <col min="4861" max="4861" width="19.140625" style="3" customWidth="1"/>
    <col min="4862" max="4862" width="6.28515625" style="3" customWidth="1"/>
    <col min="4863" max="4863" width="6" style="3" customWidth="1"/>
    <col min="4864" max="4864" width="7.42578125" style="3" customWidth="1"/>
    <col min="4865" max="4865" width="5.7109375" style="3" customWidth="1"/>
    <col min="4866" max="4866" width="5.28515625" style="3" customWidth="1"/>
    <col min="4867" max="4867" width="10" style="3" customWidth="1"/>
    <col min="4868" max="4868" width="6.28515625" style="3" customWidth="1"/>
    <col min="4869" max="4869" width="8.28515625" style="3" customWidth="1"/>
    <col min="4870" max="4870" width="12.42578125" style="3" customWidth="1"/>
    <col min="4871" max="4871" width="5.28515625" style="3" customWidth="1"/>
    <col min="4872" max="4872" width="10.85546875" style="3" customWidth="1"/>
    <col min="4873" max="4873" width="4.85546875" style="3" customWidth="1"/>
    <col min="4874" max="4874" width="5.140625" style="3" customWidth="1"/>
    <col min="4875" max="4875" width="10.5703125" style="3" customWidth="1"/>
    <col min="4876" max="4876" width="6.28515625" style="3" customWidth="1"/>
    <col min="4877" max="4877" width="6.5703125" style="3" customWidth="1"/>
    <col min="4878" max="4878" width="7.42578125" style="3" customWidth="1"/>
    <col min="4879" max="4879" width="6.85546875" style="3" customWidth="1"/>
    <col min="4880" max="4880" width="10.7109375" style="3" customWidth="1"/>
    <col min="4881" max="4881" width="5.140625" style="3" customWidth="1"/>
    <col min="4882" max="5113" width="11.42578125" style="3"/>
    <col min="5114" max="5114" width="23.7109375" style="3" customWidth="1"/>
    <col min="5115" max="5115" width="0" style="3" hidden="1" customWidth="1"/>
    <col min="5116" max="5116" width="41.42578125" style="3" customWidth="1"/>
    <col min="5117" max="5117" width="19.140625" style="3" customWidth="1"/>
    <col min="5118" max="5118" width="6.28515625" style="3" customWidth="1"/>
    <col min="5119" max="5119" width="6" style="3" customWidth="1"/>
    <col min="5120" max="5120" width="7.42578125" style="3" customWidth="1"/>
    <col min="5121" max="5121" width="5.7109375" style="3" customWidth="1"/>
    <col min="5122" max="5122" width="5.28515625" style="3" customWidth="1"/>
    <col min="5123" max="5123" width="10" style="3" customWidth="1"/>
    <col min="5124" max="5124" width="6.28515625" style="3" customWidth="1"/>
    <col min="5125" max="5125" width="8.28515625" style="3" customWidth="1"/>
    <col min="5126" max="5126" width="12.42578125" style="3" customWidth="1"/>
    <col min="5127" max="5127" width="5.28515625" style="3" customWidth="1"/>
    <col min="5128" max="5128" width="10.85546875" style="3" customWidth="1"/>
    <col min="5129" max="5129" width="4.85546875" style="3" customWidth="1"/>
    <col min="5130" max="5130" width="5.140625" style="3" customWidth="1"/>
    <col min="5131" max="5131" width="10.5703125" style="3" customWidth="1"/>
    <col min="5132" max="5132" width="6.28515625" style="3" customWidth="1"/>
    <col min="5133" max="5133" width="6.5703125" style="3" customWidth="1"/>
    <col min="5134" max="5134" width="7.42578125" style="3" customWidth="1"/>
    <col min="5135" max="5135" width="6.85546875" style="3" customWidth="1"/>
    <col min="5136" max="5136" width="10.7109375" style="3" customWidth="1"/>
    <col min="5137" max="5137" width="5.140625" style="3" customWidth="1"/>
    <col min="5138" max="5369" width="11.42578125" style="3"/>
    <col min="5370" max="5370" width="23.7109375" style="3" customWidth="1"/>
    <col min="5371" max="5371" width="0" style="3" hidden="1" customWidth="1"/>
    <col min="5372" max="5372" width="41.42578125" style="3" customWidth="1"/>
    <col min="5373" max="5373" width="19.140625" style="3" customWidth="1"/>
    <col min="5374" max="5374" width="6.28515625" style="3" customWidth="1"/>
    <col min="5375" max="5375" width="6" style="3" customWidth="1"/>
    <col min="5376" max="5376" width="7.42578125" style="3" customWidth="1"/>
    <col min="5377" max="5377" width="5.7109375" style="3" customWidth="1"/>
    <col min="5378" max="5378" width="5.28515625" style="3" customWidth="1"/>
    <col min="5379" max="5379" width="10" style="3" customWidth="1"/>
    <col min="5380" max="5380" width="6.28515625" style="3" customWidth="1"/>
    <col min="5381" max="5381" width="8.28515625" style="3" customWidth="1"/>
    <col min="5382" max="5382" width="12.42578125" style="3" customWidth="1"/>
    <col min="5383" max="5383" width="5.28515625" style="3" customWidth="1"/>
    <col min="5384" max="5384" width="10.85546875" style="3" customWidth="1"/>
    <col min="5385" max="5385" width="4.85546875" style="3" customWidth="1"/>
    <col min="5386" max="5386" width="5.140625" style="3" customWidth="1"/>
    <col min="5387" max="5387" width="10.5703125" style="3" customWidth="1"/>
    <col min="5388" max="5388" width="6.28515625" style="3" customWidth="1"/>
    <col min="5389" max="5389" width="6.5703125" style="3" customWidth="1"/>
    <col min="5390" max="5390" width="7.42578125" style="3" customWidth="1"/>
    <col min="5391" max="5391" width="6.85546875" style="3" customWidth="1"/>
    <col min="5392" max="5392" width="10.7109375" style="3" customWidth="1"/>
    <col min="5393" max="5393" width="5.140625" style="3" customWidth="1"/>
    <col min="5394" max="5625" width="11.42578125" style="3"/>
    <col min="5626" max="5626" width="23.7109375" style="3" customWidth="1"/>
    <col min="5627" max="5627" width="0" style="3" hidden="1" customWidth="1"/>
    <col min="5628" max="5628" width="41.42578125" style="3" customWidth="1"/>
    <col min="5629" max="5629" width="19.140625" style="3" customWidth="1"/>
    <col min="5630" max="5630" width="6.28515625" style="3" customWidth="1"/>
    <col min="5631" max="5631" width="6" style="3" customWidth="1"/>
    <col min="5632" max="5632" width="7.42578125" style="3" customWidth="1"/>
    <col min="5633" max="5633" width="5.7109375" style="3" customWidth="1"/>
    <col min="5634" max="5634" width="5.28515625" style="3" customWidth="1"/>
    <col min="5635" max="5635" width="10" style="3" customWidth="1"/>
    <col min="5636" max="5636" width="6.28515625" style="3" customWidth="1"/>
    <col min="5637" max="5637" width="8.28515625" style="3" customWidth="1"/>
    <col min="5638" max="5638" width="12.42578125" style="3" customWidth="1"/>
    <col min="5639" max="5639" width="5.28515625" style="3" customWidth="1"/>
    <col min="5640" max="5640" width="10.85546875" style="3" customWidth="1"/>
    <col min="5641" max="5641" width="4.85546875" style="3" customWidth="1"/>
    <col min="5642" max="5642" width="5.140625" style="3" customWidth="1"/>
    <col min="5643" max="5643" width="10.5703125" style="3" customWidth="1"/>
    <col min="5644" max="5644" width="6.28515625" style="3" customWidth="1"/>
    <col min="5645" max="5645" width="6.5703125" style="3" customWidth="1"/>
    <col min="5646" max="5646" width="7.42578125" style="3" customWidth="1"/>
    <col min="5647" max="5647" width="6.85546875" style="3" customWidth="1"/>
    <col min="5648" max="5648" width="10.7109375" style="3" customWidth="1"/>
    <col min="5649" max="5649" width="5.140625" style="3" customWidth="1"/>
    <col min="5650" max="5881" width="11.42578125" style="3"/>
    <col min="5882" max="5882" width="23.7109375" style="3" customWidth="1"/>
    <col min="5883" max="5883" width="0" style="3" hidden="1" customWidth="1"/>
    <col min="5884" max="5884" width="41.42578125" style="3" customWidth="1"/>
    <col min="5885" max="5885" width="19.140625" style="3" customWidth="1"/>
    <col min="5886" max="5886" width="6.28515625" style="3" customWidth="1"/>
    <col min="5887" max="5887" width="6" style="3" customWidth="1"/>
    <col min="5888" max="5888" width="7.42578125" style="3" customWidth="1"/>
    <col min="5889" max="5889" width="5.7109375" style="3" customWidth="1"/>
    <col min="5890" max="5890" width="5.28515625" style="3" customWidth="1"/>
    <col min="5891" max="5891" width="10" style="3" customWidth="1"/>
    <col min="5892" max="5892" width="6.28515625" style="3" customWidth="1"/>
    <col min="5893" max="5893" width="8.28515625" style="3" customWidth="1"/>
    <col min="5894" max="5894" width="12.42578125" style="3" customWidth="1"/>
    <col min="5895" max="5895" width="5.28515625" style="3" customWidth="1"/>
    <col min="5896" max="5896" width="10.85546875" style="3" customWidth="1"/>
    <col min="5897" max="5897" width="4.85546875" style="3" customWidth="1"/>
    <col min="5898" max="5898" width="5.140625" style="3" customWidth="1"/>
    <col min="5899" max="5899" width="10.5703125" style="3" customWidth="1"/>
    <col min="5900" max="5900" width="6.28515625" style="3" customWidth="1"/>
    <col min="5901" max="5901" width="6.5703125" style="3" customWidth="1"/>
    <col min="5902" max="5902" width="7.42578125" style="3" customWidth="1"/>
    <col min="5903" max="5903" width="6.85546875" style="3" customWidth="1"/>
    <col min="5904" max="5904" width="10.7109375" style="3" customWidth="1"/>
    <col min="5905" max="5905" width="5.140625" style="3" customWidth="1"/>
    <col min="5906" max="6137" width="11.42578125" style="3"/>
    <col min="6138" max="6138" width="23.7109375" style="3" customWidth="1"/>
    <col min="6139" max="6139" width="0" style="3" hidden="1" customWidth="1"/>
    <col min="6140" max="6140" width="41.42578125" style="3" customWidth="1"/>
    <col min="6141" max="6141" width="19.140625" style="3" customWidth="1"/>
    <col min="6142" max="6142" width="6.28515625" style="3" customWidth="1"/>
    <col min="6143" max="6143" width="6" style="3" customWidth="1"/>
    <col min="6144" max="6144" width="7.42578125" style="3" customWidth="1"/>
    <col min="6145" max="6145" width="5.7109375" style="3" customWidth="1"/>
    <col min="6146" max="6146" width="5.28515625" style="3" customWidth="1"/>
    <col min="6147" max="6147" width="10" style="3" customWidth="1"/>
    <col min="6148" max="6148" width="6.28515625" style="3" customWidth="1"/>
    <col min="6149" max="6149" width="8.28515625" style="3" customWidth="1"/>
    <col min="6150" max="6150" width="12.42578125" style="3" customWidth="1"/>
    <col min="6151" max="6151" width="5.28515625" style="3" customWidth="1"/>
    <col min="6152" max="6152" width="10.85546875" style="3" customWidth="1"/>
    <col min="6153" max="6153" width="4.85546875" style="3" customWidth="1"/>
    <col min="6154" max="6154" width="5.140625" style="3" customWidth="1"/>
    <col min="6155" max="6155" width="10.5703125" style="3" customWidth="1"/>
    <col min="6156" max="6156" width="6.28515625" style="3" customWidth="1"/>
    <col min="6157" max="6157" width="6.5703125" style="3" customWidth="1"/>
    <col min="6158" max="6158" width="7.42578125" style="3" customWidth="1"/>
    <col min="6159" max="6159" width="6.85546875" style="3" customWidth="1"/>
    <col min="6160" max="6160" width="10.7109375" style="3" customWidth="1"/>
    <col min="6161" max="6161" width="5.140625" style="3" customWidth="1"/>
    <col min="6162" max="6393" width="11.42578125" style="3"/>
    <col min="6394" max="6394" width="23.7109375" style="3" customWidth="1"/>
    <col min="6395" max="6395" width="0" style="3" hidden="1" customWidth="1"/>
    <col min="6396" max="6396" width="41.42578125" style="3" customWidth="1"/>
    <col min="6397" max="6397" width="19.140625" style="3" customWidth="1"/>
    <col min="6398" max="6398" width="6.28515625" style="3" customWidth="1"/>
    <col min="6399" max="6399" width="6" style="3" customWidth="1"/>
    <col min="6400" max="6400" width="7.42578125" style="3" customWidth="1"/>
    <col min="6401" max="6401" width="5.7109375" style="3" customWidth="1"/>
    <col min="6402" max="6402" width="5.28515625" style="3" customWidth="1"/>
    <col min="6403" max="6403" width="10" style="3" customWidth="1"/>
    <col min="6404" max="6404" width="6.28515625" style="3" customWidth="1"/>
    <col min="6405" max="6405" width="8.28515625" style="3" customWidth="1"/>
    <col min="6406" max="6406" width="12.42578125" style="3" customWidth="1"/>
    <col min="6407" max="6407" width="5.28515625" style="3" customWidth="1"/>
    <col min="6408" max="6408" width="10.85546875" style="3" customWidth="1"/>
    <col min="6409" max="6409" width="4.85546875" style="3" customWidth="1"/>
    <col min="6410" max="6410" width="5.140625" style="3" customWidth="1"/>
    <col min="6411" max="6411" width="10.5703125" style="3" customWidth="1"/>
    <col min="6412" max="6412" width="6.28515625" style="3" customWidth="1"/>
    <col min="6413" max="6413" width="6.5703125" style="3" customWidth="1"/>
    <col min="6414" max="6414" width="7.42578125" style="3" customWidth="1"/>
    <col min="6415" max="6415" width="6.85546875" style="3" customWidth="1"/>
    <col min="6416" max="6416" width="10.7109375" style="3" customWidth="1"/>
    <col min="6417" max="6417" width="5.140625" style="3" customWidth="1"/>
    <col min="6418" max="6649" width="11.42578125" style="3"/>
    <col min="6650" max="6650" width="23.7109375" style="3" customWidth="1"/>
    <col min="6651" max="6651" width="0" style="3" hidden="1" customWidth="1"/>
    <col min="6652" max="6652" width="41.42578125" style="3" customWidth="1"/>
    <col min="6653" max="6653" width="19.140625" style="3" customWidth="1"/>
    <col min="6654" max="6654" width="6.28515625" style="3" customWidth="1"/>
    <col min="6655" max="6655" width="6" style="3" customWidth="1"/>
    <col min="6656" max="6656" width="7.42578125" style="3" customWidth="1"/>
    <col min="6657" max="6657" width="5.7109375" style="3" customWidth="1"/>
    <col min="6658" max="6658" width="5.28515625" style="3" customWidth="1"/>
    <col min="6659" max="6659" width="10" style="3" customWidth="1"/>
    <col min="6660" max="6660" width="6.28515625" style="3" customWidth="1"/>
    <col min="6661" max="6661" width="8.28515625" style="3" customWidth="1"/>
    <col min="6662" max="6662" width="12.42578125" style="3" customWidth="1"/>
    <col min="6663" max="6663" width="5.28515625" style="3" customWidth="1"/>
    <col min="6664" max="6664" width="10.85546875" style="3" customWidth="1"/>
    <col min="6665" max="6665" width="4.85546875" style="3" customWidth="1"/>
    <col min="6666" max="6666" width="5.140625" style="3" customWidth="1"/>
    <col min="6667" max="6667" width="10.5703125" style="3" customWidth="1"/>
    <col min="6668" max="6668" width="6.28515625" style="3" customWidth="1"/>
    <col min="6669" max="6669" width="6.5703125" style="3" customWidth="1"/>
    <col min="6670" max="6670" width="7.42578125" style="3" customWidth="1"/>
    <col min="6671" max="6671" width="6.85546875" style="3" customWidth="1"/>
    <col min="6672" max="6672" width="10.7109375" style="3" customWidth="1"/>
    <col min="6673" max="6673" width="5.140625" style="3" customWidth="1"/>
    <col min="6674" max="6905" width="11.42578125" style="3"/>
    <col min="6906" max="6906" width="23.7109375" style="3" customWidth="1"/>
    <col min="6907" max="6907" width="0" style="3" hidden="1" customWidth="1"/>
    <col min="6908" max="6908" width="41.42578125" style="3" customWidth="1"/>
    <col min="6909" max="6909" width="19.140625" style="3" customWidth="1"/>
    <col min="6910" max="6910" width="6.28515625" style="3" customWidth="1"/>
    <col min="6911" max="6911" width="6" style="3" customWidth="1"/>
    <col min="6912" max="6912" width="7.42578125" style="3" customWidth="1"/>
    <col min="6913" max="6913" width="5.7109375" style="3" customWidth="1"/>
    <col min="6914" max="6914" width="5.28515625" style="3" customWidth="1"/>
    <col min="6915" max="6915" width="10" style="3" customWidth="1"/>
    <col min="6916" max="6916" width="6.28515625" style="3" customWidth="1"/>
    <col min="6917" max="6917" width="8.28515625" style="3" customWidth="1"/>
    <col min="6918" max="6918" width="12.42578125" style="3" customWidth="1"/>
    <col min="6919" max="6919" width="5.28515625" style="3" customWidth="1"/>
    <col min="6920" max="6920" width="10.85546875" style="3" customWidth="1"/>
    <col min="6921" max="6921" width="4.85546875" style="3" customWidth="1"/>
    <col min="6922" max="6922" width="5.140625" style="3" customWidth="1"/>
    <col min="6923" max="6923" width="10.5703125" style="3" customWidth="1"/>
    <col min="6924" max="6924" width="6.28515625" style="3" customWidth="1"/>
    <col min="6925" max="6925" width="6.5703125" style="3" customWidth="1"/>
    <col min="6926" max="6926" width="7.42578125" style="3" customWidth="1"/>
    <col min="6927" max="6927" width="6.85546875" style="3" customWidth="1"/>
    <col min="6928" max="6928" width="10.7109375" style="3" customWidth="1"/>
    <col min="6929" max="6929" width="5.140625" style="3" customWidth="1"/>
    <col min="6930" max="7161" width="11.42578125" style="3"/>
    <col min="7162" max="7162" width="23.7109375" style="3" customWidth="1"/>
    <col min="7163" max="7163" width="0" style="3" hidden="1" customWidth="1"/>
    <col min="7164" max="7164" width="41.42578125" style="3" customWidth="1"/>
    <col min="7165" max="7165" width="19.140625" style="3" customWidth="1"/>
    <col min="7166" max="7166" width="6.28515625" style="3" customWidth="1"/>
    <col min="7167" max="7167" width="6" style="3" customWidth="1"/>
    <col min="7168" max="7168" width="7.42578125" style="3" customWidth="1"/>
    <col min="7169" max="7169" width="5.7109375" style="3" customWidth="1"/>
    <col min="7170" max="7170" width="5.28515625" style="3" customWidth="1"/>
    <col min="7171" max="7171" width="10" style="3" customWidth="1"/>
    <col min="7172" max="7172" width="6.28515625" style="3" customWidth="1"/>
    <col min="7173" max="7173" width="8.28515625" style="3" customWidth="1"/>
    <col min="7174" max="7174" width="12.42578125" style="3" customWidth="1"/>
    <col min="7175" max="7175" width="5.28515625" style="3" customWidth="1"/>
    <col min="7176" max="7176" width="10.85546875" style="3" customWidth="1"/>
    <col min="7177" max="7177" width="4.85546875" style="3" customWidth="1"/>
    <col min="7178" max="7178" width="5.140625" style="3" customWidth="1"/>
    <col min="7179" max="7179" width="10.5703125" style="3" customWidth="1"/>
    <col min="7180" max="7180" width="6.28515625" style="3" customWidth="1"/>
    <col min="7181" max="7181" width="6.5703125" style="3" customWidth="1"/>
    <col min="7182" max="7182" width="7.42578125" style="3" customWidth="1"/>
    <col min="7183" max="7183" width="6.85546875" style="3" customWidth="1"/>
    <col min="7184" max="7184" width="10.7109375" style="3" customWidth="1"/>
    <col min="7185" max="7185" width="5.140625" style="3" customWidth="1"/>
    <col min="7186" max="7417" width="11.42578125" style="3"/>
    <col min="7418" max="7418" width="23.7109375" style="3" customWidth="1"/>
    <col min="7419" max="7419" width="0" style="3" hidden="1" customWidth="1"/>
    <col min="7420" max="7420" width="41.42578125" style="3" customWidth="1"/>
    <col min="7421" max="7421" width="19.140625" style="3" customWidth="1"/>
    <col min="7422" max="7422" width="6.28515625" style="3" customWidth="1"/>
    <col min="7423" max="7423" width="6" style="3" customWidth="1"/>
    <col min="7424" max="7424" width="7.42578125" style="3" customWidth="1"/>
    <col min="7425" max="7425" width="5.7109375" style="3" customWidth="1"/>
    <col min="7426" max="7426" width="5.28515625" style="3" customWidth="1"/>
    <col min="7427" max="7427" width="10" style="3" customWidth="1"/>
    <col min="7428" max="7428" width="6.28515625" style="3" customWidth="1"/>
    <col min="7429" max="7429" width="8.28515625" style="3" customWidth="1"/>
    <col min="7430" max="7430" width="12.42578125" style="3" customWidth="1"/>
    <col min="7431" max="7431" width="5.28515625" style="3" customWidth="1"/>
    <col min="7432" max="7432" width="10.85546875" style="3" customWidth="1"/>
    <col min="7433" max="7433" width="4.85546875" style="3" customWidth="1"/>
    <col min="7434" max="7434" width="5.140625" style="3" customWidth="1"/>
    <col min="7435" max="7435" width="10.5703125" style="3" customWidth="1"/>
    <col min="7436" max="7436" width="6.28515625" style="3" customWidth="1"/>
    <col min="7437" max="7437" width="6.5703125" style="3" customWidth="1"/>
    <col min="7438" max="7438" width="7.42578125" style="3" customWidth="1"/>
    <col min="7439" max="7439" width="6.85546875" style="3" customWidth="1"/>
    <col min="7440" max="7440" width="10.7109375" style="3" customWidth="1"/>
    <col min="7441" max="7441" width="5.140625" style="3" customWidth="1"/>
    <col min="7442" max="7673" width="11.42578125" style="3"/>
    <col min="7674" max="7674" width="23.7109375" style="3" customWidth="1"/>
    <col min="7675" max="7675" width="0" style="3" hidden="1" customWidth="1"/>
    <col min="7676" max="7676" width="41.42578125" style="3" customWidth="1"/>
    <col min="7677" max="7677" width="19.140625" style="3" customWidth="1"/>
    <col min="7678" max="7678" width="6.28515625" style="3" customWidth="1"/>
    <col min="7679" max="7679" width="6" style="3" customWidth="1"/>
    <col min="7680" max="7680" width="7.42578125" style="3" customWidth="1"/>
    <col min="7681" max="7681" width="5.7109375" style="3" customWidth="1"/>
    <col min="7682" max="7682" width="5.28515625" style="3" customWidth="1"/>
    <col min="7683" max="7683" width="10" style="3" customWidth="1"/>
    <col min="7684" max="7684" width="6.28515625" style="3" customWidth="1"/>
    <col min="7685" max="7685" width="8.28515625" style="3" customWidth="1"/>
    <col min="7686" max="7686" width="12.42578125" style="3" customWidth="1"/>
    <col min="7687" max="7687" width="5.28515625" style="3" customWidth="1"/>
    <col min="7688" max="7688" width="10.85546875" style="3" customWidth="1"/>
    <col min="7689" max="7689" width="4.85546875" style="3" customWidth="1"/>
    <col min="7690" max="7690" width="5.140625" style="3" customWidth="1"/>
    <col min="7691" max="7691" width="10.5703125" style="3" customWidth="1"/>
    <col min="7692" max="7692" width="6.28515625" style="3" customWidth="1"/>
    <col min="7693" max="7693" width="6.5703125" style="3" customWidth="1"/>
    <col min="7694" max="7694" width="7.42578125" style="3" customWidth="1"/>
    <col min="7695" max="7695" width="6.85546875" style="3" customWidth="1"/>
    <col min="7696" max="7696" width="10.7109375" style="3" customWidth="1"/>
    <col min="7697" max="7697" width="5.140625" style="3" customWidth="1"/>
    <col min="7698" max="7929" width="11.42578125" style="3"/>
    <col min="7930" max="7930" width="23.7109375" style="3" customWidth="1"/>
    <col min="7931" max="7931" width="0" style="3" hidden="1" customWidth="1"/>
    <col min="7932" max="7932" width="41.42578125" style="3" customWidth="1"/>
    <col min="7933" max="7933" width="19.140625" style="3" customWidth="1"/>
    <col min="7934" max="7934" width="6.28515625" style="3" customWidth="1"/>
    <col min="7935" max="7935" width="6" style="3" customWidth="1"/>
    <col min="7936" max="7936" width="7.42578125" style="3" customWidth="1"/>
    <col min="7937" max="7937" width="5.7109375" style="3" customWidth="1"/>
    <col min="7938" max="7938" width="5.28515625" style="3" customWidth="1"/>
    <col min="7939" max="7939" width="10" style="3" customWidth="1"/>
    <col min="7940" max="7940" width="6.28515625" style="3" customWidth="1"/>
    <col min="7941" max="7941" width="8.28515625" style="3" customWidth="1"/>
    <col min="7942" max="7942" width="12.42578125" style="3" customWidth="1"/>
    <col min="7943" max="7943" width="5.28515625" style="3" customWidth="1"/>
    <col min="7944" max="7944" width="10.85546875" style="3" customWidth="1"/>
    <col min="7945" max="7945" width="4.85546875" style="3" customWidth="1"/>
    <col min="7946" max="7946" width="5.140625" style="3" customWidth="1"/>
    <col min="7947" max="7947" width="10.5703125" style="3" customWidth="1"/>
    <col min="7948" max="7948" width="6.28515625" style="3" customWidth="1"/>
    <col min="7949" max="7949" width="6.5703125" style="3" customWidth="1"/>
    <col min="7950" max="7950" width="7.42578125" style="3" customWidth="1"/>
    <col min="7951" max="7951" width="6.85546875" style="3" customWidth="1"/>
    <col min="7952" max="7952" width="10.7109375" style="3" customWidth="1"/>
    <col min="7953" max="7953" width="5.140625" style="3" customWidth="1"/>
    <col min="7954" max="8185" width="11.42578125" style="3"/>
    <col min="8186" max="8186" width="23.7109375" style="3" customWidth="1"/>
    <col min="8187" max="8187" width="0" style="3" hidden="1" customWidth="1"/>
    <col min="8188" max="8188" width="41.42578125" style="3" customWidth="1"/>
    <col min="8189" max="8189" width="19.140625" style="3" customWidth="1"/>
    <col min="8190" max="8190" width="6.28515625" style="3" customWidth="1"/>
    <col min="8191" max="8191" width="6" style="3" customWidth="1"/>
    <col min="8192" max="8192" width="7.42578125" style="3" customWidth="1"/>
    <col min="8193" max="8193" width="5.7109375" style="3" customWidth="1"/>
    <col min="8194" max="8194" width="5.28515625" style="3" customWidth="1"/>
    <col min="8195" max="8195" width="10" style="3" customWidth="1"/>
    <col min="8196" max="8196" width="6.28515625" style="3" customWidth="1"/>
    <col min="8197" max="8197" width="8.28515625" style="3" customWidth="1"/>
    <col min="8198" max="8198" width="12.42578125" style="3" customWidth="1"/>
    <col min="8199" max="8199" width="5.28515625" style="3" customWidth="1"/>
    <col min="8200" max="8200" width="10.85546875" style="3" customWidth="1"/>
    <col min="8201" max="8201" width="4.85546875" style="3" customWidth="1"/>
    <col min="8202" max="8202" width="5.140625" style="3" customWidth="1"/>
    <col min="8203" max="8203" width="10.5703125" style="3" customWidth="1"/>
    <col min="8204" max="8204" width="6.28515625" style="3" customWidth="1"/>
    <col min="8205" max="8205" width="6.5703125" style="3" customWidth="1"/>
    <col min="8206" max="8206" width="7.42578125" style="3" customWidth="1"/>
    <col min="8207" max="8207" width="6.85546875" style="3" customWidth="1"/>
    <col min="8208" max="8208" width="10.7109375" style="3" customWidth="1"/>
    <col min="8209" max="8209" width="5.140625" style="3" customWidth="1"/>
    <col min="8210" max="8441" width="11.42578125" style="3"/>
    <col min="8442" max="8442" width="23.7109375" style="3" customWidth="1"/>
    <col min="8443" max="8443" width="0" style="3" hidden="1" customWidth="1"/>
    <col min="8444" max="8444" width="41.42578125" style="3" customWidth="1"/>
    <col min="8445" max="8445" width="19.140625" style="3" customWidth="1"/>
    <col min="8446" max="8446" width="6.28515625" style="3" customWidth="1"/>
    <col min="8447" max="8447" width="6" style="3" customWidth="1"/>
    <col min="8448" max="8448" width="7.42578125" style="3" customWidth="1"/>
    <col min="8449" max="8449" width="5.7109375" style="3" customWidth="1"/>
    <col min="8450" max="8450" width="5.28515625" style="3" customWidth="1"/>
    <col min="8451" max="8451" width="10" style="3" customWidth="1"/>
    <col min="8452" max="8452" width="6.28515625" style="3" customWidth="1"/>
    <col min="8453" max="8453" width="8.28515625" style="3" customWidth="1"/>
    <col min="8454" max="8454" width="12.42578125" style="3" customWidth="1"/>
    <col min="8455" max="8455" width="5.28515625" style="3" customWidth="1"/>
    <col min="8456" max="8456" width="10.85546875" style="3" customWidth="1"/>
    <col min="8457" max="8457" width="4.85546875" style="3" customWidth="1"/>
    <col min="8458" max="8458" width="5.140625" style="3" customWidth="1"/>
    <col min="8459" max="8459" width="10.5703125" style="3" customWidth="1"/>
    <col min="8460" max="8460" width="6.28515625" style="3" customWidth="1"/>
    <col min="8461" max="8461" width="6.5703125" style="3" customWidth="1"/>
    <col min="8462" max="8462" width="7.42578125" style="3" customWidth="1"/>
    <col min="8463" max="8463" width="6.85546875" style="3" customWidth="1"/>
    <col min="8464" max="8464" width="10.7109375" style="3" customWidth="1"/>
    <col min="8465" max="8465" width="5.140625" style="3" customWidth="1"/>
    <col min="8466" max="8697" width="11.42578125" style="3"/>
    <col min="8698" max="8698" width="23.7109375" style="3" customWidth="1"/>
    <col min="8699" max="8699" width="0" style="3" hidden="1" customWidth="1"/>
    <col min="8700" max="8700" width="41.42578125" style="3" customWidth="1"/>
    <col min="8701" max="8701" width="19.140625" style="3" customWidth="1"/>
    <col min="8702" max="8702" width="6.28515625" style="3" customWidth="1"/>
    <col min="8703" max="8703" width="6" style="3" customWidth="1"/>
    <col min="8704" max="8704" width="7.42578125" style="3" customWidth="1"/>
    <col min="8705" max="8705" width="5.7109375" style="3" customWidth="1"/>
    <col min="8706" max="8706" width="5.28515625" style="3" customWidth="1"/>
    <col min="8707" max="8707" width="10" style="3" customWidth="1"/>
    <col min="8708" max="8708" width="6.28515625" style="3" customWidth="1"/>
    <col min="8709" max="8709" width="8.28515625" style="3" customWidth="1"/>
    <col min="8710" max="8710" width="12.42578125" style="3" customWidth="1"/>
    <col min="8711" max="8711" width="5.28515625" style="3" customWidth="1"/>
    <col min="8712" max="8712" width="10.85546875" style="3" customWidth="1"/>
    <col min="8713" max="8713" width="4.85546875" style="3" customWidth="1"/>
    <col min="8714" max="8714" width="5.140625" style="3" customWidth="1"/>
    <col min="8715" max="8715" width="10.5703125" style="3" customWidth="1"/>
    <col min="8716" max="8716" width="6.28515625" style="3" customWidth="1"/>
    <col min="8717" max="8717" width="6.5703125" style="3" customWidth="1"/>
    <col min="8718" max="8718" width="7.42578125" style="3" customWidth="1"/>
    <col min="8719" max="8719" width="6.85546875" style="3" customWidth="1"/>
    <col min="8720" max="8720" width="10.7109375" style="3" customWidth="1"/>
    <col min="8721" max="8721" width="5.140625" style="3" customWidth="1"/>
    <col min="8722" max="8953" width="11.42578125" style="3"/>
    <col min="8954" max="8954" width="23.7109375" style="3" customWidth="1"/>
    <col min="8955" max="8955" width="0" style="3" hidden="1" customWidth="1"/>
    <col min="8956" max="8956" width="41.42578125" style="3" customWidth="1"/>
    <col min="8957" max="8957" width="19.140625" style="3" customWidth="1"/>
    <col min="8958" max="8958" width="6.28515625" style="3" customWidth="1"/>
    <col min="8959" max="8959" width="6" style="3" customWidth="1"/>
    <col min="8960" max="8960" width="7.42578125" style="3" customWidth="1"/>
    <col min="8961" max="8961" width="5.7109375" style="3" customWidth="1"/>
    <col min="8962" max="8962" width="5.28515625" style="3" customWidth="1"/>
    <col min="8963" max="8963" width="10" style="3" customWidth="1"/>
    <col min="8964" max="8964" width="6.28515625" style="3" customWidth="1"/>
    <col min="8965" max="8965" width="8.28515625" style="3" customWidth="1"/>
    <col min="8966" max="8966" width="12.42578125" style="3" customWidth="1"/>
    <col min="8967" max="8967" width="5.28515625" style="3" customWidth="1"/>
    <col min="8968" max="8968" width="10.85546875" style="3" customWidth="1"/>
    <col min="8969" max="8969" width="4.85546875" style="3" customWidth="1"/>
    <col min="8970" max="8970" width="5.140625" style="3" customWidth="1"/>
    <col min="8971" max="8971" width="10.5703125" style="3" customWidth="1"/>
    <col min="8972" max="8972" width="6.28515625" style="3" customWidth="1"/>
    <col min="8973" max="8973" width="6.5703125" style="3" customWidth="1"/>
    <col min="8974" max="8974" width="7.42578125" style="3" customWidth="1"/>
    <col min="8975" max="8975" width="6.85546875" style="3" customWidth="1"/>
    <col min="8976" max="8976" width="10.7109375" style="3" customWidth="1"/>
    <col min="8977" max="8977" width="5.140625" style="3" customWidth="1"/>
    <col min="8978" max="9209" width="11.42578125" style="3"/>
    <col min="9210" max="9210" width="23.7109375" style="3" customWidth="1"/>
    <col min="9211" max="9211" width="0" style="3" hidden="1" customWidth="1"/>
    <col min="9212" max="9212" width="41.42578125" style="3" customWidth="1"/>
    <col min="9213" max="9213" width="19.140625" style="3" customWidth="1"/>
    <col min="9214" max="9214" width="6.28515625" style="3" customWidth="1"/>
    <col min="9215" max="9215" width="6" style="3" customWidth="1"/>
    <col min="9216" max="9216" width="7.42578125" style="3" customWidth="1"/>
    <col min="9217" max="9217" width="5.7109375" style="3" customWidth="1"/>
    <col min="9218" max="9218" width="5.28515625" style="3" customWidth="1"/>
    <col min="9219" max="9219" width="10" style="3" customWidth="1"/>
    <col min="9220" max="9220" width="6.28515625" style="3" customWidth="1"/>
    <col min="9221" max="9221" width="8.28515625" style="3" customWidth="1"/>
    <col min="9222" max="9222" width="12.42578125" style="3" customWidth="1"/>
    <col min="9223" max="9223" width="5.28515625" style="3" customWidth="1"/>
    <col min="9224" max="9224" width="10.85546875" style="3" customWidth="1"/>
    <col min="9225" max="9225" width="4.85546875" style="3" customWidth="1"/>
    <col min="9226" max="9226" width="5.140625" style="3" customWidth="1"/>
    <col min="9227" max="9227" width="10.5703125" style="3" customWidth="1"/>
    <col min="9228" max="9228" width="6.28515625" style="3" customWidth="1"/>
    <col min="9229" max="9229" width="6.5703125" style="3" customWidth="1"/>
    <col min="9230" max="9230" width="7.42578125" style="3" customWidth="1"/>
    <col min="9231" max="9231" width="6.85546875" style="3" customWidth="1"/>
    <col min="9232" max="9232" width="10.7109375" style="3" customWidth="1"/>
    <col min="9233" max="9233" width="5.140625" style="3" customWidth="1"/>
    <col min="9234" max="9465" width="11.42578125" style="3"/>
    <col min="9466" max="9466" width="23.7109375" style="3" customWidth="1"/>
    <col min="9467" max="9467" width="0" style="3" hidden="1" customWidth="1"/>
    <col min="9468" max="9468" width="41.42578125" style="3" customWidth="1"/>
    <col min="9469" max="9469" width="19.140625" style="3" customWidth="1"/>
    <col min="9470" max="9470" width="6.28515625" style="3" customWidth="1"/>
    <col min="9471" max="9471" width="6" style="3" customWidth="1"/>
    <col min="9472" max="9472" width="7.42578125" style="3" customWidth="1"/>
    <col min="9473" max="9473" width="5.7109375" style="3" customWidth="1"/>
    <col min="9474" max="9474" width="5.28515625" style="3" customWidth="1"/>
    <col min="9475" max="9475" width="10" style="3" customWidth="1"/>
    <col min="9476" max="9476" width="6.28515625" style="3" customWidth="1"/>
    <col min="9477" max="9477" width="8.28515625" style="3" customWidth="1"/>
    <col min="9478" max="9478" width="12.42578125" style="3" customWidth="1"/>
    <col min="9479" max="9479" width="5.28515625" style="3" customWidth="1"/>
    <col min="9480" max="9480" width="10.85546875" style="3" customWidth="1"/>
    <col min="9481" max="9481" width="4.85546875" style="3" customWidth="1"/>
    <col min="9482" max="9482" width="5.140625" style="3" customWidth="1"/>
    <col min="9483" max="9483" width="10.5703125" style="3" customWidth="1"/>
    <col min="9484" max="9484" width="6.28515625" style="3" customWidth="1"/>
    <col min="9485" max="9485" width="6.5703125" style="3" customWidth="1"/>
    <col min="9486" max="9486" width="7.42578125" style="3" customWidth="1"/>
    <col min="9487" max="9487" width="6.85546875" style="3" customWidth="1"/>
    <col min="9488" max="9488" width="10.7109375" style="3" customWidth="1"/>
    <col min="9489" max="9489" width="5.140625" style="3" customWidth="1"/>
    <col min="9490" max="9721" width="11.42578125" style="3"/>
    <col min="9722" max="9722" width="23.7109375" style="3" customWidth="1"/>
    <col min="9723" max="9723" width="0" style="3" hidden="1" customWidth="1"/>
    <col min="9724" max="9724" width="41.42578125" style="3" customWidth="1"/>
    <col min="9725" max="9725" width="19.140625" style="3" customWidth="1"/>
    <col min="9726" max="9726" width="6.28515625" style="3" customWidth="1"/>
    <col min="9727" max="9727" width="6" style="3" customWidth="1"/>
    <col min="9728" max="9728" width="7.42578125" style="3" customWidth="1"/>
    <col min="9729" max="9729" width="5.7109375" style="3" customWidth="1"/>
    <col min="9730" max="9730" width="5.28515625" style="3" customWidth="1"/>
    <col min="9731" max="9731" width="10" style="3" customWidth="1"/>
    <col min="9732" max="9732" width="6.28515625" style="3" customWidth="1"/>
    <col min="9733" max="9733" width="8.28515625" style="3" customWidth="1"/>
    <col min="9734" max="9734" width="12.42578125" style="3" customWidth="1"/>
    <col min="9735" max="9735" width="5.28515625" style="3" customWidth="1"/>
    <col min="9736" max="9736" width="10.85546875" style="3" customWidth="1"/>
    <col min="9737" max="9737" width="4.85546875" style="3" customWidth="1"/>
    <col min="9738" max="9738" width="5.140625" style="3" customWidth="1"/>
    <col min="9739" max="9739" width="10.5703125" style="3" customWidth="1"/>
    <col min="9740" max="9740" width="6.28515625" style="3" customWidth="1"/>
    <col min="9741" max="9741" width="6.5703125" style="3" customWidth="1"/>
    <col min="9742" max="9742" width="7.42578125" style="3" customWidth="1"/>
    <col min="9743" max="9743" width="6.85546875" style="3" customWidth="1"/>
    <col min="9744" max="9744" width="10.7109375" style="3" customWidth="1"/>
    <col min="9745" max="9745" width="5.140625" style="3" customWidth="1"/>
    <col min="9746" max="9977" width="11.42578125" style="3"/>
    <col min="9978" max="9978" width="23.7109375" style="3" customWidth="1"/>
    <col min="9979" max="9979" width="0" style="3" hidden="1" customWidth="1"/>
    <col min="9980" max="9980" width="41.42578125" style="3" customWidth="1"/>
    <col min="9981" max="9981" width="19.140625" style="3" customWidth="1"/>
    <col min="9982" max="9982" width="6.28515625" style="3" customWidth="1"/>
    <col min="9983" max="9983" width="6" style="3" customWidth="1"/>
    <col min="9984" max="9984" width="7.42578125" style="3" customWidth="1"/>
    <col min="9985" max="9985" width="5.7109375" style="3" customWidth="1"/>
    <col min="9986" max="9986" width="5.28515625" style="3" customWidth="1"/>
    <col min="9987" max="9987" width="10" style="3" customWidth="1"/>
    <col min="9988" max="9988" width="6.28515625" style="3" customWidth="1"/>
    <col min="9989" max="9989" width="8.28515625" style="3" customWidth="1"/>
    <col min="9990" max="9990" width="12.42578125" style="3" customWidth="1"/>
    <col min="9991" max="9991" width="5.28515625" style="3" customWidth="1"/>
    <col min="9992" max="9992" width="10.85546875" style="3" customWidth="1"/>
    <col min="9993" max="9993" width="4.85546875" style="3" customWidth="1"/>
    <col min="9994" max="9994" width="5.140625" style="3" customWidth="1"/>
    <col min="9995" max="9995" width="10.5703125" style="3" customWidth="1"/>
    <col min="9996" max="9996" width="6.28515625" style="3" customWidth="1"/>
    <col min="9997" max="9997" width="6.5703125" style="3" customWidth="1"/>
    <col min="9998" max="9998" width="7.42578125" style="3" customWidth="1"/>
    <col min="9999" max="9999" width="6.85546875" style="3" customWidth="1"/>
    <col min="10000" max="10000" width="10.7109375" style="3" customWidth="1"/>
    <col min="10001" max="10001" width="5.140625" style="3" customWidth="1"/>
    <col min="10002" max="10233" width="11.42578125" style="3"/>
    <col min="10234" max="10234" width="23.7109375" style="3" customWidth="1"/>
    <col min="10235" max="10235" width="0" style="3" hidden="1" customWidth="1"/>
    <col min="10236" max="10236" width="41.42578125" style="3" customWidth="1"/>
    <col min="10237" max="10237" width="19.140625" style="3" customWidth="1"/>
    <col min="10238" max="10238" width="6.28515625" style="3" customWidth="1"/>
    <col min="10239" max="10239" width="6" style="3" customWidth="1"/>
    <col min="10240" max="10240" width="7.42578125" style="3" customWidth="1"/>
    <col min="10241" max="10241" width="5.7109375" style="3" customWidth="1"/>
    <col min="10242" max="10242" width="5.28515625" style="3" customWidth="1"/>
    <col min="10243" max="10243" width="10" style="3" customWidth="1"/>
    <col min="10244" max="10244" width="6.28515625" style="3" customWidth="1"/>
    <col min="10245" max="10245" width="8.28515625" style="3" customWidth="1"/>
    <col min="10246" max="10246" width="12.42578125" style="3" customWidth="1"/>
    <col min="10247" max="10247" width="5.28515625" style="3" customWidth="1"/>
    <col min="10248" max="10248" width="10.85546875" style="3" customWidth="1"/>
    <col min="10249" max="10249" width="4.85546875" style="3" customWidth="1"/>
    <col min="10250" max="10250" width="5.140625" style="3" customWidth="1"/>
    <col min="10251" max="10251" width="10.5703125" style="3" customWidth="1"/>
    <col min="10252" max="10252" width="6.28515625" style="3" customWidth="1"/>
    <col min="10253" max="10253" width="6.5703125" style="3" customWidth="1"/>
    <col min="10254" max="10254" width="7.42578125" style="3" customWidth="1"/>
    <col min="10255" max="10255" width="6.85546875" style="3" customWidth="1"/>
    <col min="10256" max="10256" width="10.7109375" style="3" customWidth="1"/>
    <col min="10257" max="10257" width="5.140625" style="3" customWidth="1"/>
    <col min="10258" max="10489" width="11.42578125" style="3"/>
    <col min="10490" max="10490" width="23.7109375" style="3" customWidth="1"/>
    <col min="10491" max="10491" width="0" style="3" hidden="1" customWidth="1"/>
    <col min="10492" max="10492" width="41.42578125" style="3" customWidth="1"/>
    <col min="10493" max="10493" width="19.140625" style="3" customWidth="1"/>
    <col min="10494" max="10494" width="6.28515625" style="3" customWidth="1"/>
    <col min="10495" max="10495" width="6" style="3" customWidth="1"/>
    <col min="10496" max="10496" width="7.42578125" style="3" customWidth="1"/>
    <col min="10497" max="10497" width="5.7109375" style="3" customWidth="1"/>
    <col min="10498" max="10498" width="5.28515625" style="3" customWidth="1"/>
    <col min="10499" max="10499" width="10" style="3" customWidth="1"/>
    <col min="10500" max="10500" width="6.28515625" style="3" customWidth="1"/>
    <col min="10501" max="10501" width="8.28515625" style="3" customWidth="1"/>
    <col min="10502" max="10502" width="12.42578125" style="3" customWidth="1"/>
    <col min="10503" max="10503" width="5.28515625" style="3" customWidth="1"/>
    <col min="10504" max="10504" width="10.85546875" style="3" customWidth="1"/>
    <col min="10505" max="10505" width="4.85546875" style="3" customWidth="1"/>
    <col min="10506" max="10506" width="5.140625" style="3" customWidth="1"/>
    <col min="10507" max="10507" width="10.5703125" style="3" customWidth="1"/>
    <col min="10508" max="10508" width="6.28515625" style="3" customWidth="1"/>
    <col min="10509" max="10509" width="6.5703125" style="3" customWidth="1"/>
    <col min="10510" max="10510" width="7.42578125" style="3" customWidth="1"/>
    <col min="10511" max="10511" width="6.85546875" style="3" customWidth="1"/>
    <col min="10512" max="10512" width="10.7109375" style="3" customWidth="1"/>
    <col min="10513" max="10513" width="5.140625" style="3" customWidth="1"/>
    <col min="10514" max="10745" width="11.42578125" style="3"/>
    <col min="10746" max="10746" width="23.7109375" style="3" customWidth="1"/>
    <col min="10747" max="10747" width="0" style="3" hidden="1" customWidth="1"/>
    <col min="10748" max="10748" width="41.42578125" style="3" customWidth="1"/>
    <col min="10749" max="10749" width="19.140625" style="3" customWidth="1"/>
    <col min="10750" max="10750" width="6.28515625" style="3" customWidth="1"/>
    <col min="10751" max="10751" width="6" style="3" customWidth="1"/>
    <col min="10752" max="10752" width="7.42578125" style="3" customWidth="1"/>
    <col min="10753" max="10753" width="5.7109375" style="3" customWidth="1"/>
    <col min="10754" max="10754" width="5.28515625" style="3" customWidth="1"/>
    <col min="10755" max="10755" width="10" style="3" customWidth="1"/>
    <col min="10756" max="10756" width="6.28515625" style="3" customWidth="1"/>
    <col min="10757" max="10757" width="8.28515625" style="3" customWidth="1"/>
    <col min="10758" max="10758" width="12.42578125" style="3" customWidth="1"/>
    <col min="10759" max="10759" width="5.28515625" style="3" customWidth="1"/>
    <col min="10760" max="10760" width="10.85546875" style="3" customWidth="1"/>
    <col min="10761" max="10761" width="4.85546875" style="3" customWidth="1"/>
    <col min="10762" max="10762" width="5.140625" style="3" customWidth="1"/>
    <col min="10763" max="10763" width="10.5703125" style="3" customWidth="1"/>
    <col min="10764" max="10764" width="6.28515625" style="3" customWidth="1"/>
    <col min="10765" max="10765" width="6.5703125" style="3" customWidth="1"/>
    <col min="10766" max="10766" width="7.42578125" style="3" customWidth="1"/>
    <col min="10767" max="10767" width="6.85546875" style="3" customWidth="1"/>
    <col min="10768" max="10768" width="10.7109375" style="3" customWidth="1"/>
    <col min="10769" max="10769" width="5.140625" style="3" customWidth="1"/>
    <col min="10770" max="11001" width="11.42578125" style="3"/>
    <col min="11002" max="11002" width="23.7109375" style="3" customWidth="1"/>
    <col min="11003" max="11003" width="0" style="3" hidden="1" customWidth="1"/>
    <col min="11004" max="11004" width="41.42578125" style="3" customWidth="1"/>
    <col min="11005" max="11005" width="19.140625" style="3" customWidth="1"/>
    <col min="11006" max="11006" width="6.28515625" style="3" customWidth="1"/>
    <col min="11007" max="11007" width="6" style="3" customWidth="1"/>
    <col min="11008" max="11008" width="7.42578125" style="3" customWidth="1"/>
    <col min="11009" max="11009" width="5.7109375" style="3" customWidth="1"/>
    <col min="11010" max="11010" width="5.28515625" style="3" customWidth="1"/>
    <col min="11011" max="11011" width="10" style="3" customWidth="1"/>
    <col min="11012" max="11012" width="6.28515625" style="3" customWidth="1"/>
    <col min="11013" max="11013" width="8.28515625" style="3" customWidth="1"/>
    <col min="11014" max="11014" width="12.42578125" style="3" customWidth="1"/>
    <col min="11015" max="11015" width="5.28515625" style="3" customWidth="1"/>
    <col min="11016" max="11016" width="10.85546875" style="3" customWidth="1"/>
    <col min="11017" max="11017" width="4.85546875" style="3" customWidth="1"/>
    <col min="11018" max="11018" width="5.140625" style="3" customWidth="1"/>
    <col min="11019" max="11019" width="10.5703125" style="3" customWidth="1"/>
    <col min="11020" max="11020" width="6.28515625" style="3" customWidth="1"/>
    <col min="11021" max="11021" width="6.5703125" style="3" customWidth="1"/>
    <col min="11022" max="11022" width="7.42578125" style="3" customWidth="1"/>
    <col min="11023" max="11023" width="6.85546875" style="3" customWidth="1"/>
    <col min="11024" max="11024" width="10.7109375" style="3" customWidth="1"/>
    <col min="11025" max="11025" width="5.140625" style="3" customWidth="1"/>
    <col min="11026" max="11257" width="11.42578125" style="3"/>
    <col min="11258" max="11258" width="23.7109375" style="3" customWidth="1"/>
    <col min="11259" max="11259" width="0" style="3" hidden="1" customWidth="1"/>
    <col min="11260" max="11260" width="41.42578125" style="3" customWidth="1"/>
    <col min="11261" max="11261" width="19.140625" style="3" customWidth="1"/>
    <col min="11262" max="11262" width="6.28515625" style="3" customWidth="1"/>
    <col min="11263" max="11263" width="6" style="3" customWidth="1"/>
    <col min="11264" max="11264" width="7.42578125" style="3" customWidth="1"/>
    <col min="11265" max="11265" width="5.7109375" style="3" customWidth="1"/>
    <col min="11266" max="11266" width="5.28515625" style="3" customWidth="1"/>
    <col min="11267" max="11267" width="10" style="3" customWidth="1"/>
    <col min="11268" max="11268" width="6.28515625" style="3" customWidth="1"/>
    <col min="11269" max="11269" width="8.28515625" style="3" customWidth="1"/>
    <col min="11270" max="11270" width="12.42578125" style="3" customWidth="1"/>
    <col min="11271" max="11271" width="5.28515625" style="3" customWidth="1"/>
    <col min="11272" max="11272" width="10.85546875" style="3" customWidth="1"/>
    <col min="11273" max="11273" width="4.85546875" style="3" customWidth="1"/>
    <col min="11274" max="11274" width="5.140625" style="3" customWidth="1"/>
    <col min="11275" max="11275" width="10.5703125" style="3" customWidth="1"/>
    <col min="11276" max="11276" width="6.28515625" style="3" customWidth="1"/>
    <col min="11277" max="11277" width="6.5703125" style="3" customWidth="1"/>
    <col min="11278" max="11278" width="7.42578125" style="3" customWidth="1"/>
    <col min="11279" max="11279" width="6.85546875" style="3" customWidth="1"/>
    <col min="11280" max="11280" width="10.7109375" style="3" customWidth="1"/>
    <col min="11281" max="11281" width="5.140625" style="3" customWidth="1"/>
    <col min="11282" max="11513" width="11.42578125" style="3"/>
    <col min="11514" max="11514" width="23.7109375" style="3" customWidth="1"/>
    <col min="11515" max="11515" width="0" style="3" hidden="1" customWidth="1"/>
    <col min="11516" max="11516" width="41.42578125" style="3" customWidth="1"/>
    <col min="11517" max="11517" width="19.140625" style="3" customWidth="1"/>
    <col min="11518" max="11518" width="6.28515625" style="3" customWidth="1"/>
    <col min="11519" max="11519" width="6" style="3" customWidth="1"/>
    <col min="11520" max="11520" width="7.42578125" style="3" customWidth="1"/>
    <col min="11521" max="11521" width="5.7109375" style="3" customWidth="1"/>
    <col min="11522" max="11522" width="5.28515625" style="3" customWidth="1"/>
    <col min="11523" max="11523" width="10" style="3" customWidth="1"/>
    <col min="11524" max="11524" width="6.28515625" style="3" customWidth="1"/>
    <col min="11525" max="11525" width="8.28515625" style="3" customWidth="1"/>
    <col min="11526" max="11526" width="12.42578125" style="3" customWidth="1"/>
    <col min="11527" max="11527" width="5.28515625" style="3" customWidth="1"/>
    <col min="11528" max="11528" width="10.85546875" style="3" customWidth="1"/>
    <col min="11529" max="11529" width="4.85546875" style="3" customWidth="1"/>
    <col min="11530" max="11530" width="5.140625" style="3" customWidth="1"/>
    <col min="11531" max="11531" width="10.5703125" style="3" customWidth="1"/>
    <col min="11532" max="11532" width="6.28515625" style="3" customWidth="1"/>
    <col min="11533" max="11533" width="6.5703125" style="3" customWidth="1"/>
    <col min="11534" max="11534" width="7.42578125" style="3" customWidth="1"/>
    <col min="11535" max="11535" width="6.85546875" style="3" customWidth="1"/>
    <col min="11536" max="11536" width="10.7109375" style="3" customWidth="1"/>
    <col min="11537" max="11537" width="5.140625" style="3" customWidth="1"/>
    <col min="11538" max="11769" width="11.42578125" style="3"/>
    <col min="11770" max="11770" width="23.7109375" style="3" customWidth="1"/>
    <col min="11771" max="11771" width="0" style="3" hidden="1" customWidth="1"/>
    <col min="11772" max="11772" width="41.42578125" style="3" customWidth="1"/>
    <col min="11773" max="11773" width="19.140625" style="3" customWidth="1"/>
    <col min="11774" max="11774" width="6.28515625" style="3" customWidth="1"/>
    <col min="11775" max="11775" width="6" style="3" customWidth="1"/>
    <col min="11776" max="11776" width="7.42578125" style="3" customWidth="1"/>
    <col min="11777" max="11777" width="5.7109375" style="3" customWidth="1"/>
    <col min="11778" max="11778" width="5.28515625" style="3" customWidth="1"/>
    <col min="11779" max="11779" width="10" style="3" customWidth="1"/>
    <col min="11780" max="11780" width="6.28515625" style="3" customWidth="1"/>
    <col min="11781" max="11781" width="8.28515625" style="3" customWidth="1"/>
    <col min="11782" max="11782" width="12.42578125" style="3" customWidth="1"/>
    <col min="11783" max="11783" width="5.28515625" style="3" customWidth="1"/>
    <col min="11784" max="11784" width="10.85546875" style="3" customWidth="1"/>
    <col min="11785" max="11785" width="4.85546875" style="3" customWidth="1"/>
    <col min="11786" max="11786" width="5.140625" style="3" customWidth="1"/>
    <col min="11787" max="11787" width="10.5703125" style="3" customWidth="1"/>
    <col min="11788" max="11788" width="6.28515625" style="3" customWidth="1"/>
    <col min="11789" max="11789" width="6.5703125" style="3" customWidth="1"/>
    <col min="11790" max="11790" width="7.42578125" style="3" customWidth="1"/>
    <col min="11791" max="11791" width="6.85546875" style="3" customWidth="1"/>
    <col min="11792" max="11792" width="10.7109375" style="3" customWidth="1"/>
    <col min="11793" max="11793" width="5.140625" style="3" customWidth="1"/>
    <col min="11794" max="12025" width="11.42578125" style="3"/>
    <col min="12026" max="12026" width="23.7109375" style="3" customWidth="1"/>
    <col min="12027" max="12027" width="0" style="3" hidden="1" customWidth="1"/>
    <col min="12028" max="12028" width="41.42578125" style="3" customWidth="1"/>
    <col min="12029" max="12029" width="19.140625" style="3" customWidth="1"/>
    <col min="12030" max="12030" width="6.28515625" style="3" customWidth="1"/>
    <col min="12031" max="12031" width="6" style="3" customWidth="1"/>
    <col min="12032" max="12032" width="7.42578125" style="3" customWidth="1"/>
    <col min="12033" max="12033" width="5.7109375" style="3" customWidth="1"/>
    <col min="12034" max="12034" width="5.28515625" style="3" customWidth="1"/>
    <col min="12035" max="12035" width="10" style="3" customWidth="1"/>
    <col min="12036" max="12036" width="6.28515625" style="3" customWidth="1"/>
    <col min="12037" max="12037" width="8.28515625" style="3" customWidth="1"/>
    <col min="12038" max="12038" width="12.42578125" style="3" customWidth="1"/>
    <col min="12039" max="12039" width="5.28515625" style="3" customWidth="1"/>
    <col min="12040" max="12040" width="10.85546875" style="3" customWidth="1"/>
    <col min="12041" max="12041" width="4.85546875" style="3" customWidth="1"/>
    <col min="12042" max="12042" width="5.140625" style="3" customWidth="1"/>
    <col min="12043" max="12043" width="10.5703125" style="3" customWidth="1"/>
    <col min="12044" max="12044" width="6.28515625" style="3" customWidth="1"/>
    <col min="12045" max="12045" width="6.5703125" style="3" customWidth="1"/>
    <col min="12046" max="12046" width="7.42578125" style="3" customWidth="1"/>
    <col min="12047" max="12047" width="6.85546875" style="3" customWidth="1"/>
    <col min="12048" max="12048" width="10.7109375" style="3" customWidth="1"/>
    <col min="12049" max="12049" width="5.140625" style="3" customWidth="1"/>
    <col min="12050" max="12281" width="11.42578125" style="3"/>
    <col min="12282" max="12282" width="23.7109375" style="3" customWidth="1"/>
    <col min="12283" max="12283" width="0" style="3" hidden="1" customWidth="1"/>
    <col min="12284" max="12284" width="41.42578125" style="3" customWidth="1"/>
    <col min="12285" max="12285" width="19.140625" style="3" customWidth="1"/>
    <col min="12286" max="12286" width="6.28515625" style="3" customWidth="1"/>
    <col min="12287" max="12287" width="6" style="3" customWidth="1"/>
    <col min="12288" max="12288" width="7.42578125" style="3" customWidth="1"/>
    <col min="12289" max="12289" width="5.7109375" style="3" customWidth="1"/>
    <col min="12290" max="12290" width="5.28515625" style="3" customWidth="1"/>
    <col min="12291" max="12291" width="10" style="3" customWidth="1"/>
    <col min="12292" max="12292" width="6.28515625" style="3" customWidth="1"/>
    <col min="12293" max="12293" width="8.28515625" style="3" customWidth="1"/>
    <col min="12294" max="12294" width="12.42578125" style="3" customWidth="1"/>
    <col min="12295" max="12295" width="5.28515625" style="3" customWidth="1"/>
    <col min="12296" max="12296" width="10.85546875" style="3" customWidth="1"/>
    <col min="12297" max="12297" width="4.85546875" style="3" customWidth="1"/>
    <col min="12298" max="12298" width="5.140625" style="3" customWidth="1"/>
    <col min="12299" max="12299" width="10.5703125" style="3" customWidth="1"/>
    <col min="12300" max="12300" width="6.28515625" style="3" customWidth="1"/>
    <col min="12301" max="12301" width="6.5703125" style="3" customWidth="1"/>
    <col min="12302" max="12302" width="7.42578125" style="3" customWidth="1"/>
    <col min="12303" max="12303" width="6.85546875" style="3" customWidth="1"/>
    <col min="12304" max="12304" width="10.7109375" style="3" customWidth="1"/>
    <col min="12305" max="12305" width="5.140625" style="3" customWidth="1"/>
    <col min="12306" max="12537" width="11.42578125" style="3"/>
    <col min="12538" max="12538" width="23.7109375" style="3" customWidth="1"/>
    <col min="12539" max="12539" width="0" style="3" hidden="1" customWidth="1"/>
    <col min="12540" max="12540" width="41.42578125" style="3" customWidth="1"/>
    <col min="12541" max="12541" width="19.140625" style="3" customWidth="1"/>
    <col min="12542" max="12542" width="6.28515625" style="3" customWidth="1"/>
    <col min="12543" max="12543" width="6" style="3" customWidth="1"/>
    <col min="12544" max="12544" width="7.42578125" style="3" customWidth="1"/>
    <col min="12545" max="12545" width="5.7109375" style="3" customWidth="1"/>
    <col min="12546" max="12546" width="5.28515625" style="3" customWidth="1"/>
    <col min="12547" max="12547" width="10" style="3" customWidth="1"/>
    <col min="12548" max="12548" width="6.28515625" style="3" customWidth="1"/>
    <col min="12549" max="12549" width="8.28515625" style="3" customWidth="1"/>
    <col min="12550" max="12550" width="12.42578125" style="3" customWidth="1"/>
    <col min="12551" max="12551" width="5.28515625" style="3" customWidth="1"/>
    <col min="12552" max="12552" width="10.85546875" style="3" customWidth="1"/>
    <col min="12553" max="12553" width="4.85546875" style="3" customWidth="1"/>
    <col min="12554" max="12554" width="5.140625" style="3" customWidth="1"/>
    <col min="12555" max="12555" width="10.5703125" style="3" customWidth="1"/>
    <col min="12556" max="12556" width="6.28515625" style="3" customWidth="1"/>
    <col min="12557" max="12557" width="6.5703125" style="3" customWidth="1"/>
    <col min="12558" max="12558" width="7.42578125" style="3" customWidth="1"/>
    <col min="12559" max="12559" width="6.85546875" style="3" customWidth="1"/>
    <col min="12560" max="12560" width="10.7109375" style="3" customWidth="1"/>
    <col min="12561" max="12561" width="5.140625" style="3" customWidth="1"/>
    <col min="12562" max="12793" width="11.42578125" style="3"/>
    <col min="12794" max="12794" width="23.7109375" style="3" customWidth="1"/>
    <col min="12795" max="12795" width="0" style="3" hidden="1" customWidth="1"/>
    <col min="12796" max="12796" width="41.42578125" style="3" customWidth="1"/>
    <col min="12797" max="12797" width="19.140625" style="3" customWidth="1"/>
    <col min="12798" max="12798" width="6.28515625" style="3" customWidth="1"/>
    <col min="12799" max="12799" width="6" style="3" customWidth="1"/>
    <col min="12800" max="12800" width="7.42578125" style="3" customWidth="1"/>
    <col min="12801" max="12801" width="5.7109375" style="3" customWidth="1"/>
    <col min="12802" max="12802" width="5.28515625" style="3" customWidth="1"/>
    <col min="12803" max="12803" width="10" style="3" customWidth="1"/>
    <col min="12804" max="12804" width="6.28515625" style="3" customWidth="1"/>
    <col min="12805" max="12805" width="8.28515625" style="3" customWidth="1"/>
    <col min="12806" max="12806" width="12.42578125" style="3" customWidth="1"/>
    <col min="12807" max="12807" width="5.28515625" style="3" customWidth="1"/>
    <col min="12808" max="12808" width="10.85546875" style="3" customWidth="1"/>
    <col min="12809" max="12809" width="4.85546875" style="3" customWidth="1"/>
    <col min="12810" max="12810" width="5.140625" style="3" customWidth="1"/>
    <col min="12811" max="12811" width="10.5703125" style="3" customWidth="1"/>
    <col min="12812" max="12812" width="6.28515625" style="3" customWidth="1"/>
    <col min="12813" max="12813" width="6.5703125" style="3" customWidth="1"/>
    <col min="12814" max="12814" width="7.42578125" style="3" customWidth="1"/>
    <col min="12815" max="12815" width="6.85546875" style="3" customWidth="1"/>
    <col min="12816" max="12816" width="10.7109375" style="3" customWidth="1"/>
    <col min="12817" max="12817" width="5.140625" style="3" customWidth="1"/>
    <col min="12818" max="13049" width="11.42578125" style="3"/>
    <col min="13050" max="13050" width="23.7109375" style="3" customWidth="1"/>
    <col min="13051" max="13051" width="0" style="3" hidden="1" customWidth="1"/>
    <col min="13052" max="13052" width="41.42578125" style="3" customWidth="1"/>
    <col min="13053" max="13053" width="19.140625" style="3" customWidth="1"/>
    <col min="13054" max="13054" width="6.28515625" style="3" customWidth="1"/>
    <col min="13055" max="13055" width="6" style="3" customWidth="1"/>
    <col min="13056" max="13056" width="7.42578125" style="3" customWidth="1"/>
    <col min="13057" max="13057" width="5.7109375" style="3" customWidth="1"/>
    <col min="13058" max="13058" width="5.28515625" style="3" customWidth="1"/>
    <col min="13059" max="13059" width="10" style="3" customWidth="1"/>
    <col min="13060" max="13060" width="6.28515625" style="3" customWidth="1"/>
    <col min="13061" max="13061" width="8.28515625" style="3" customWidth="1"/>
    <col min="13062" max="13062" width="12.42578125" style="3" customWidth="1"/>
    <col min="13063" max="13063" width="5.28515625" style="3" customWidth="1"/>
    <col min="13064" max="13064" width="10.85546875" style="3" customWidth="1"/>
    <col min="13065" max="13065" width="4.85546875" style="3" customWidth="1"/>
    <col min="13066" max="13066" width="5.140625" style="3" customWidth="1"/>
    <col min="13067" max="13067" width="10.5703125" style="3" customWidth="1"/>
    <col min="13068" max="13068" width="6.28515625" style="3" customWidth="1"/>
    <col min="13069" max="13069" width="6.5703125" style="3" customWidth="1"/>
    <col min="13070" max="13070" width="7.42578125" style="3" customWidth="1"/>
    <col min="13071" max="13071" width="6.85546875" style="3" customWidth="1"/>
    <col min="13072" max="13072" width="10.7109375" style="3" customWidth="1"/>
    <col min="13073" max="13073" width="5.140625" style="3" customWidth="1"/>
    <col min="13074" max="13305" width="11.42578125" style="3"/>
    <col min="13306" max="13306" width="23.7109375" style="3" customWidth="1"/>
    <col min="13307" max="13307" width="0" style="3" hidden="1" customWidth="1"/>
    <col min="13308" max="13308" width="41.42578125" style="3" customWidth="1"/>
    <col min="13309" max="13309" width="19.140625" style="3" customWidth="1"/>
    <col min="13310" max="13310" width="6.28515625" style="3" customWidth="1"/>
    <col min="13311" max="13311" width="6" style="3" customWidth="1"/>
    <col min="13312" max="13312" width="7.42578125" style="3" customWidth="1"/>
    <col min="13313" max="13313" width="5.7109375" style="3" customWidth="1"/>
    <col min="13314" max="13314" width="5.28515625" style="3" customWidth="1"/>
    <col min="13315" max="13315" width="10" style="3" customWidth="1"/>
    <col min="13316" max="13316" width="6.28515625" style="3" customWidth="1"/>
    <col min="13317" max="13317" width="8.28515625" style="3" customWidth="1"/>
    <col min="13318" max="13318" width="12.42578125" style="3" customWidth="1"/>
    <col min="13319" max="13319" width="5.28515625" style="3" customWidth="1"/>
    <col min="13320" max="13320" width="10.85546875" style="3" customWidth="1"/>
    <col min="13321" max="13321" width="4.85546875" style="3" customWidth="1"/>
    <col min="13322" max="13322" width="5.140625" style="3" customWidth="1"/>
    <col min="13323" max="13323" width="10.5703125" style="3" customWidth="1"/>
    <col min="13324" max="13324" width="6.28515625" style="3" customWidth="1"/>
    <col min="13325" max="13325" width="6.5703125" style="3" customWidth="1"/>
    <col min="13326" max="13326" width="7.42578125" style="3" customWidth="1"/>
    <col min="13327" max="13327" width="6.85546875" style="3" customWidth="1"/>
    <col min="13328" max="13328" width="10.7109375" style="3" customWidth="1"/>
    <col min="13329" max="13329" width="5.140625" style="3" customWidth="1"/>
    <col min="13330" max="13561" width="11.42578125" style="3"/>
    <col min="13562" max="13562" width="23.7109375" style="3" customWidth="1"/>
    <col min="13563" max="13563" width="0" style="3" hidden="1" customWidth="1"/>
    <col min="13564" max="13564" width="41.42578125" style="3" customWidth="1"/>
    <col min="13565" max="13565" width="19.140625" style="3" customWidth="1"/>
    <col min="13566" max="13566" width="6.28515625" style="3" customWidth="1"/>
    <col min="13567" max="13567" width="6" style="3" customWidth="1"/>
    <col min="13568" max="13568" width="7.42578125" style="3" customWidth="1"/>
    <col min="13569" max="13569" width="5.7109375" style="3" customWidth="1"/>
    <col min="13570" max="13570" width="5.28515625" style="3" customWidth="1"/>
    <col min="13571" max="13571" width="10" style="3" customWidth="1"/>
    <col min="13572" max="13572" width="6.28515625" style="3" customWidth="1"/>
    <col min="13573" max="13573" width="8.28515625" style="3" customWidth="1"/>
    <col min="13574" max="13574" width="12.42578125" style="3" customWidth="1"/>
    <col min="13575" max="13575" width="5.28515625" style="3" customWidth="1"/>
    <col min="13576" max="13576" width="10.85546875" style="3" customWidth="1"/>
    <col min="13577" max="13577" width="4.85546875" style="3" customWidth="1"/>
    <col min="13578" max="13578" width="5.140625" style="3" customWidth="1"/>
    <col min="13579" max="13579" width="10.5703125" style="3" customWidth="1"/>
    <col min="13580" max="13580" width="6.28515625" style="3" customWidth="1"/>
    <col min="13581" max="13581" width="6.5703125" style="3" customWidth="1"/>
    <col min="13582" max="13582" width="7.42578125" style="3" customWidth="1"/>
    <col min="13583" max="13583" width="6.85546875" style="3" customWidth="1"/>
    <col min="13584" max="13584" width="10.7109375" style="3" customWidth="1"/>
    <col min="13585" max="13585" width="5.140625" style="3" customWidth="1"/>
    <col min="13586" max="13817" width="11.42578125" style="3"/>
    <col min="13818" max="13818" width="23.7109375" style="3" customWidth="1"/>
    <col min="13819" max="13819" width="0" style="3" hidden="1" customWidth="1"/>
    <col min="13820" max="13820" width="41.42578125" style="3" customWidth="1"/>
    <col min="13821" max="13821" width="19.140625" style="3" customWidth="1"/>
    <col min="13822" max="13822" width="6.28515625" style="3" customWidth="1"/>
    <col min="13823" max="13823" width="6" style="3" customWidth="1"/>
    <col min="13824" max="13824" width="7.42578125" style="3" customWidth="1"/>
    <col min="13825" max="13825" width="5.7109375" style="3" customWidth="1"/>
    <col min="13826" max="13826" width="5.28515625" style="3" customWidth="1"/>
    <col min="13827" max="13827" width="10" style="3" customWidth="1"/>
    <col min="13828" max="13828" width="6.28515625" style="3" customWidth="1"/>
    <col min="13829" max="13829" width="8.28515625" style="3" customWidth="1"/>
    <col min="13830" max="13830" width="12.42578125" style="3" customWidth="1"/>
    <col min="13831" max="13831" width="5.28515625" style="3" customWidth="1"/>
    <col min="13832" max="13832" width="10.85546875" style="3" customWidth="1"/>
    <col min="13833" max="13833" width="4.85546875" style="3" customWidth="1"/>
    <col min="13834" max="13834" width="5.140625" style="3" customWidth="1"/>
    <col min="13835" max="13835" width="10.5703125" style="3" customWidth="1"/>
    <col min="13836" max="13836" width="6.28515625" style="3" customWidth="1"/>
    <col min="13837" max="13837" width="6.5703125" style="3" customWidth="1"/>
    <col min="13838" max="13838" width="7.42578125" style="3" customWidth="1"/>
    <col min="13839" max="13839" width="6.85546875" style="3" customWidth="1"/>
    <col min="13840" max="13840" width="10.7109375" style="3" customWidth="1"/>
    <col min="13841" max="13841" width="5.140625" style="3" customWidth="1"/>
    <col min="13842" max="14073" width="11.42578125" style="3"/>
    <col min="14074" max="14074" width="23.7109375" style="3" customWidth="1"/>
    <col min="14075" max="14075" width="0" style="3" hidden="1" customWidth="1"/>
    <col min="14076" max="14076" width="41.42578125" style="3" customWidth="1"/>
    <col min="14077" max="14077" width="19.140625" style="3" customWidth="1"/>
    <col min="14078" max="14078" width="6.28515625" style="3" customWidth="1"/>
    <col min="14079" max="14079" width="6" style="3" customWidth="1"/>
    <col min="14080" max="14080" width="7.42578125" style="3" customWidth="1"/>
    <col min="14081" max="14081" width="5.7109375" style="3" customWidth="1"/>
    <col min="14082" max="14082" width="5.28515625" style="3" customWidth="1"/>
    <col min="14083" max="14083" width="10" style="3" customWidth="1"/>
    <col min="14084" max="14084" width="6.28515625" style="3" customWidth="1"/>
    <col min="14085" max="14085" width="8.28515625" style="3" customWidth="1"/>
    <col min="14086" max="14086" width="12.42578125" style="3" customWidth="1"/>
    <col min="14087" max="14087" width="5.28515625" style="3" customWidth="1"/>
    <col min="14088" max="14088" width="10.85546875" style="3" customWidth="1"/>
    <col min="14089" max="14089" width="4.85546875" style="3" customWidth="1"/>
    <col min="14090" max="14090" width="5.140625" style="3" customWidth="1"/>
    <col min="14091" max="14091" width="10.5703125" style="3" customWidth="1"/>
    <col min="14092" max="14092" width="6.28515625" style="3" customWidth="1"/>
    <col min="14093" max="14093" width="6.5703125" style="3" customWidth="1"/>
    <col min="14094" max="14094" width="7.42578125" style="3" customWidth="1"/>
    <col min="14095" max="14095" width="6.85546875" style="3" customWidth="1"/>
    <col min="14096" max="14096" width="10.7109375" style="3" customWidth="1"/>
    <col min="14097" max="14097" width="5.140625" style="3" customWidth="1"/>
    <col min="14098" max="14329" width="11.42578125" style="3"/>
    <col min="14330" max="14330" width="23.7109375" style="3" customWidth="1"/>
    <col min="14331" max="14331" width="0" style="3" hidden="1" customWidth="1"/>
    <col min="14332" max="14332" width="41.42578125" style="3" customWidth="1"/>
    <col min="14333" max="14333" width="19.140625" style="3" customWidth="1"/>
    <col min="14334" max="14334" width="6.28515625" style="3" customWidth="1"/>
    <col min="14335" max="14335" width="6" style="3" customWidth="1"/>
    <col min="14336" max="14336" width="7.42578125" style="3" customWidth="1"/>
    <col min="14337" max="14337" width="5.7109375" style="3" customWidth="1"/>
    <col min="14338" max="14338" width="5.28515625" style="3" customWidth="1"/>
    <col min="14339" max="14339" width="10" style="3" customWidth="1"/>
    <col min="14340" max="14340" width="6.28515625" style="3" customWidth="1"/>
    <col min="14341" max="14341" width="8.28515625" style="3" customWidth="1"/>
    <col min="14342" max="14342" width="12.42578125" style="3" customWidth="1"/>
    <col min="14343" max="14343" width="5.28515625" style="3" customWidth="1"/>
    <col min="14344" max="14344" width="10.85546875" style="3" customWidth="1"/>
    <col min="14345" max="14345" width="4.85546875" style="3" customWidth="1"/>
    <col min="14346" max="14346" width="5.140625" style="3" customWidth="1"/>
    <col min="14347" max="14347" width="10.5703125" style="3" customWidth="1"/>
    <col min="14348" max="14348" width="6.28515625" style="3" customWidth="1"/>
    <col min="14349" max="14349" width="6.5703125" style="3" customWidth="1"/>
    <col min="14350" max="14350" width="7.42578125" style="3" customWidth="1"/>
    <col min="14351" max="14351" width="6.85546875" style="3" customWidth="1"/>
    <col min="14352" max="14352" width="10.7109375" style="3" customWidth="1"/>
    <col min="14353" max="14353" width="5.140625" style="3" customWidth="1"/>
    <col min="14354" max="14585" width="11.42578125" style="3"/>
    <col min="14586" max="14586" width="23.7109375" style="3" customWidth="1"/>
    <col min="14587" max="14587" width="0" style="3" hidden="1" customWidth="1"/>
    <col min="14588" max="14588" width="41.42578125" style="3" customWidth="1"/>
    <col min="14589" max="14589" width="19.140625" style="3" customWidth="1"/>
    <col min="14590" max="14590" width="6.28515625" style="3" customWidth="1"/>
    <col min="14591" max="14591" width="6" style="3" customWidth="1"/>
    <col min="14592" max="14592" width="7.42578125" style="3" customWidth="1"/>
    <col min="14593" max="14593" width="5.7109375" style="3" customWidth="1"/>
    <col min="14594" max="14594" width="5.28515625" style="3" customWidth="1"/>
    <col min="14595" max="14595" width="10" style="3" customWidth="1"/>
    <col min="14596" max="14596" width="6.28515625" style="3" customWidth="1"/>
    <col min="14597" max="14597" width="8.28515625" style="3" customWidth="1"/>
    <col min="14598" max="14598" width="12.42578125" style="3" customWidth="1"/>
    <col min="14599" max="14599" width="5.28515625" style="3" customWidth="1"/>
    <col min="14600" max="14600" width="10.85546875" style="3" customWidth="1"/>
    <col min="14601" max="14601" width="4.85546875" style="3" customWidth="1"/>
    <col min="14602" max="14602" width="5.140625" style="3" customWidth="1"/>
    <col min="14603" max="14603" width="10.5703125" style="3" customWidth="1"/>
    <col min="14604" max="14604" width="6.28515625" style="3" customWidth="1"/>
    <col min="14605" max="14605" width="6.5703125" style="3" customWidth="1"/>
    <col min="14606" max="14606" width="7.42578125" style="3" customWidth="1"/>
    <col min="14607" max="14607" width="6.85546875" style="3" customWidth="1"/>
    <col min="14608" max="14608" width="10.7109375" style="3" customWidth="1"/>
    <col min="14609" max="14609" width="5.140625" style="3" customWidth="1"/>
    <col min="14610" max="14841" width="11.42578125" style="3"/>
    <col min="14842" max="14842" width="23.7109375" style="3" customWidth="1"/>
    <col min="14843" max="14843" width="0" style="3" hidden="1" customWidth="1"/>
    <col min="14844" max="14844" width="41.42578125" style="3" customWidth="1"/>
    <col min="14845" max="14845" width="19.140625" style="3" customWidth="1"/>
    <col min="14846" max="14846" width="6.28515625" style="3" customWidth="1"/>
    <col min="14847" max="14847" width="6" style="3" customWidth="1"/>
    <col min="14848" max="14848" width="7.42578125" style="3" customWidth="1"/>
    <col min="14849" max="14849" width="5.7109375" style="3" customWidth="1"/>
    <col min="14850" max="14850" width="5.28515625" style="3" customWidth="1"/>
    <col min="14851" max="14851" width="10" style="3" customWidth="1"/>
    <col min="14852" max="14852" width="6.28515625" style="3" customWidth="1"/>
    <col min="14853" max="14853" width="8.28515625" style="3" customWidth="1"/>
    <col min="14854" max="14854" width="12.42578125" style="3" customWidth="1"/>
    <col min="14855" max="14855" width="5.28515625" style="3" customWidth="1"/>
    <col min="14856" max="14856" width="10.85546875" style="3" customWidth="1"/>
    <col min="14857" max="14857" width="4.85546875" style="3" customWidth="1"/>
    <col min="14858" max="14858" width="5.140625" style="3" customWidth="1"/>
    <col min="14859" max="14859" width="10.5703125" style="3" customWidth="1"/>
    <col min="14860" max="14860" width="6.28515625" style="3" customWidth="1"/>
    <col min="14861" max="14861" width="6.5703125" style="3" customWidth="1"/>
    <col min="14862" max="14862" width="7.42578125" style="3" customWidth="1"/>
    <col min="14863" max="14863" width="6.85546875" style="3" customWidth="1"/>
    <col min="14864" max="14864" width="10.7109375" style="3" customWidth="1"/>
    <col min="14865" max="14865" width="5.140625" style="3" customWidth="1"/>
    <col min="14866" max="15097" width="11.42578125" style="3"/>
    <col min="15098" max="15098" width="23.7109375" style="3" customWidth="1"/>
    <col min="15099" max="15099" width="0" style="3" hidden="1" customWidth="1"/>
    <col min="15100" max="15100" width="41.42578125" style="3" customWidth="1"/>
    <col min="15101" max="15101" width="19.140625" style="3" customWidth="1"/>
    <col min="15102" max="15102" width="6.28515625" style="3" customWidth="1"/>
    <col min="15103" max="15103" width="6" style="3" customWidth="1"/>
    <col min="15104" max="15104" width="7.42578125" style="3" customWidth="1"/>
    <col min="15105" max="15105" width="5.7109375" style="3" customWidth="1"/>
    <col min="15106" max="15106" width="5.28515625" style="3" customWidth="1"/>
    <col min="15107" max="15107" width="10" style="3" customWidth="1"/>
    <col min="15108" max="15108" width="6.28515625" style="3" customWidth="1"/>
    <col min="15109" max="15109" width="8.28515625" style="3" customWidth="1"/>
    <col min="15110" max="15110" width="12.42578125" style="3" customWidth="1"/>
    <col min="15111" max="15111" width="5.28515625" style="3" customWidth="1"/>
    <col min="15112" max="15112" width="10.85546875" style="3" customWidth="1"/>
    <col min="15113" max="15113" width="4.85546875" style="3" customWidth="1"/>
    <col min="15114" max="15114" width="5.140625" style="3" customWidth="1"/>
    <col min="15115" max="15115" width="10.5703125" style="3" customWidth="1"/>
    <col min="15116" max="15116" width="6.28515625" style="3" customWidth="1"/>
    <col min="15117" max="15117" width="6.5703125" style="3" customWidth="1"/>
    <col min="15118" max="15118" width="7.42578125" style="3" customWidth="1"/>
    <col min="15119" max="15119" width="6.85546875" style="3" customWidth="1"/>
    <col min="15120" max="15120" width="10.7109375" style="3" customWidth="1"/>
    <col min="15121" max="15121" width="5.140625" style="3" customWidth="1"/>
    <col min="15122" max="15353" width="11.42578125" style="3"/>
    <col min="15354" max="15354" width="23.7109375" style="3" customWidth="1"/>
    <col min="15355" max="15355" width="0" style="3" hidden="1" customWidth="1"/>
    <col min="15356" max="15356" width="41.42578125" style="3" customWidth="1"/>
    <col min="15357" max="15357" width="19.140625" style="3" customWidth="1"/>
    <col min="15358" max="15358" width="6.28515625" style="3" customWidth="1"/>
    <col min="15359" max="15359" width="6" style="3" customWidth="1"/>
    <col min="15360" max="15360" width="7.42578125" style="3" customWidth="1"/>
    <col min="15361" max="15361" width="5.7109375" style="3" customWidth="1"/>
    <col min="15362" max="15362" width="5.28515625" style="3" customWidth="1"/>
    <col min="15363" max="15363" width="10" style="3" customWidth="1"/>
    <col min="15364" max="15364" width="6.28515625" style="3" customWidth="1"/>
    <col min="15365" max="15365" width="8.28515625" style="3" customWidth="1"/>
    <col min="15366" max="15366" width="12.42578125" style="3" customWidth="1"/>
    <col min="15367" max="15367" width="5.28515625" style="3" customWidth="1"/>
    <col min="15368" max="15368" width="10.85546875" style="3" customWidth="1"/>
    <col min="15369" max="15369" width="4.85546875" style="3" customWidth="1"/>
    <col min="15370" max="15370" width="5.140625" style="3" customWidth="1"/>
    <col min="15371" max="15371" width="10.5703125" style="3" customWidth="1"/>
    <col min="15372" max="15372" width="6.28515625" style="3" customWidth="1"/>
    <col min="15373" max="15373" width="6.5703125" style="3" customWidth="1"/>
    <col min="15374" max="15374" width="7.42578125" style="3" customWidth="1"/>
    <col min="15375" max="15375" width="6.85546875" style="3" customWidth="1"/>
    <col min="15376" max="15376" width="10.7109375" style="3" customWidth="1"/>
    <col min="15377" max="15377" width="5.140625" style="3" customWidth="1"/>
    <col min="15378" max="15609" width="11.42578125" style="3"/>
    <col min="15610" max="15610" width="23.7109375" style="3" customWidth="1"/>
    <col min="15611" max="15611" width="0" style="3" hidden="1" customWidth="1"/>
    <col min="15612" max="15612" width="41.42578125" style="3" customWidth="1"/>
    <col min="15613" max="15613" width="19.140625" style="3" customWidth="1"/>
    <col min="15614" max="15614" width="6.28515625" style="3" customWidth="1"/>
    <col min="15615" max="15615" width="6" style="3" customWidth="1"/>
    <col min="15616" max="15616" width="7.42578125" style="3" customWidth="1"/>
    <col min="15617" max="15617" width="5.7109375" style="3" customWidth="1"/>
    <col min="15618" max="15618" width="5.28515625" style="3" customWidth="1"/>
    <col min="15619" max="15619" width="10" style="3" customWidth="1"/>
    <col min="15620" max="15620" width="6.28515625" style="3" customWidth="1"/>
    <col min="15621" max="15621" width="8.28515625" style="3" customWidth="1"/>
    <col min="15622" max="15622" width="12.42578125" style="3" customWidth="1"/>
    <col min="15623" max="15623" width="5.28515625" style="3" customWidth="1"/>
    <col min="15624" max="15624" width="10.85546875" style="3" customWidth="1"/>
    <col min="15625" max="15625" width="4.85546875" style="3" customWidth="1"/>
    <col min="15626" max="15626" width="5.140625" style="3" customWidth="1"/>
    <col min="15627" max="15627" width="10.5703125" style="3" customWidth="1"/>
    <col min="15628" max="15628" width="6.28515625" style="3" customWidth="1"/>
    <col min="15629" max="15629" width="6.5703125" style="3" customWidth="1"/>
    <col min="15630" max="15630" width="7.42578125" style="3" customWidth="1"/>
    <col min="15631" max="15631" width="6.85546875" style="3" customWidth="1"/>
    <col min="15632" max="15632" width="10.7109375" style="3" customWidth="1"/>
    <col min="15633" max="15633" width="5.140625" style="3" customWidth="1"/>
    <col min="15634" max="15865" width="11.42578125" style="3"/>
    <col min="15866" max="15866" width="23.7109375" style="3" customWidth="1"/>
    <col min="15867" max="15867" width="0" style="3" hidden="1" customWidth="1"/>
    <col min="15868" max="15868" width="41.42578125" style="3" customWidth="1"/>
    <col min="15869" max="15869" width="19.140625" style="3" customWidth="1"/>
    <col min="15870" max="15870" width="6.28515625" style="3" customWidth="1"/>
    <col min="15871" max="15871" width="6" style="3" customWidth="1"/>
    <col min="15872" max="15872" width="7.42578125" style="3" customWidth="1"/>
    <col min="15873" max="15873" width="5.7109375" style="3" customWidth="1"/>
    <col min="15874" max="15874" width="5.28515625" style="3" customWidth="1"/>
    <col min="15875" max="15875" width="10" style="3" customWidth="1"/>
    <col min="15876" max="15876" width="6.28515625" style="3" customWidth="1"/>
    <col min="15877" max="15877" width="8.28515625" style="3" customWidth="1"/>
    <col min="15878" max="15878" width="12.42578125" style="3" customWidth="1"/>
    <col min="15879" max="15879" width="5.28515625" style="3" customWidth="1"/>
    <col min="15880" max="15880" width="10.85546875" style="3" customWidth="1"/>
    <col min="15881" max="15881" width="4.85546875" style="3" customWidth="1"/>
    <col min="15882" max="15882" width="5.140625" style="3" customWidth="1"/>
    <col min="15883" max="15883" width="10.5703125" style="3" customWidth="1"/>
    <col min="15884" max="15884" width="6.28515625" style="3" customWidth="1"/>
    <col min="15885" max="15885" width="6.5703125" style="3" customWidth="1"/>
    <col min="15886" max="15886" width="7.42578125" style="3" customWidth="1"/>
    <col min="15887" max="15887" width="6.85546875" style="3" customWidth="1"/>
    <col min="15888" max="15888" width="10.7109375" style="3" customWidth="1"/>
    <col min="15889" max="15889" width="5.140625" style="3" customWidth="1"/>
    <col min="15890" max="16121" width="11.42578125" style="3"/>
    <col min="16122" max="16122" width="23.7109375" style="3" customWidth="1"/>
    <col min="16123" max="16123" width="0" style="3" hidden="1" customWidth="1"/>
    <col min="16124" max="16124" width="41.42578125" style="3" customWidth="1"/>
    <col min="16125" max="16125" width="19.140625" style="3" customWidth="1"/>
    <col min="16126" max="16126" width="6.28515625" style="3" customWidth="1"/>
    <col min="16127" max="16127" width="6" style="3" customWidth="1"/>
    <col min="16128" max="16128" width="7.42578125" style="3" customWidth="1"/>
    <col min="16129" max="16129" width="5.7109375" style="3" customWidth="1"/>
    <col min="16130" max="16130" width="5.28515625" style="3" customWidth="1"/>
    <col min="16131" max="16131" width="10" style="3" customWidth="1"/>
    <col min="16132" max="16132" width="6.28515625" style="3" customWidth="1"/>
    <col min="16133" max="16133" width="8.28515625" style="3" customWidth="1"/>
    <col min="16134" max="16134" width="12.42578125" style="3" customWidth="1"/>
    <col min="16135" max="16135" width="5.28515625" style="3" customWidth="1"/>
    <col min="16136" max="16136" width="10.85546875" style="3" customWidth="1"/>
    <col min="16137" max="16137" width="4.85546875" style="3" customWidth="1"/>
    <col min="16138" max="16138" width="5.140625" style="3" customWidth="1"/>
    <col min="16139" max="16139" width="10.5703125" style="3" customWidth="1"/>
    <col min="16140" max="16140" width="6.28515625" style="3" customWidth="1"/>
    <col min="16141" max="16141" width="6.5703125" style="3" customWidth="1"/>
    <col min="16142" max="16142" width="7.42578125" style="3" customWidth="1"/>
    <col min="16143" max="16143" width="6.85546875" style="3" customWidth="1"/>
    <col min="16144" max="16144" width="10.7109375" style="3" customWidth="1"/>
    <col min="16145" max="16145" width="5.140625" style="3" customWidth="1"/>
    <col min="16146" max="16384" width="11.42578125" style="3"/>
  </cols>
  <sheetData>
    <row r="1" spans="1:239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"/>
    </row>
    <row r="2" spans="1:239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845" t="s">
        <v>1392</v>
      </c>
      <c r="K2" s="1845" t="s">
        <v>1393</v>
      </c>
      <c r="L2" s="1845" t="s">
        <v>118</v>
      </c>
      <c r="M2" s="1845" t="s">
        <v>1394</v>
      </c>
      <c r="N2" s="198" t="s">
        <v>10</v>
      </c>
      <c r="O2" s="196"/>
      <c r="P2" s="1789" t="s">
        <v>24</v>
      </c>
      <c r="Q2" s="14"/>
    </row>
    <row r="3" spans="1:239" s="2" customFormat="1" ht="42.7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846"/>
      <c r="K3" s="1846"/>
      <c r="L3" s="1846"/>
      <c r="M3" s="1846"/>
      <c r="N3" s="202" t="s">
        <v>23</v>
      </c>
      <c r="O3" s="203"/>
      <c r="P3" s="1790"/>
      <c r="Q3" s="14"/>
    </row>
    <row r="4" spans="1:239" s="2" customFormat="1" ht="29.25" customHeight="1">
      <c r="A4" s="6"/>
      <c r="B4" s="176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21" t="s">
        <v>34</v>
      </c>
      <c r="K4" s="1521" t="s">
        <v>34</v>
      </c>
      <c r="L4" s="1521" t="s">
        <v>117</v>
      </c>
      <c r="M4" s="1521" t="s">
        <v>34</v>
      </c>
      <c r="N4" s="202" t="s">
        <v>38</v>
      </c>
      <c r="O4" s="203"/>
      <c r="P4" s="1521" t="s">
        <v>120</v>
      </c>
      <c r="Q4" s="14"/>
    </row>
    <row r="5" spans="1:239" s="2" customFormat="1" ht="18" customHeight="1">
      <c r="A5" s="6"/>
      <c r="B5" s="1820" t="s">
        <v>233</v>
      </c>
      <c r="C5" s="38" t="s">
        <v>101</v>
      </c>
      <c r="D5" s="39">
        <v>187</v>
      </c>
      <c r="E5" s="361" t="s">
        <v>69</v>
      </c>
      <c r="F5" s="39">
        <v>15</v>
      </c>
      <c r="G5" s="40">
        <v>9.67</v>
      </c>
      <c r="H5" s="39">
        <v>176</v>
      </c>
      <c r="I5" s="40">
        <v>12.12</v>
      </c>
      <c r="J5" s="41">
        <f>D39</f>
        <v>11476.5</v>
      </c>
      <c r="K5" s="41">
        <f>D40</f>
        <v>8129.7</v>
      </c>
      <c r="L5" s="42">
        <v>2</v>
      </c>
      <c r="M5" s="41">
        <f>(J5+K5)*L5</f>
        <v>39212.400000000001</v>
      </c>
      <c r="N5" s="131">
        <v>0.88600000000000001</v>
      </c>
      <c r="O5" s="124" t="s">
        <v>119</v>
      </c>
      <c r="P5" s="41">
        <f t="shared" ref="P5" si="0">+N5*M5</f>
        <v>34742.186399999999</v>
      </c>
      <c r="Q5" s="29"/>
    </row>
    <row r="6" spans="1:239" s="2" customFormat="1" ht="18" customHeight="1">
      <c r="A6" s="6"/>
      <c r="B6" s="1820"/>
      <c r="C6" s="184"/>
      <c r="D6" s="185"/>
      <c r="E6" s="360"/>
      <c r="F6" s="185"/>
      <c r="G6" s="186"/>
      <c r="H6" s="185"/>
      <c r="I6" s="186"/>
      <c r="J6" s="186"/>
      <c r="K6" s="187"/>
      <c r="L6" s="188"/>
      <c r="M6" s="187"/>
      <c r="N6" s="131"/>
      <c r="O6" s="124"/>
      <c r="P6" s="187"/>
      <c r="Q6" s="29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</row>
    <row r="7" spans="1:239" s="2" customFormat="1" ht="18" hidden="1" customHeight="1">
      <c r="A7" s="6"/>
      <c r="B7" s="1820"/>
      <c r="C7" s="38"/>
      <c r="D7" s="39"/>
      <c r="E7" s="38"/>
      <c r="F7" s="39"/>
      <c r="G7" s="40"/>
      <c r="H7" s="39"/>
      <c r="I7" s="40"/>
      <c r="J7" s="40"/>
      <c r="K7" s="41"/>
      <c r="L7" s="42"/>
      <c r="M7" s="41"/>
      <c r="N7" s="142"/>
      <c r="O7" s="143"/>
      <c r="P7" s="41"/>
      <c r="Q7" s="29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  <c r="IC7" s="105"/>
      <c r="ID7" s="105"/>
      <c r="IE7" s="105"/>
    </row>
    <row r="8" spans="1:239" s="2" customFormat="1" ht="18" hidden="1" customHeight="1">
      <c r="A8" s="6"/>
      <c r="B8" s="1820"/>
      <c r="C8" s="184"/>
      <c r="D8" s="185"/>
      <c r="E8" s="184"/>
      <c r="F8" s="185"/>
      <c r="G8" s="186"/>
      <c r="H8" s="185"/>
      <c r="I8" s="186"/>
      <c r="J8" s="186"/>
      <c r="K8" s="187"/>
      <c r="L8" s="188"/>
      <c r="M8" s="187"/>
      <c r="N8" s="215"/>
      <c r="O8" s="216"/>
      <c r="P8" s="187"/>
      <c r="Q8" s="29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5"/>
      <c r="EL8" s="105"/>
      <c r="EM8" s="105"/>
      <c r="EN8" s="105"/>
      <c r="EO8" s="105"/>
      <c r="EP8" s="105"/>
      <c r="EQ8" s="105"/>
      <c r="ER8" s="105"/>
      <c r="ES8" s="105"/>
      <c r="ET8" s="105"/>
      <c r="EU8" s="105"/>
      <c r="EV8" s="105"/>
      <c r="EW8" s="105"/>
      <c r="EX8" s="105"/>
      <c r="EY8" s="105"/>
      <c r="EZ8" s="105"/>
      <c r="FA8" s="105"/>
      <c r="FB8" s="105"/>
      <c r="FC8" s="105"/>
      <c r="FD8" s="105"/>
      <c r="FE8" s="105"/>
      <c r="FF8" s="105"/>
      <c r="FG8" s="105"/>
      <c r="FH8" s="105"/>
      <c r="FI8" s="105"/>
      <c r="FJ8" s="105"/>
      <c r="FK8" s="105"/>
      <c r="FL8" s="105"/>
      <c r="FM8" s="105"/>
      <c r="FN8" s="105"/>
      <c r="FO8" s="105"/>
      <c r="FP8" s="105"/>
      <c r="FQ8" s="105"/>
      <c r="FR8" s="105"/>
      <c r="FS8" s="105"/>
      <c r="FT8" s="105"/>
      <c r="FU8" s="105"/>
      <c r="FV8" s="105"/>
      <c r="FW8" s="105"/>
      <c r="FX8" s="105"/>
      <c r="FY8" s="105"/>
      <c r="FZ8" s="105"/>
      <c r="GA8" s="105"/>
      <c r="GB8" s="105"/>
      <c r="GC8" s="105"/>
      <c r="GD8" s="105"/>
      <c r="GE8" s="105"/>
      <c r="GF8" s="105"/>
      <c r="GG8" s="105"/>
      <c r="GH8" s="105"/>
      <c r="GI8" s="105"/>
      <c r="GJ8" s="105"/>
      <c r="GK8" s="105"/>
      <c r="GL8" s="105"/>
      <c r="GM8" s="105"/>
      <c r="GN8" s="105"/>
      <c r="GO8" s="105"/>
      <c r="GP8" s="105"/>
      <c r="GQ8" s="105"/>
      <c r="GR8" s="105"/>
      <c r="GS8" s="105"/>
      <c r="GT8" s="105"/>
      <c r="GU8" s="105"/>
      <c r="GV8" s="105"/>
      <c r="GW8" s="105"/>
      <c r="GX8" s="105"/>
      <c r="GY8" s="105"/>
      <c r="GZ8" s="105"/>
      <c r="HA8" s="105"/>
      <c r="HB8" s="105"/>
      <c r="HC8" s="105"/>
      <c r="HD8" s="105"/>
      <c r="HE8" s="105"/>
      <c r="HF8" s="105"/>
      <c r="HG8" s="105"/>
      <c r="HH8" s="105"/>
      <c r="HI8" s="105"/>
      <c r="HJ8" s="105"/>
      <c r="HK8" s="105"/>
      <c r="HL8" s="105"/>
      <c r="HM8" s="105"/>
      <c r="HN8" s="105"/>
      <c r="HO8" s="105"/>
      <c r="HP8" s="105"/>
      <c r="HQ8" s="105"/>
      <c r="HR8" s="105"/>
      <c r="HS8" s="105"/>
      <c r="HT8" s="105"/>
      <c r="HU8" s="105"/>
      <c r="HV8" s="105"/>
      <c r="HW8" s="105"/>
      <c r="HX8" s="105"/>
      <c r="HY8" s="105"/>
      <c r="HZ8" s="105"/>
      <c r="IA8" s="105"/>
      <c r="IB8" s="105"/>
      <c r="IC8" s="105"/>
      <c r="ID8" s="105"/>
      <c r="IE8" s="105"/>
    </row>
    <row r="9" spans="1:239" s="2" customFormat="1" ht="18" hidden="1" customHeight="1">
      <c r="A9" s="6"/>
      <c r="B9" s="1820"/>
      <c r="C9" s="38"/>
      <c r="D9" s="39"/>
      <c r="E9" s="38"/>
      <c r="F9" s="39"/>
      <c r="G9" s="40"/>
      <c r="H9" s="39"/>
      <c r="I9" s="40"/>
      <c r="J9" s="40"/>
      <c r="K9" s="41"/>
      <c r="L9" s="42"/>
      <c r="M9" s="41"/>
      <c r="N9" s="142"/>
      <c r="O9" s="143"/>
      <c r="P9" s="41"/>
      <c r="Q9" s="29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5"/>
      <c r="EY9" s="105"/>
      <c r="EZ9" s="105"/>
      <c r="FA9" s="105"/>
      <c r="FB9" s="105"/>
      <c r="FC9" s="105"/>
      <c r="FD9" s="105"/>
      <c r="FE9" s="105"/>
      <c r="FF9" s="105"/>
      <c r="FG9" s="105"/>
      <c r="FH9" s="105"/>
      <c r="FI9" s="105"/>
      <c r="FJ9" s="105"/>
      <c r="FK9" s="105"/>
      <c r="FL9" s="105"/>
      <c r="FM9" s="105"/>
      <c r="FN9" s="105"/>
      <c r="FO9" s="105"/>
      <c r="FP9" s="105"/>
      <c r="FQ9" s="105"/>
      <c r="FR9" s="105"/>
      <c r="FS9" s="105"/>
      <c r="FT9" s="105"/>
      <c r="FU9" s="105"/>
      <c r="FV9" s="105"/>
      <c r="FW9" s="105"/>
      <c r="FX9" s="105"/>
      <c r="FY9" s="105"/>
      <c r="FZ9" s="105"/>
      <c r="GA9" s="105"/>
      <c r="GB9" s="105"/>
      <c r="GC9" s="105"/>
      <c r="GD9" s="105"/>
      <c r="GE9" s="105"/>
      <c r="GF9" s="105"/>
      <c r="GG9" s="105"/>
      <c r="GH9" s="105"/>
      <c r="GI9" s="105"/>
      <c r="GJ9" s="105"/>
      <c r="GK9" s="105"/>
      <c r="GL9" s="105"/>
      <c r="GM9" s="105"/>
      <c r="GN9" s="105"/>
      <c r="GO9" s="105"/>
      <c r="GP9" s="105"/>
      <c r="GQ9" s="105"/>
      <c r="GR9" s="105"/>
      <c r="GS9" s="105"/>
      <c r="GT9" s="105"/>
      <c r="GU9" s="105"/>
      <c r="GV9" s="105"/>
      <c r="GW9" s="105"/>
      <c r="GX9" s="105"/>
      <c r="GY9" s="105"/>
      <c r="GZ9" s="105"/>
      <c r="HA9" s="105"/>
      <c r="HB9" s="105"/>
      <c r="HC9" s="105"/>
      <c r="HD9" s="105"/>
      <c r="HE9" s="105"/>
      <c r="HF9" s="105"/>
      <c r="HG9" s="105"/>
      <c r="HH9" s="105"/>
      <c r="HI9" s="105"/>
      <c r="HJ9" s="105"/>
      <c r="HK9" s="105"/>
      <c r="HL9" s="105"/>
      <c r="HM9" s="105"/>
      <c r="HN9" s="105"/>
      <c r="HO9" s="105"/>
      <c r="HP9" s="105"/>
      <c r="HQ9" s="105"/>
      <c r="HR9" s="105"/>
      <c r="HS9" s="105"/>
      <c r="HT9" s="105"/>
      <c r="HU9" s="105"/>
      <c r="HV9" s="105"/>
      <c r="HW9" s="105"/>
      <c r="HX9" s="105"/>
      <c r="HY9" s="105"/>
      <c r="HZ9" s="105"/>
      <c r="IA9" s="105"/>
      <c r="IB9" s="105"/>
      <c r="IC9" s="105"/>
      <c r="ID9" s="105"/>
      <c r="IE9" s="105"/>
    </row>
    <row r="10" spans="1:239" s="2" customFormat="1" ht="18" hidden="1" customHeight="1">
      <c r="A10" s="6"/>
      <c r="B10" s="1820"/>
      <c r="C10" s="184"/>
      <c r="D10" s="185"/>
      <c r="E10" s="184"/>
      <c r="F10" s="185"/>
      <c r="G10" s="186"/>
      <c r="H10" s="185"/>
      <c r="I10" s="186"/>
      <c r="J10" s="186"/>
      <c r="K10" s="187"/>
      <c r="L10" s="188"/>
      <c r="M10" s="187"/>
      <c r="N10" s="215"/>
      <c r="O10" s="216"/>
      <c r="P10" s="187"/>
      <c r="Q10" s="29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5"/>
      <c r="EY10" s="105"/>
      <c r="EZ10" s="105"/>
      <c r="FA10" s="105"/>
      <c r="FB10" s="105"/>
      <c r="FC10" s="105"/>
      <c r="FD10" s="105"/>
      <c r="FE10" s="105"/>
      <c r="FF10" s="105"/>
      <c r="FG10" s="105"/>
      <c r="FH10" s="105"/>
      <c r="FI10" s="105"/>
      <c r="FJ10" s="105"/>
      <c r="FK10" s="105"/>
      <c r="FL10" s="105"/>
      <c r="FM10" s="105"/>
      <c r="FN10" s="105"/>
      <c r="FO10" s="105"/>
      <c r="FP10" s="105"/>
      <c r="FQ10" s="105"/>
      <c r="FR10" s="105"/>
      <c r="FS10" s="105"/>
      <c r="FT10" s="105"/>
      <c r="FU10" s="105"/>
      <c r="FV10" s="105"/>
      <c r="FW10" s="105"/>
      <c r="FX10" s="105"/>
      <c r="FY10" s="105"/>
      <c r="FZ10" s="105"/>
      <c r="GA10" s="105"/>
      <c r="GB10" s="105"/>
      <c r="GC10" s="105"/>
      <c r="GD10" s="105"/>
      <c r="GE10" s="105"/>
      <c r="GF10" s="105"/>
      <c r="GG10" s="105"/>
      <c r="GH10" s="105"/>
      <c r="GI10" s="105"/>
      <c r="GJ10" s="105"/>
      <c r="GK10" s="105"/>
      <c r="GL10" s="105"/>
      <c r="GM10" s="105"/>
      <c r="GN10" s="105"/>
      <c r="GO10" s="105"/>
      <c r="GP10" s="105"/>
      <c r="GQ10" s="105"/>
      <c r="GR10" s="105"/>
      <c r="GS10" s="105"/>
      <c r="GT10" s="105"/>
      <c r="GU10" s="105"/>
      <c r="GV10" s="105"/>
      <c r="GW10" s="105"/>
      <c r="GX10" s="105"/>
      <c r="GY10" s="105"/>
      <c r="GZ10" s="105"/>
      <c r="HA10" s="105"/>
      <c r="HB10" s="105"/>
      <c r="HC10" s="105"/>
      <c r="HD10" s="105"/>
      <c r="HE10" s="105"/>
      <c r="HF10" s="105"/>
      <c r="HG10" s="105"/>
      <c r="HH10" s="105"/>
      <c r="HI10" s="105"/>
      <c r="HJ10" s="105"/>
      <c r="HK10" s="105"/>
      <c r="HL10" s="105"/>
      <c r="HM10" s="105"/>
      <c r="HN10" s="105"/>
      <c r="HO10" s="105"/>
      <c r="HP10" s="105"/>
      <c r="HQ10" s="105"/>
      <c r="HR10" s="105"/>
      <c r="HS10" s="105"/>
      <c r="HT10" s="105"/>
      <c r="HU10" s="105"/>
      <c r="HV10" s="105"/>
      <c r="HW10" s="105"/>
      <c r="HX10" s="105"/>
      <c r="HY10" s="105"/>
      <c r="HZ10" s="105"/>
      <c r="IA10" s="105"/>
      <c r="IB10" s="105"/>
      <c r="IC10" s="105"/>
      <c r="ID10" s="105"/>
      <c r="IE10" s="105"/>
    </row>
    <row r="11" spans="1:239" s="2" customFormat="1" ht="18" hidden="1" customHeight="1">
      <c r="A11" s="6"/>
      <c r="B11" s="1820"/>
      <c r="C11" s="38"/>
      <c r="D11" s="39"/>
      <c r="E11" s="38"/>
      <c r="F11" s="39"/>
      <c r="G11" s="40"/>
      <c r="H11" s="39"/>
      <c r="I11" s="40"/>
      <c r="J11" s="40"/>
      <c r="K11" s="41"/>
      <c r="L11" s="42"/>
      <c r="M11" s="41"/>
      <c r="N11" s="142"/>
      <c r="O11" s="143"/>
      <c r="P11" s="41"/>
      <c r="Q11" s="29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  <c r="IC11" s="105"/>
      <c r="ID11" s="105"/>
      <c r="IE11" s="105"/>
    </row>
    <row r="12" spans="1:239" s="2" customFormat="1" ht="18" hidden="1" customHeight="1">
      <c r="A12" s="6"/>
      <c r="B12" s="1820"/>
      <c r="C12" s="184"/>
      <c r="D12" s="185"/>
      <c r="E12" s="184"/>
      <c r="F12" s="185"/>
      <c r="G12" s="186"/>
      <c r="H12" s="185"/>
      <c r="I12" s="186"/>
      <c r="J12" s="186"/>
      <c r="K12" s="187"/>
      <c r="L12" s="188"/>
      <c r="M12" s="187"/>
      <c r="N12" s="215"/>
      <c r="O12" s="216"/>
      <c r="P12" s="187"/>
      <c r="Q12" s="29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05"/>
      <c r="EN12" s="105"/>
      <c r="EO12" s="105"/>
      <c r="EP12" s="105"/>
      <c r="EQ12" s="105"/>
      <c r="ER12" s="105"/>
      <c r="ES12" s="105"/>
      <c r="ET12" s="105"/>
      <c r="EU12" s="105"/>
      <c r="EV12" s="105"/>
      <c r="EW12" s="105"/>
      <c r="EX12" s="105"/>
      <c r="EY12" s="105"/>
      <c r="EZ12" s="105"/>
      <c r="FA12" s="105"/>
      <c r="FB12" s="105"/>
      <c r="FC12" s="105"/>
      <c r="FD12" s="105"/>
      <c r="FE12" s="105"/>
      <c r="FF12" s="105"/>
      <c r="FG12" s="105"/>
      <c r="FH12" s="105"/>
      <c r="FI12" s="105"/>
      <c r="FJ12" s="105"/>
      <c r="FK12" s="105"/>
      <c r="FL12" s="105"/>
      <c r="FM12" s="105"/>
      <c r="FN12" s="105"/>
      <c r="FO12" s="105"/>
      <c r="FP12" s="105"/>
      <c r="FQ12" s="105"/>
      <c r="FR12" s="105"/>
      <c r="FS12" s="105"/>
      <c r="FT12" s="105"/>
      <c r="FU12" s="105"/>
      <c r="FV12" s="105"/>
      <c r="FW12" s="105"/>
      <c r="FX12" s="105"/>
      <c r="FY12" s="105"/>
      <c r="FZ12" s="105"/>
      <c r="GA12" s="105"/>
      <c r="GB12" s="105"/>
      <c r="GC12" s="105"/>
      <c r="GD12" s="105"/>
      <c r="GE12" s="105"/>
      <c r="GF12" s="105"/>
      <c r="GG12" s="105"/>
      <c r="GH12" s="105"/>
      <c r="GI12" s="105"/>
      <c r="GJ12" s="105"/>
      <c r="GK12" s="105"/>
      <c r="GL12" s="105"/>
      <c r="GM12" s="105"/>
      <c r="GN12" s="105"/>
      <c r="GO12" s="105"/>
      <c r="GP12" s="105"/>
      <c r="GQ12" s="105"/>
      <c r="GR12" s="105"/>
      <c r="GS12" s="105"/>
      <c r="GT12" s="105"/>
      <c r="GU12" s="105"/>
      <c r="GV12" s="105"/>
      <c r="GW12" s="105"/>
      <c r="GX12" s="105"/>
      <c r="GY12" s="105"/>
      <c r="GZ12" s="105"/>
      <c r="HA12" s="105"/>
      <c r="HB12" s="105"/>
      <c r="HC12" s="105"/>
      <c r="HD12" s="105"/>
      <c r="HE12" s="105"/>
      <c r="HF12" s="105"/>
      <c r="HG12" s="105"/>
      <c r="HH12" s="105"/>
      <c r="HI12" s="105"/>
      <c r="HJ12" s="105"/>
      <c r="HK12" s="105"/>
      <c r="HL12" s="105"/>
      <c r="HM12" s="105"/>
      <c r="HN12" s="105"/>
      <c r="HO12" s="105"/>
      <c r="HP12" s="105"/>
      <c r="HQ12" s="105"/>
      <c r="HR12" s="105"/>
      <c r="HS12" s="105"/>
      <c r="HT12" s="105"/>
      <c r="HU12" s="105"/>
      <c r="HV12" s="105"/>
      <c r="HW12" s="105"/>
      <c r="HX12" s="105"/>
      <c r="HY12" s="105"/>
      <c r="HZ12" s="105"/>
      <c r="IA12" s="105"/>
      <c r="IB12" s="105"/>
      <c r="IC12" s="105"/>
      <c r="ID12" s="105"/>
      <c r="IE12" s="105"/>
    </row>
    <row r="13" spans="1:239" s="2" customFormat="1" ht="18" hidden="1" customHeight="1">
      <c r="A13" s="6"/>
      <c r="B13" s="1820"/>
      <c r="C13" s="38"/>
      <c r="D13" s="39"/>
      <c r="E13" s="38"/>
      <c r="F13" s="39"/>
      <c r="G13" s="40"/>
      <c r="H13" s="39"/>
      <c r="I13" s="40"/>
      <c r="J13" s="40"/>
      <c r="K13" s="41"/>
      <c r="L13" s="42"/>
      <c r="M13" s="41"/>
      <c r="N13" s="142"/>
      <c r="O13" s="143"/>
      <c r="P13" s="41"/>
      <c r="Q13" s="29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5"/>
      <c r="EY13" s="105"/>
      <c r="EZ13" s="105"/>
      <c r="FA13" s="105"/>
      <c r="FB13" s="105"/>
      <c r="FC13" s="105"/>
      <c r="FD13" s="105"/>
      <c r="FE13" s="105"/>
      <c r="FF13" s="105"/>
      <c r="FG13" s="105"/>
      <c r="FH13" s="105"/>
      <c r="FI13" s="105"/>
      <c r="FJ13" s="105"/>
      <c r="FK13" s="105"/>
      <c r="FL13" s="105"/>
      <c r="FM13" s="105"/>
      <c r="FN13" s="105"/>
      <c r="FO13" s="105"/>
      <c r="FP13" s="105"/>
      <c r="FQ13" s="105"/>
      <c r="FR13" s="105"/>
      <c r="FS13" s="105"/>
      <c r="FT13" s="105"/>
      <c r="FU13" s="105"/>
      <c r="FV13" s="105"/>
      <c r="FW13" s="105"/>
      <c r="FX13" s="105"/>
      <c r="FY13" s="105"/>
      <c r="FZ13" s="105"/>
      <c r="GA13" s="105"/>
      <c r="GB13" s="105"/>
      <c r="GC13" s="105"/>
      <c r="GD13" s="105"/>
      <c r="GE13" s="105"/>
      <c r="GF13" s="105"/>
      <c r="GG13" s="105"/>
      <c r="GH13" s="105"/>
      <c r="GI13" s="105"/>
      <c r="GJ13" s="105"/>
      <c r="GK13" s="105"/>
      <c r="GL13" s="105"/>
      <c r="GM13" s="105"/>
      <c r="GN13" s="105"/>
      <c r="GO13" s="105"/>
      <c r="GP13" s="105"/>
      <c r="GQ13" s="105"/>
      <c r="GR13" s="105"/>
      <c r="GS13" s="105"/>
      <c r="GT13" s="105"/>
      <c r="GU13" s="105"/>
      <c r="GV13" s="105"/>
      <c r="GW13" s="105"/>
      <c r="GX13" s="105"/>
      <c r="GY13" s="105"/>
      <c r="GZ13" s="105"/>
      <c r="HA13" s="105"/>
      <c r="HB13" s="105"/>
      <c r="HC13" s="105"/>
      <c r="HD13" s="105"/>
      <c r="HE13" s="105"/>
      <c r="HF13" s="105"/>
      <c r="HG13" s="105"/>
      <c r="HH13" s="105"/>
      <c r="HI13" s="105"/>
      <c r="HJ13" s="105"/>
      <c r="HK13" s="105"/>
      <c r="HL13" s="105"/>
      <c r="HM13" s="105"/>
      <c r="HN13" s="105"/>
      <c r="HO13" s="105"/>
      <c r="HP13" s="105"/>
      <c r="HQ13" s="105"/>
      <c r="HR13" s="105"/>
      <c r="HS13" s="105"/>
      <c r="HT13" s="105"/>
      <c r="HU13" s="105"/>
      <c r="HV13" s="105"/>
      <c r="HW13" s="105"/>
      <c r="HX13" s="105"/>
      <c r="HY13" s="105"/>
      <c r="HZ13" s="105"/>
      <c r="IA13" s="105"/>
      <c r="IB13" s="105"/>
      <c r="IC13" s="105"/>
      <c r="ID13" s="105"/>
      <c r="IE13" s="105"/>
    </row>
    <row r="14" spans="1:239" s="2" customFormat="1" ht="18" hidden="1" customHeight="1">
      <c r="A14" s="6"/>
      <c r="B14" s="1820"/>
      <c r="C14" s="184"/>
      <c r="D14" s="185"/>
      <c r="E14" s="184"/>
      <c r="F14" s="185"/>
      <c r="G14" s="186"/>
      <c r="H14" s="185"/>
      <c r="I14" s="186"/>
      <c r="J14" s="186"/>
      <c r="K14" s="187"/>
      <c r="L14" s="188"/>
      <c r="M14" s="187"/>
      <c r="N14" s="215"/>
      <c r="O14" s="216"/>
      <c r="P14" s="187"/>
      <c r="Q14" s="29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5"/>
      <c r="EL14" s="105"/>
      <c r="EM14" s="105"/>
      <c r="EN14" s="105"/>
      <c r="EO14" s="105"/>
      <c r="EP14" s="105"/>
      <c r="EQ14" s="105"/>
      <c r="ER14" s="105"/>
      <c r="ES14" s="105"/>
      <c r="ET14" s="105"/>
      <c r="EU14" s="105"/>
      <c r="EV14" s="105"/>
      <c r="EW14" s="105"/>
      <c r="EX14" s="105"/>
      <c r="EY14" s="105"/>
      <c r="EZ14" s="105"/>
      <c r="FA14" s="105"/>
      <c r="FB14" s="105"/>
      <c r="FC14" s="105"/>
      <c r="FD14" s="105"/>
      <c r="FE14" s="105"/>
      <c r="FF14" s="105"/>
      <c r="FG14" s="105"/>
      <c r="FH14" s="105"/>
      <c r="FI14" s="105"/>
      <c r="FJ14" s="105"/>
      <c r="FK14" s="105"/>
      <c r="FL14" s="105"/>
      <c r="FM14" s="105"/>
      <c r="FN14" s="105"/>
      <c r="FO14" s="105"/>
      <c r="FP14" s="105"/>
      <c r="FQ14" s="105"/>
      <c r="FR14" s="105"/>
      <c r="FS14" s="105"/>
      <c r="FT14" s="105"/>
      <c r="FU14" s="105"/>
      <c r="FV14" s="105"/>
      <c r="FW14" s="105"/>
      <c r="FX14" s="105"/>
      <c r="FY14" s="105"/>
      <c r="FZ14" s="105"/>
      <c r="GA14" s="105"/>
      <c r="GB14" s="105"/>
      <c r="GC14" s="105"/>
      <c r="GD14" s="105"/>
      <c r="GE14" s="105"/>
      <c r="GF14" s="105"/>
      <c r="GG14" s="105"/>
      <c r="GH14" s="105"/>
      <c r="GI14" s="105"/>
      <c r="GJ14" s="105"/>
      <c r="GK14" s="105"/>
      <c r="GL14" s="105"/>
      <c r="GM14" s="105"/>
      <c r="GN14" s="105"/>
      <c r="GO14" s="105"/>
      <c r="GP14" s="105"/>
      <c r="GQ14" s="105"/>
      <c r="GR14" s="105"/>
      <c r="GS14" s="105"/>
      <c r="GT14" s="105"/>
      <c r="GU14" s="105"/>
      <c r="GV14" s="105"/>
      <c r="GW14" s="105"/>
      <c r="GX14" s="105"/>
      <c r="GY14" s="105"/>
      <c r="GZ14" s="105"/>
      <c r="HA14" s="105"/>
      <c r="HB14" s="105"/>
      <c r="HC14" s="105"/>
      <c r="HD14" s="105"/>
      <c r="HE14" s="105"/>
      <c r="HF14" s="105"/>
      <c r="HG14" s="105"/>
      <c r="HH14" s="105"/>
      <c r="HI14" s="105"/>
      <c r="HJ14" s="105"/>
      <c r="HK14" s="105"/>
      <c r="HL14" s="105"/>
      <c r="HM14" s="105"/>
      <c r="HN14" s="105"/>
      <c r="HO14" s="105"/>
      <c r="HP14" s="105"/>
      <c r="HQ14" s="105"/>
      <c r="HR14" s="105"/>
      <c r="HS14" s="105"/>
      <c r="HT14" s="105"/>
      <c r="HU14" s="105"/>
      <c r="HV14" s="105"/>
      <c r="HW14" s="105"/>
      <c r="HX14" s="105"/>
      <c r="HY14" s="105"/>
      <c r="HZ14" s="105"/>
      <c r="IA14" s="105"/>
      <c r="IB14" s="105"/>
      <c r="IC14" s="105"/>
      <c r="ID14" s="105"/>
      <c r="IE14" s="105"/>
    </row>
    <row r="15" spans="1:239" s="2" customFormat="1" ht="18" hidden="1" customHeight="1">
      <c r="A15" s="6"/>
      <c r="B15" s="1820"/>
      <c r="C15" s="38"/>
      <c r="D15" s="39"/>
      <c r="E15" s="38"/>
      <c r="F15" s="39"/>
      <c r="G15" s="40"/>
      <c r="H15" s="39"/>
      <c r="I15" s="40"/>
      <c r="J15" s="40"/>
      <c r="K15" s="41"/>
      <c r="L15" s="42"/>
      <c r="M15" s="41"/>
      <c r="N15" s="142"/>
      <c r="O15" s="143"/>
      <c r="P15" s="41"/>
      <c r="Q15" s="29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  <c r="FH15" s="105"/>
      <c r="FI15" s="105"/>
      <c r="FJ15" s="105"/>
      <c r="FK15" s="105"/>
      <c r="FL15" s="105"/>
      <c r="FM15" s="105"/>
      <c r="FN15" s="105"/>
      <c r="FO15" s="105"/>
      <c r="FP15" s="105"/>
      <c r="FQ15" s="105"/>
      <c r="FR15" s="105"/>
      <c r="FS15" s="105"/>
      <c r="FT15" s="105"/>
      <c r="FU15" s="105"/>
      <c r="FV15" s="105"/>
      <c r="FW15" s="105"/>
      <c r="FX15" s="105"/>
      <c r="FY15" s="105"/>
      <c r="FZ15" s="105"/>
      <c r="GA15" s="105"/>
      <c r="GB15" s="105"/>
      <c r="GC15" s="105"/>
      <c r="GD15" s="105"/>
      <c r="GE15" s="105"/>
      <c r="GF15" s="105"/>
      <c r="GG15" s="105"/>
      <c r="GH15" s="105"/>
      <c r="GI15" s="105"/>
      <c r="GJ15" s="105"/>
      <c r="GK15" s="105"/>
      <c r="GL15" s="105"/>
      <c r="GM15" s="105"/>
      <c r="GN15" s="105"/>
      <c r="GO15" s="105"/>
      <c r="GP15" s="105"/>
      <c r="GQ15" s="105"/>
      <c r="GR15" s="105"/>
      <c r="GS15" s="105"/>
      <c r="GT15" s="105"/>
      <c r="GU15" s="105"/>
      <c r="GV15" s="105"/>
      <c r="GW15" s="105"/>
      <c r="GX15" s="105"/>
      <c r="GY15" s="105"/>
      <c r="GZ15" s="105"/>
      <c r="HA15" s="105"/>
      <c r="HB15" s="105"/>
      <c r="HC15" s="105"/>
      <c r="HD15" s="105"/>
      <c r="HE15" s="105"/>
      <c r="HF15" s="105"/>
      <c r="HG15" s="105"/>
      <c r="HH15" s="105"/>
      <c r="HI15" s="105"/>
      <c r="HJ15" s="105"/>
      <c r="HK15" s="105"/>
      <c r="HL15" s="105"/>
      <c r="HM15" s="105"/>
      <c r="HN15" s="105"/>
      <c r="HO15" s="105"/>
      <c r="HP15" s="105"/>
      <c r="HQ15" s="105"/>
      <c r="HR15" s="105"/>
      <c r="HS15" s="105"/>
      <c r="HT15" s="105"/>
      <c r="HU15" s="105"/>
      <c r="HV15" s="105"/>
      <c r="HW15" s="105"/>
      <c r="HX15" s="105"/>
      <c r="HY15" s="105"/>
      <c r="HZ15" s="105"/>
      <c r="IA15" s="105"/>
      <c r="IB15" s="105"/>
      <c r="IC15" s="105"/>
      <c r="ID15" s="105"/>
      <c r="IE15" s="105"/>
    </row>
    <row r="16" spans="1:239" s="2" customFormat="1" ht="18" hidden="1" customHeight="1">
      <c r="A16" s="6"/>
      <c r="B16" s="1820"/>
      <c r="C16" s="184"/>
      <c r="D16" s="185"/>
      <c r="E16" s="184"/>
      <c r="F16" s="185"/>
      <c r="G16" s="186"/>
      <c r="H16" s="185"/>
      <c r="I16" s="186"/>
      <c r="J16" s="186"/>
      <c r="K16" s="187"/>
      <c r="L16" s="188"/>
      <c r="M16" s="187"/>
      <c r="N16" s="215"/>
      <c r="O16" s="216"/>
      <c r="P16" s="187"/>
      <c r="Q16" s="29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5"/>
      <c r="EY16" s="105"/>
      <c r="EZ16" s="105"/>
      <c r="FA16" s="105"/>
      <c r="FB16" s="105"/>
      <c r="FC16" s="105"/>
      <c r="FD16" s="105"/>
      <c r="FE16" s="105"/>
      <c r="FF16" s="105"/>
      <c r="FG16" s="105"/>
      <c r="FH16" s="105"/>
      <c r="FI16" s="105"/>
      <c r="FJ16" s="105"/>
      <c r="FK16" s="105"/>
      <c r="FL16" s="105"/>
      <c r="FM16" s="105"/>
      <c r="FN16" s="105"/>
      <c r="FO16" s="105"/>
      <c r="FP16" s="105"/>
      <c r="FQ16" s="105"/>
      <c r="FR16" s="105"/>
      <c r="FS16" s="105"/>
      <c r="FT16" s="105"/>
      <c r="FU16" s="105"/>
      <c r="FV16" s="105"/>
      <c r="FW16" s="105"/>
      <c r="FX16" s="105"/>
      <c r="FY16" s="105"/>
      <c r="FZ16" s="105"/>
      <c r="GA16" s="105"/>
      <c r="GB16" s="105"/>
      <c r="GC16" s="105"/>
      <c r="GD16" s="105"/>
      <c r="GE16" s="105"/>
      <c r="GF16" s="105"/>
      <c r="GG16" s="105"/>
      <c r="GH16" s="105"/>
      <c r="GI16" s="105"/>
      <c r="GJ16" s="105"/>
      <c r="GK16" s="105"/>
      <c r="GL16" s="105"/>
      <c r="GM16" s="105"/>
      <c r="GN16" s="105"/>
      <c r="GO16" s="105"/>
      <c r="GP16" s="105"/>
      <c r="GQ16" s="105"/>
      <c r="GR16" s="105"/>
      <c r="GS16" s="105"/>
      <c r="GT16" s="105"/>
      <c r="GU16" s="105"/>
      <c r="GV16" s="105"/>
      <c r="GW16" s="105"/>
      <c r="GX16" s="105"/>
      <c r="GY16" s="105"/>
      <c r="GZ16" s="105"/>
      <c r="HA16" s="105"/>
      <c r="HB16" s="105"/>
      <c r="HC16" s="105"/>
      <c r="HD16" s="105"/>
      <c r="HE16" s="105"/>
      <c r="HF16" s="105"/>
      <c r="HG16" s="105"/>
      <c r="HH16" s="105"/>
      <c r="HI16" s="105"/>
      <c r="HJ16" s="105"/>
      <c r="HK16" s="105"/>
      <c r="HL16" s="105"/>
      <c r="HM16" s="105"/>
      <c r="HN16" s="105"/>
      <c r="HO16" s="105"/>
      <c r="HP16" s="105"/>
      <c r="HQ16" s="105"/>
      <c r="HR16" s="105"/>
      <c r="HS16" s="105"/>
      <c r="HT16" s="105"/>
      <c r="HU16" s="105"/>
      <c r="HV16" s="105"/>
      <c r="HW16" s="105"/>
      <c r="HX16" s="105"/>
      <c r="HY16" s="105"/>
      <c r="HZ16" s="105"/>
      <c r="IA16" s="105"/>
      <c r="IB16" s="105"/>
      <c r="IC16" s="105"/>
      <c r="ID16" s="105"/>
      <c r="IE16" s="105"/>
    </row>
    <row r="17" spans="1:239" s="2" customFormat="1" ht="18" hidden="1" customHeight="1">
      <c r="A17" s="6"/>
      <c r="B17" s="1820"/>
      <c r="C17" s="38"/>
      <c r="D17" s="39"/>
      <c r="E17" s="38"/>
      <c r="F17" s="39"/>
      <c r="G17" s="40"/>
      <c r="H17" s="39"/>
      <c r="I17" s="40"/>
      <c r="J17" s="40"/>
      <c r="K17" s="41"/>
      <c r="L17" s="42"/>
      <c r="M17" s="41"/>
      <c r="N17" s="142"/>
      <c r="O17" s="143"/>
      <c r="P17" s="41"/>
      <c r="Q17" s="29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5"/>
      <c r="EY17" s="105"/>
      <c r="EZ17" s="105"/>
      <c r="FA17" s="105"/>
      <c r="FB17" s="105"/>
      <c r="FC17" s="105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5"/>
      <c r="FP17" s="105"/>
      <c r="FQ17" s="105"/>
      <c r="FR17" s="105"/>
      <c r="FS17" s="105"/>
      <c r="FT17" s="105"/>
      <c r="FU17" s="105"/>
      <c r="FV17" s="105"/>
      <c r="FW17" s="105"/>
      <c r="FX17" s="105"/>
      <c r="FY17" s="105"/>
      <c r="FZ17" s="105"/>
      <c r="GA17" s="105"/>
      <c r="GB17" s="105"/>
      <c r="GC17" s="105"/>
      <c r="GD17" s="105"/>
      <c r="GE17" s="105"/>
      <c r="GF17" s="105"/>
      <c r="GG17" s="105"/>
      <c r="GH17" s="105"/>
      <c r="GI17" s="105"/>
      <c r="GJ17" s="105"/>
      <c r="GK17" s="105"/>
      <c r="GL17" s="105"/>
      <c r="GM17" s="105"/>
      <c r="GN17" s="105"/>
      <c r="GO17" s="105"/>
      <c r="GP17" s="105"/>
      <c r="GQ17" s="105"/>
      <c r="GR17" s="105"/>
      <c r="GS17" s="105"/>
      <c r="GT17" s="105"/>
      <c r="GU17" s="105"/>
      <c r="GV17" s="105"/>
      <c r="GW17" s="105"/>
      <c r="GX17" s="105"/>
      <c r="GY17" s="105"/>
      <c r="GZ17" s="105"/>
      <c r="HA17" s="105"/>
      <c r="HB17" s="105"/>
      <c r="HC17" s="105"/>
      <c r="HD17" s="105"/>
      <c r="HE17" s="105"/>
      <c r="HF17" s="105"/>
      <c r="HG17" s="105"/>
      <c r="HH17" s="105"/>
      <c r="HI17" s="105"/>
      <c r="HJ17" s="105"/>
      <c r="HK17" s="105"/>
      <c r="HL17" s="105"/>
      <c r="HM17" s="105"/>
      <c r="HN17" s="105"/>
      <c r="HO17" s="105"/>
      <c r="HP17" s="105"/>
      <c r="HQ17" s="105"/>
      <c r="HR17" s="105"/>
      <c r="HS17" s="105"/>
      <c r="HT17" s="105"/>
      <c r="HU17" s="105"/>
      <c r="HV17" s="105"/>
      <c r="HW17" s="105"/>
      <c r="HX17" s="105"/>
      <c r="HY17" s="105"/>
      <c r="HZ17" s="105"/>
      <c r="IA17" s="105"/>
      <c r="IB17" s="105"/>
      <c r="IC17" s="105"/>
      <c r="ID17" s="105"/>
      <c r="IE17" s="105"/>
    </row>
    <row r="18" spans="1:239" s="2" customFormat="1" ht="18" hidden="1" customHeight="1">
      <c r="A18" s="6"/>
      <c r="B18" s="1820"/>
      <c r="C18" s="184"/>
      <c r="D18" s="185"/>
      <c r="E18" s="184"/>
      <c r="F18" s="185"/>
      <c r="G18" s="186"/>
      <c r="H18" s="185"/>
      <c r="I18" s="186"/>
      <c r="J18" s="186"/>
      <c r="K18" s="187"/>
      <c r="L18" s="188"/>
      <c r="M18" s="187"/>
      <c r="N18" s="215"/>
      <c r="O18" s="216"/>
      <c r="P18" s="187"/>
      <c r="Q18" s="29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  <c r="HW18" s="105"/>
      <c r="HX18" s="105"/>
      <c r="HY18" s="105"/>
      <c r="HZ18" s="105"/>
      <c r="IA18" s="105"/>
      <c r="IB18" s="105"/>
      <c r="IC18" s="105"/>
      <c r="ID18" s="105"/>
      <c r="IE18" s="105"/>
    </row>
    <row r="19" spans="1:239" s="2" customFormat="1" ht="18" hidden="1" customHeight="1">
      <c r="A19" s="6"/>
      <c r="B19" s="1820"/>
      <c r="C19" s="38"/>
      <c r="D19" s="39"/>
      <c r="E19" s="38"/>
      <c r="F19" s="39"/>
      <c r="G19" s="40"/>
      <c r="H19" s="39"/>
      <c r="I19" s="40"/>
      <c r="J19" s="40"/>
      <c r="K19" s="41"/>
      <c r="L19" s="42"/>
      <c r="M19" s="41"/>
      <c r="N19" s="142"/>
      <c r="O19" s="143"/>
      <c r="P19" s="41"/>
      <c r="Q19" s="29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5"/>
      <c r="EO19" s="105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5"/>
      <c r="FF19" s="105"/>
      <c r="FG19" s="105"/>
      <c r="FH19" s="105"/>
      <c r="FI19" s="105"/>
      <c r="FJ19" s="105"/>
      <c r="FK19" s="105"/>
      <c r="FL19" s="105"/>
      <c r="FM19" s="105"/>
      <c r="FN19" s="105"/>
      <c r="FO19" s="105"/>
      <c r="FP19" s="105"/>
      <c r="FQ19" s="105"/>
      <c r="FR19" s="105"/>
      <c r="FS19" s="105"/>
      <c r="FT19" s="105"/>
      <c r="FU19" s="105"/>
      <c r="FV19" s="105"/>
      <c r="FW19" s="105"/>
      <c r="FX19" s="105"/>
      <c r="FY19" s="105"/>
      <c r="FZ19" s="105"/>
      <c r="GA19" s="105"/>
      <c r="GB19" s="105"/>
      <c r="GC19" s="105"/>
      <c r="GD19" s="105"/>
      <c r="GE19" s="105"/>
      <c r="GF19" s="105"/>
      <c r="GG19" s="105"/>
      <c r="GH19" s="105"/>
      <c r="GI19" s="105"/>
      <c r="GJ19" s="105"/>
      <c r="GK19" s="105"/>
      <c r="GL19" s="105"/>
      <c r="GM19" s="105"/>
      <c r="GN19" s="105"/>
      <c r="GO19" s="105"/>
      <c r="GP19" s="105"/>
      <c r="GQ19" s="105"/>
      <c r="GR19" s="105"/>
      <c r="GS19" s="105"/>
      <c r="GT19" s="105"/>
      <c r="GU19" s="105"/>
      <c r="GV19" s="105"/>
      <c r="GW19" s="105"/>
      <c r="GX19" s="105"/>
      <c r="GY19" s="105"/>
      <c r="GZ19" s="105"/>
      <c r="HA19" s="105"/>
      <c r="HB19" s="105"/>
      <c r="HC19" s="105"/>
      <c r="HD19" s="105"/>
      <c r="HE19" s="105"/>
      <c r="HF19" s="105"/>
      <c r="HG19" s="105"/>
      <c r="HH19" s="105"/>
      <c r="HI19" s="105"/>
      <c r="HJ19" s="105"/>
      <c r="HK19" s="105"/>
      <c r="HL19" s="105"/>
      <c r="HM19" s="105"/>
      <c r="HN19" s="105"/>
      <c r="HO19" s="105"/>
      <c r="HP19" s="105"/>
      <c r="HQ19" s="105"/>
      <c r="HR19" s="105"/>
      <c r="HS19" s="105"/>
      <c r="HT19" s="105"/>
      <c r="HU19" s="105"/>
      <c r="HV19" s="105"/>
      <c r="HW19" s="105"/>
      <c r="HX19" s="105"/>
      <c r="HY19" s="105"/>
      <c r="HZ19" s="105"/>
      <c r="IA19" s="105"/>
      <c r="IB19" s="105"/>
      <c r="IC19" s="105"/>
      <c r="ID19" s="105"/>
      <c r="IE19" s="105"/>
    </row>
    <row r="20" spans="1:239" s="2" customFormat="1" ht="18" hidden="1" customHeight="1">
      <c r="A20" s="6"/>
      <c r="B20" s="1820"/>
      <c r="C20" s="184"/>
      <c r="D20" s="185"/>
      <c r="E20" s="184"/>
      <c r="F20" s="185"/>
      <c r="G20" s="186"/>
      <c r="H20" s="185"/>
      <c r="I20" s="186"/>
      <c r="J20" s="186"/>
      <c r="K20" s="187"/>
      <c r="L20" s="188"/>
      <c r="M20" s="187"/>
      <c r="N20" s="215"/>
      <c r="O20" s="216"/>
      <c r="P20" s="187"/>
      <c r="Q20" s="29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5"/>
      <c r="EL20" s="105"/>
      <c r="EM20" s="105"/>
      <c r="EN20" s="105"/>
      <c r="EO20" s="105"/>
      <c r="EP20" s="105"/>
      <c r="EQ20" s="105"/>
      <c r="ER20" s="105"/>
      <c r="ES20" s="105"/>
      <c r="ET20" s="105"/>
      <c r="EU20" s="105"/>
      <c r="EV20" s="105"/>
      <c r="EW20" s="105"/>
      <c r="EX20" s="105"/>
      <c r="EY20" s="105"/>
      <c r="EZ20" s="105"/>
      <c r="FA20" s="105"/>
      <c r="FB20" s="105"/>
      <c r="FC20" s="105"/>
      <c r="FD20" s="105"/>
      <c r="FE20" s="105"/>
      <c r="FF20" s="105"/>
      <c r="FG20" s="105"/>
      <c r="FH20" s="105"/>
      <c r="FI20" s="105"/>
      <c r="FJ20" s="105"/>
      <c r="FK20" s="105"/>
      <c r="FL20" s="105"/>
      <c r="FM20" s="105"/>
      <c r="FN20" s="105"/>
      <c r="FO20" s="105"/>
      <c r="FP20" s="105"/>
      <c r="FQ20" s="105"/>
      <c r="FR20" s="105"/>
      <c r="FS20" s="105"/>
      <c r="FT20" s="105"/>
      <c r="FU20" s="105"/>
      <c r="FV20" s="105"/>
      <c r="FW20" s="105"/>
      <c r="FX20" s="105"/>
      <c r="FY20" s="105"/>
      <c r="FZ20" s="105"/>
      <c r="GA20" s="105"/>
      <c r="GB20" s="105"/>
      <c r="GC20" s="105"/>
      <c r="GD20" s="105"/>
      <c r="GE20" s="105"/>
      <c r="GF20" s="105"/>
      <c r="GG20" s="105"/>
      <c r="GH20" s="105"/>
      <c r="GI20" s="105"/>
      <c r="GJ20" s="105"/>
      <c r="GK20" s="105"/>
      <c r="GL20" s="105"/>
      <c r="GM20" s="105"/>
      <c r="GN20" s="105"/>
      <c r="GO20" s="105"/>
      <c r="GP20" s="105"/>
      <c r="GQ20" s="105"/>
      <c r="GR20" s="105"/>
      <c r="GS20" s="105"/>
      <c r="GT20" s="105"/>
      <c r="GU20" s="105"/>
      <c r="GV20" s="105"/>
      <c r="GW20" s="105"/>
      <c r="GX20" s="105"/>
      <c r="GY20" s="105"/>
      <c r="GZ20" s="105"/>
      <c r="HA20" s="105"/>
      <c r="HB20" s="105"/>
      <c r="HC20" s="105"/>
      <c r="HD20" s="105"/>
      <c r="HE20" s="105"/>
      <c r="HF20" s="105"/>
      <c r="HG20" s="105"/>
      <c r="HH20" s="105"/>
      <c r="HI20" s="105"/>
      <c r="HJ20" s="105"/>
      <c r="HK20" s="105"/>
      <c r="HL20" s="105"/>
      <c r="HM20" s="105"/>
      <c r="HN20" s="105"/>
      <c r="HO20" s="105"/>
      <c r="HP20" s="105"/>
      <c r="HQ20" s="105"/>
      <c r="HR20" s="105"/>
      <c r="HS20" s="105"/>
      <c r="HT20" s="105"/>
      <c r="HU20" s="105"/>
      <c r="HV20" s="105"/>
      <c r="HW20" s="105"/>
      <c r="HX20" s="105"/>
      <c r="HY20" s="105"/>
      <c r="HZ20" s="105"/>
      <c r="IA20" s="105"/>
      <c r="IB20" s="105"/>
      <c r="IC20" s="105"/>
      <c r="ID20" s="105"/>
      <c r="IE20" s="105"/>
    </row>
    <row r="21" spans="1:239" s="2" customFormat="1" ht="18" hidden="1" customHeight="1">
      <c r="A21" s="6"/>
      <c r="B21" s="1820"/>
      <c r="C21" s="38"/>
      <c r="D21" s="39"/>
      <c r="E21" s="38"/>
      <c r="F21" s="39"/>
      <c r="G21" s="40"/>
      <c r="H21" s="39"/>
      <c r="I21" s="40"/>
      <c r="J21" s="40"/>
      <c r="K21" s="41"/>
      <c r="L21" s="42"/>
      <c r="M21" s="41"/>
      <c r="N21" s="142"/>
      <c r="O21" s="143"/>
      <c r="P21" s="41"/>
      <c r="Q21" s="29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5"/>
      <c r="EL21" s="105"/>
      <c r="EM21" s="105"/>
      <c r="EN21" s="105"/>
      <c r="EO21" s="105"/>
      <c r="EP21" s="105"/>
      <c r="EQ21" s="105"/>
      <c r="ER21" s="105"/>
      <c r="ES21" s="105"/>
      <c r="ET21" s="105"/>
      <c r="EU21" s="105"/>
      <c r="EV21" s="105"/>
      <c r="EW21" s="105"/>
      <c r="EX21" s="105"/>
      <c r="EY21" s="105"/>
      <c r="EZ21" s="105"/>
      <c r="FA21" s="105"/>
      <c r="FB21" s="105"/>
      <c r="FC21" s="105"/>
      <c r="FD21" s="105"/>
      <c r="FE21" s="105"/>
      <c r="FF21" s="105"/>
      <c r="FG21" s="105"/>
      <c r="FH21" s="105"/>
      <c r="FI21" s="105"/>
      <c r="FJ21" s="105"/>
      <c r="FK21" s="105"/>
      <c r="FL21" s="105"/>
      <c r="FM21" s="105"/>
      <c r="FN21" s="105"/>
      <c r="FO21" s="105"/>
      <c r="FP21" s="105"/>
      <c r="FQ21" s="105"/>
      <c r="FR21" s="105"/>
      <c r="FS21" s="105"/>
      <c r="FT21" s="105"/>
      <c r="FU21" s="105"/>
      <c r="FV21" s="105"/>
      <c r="FW21" s="105"/>
      <c r="FX21" s="105"/>
      <c r="FY21" s="105"/>
      <c r="FZ21" s="105"/>
      <c r="GA21" s="105"/>
      <c r="GB21" s="105"/>
      <c r="GC21" s="105"/>
      <c r="GD21" s="105"/>
      <c r="GE21" s="105"/>
      <c r="GF21" s="105"/>
      <c r="GG21" s="105"/>
      <c r="GH21" s="105"/>
      <c r="GI21" s="105"/>
      <c r="GJ21" s="105"/>
      <c r="GK21" s="105"/>
      <c r="GL21" s="105"/>
      <c r="GM21" s="105"/>
      <c r="GN21" s="105"/>
      <c r="GO21" s="105"/>
      <c r="GP21" s="105"/>
      <c r="GQ21" s="105"/>
      <c r="GR21" s="105"/>
      <c r="GS21" s="105"/>
      <c r="GT21" s="105"/>
      <c r="GU21" s="105"/>
      <c r="GV21" s="105"/>
      <c r="GW21" s="105"/>
      <c r="GX21" s="105"/>
      <c r="GY21" s="105"/>
      <c r="GZ21" s="105"/>
      <c r="HA21" s="105"/>
      <c r="HB21" s="105"/>
      <c r="HC21" s="105"/>
      <c r="HD21" s="105"/>
      <c r="HE21" s="105"/>
      <c r="HF21" s="105"/>
      <c r="HG21" s="105"/>
      <c r="HH21" s="105"/>
      <c r="HI21" s="105"/>
      <c r="HJ21" s="105"/>
      <c r="HK21" s="105"/>
      <c r="HL21" s="105"/>
      <c r="HM21" s="105"/>
      <c r="HN21" s="105"/>
      <c r="HO21" s="105"/>
      <c r="HP21" s="105"/>
      <c r="HQ21" s="105"/>
      <c r="HR21" s="105"/>
      <c r="HS21" s="105"/>
      <c r="HT21" s="105"/>
      <c r="HU21" s="105"/>
      <c r="HV21" s="105"/>
      <c r="HW21" s="105"/>
      <c r="HX21" s="105"/>
      <c r="HY21" s="105"/>
      <c r="HZ21" s="105"/>
      <c r="IA21" s="105"/>
      <c r="IB21" s="105"/>
      <c r="IC21" s="105"/>
      <c r="ID21" s="105"/>
      <c r="IE21" s="105"/>
    </row>
    <row r="22" spans="1:239" s="2" customFormat="1" ht="18" hidden="1" customHeight="1">
      <c r="A22" s="6"/>
      <c r="B22" s="1820"/>
      <c r="C22" s="184"/>
      <c r="D22" s="185"/>
      <c r="E22" s="184"/>
      <c r="F22" s="185"/>
      <c r="G22" s="186"/>
      <c r="H22" s="185"/>
      <c r="I22" s="186"/>
      <c r="J22" s="186"/>
      <c r="K22" s="187"/>
      <c r="L22" s="188"/>
      <c r="M22" s="187"/>
      <c r="N22" s="215"/>
      <c r="O22" s="216"/>
      <c r="P22" s="187"/>
      <c r="Q22" s="29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5"/>
      <c r="FC22" s="105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5"/>
      <c r="GH22" s="105"/>
      <c r="GI22" s="105"/>
      <c r="GJ22" s="105"/>
      <c r="GK22" s="105"/>
      <c r="GL22" s="105"/>
      <c r="GM22" s="105"/>
      <c r="GN22" s="105"/>
      <c r="GO22" s="105"/>
      <c r="GP22" s="105"/>
      <c r="GQ22" s="105"/>
      <c r="GR22" s="105"/>
      <c r="GS22" s="105"/>
      <c r="GT22" s="105"/>
      <c r="GU22" s="105"/>
      <c r="GV22" s="105"/>
      <c r="GW22" s="105"/>
      <c r="GX22" s="105"/>
      <c r="GY22" s="105"/>
      <c r="GZ22" s="105"/>
      <c r="HA22" s="105"/>
      <c r="HB22" s="105"/>
      <c r="HC22" s="105"/>
      <c r="HD22" s="105"/>
      <c r="HE22" s="105"/>
      <c r="HF22" s="105"/>
      <c r="HG22" s="105"/>
      <c r="HH22" s="105"/>
      <c r="HI22" s="105"/>
      <c r="HJ22" s="105"/>
      <c r="HK22" s="105"/>
      <c r="HL22" s="105"/>
      <c r="HM22" s="105"/>
      <c r="HN22" s="105"/>
      <c r="HO22" s="105"/>
      <c r="HP22" s="105"/>
      <c r="HQ22" s="105"/>
      <c r="HR22" s="105"/>
      <c r="HS22" s="105"/>
      <c r="HT22" s="105"/>
      <c r="HU22" s="105"/>
      <c r="HV22" s="105"/>
      <c r="HW22" s="105"/>
      <c r="HX22" s="105"/>
      <c r="HY22" s="105"/>
      <c r="HZ22" s="105"/>
      <c r="IA22" s="105"/>
      <c r="IB22" s="105"/>
      <c r="IC22" s="105"/>
      <c r="ID22" s="105"/>
      <c r="IE22" s="105"/>
    </row>
    <row r="23" spans="1:239" s="2" customFormat="1" ht="18" hidden="1" customHeight="1">
      <c r="A23" s="6"/>
      <c r="B23" s="1820"/>
      <c r="C23" s="38"/>
      <c r="D23" s="39"/>
      <c r="E23" s="38"/>
      <c r="F23" s="39"/>
      <c r="G23" s="40"/>
      <c r="H23" s="39"/>
      <c r="I23" s="40"/>
      <c r="J23" s="40"/>
      <c r="K23" s="41"/>
      <c r="L23" s="42"/>
      <c r="M23" s="41"/>
      <c r="N23" s="142"/>
      <c r="O23" s="143"/>
      <c r="P23" s="41"/>
      <c r="Q23" s="29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5"/>
      <c r="FR23" s="105"/>
      <c r="FS23" s="105"/>
      <c r="FT23" s="105"/>
      <c r="FU23" s="105"/>
      <c r="FV23" s="105"/>
      <c r="FW23" s="105"/>
      <c r="FX23" s="105"/>
      <c r="FY23" s="105"/>
      <c r="FZ23" s="105"/>
      <c r="GA23" s="105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  <c r="IC23" s="105"/>
      <c r="ID23" s="105"/>
      <c r="IE23" s="105"/>
    </row>
    <row r="24" spans="1:239" s="2" customFormat="1" ht="18" hidden="1" customHeight="1">
      <c r="A24" s="6"/>
      <c r="B24" s="1820"/>
      <c r="C24" s="184"/>
      <c r="D24" s="185"/>
      <c r="E24" s="184"/>
      <c r="F24" s="185"/>
      <c r="G24" s="186"/>
      <c r="H24" s="185"/>
      <c r="I24" s="186"/>
      <c r="J24" s="186"/>
      <c r="K24" s="187"/>
      <c r="L24" s="188"/>
      <c r="M24" s="187"/>
      <c r="N24" s="215"/>
      <c r="O24" s="216"/>
      <c r="P24" s="187"/>
      <c r="Q24" s="29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  <c r="IC24" s="105"/>
      <c r="ID24" s="105"/>
      <c r="IE24" s="105"/>
    </row>
    <row r="25" spans="1:239" s="2" customFormat="1" ht="18" hidden="1" customHeight="1">
      <c r="A25" s="6"/>
      <c r="B25" s="1820"/>
      <c r="C25" s="38"/>
      <c r="D25" s="39"/>
      <c r="E25" s="38"/>
      <c r="F25" s="39"/>
      <c r="G25" s="40"/>
      <c r="H25" s="39"/>
      <c r="I25" s="40"/>
      <c r="J25" s="40"/>
      <c r="K25" s="41"/>
      <c r="L25" s="42"/>
      <c r="M25" s="41"/>
      <c r="N25" s="142"/>
      <c r="O25" s="143"/>
      <c r="P25" s="41"/>
      <c r="Q25" s="29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105"/>
      <c r="FW25" s="105"/>
      <c r="FX25" s="105"/>
      <c r="FY25" s="105"/>
      <c r="FZ25" s="105"/>
      <c r="GA25" s="105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  <c r="IC25" s="105"/>
      <c r="ID25" s="105"/>
      <c r="IE25" s="105"/>
    </row>
    <row r="26" spans="1:239" s="2" customFormat="1" ht="18" hidden="1" customHeight="1">
      <c r="A26" s="6"/>
      <c r="B26" s="1820"/>
      <c r="C26" s="184"/>
      <c r="D26" s="185"/>
      <c r="E26" s="184"/>
      <c r="F26" s="185"/>
      <c r="G26" s="186"/>
      <c r="H26" s="185"/>
      <c r="I26" s="186"/>
      <c r="J26" s="186"/>
      <c r="K26" s="187"/>
      <c r="L26" s="188"/>
      <c r="M26" s="187"/>
      <c r="N26" s="215"/>
      <c r="O26" s="216"/>
      <c r="P26" s="187"/>
      <c r="Q26" s="29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5"/>
      <c r="FW26" s="105"/>
      <c r="FX26" s="105"/>
      <c r="FY26" s="105"/>
      <c r="FZ26" s="105"/>
      <c r="GA26" s="105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  <c r="IC26" s="105"/>
      <c r="ID26" s="105"/>
      <c r="IE26" s="105"/>
    </row>
    <row r="27" spans="1:239" s="2" customFormat="1" ht="18" hidden="1" customHeight="1">
      <c r="A27" s="6"/>
      <c r="B27" s="1820"/>
      <c r="C27" s="38"/>
      <c r="D27" s="39"/>
      <c r="E27" s="38"/>
      <c r="F27" s="39"/>
      <c r="G27" s="40"/>
      <c r="H27" s="39"/>
      <c r="I27" s="40"/>
      <c r="J27" s="40"/>
      <c r="K27" s="41"/>
      <c r="L27" s="42"/>
      <c r="M27" s="41"/>
      <c r="N27" s="142"/>
      <c r="O27" s="143"/>
      <c r="P27" s="41"/>
      <c r="Q27" s="29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5"/>
      <c r="FR27" s="105"/>
      <c r="FS27" s="105"/>
      <c r="FT27" s="105"/>
      <c r="FU27" s="105"/>
      <c r="FV27" s="105"/>
      <c r="FW27" s="105"/>
      <c r="FX27" s="105"/>
      <c r="FY27" s="105"/>
      <c r="FZ27" s="105"/>
      <c r="GA27" s="105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  <c r="IC27" s="105"/>
      <c r="ID27" s="105"/>
      <c r="IE27" s="105"/>
    </row>
    <row r="28" spans="1:239" s="2" customFormat="1" ht="18" customHeight="1">
      <c r="A28" s="6"/>
      <c r="B28" s="1851"/>
      <c r="C28" s="1793"/>
      <c r="D28" s="1793"/>
      <c r="E28" s="1793"/>
      <c r="F28" s="1793"/>
      <c r="G28" s="1793"/>
      <c r="H28" s="1793"/>
      <c r="I28" s="1794"/>
      <c r="J28" s="114">
        <f t="shared" ref="J28:M28" si="1">SUM(J5:J27)</f>
        <v>11476.5</v>
      </c>
      <c r="K28" s="114">
        <f t="shared" si="1"/>
        <v>8129.7</v>
      </c>
      <c r="L28" s="115">
        <f t="shared" si="1"/>
        <v>2</v>
      </c>
      <c r="M28" s="114">
        <f t="shared" si="1"/>
        <v>39212.400000000001</v>
      </c>
      <c r="N28" s="1852"/>
      <c r="O28" s="1853"/>
      <c r="P28" s="114">
        <f>SUM(P5:P27)</f>
        <v>34742.186399999999</v>
      </c>
      <c r="Q28" s="29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5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5"/>
      <c r="FR28" s="105"/>
      <c r="FS28" s="105"/>
      <c r="FT28" s="105"/>
      <c r="FU28" s="105"/>
      <c r="FV28" s="105"/>
      <c r="FW28" s="105"/>
      <c r="FX28" s="105"/>
      <c r="FY28" s="105"/>
      <c r="FZ28" s="105"/>
      <c r="GA28" s="105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  <c r="IC28" s="105"/>
      <c r="ID28" s="105"/>
      <c r="IE28" s="105"/>
    </row>
    <row r="29" spans="1:239" s="76" customFormat="1" ht="6" customHeight="1">
      <c r="A29" s="71"/>
      <c r="B29" s="72"/>
      <c r="C29" s="73"/>
      <c r="D29" s="73"/>
      <c r="E29" s="73"/>
      <c r="F29" s="73"/>
      <c r="G29" s="73"/>
      <c r="H29" s="73"/>
      <c r="I29" s="74"/>
      <c r="J29" s="74"/>
      <c r="K29" s="74"/>
      <c r="L29" s="74"/>
      <c r="M29" s="74"/>
      <c r="N29" s="74"/>
      <c r="O29" s="74"/>
      <c r="P29" s="74"/>
      <c r="Q29" s="29"/>
      <c r="R29" s="2"/>
      <c r="S29" s="2"/>
      <c r="T29" s="2"/>
      <c r="U29" s="2"/>
      <c r="V29" s="105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</row>
    <row r="30" spans="1:239" s="76" customFormat="1">
      <c r="A30" s="71"/>
      <c r="B30" s="1795" t="s">
        <v>219</v>
      </c>
      <c r="C30" s="1796"/>
      <c r="D30" s="1796"/>
      <c r="E30" s="1796"/>
      <c r="F30" s="1796"/>
      <c r="G30" s="1796"/>
      <c r="H30" s="1796"/>
      <c r="I30" s="1796"/>
      <c r="J30" s="1796"/>
      <c r="K30" s="1796"/>
      <c r="L30" s="1796"/>
      <c r="M30" s="1796"/>
      <c r="N30" s="1796"/>
      <c r="O30" s="1796"/>
      <c r="P30" s="1797"/>
      <c r="Q30" s="29"/>
      <c r="R30" s="2"/>
      <c r="S30" s="2"/>
      <c r="T30" s="2"/>
      <c r="U30" s="2"/>
      <c r="V30" s="105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  <c r="IC30" s="90"/>
      <c r="ID30" s="90"/>
      <c r="IE30" s="90"/>
    </row>
    <row r="31" spans="1:239" s="76" customFormat="1">
      <c r="A31" s="71"/>
      <c r="B31" s="1798"/>
      <c r="C31" s="1799"/>
      <c r="D31" s="1799"/>
      <c r="E31" s="1799"/>
      <c r="F31" s="1799"/>
      <c r="G31" s="1799"/>
      <c r="H31" s="1799"/>
      <c r="I31" s="1799"/>
      <c r="J31" s="1799"/>
      <c r="K31" s="1799"/>
      <c r="L31" s="1799"/>
      <c r="M31" s="1799"/>
      <c r="N31" s="1799"/>
      <c r="O31" s="1799"/>
      <c r="P31" s="1800"/>
      <c r="Q31" s="29"/>
      <c r="R31" s="2"/>
      <c r="S31" s="2"/>
      <c r="T31" s="2"/>
      <c r="U31" s="2"/>
      <c r="V31" s="105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</row>
    <row r="32" spans="1:239" s="76" customFormat="1" ht="5.0999999999999996" customHeight="1">
      <c r="A32" s="97"/>
      <c r="B32" s="72"/>
      <c r="C32" s="72"/>
      <c r="D32" s="72"/>
      <c r="E32" s="72"/>
      <c r="F32" s="72"/>
      <c r="G32" s="72"/>
      <c r="H32" s="77"/>
      <c r="I32" s="77"/>
      <c r="J32" s="77"/>
      <c r="K32" s="77"/>
      <c r="L32" s="77"/>
      <c r="M32" s="77"/>
      <c r="N32" s="77"/>
      <c r="O32" s="77"/>
      <c r="P32" s="77"/>
      <c r="Q32" s="104"/>
      <c r="R32" s="2"/>
      <c r="S32" s="2"/>
      <c r="T32" s="2"/>
      <c r="U32" s="2"/>
      <c r="V32" s="105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  <c r="IC32" s="90"/>
      <c r="ID32" s="90"/>
      <c r="IE32" s="90"/>
    </row>
    <row r="33" spans="2:239">
      <c r="Q33" s="105"/>
      <c r="R33" s="2"/>
      <c r="S33" s="2"/>
      <c r="T33" s="2"/>
      <c r="U33" s="2"/>
      <c r="V33" s="105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</row>
    <row r="34" spans="2:239"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  <c r="ET34" s="107"/>
      <c r="EU34" s="107"/>
      <c r="EV34" s="107"/>
      <c r="EW34" s="107"/>
      <c r="EX34" s="107"/>
      <c r="EY34" s="107"/>
      <c r="EZ34" s="107"/>
      <c r="FA34" s="107"/>
      <c r="FB34" s="107"/>
      <c r="FC34" s="107"/>
      <c r="FD34" s="107"/>
      <c r="FE34" s="107"/>
      <c r="FF34" s="107"/>
      <c r="FG34" s="107"/>
      <c r="FH34" s="107"/>
      <c r="FI34" s="107"/>
      <c r="FJ34" s="107"/>
      <c r="FK34" s="107"/>
      <c r="FL34" s="107"/>
      <c r="FM34" s="107"/>
      <c r="FN34" s="107"/>
      <c r="FO34" s="107"/>
      <c r="FP34" s="107"/>
      <c r="FQ34" s="107"/>
      <c r="FR34" s="107"/>
      <c r="FS34" s="107"/>
      <c r="FT34" s="107"/>
      <c r="FU34" s="107"/>
      <c r="FV34" s="107"/>
      <c r="FW34" s="107"/>
      <c r="FX34" s="107"/>
      <c r="FY34" s="107"/>
      <c r="FZ34" s="107"/>
      <c r="GA34" s="107"/>
      <c r="GB34" s="107"/>
      <c r="GC34" s="107"/>
      <c r="GD34" s="107"/>
      <c r="GE34" s="107"/>
      <c r="GF34" s="107"/>
      <c r="GG34" s="107"/>
      <c r="GH34" s="107"/>
      <c r="GI34" s="107"/>
      <c r="GJ34" s="107"/>
      <c r="GK34" s="107"/>
      <c r="GL34" s="107"/>
      <c r="GM34" s="107"/>
      <c r="GN34" s="107"/>
      <c r="GO34" s="107"/>
      <c r="GP34" s="107"/>
      <c r="GQ34" s="107"/>
      <c r="GR34" s="107"/>
      <c r="GS34" s="107"/>
      <c r="GT34" s="107"/>
      <c r="GU34" s="107"/>
      <c r="GV34" s="107"/>
      <c r="GW34" s="107"/>
      <c r="GX34" s="107"/>
      <c r="GY34" s="107"/>
      <c r="GZ34" s="107"/>
      <c r="HA34" s="107"/>
      <c r="HB34" s="107"/>
      <c r="HC34" s="107"/>
      <c r="HD34" s="107"/>
      <c r="HE34" s="107"/>
      <c r="HF34" s="107"/>
      <c r="HG34" s="107"/>
      <c r="HH34" s="107"/>
      <c r="HI34" s="107"/>
      <c r="HJ34" s="107"/>
      <c r="HK34" s="107"/>
      <c r="HL34" s="107"/>
      <c r="HM34" s="107"/>
      <c r="HN34" s="107"/>
      <c r="HO34" s="107"/>
      <c r="HP34" s="107"/>
      <c r="HQ34" s="107"/>
      <c r="HR34" s="107"/>
      <c r="HS34" s="107"/>
      <c r="HT34" s="107"/>
      <c r="HU34" s="107"/>
      <c r="HV34" s="107"/>
      <c r="HW34" s="107"/>
      <c r="HX34" s="107"/>
      <c r="HY34" s="107"/>
      <c r="HZ34" s="107"/>
      <c r="IA34" s="107"/>
      <c r="IB34" s="107"/>
      <c r="IC34" s="107"/>
      <c r="ID34" s="107"/>
      <c r="IE34" s="107"/>
    </row>
    <row r="35" spans="2:239"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  <c r="IC35" s="107"/>
      <c r="ID35" s="107"/>
      <c r="IE35" s="107"/>
    </row>
    <row r="36" spans="2:239"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  <c r="IC36" s="107"/>
      <c r="ID36" s="107"/>
      <c r="IE36" s="107"/>
    </row>
    <row r="37" spans="2:239"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BL37" s="107"/>
      <c r="BM37" s="107"/>
      <c r="BN37" s="107"/>
      <c r="BO37" s="107"/>
      <c r="BP37" s="107"/>
      <c r="BQ37" s="107"/>
      <c r="BR37" s="107"/>
      <c r="BS37" s="107"/>
      <c r="BT37" s="107"/>
      <c r="BU37" s="107"/>
      <c r="BV37" s="107"/>
      <c r="BW37" s="107"/>
      <c r="BX37" s="107"/>
      <c r="BY37" s="107"/>
      <c r="BZ37" s="107"/>
      <c r="CA37" s="107"/>
      <c r="CB37" s="107"/>
      <c r="CC37" s="107"/>
      <c r="CD37" s="107"/>
      <c r="CE37" s="107"/>
      <c r="CF37" s="107"/>
      <c r="CG37" s="107"/>
      <c r="CH37" s="107"/>
      <c r="CI37" s="107"/>
      <c r="CJ37" s="107"/>
      <c r="CK37" s="107"/>
      <c r="CL37" s="107"/>
      <c r="CM37" s="107"/>
      <c r="CN37" s="107"/>
      <c r="CO37" s="107"/>
      <c r="CP37" s="107"/>
      <c r="CQ37" s="107"/>
      <c r="CR37" s="107"/>
      <c r="CS37" s="107"/>
      <c r="CT37" s="107"/>
      <c r="CU37" s="107"/>
      <c r="CV37" s="107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H37" s="107"/>
      <c r="DI37" s="107"/>
      <c r="DJ37" s="107"/>
      <c r="DK37" s="107"/>
      <c r="DL37" s="107"/>
      <c r="DM37" s="107"/>
      <c r="DN37" s="107"/>
      <c r="DO37" s="107"/>
      <c r="DP37" s="107"/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07"/>
      <c r="EK37" s="107"/>
      <c r="EL37" s="107"/>
      <c r="EM37" s="107"/>
      <c r="EN37" s="107"/>
      <c r="EO37" s="107"/>
      <c r="EP37" s="107"/>
      <c r="EQ37" s="107"/>
      <c r="ER37" s="107"/>
      <c r="ES37" s="107"/>
      <c r="ET37" s="107"/>
      <c r="EU37" s="107"/>
      <c r="EV37" s="107"/>
      <c r="EW37" s="107"/>
      <c r="EX37" s="107"/>
      <c r="EY37" s="107"/>
      <c r="EZ37" s="107"/>
      <c r="FA37" s="107"/>
      <c r="FB37" s="107"/>
      <c r="FC37" s="107"/>
      <c r="FD37" s="107"/>
      <c r="FE37" s="107"/>
      <c r="FF37" s="107"/>
      <c r="FG37" s="107"/>
      <c r="FH37" s="107"/>
      <c r="FI37" s="107"/>
      <c r="FJ37" s="107"/>
      <c r="FK37" s="107"/>
      <c r="FL37" s="107"/>
      <c r="FM37" s="107"/>
      <c r="FN37" s="107"/>
      <c r="FO37" s="107"/>
      <c r="FP37" s="107"/>
      <c r="FQ37" s="107"/>
      <c r="FR37" s="107"/>
      <c r="FS37" s="107"/>
      <c r="FT37" s="107"/>
      <c r="FU37" s="107"/>
      <c r="FV37" s="107"/>
      <c r="FW37" s="107"/>
      <c r="FX37" s="107"/>
      <c r="FY37" s="107"/>
      <c r="FZ37" s="107"/>
      <c r="GA37" s="107"/>
      <c r="GB37" s="107"/>
      <c r="GC37" s="107"/>
      <c r="GD37" s="107"/>
      <c r="GE37" s="107"/>
      <c r="GF37" s="107"/>
      <c r="GG37" s="107"/>
      <c r="GH37" s="107"/>
      <c r="GI37" s="107"/>
      <c r="GJ37" s="107"/>
      <c r="GK37" s="107"/>
      <c r="GL37" s="107"/>
      <c r="GM37" s="107"/>
      <c r="GN37" s="107"/>
      <c r="GO37" s="107"/>
      <c r="GP37" s="107"/>
      <c r="GQ37" s="107"/>
      <c r="GR37" s="107"/>
      <c r="GS37" s="107"/>
      <c r="GT37" s="107"/>
      <c r="GU37" s="107"/>
      <c r="GV37" s="107"/>
      <c r="GW37" s="107"/>
      <c r="GX37" s="107"/>
      <c r="GY37" s="107"/>
      <c r="GZ37" s="107"/>
      <c r="HA37" s="107"/>
      <c r="HB37" s="107"/>
      <c r="HC37" s="107"/>
      <c r="HD37" s="107"/>
      <c r="HE37" s="107"/>
      <c r="HF37" s="107"/>
      <c r="HG37" s="107"/>
      <c r="HH37" s="107"/>
      <c r="HI37" s="107"/>
      <c r="HJ37" s="107"/>
      <c r="HK37" s="107"/>
      <c r="HL37" s="107"/>
      <c r="HM37" s="107"/>
      <c r="HN37" s="107"/>
      <c r="HO37" s="107"/>
      <c r="HP37" s="107"/>
      <c r="HQ37" s="107"/>
      <c r="HR37" s="107"/>
      <c r="HS37" s="107"/>
      <c r="HT37" s="107"/>
      <c r="HU37" s="107"/>
      <c r="HV37" s="107"/>
      <c r="HW37" s="107"/>
      <c r="HX37" s="107"/>
      <c r="HY37" s="107"/>
      <c r="HZ37" s="107"/>
      <c r="IA37" s="107"/>
      <c r="IB37" s="107"/>
      <c r="IC37" s="107"/>
      <c r="ID37" s="107"/>
      <c r="IE37" s="107"/>
    </row>
    <row r="38" spans="2:239"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  <c r="BG38" s="107"/>
      <c r="BH38" s="107"/>
      <c r="BI38" s="107"/>
      <c r="BJ38" s="107"/>
      <c r="BK38" s="107"/>
      <c r="BL38" s="107"/>
      <c r="BM38" s="107"/>
      <c r="BN38" s="107"/>
      <c r="BO38" s="107"/>
      <c r="BP38" s="107"/>
      <c r="BQ38" s="107"/>
      <c r="BR38" s="107"/>
      <c r="BS38" s="107"/>
      <c r="BT38" s="107"/>
      <c r="BU38" s="107"/>
      <c r="BV38" s="107"/>
      <c r="BW38" s="107"/>
      <c r="BX38" s="107"/>
      <c r="BY38" s="107"/>
      <c r="BZ38" s="107"/>
      <c r="CA38" s="107"/>
      <c r="CB38" s="107"/>
      <c r="CC38" s="107"/>
      <c r="CD38" s="107"/>
      <c r="CE38" s="107"/>
      <c r="CF38" s="107"/>
      <c r="CG38" s="107"/>
      <c r="CH38" s="107"/>
      <c r="CI38" s="107"/>
      <c r="CJ38" s="107"/>
      <c r="CK38" s="107"/>
      <c r="CL38" s="107"/>
      <c r="CM38" s="107"/>
      <c r="CN38" s="107"/>
      <c r="CO38" s="107"/>
      <c r="CP38" s="107"/>
      <c r="CQ38" s="107"/>
      <c r="CR38" s="107"/>
      <c r="CS38" s="107"/>
      <c r="CT38" s="107"/>
      <c r="CU38" s="107"/>
      <c r="CV38" s="107"/>
      <c r="CW38" s="107"/>
      <c r="CX38" s="107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7"/>
      <c r="EO38" s="107"/>
      <c r="EP38" s="107"/>
      <c r="EQ38" s="107"/>
      <c r="ER38" s="107"/>
      <c r="ES38" s="107"/>
      <c r="ET38" s="107"/>
      <c r="EU38" s="107"/>
      <c r="EV38" s="107"/>
      <c r="EW38" s="107"/>
      <c r="EX38" s="107"/>
      <c r="EY38" s="107"/>
      <c r="EZ38" s="107"/>
      <c r="FA38" s="107"/>
      <c r="FB38" s="107"/>
      <c r="FC38" s="107"/>
      <c r="FD38" s="107"/>
      <c r="FE38" s="107"/>
      <c r="FF38" s="107"/>
      <c r="FG38" s="107"/>
      <c r="FH38" s="107"/>
      <c r="FI38" s="107"/>
      <c r="FJ38" s="107"/>
      <c r="FK38" s="107"/>
      <c r="FL38" s="107"/>
      <c r="FM38" s="107"/>
      <c r="FN38" s="107"/>
      <c r="FO38" s="107"/>
      <c r="FP38" s="107"/>
      <c r="FQ38" s="107"/>
      <c r="FR38" s="107"/>
      <c r="FS38" s="107"/>
      <c r="FT38" s="107"/>
      <c r="FU38" s="107"/>
      <c r="FV38" s="107"/>
      <c r="FW38" s="107"/>
      <c r="FX38" s="107"/>
      <c r="FY38" s="107"/>
      <c r="FZ38" s="107"/>
      <c r="GA38" s="107"/>
      <c r="GB38" s="107"/>
      <c r="GC38" s="107"/>
      <c r="GD38" s="107"/>
      <c r="GE38" s="107"/>
      <c r="GF38" s="107"/>
      <c r="GG38" s="107"/>
      <c r="GH38" s="107"/>
      <c r="GI38" s="107"/>
      <c r="GJ38" s="107"/>
      <c r="GK38" s="107"/>
      <c r="GL38" s="107"/>
      <c r="GM38" s="107"/>
      <c r="GN38" s="107"/>
      <c r="GO38" s="107"/>
      <c r="GP38" s="107"/>
      <c r="GQ38" s="107"/>
      <c r="GR38" s="107"/>
      <c r="GS38" s="107"/>
      <c r="GT38" s="107"/>
      <c r="GU38" s="107"/>
      <c r="GV38" s="107"/>
      <c r="GW38" s="107"/>
      <c r="GX38" s="107"/>
      <c r="GY38" s="107"/>
      <c r="GZ38" s="107"/>
      <c r="HA38" s="107"/>
      <c r="HB38" s="107"/>
      <c r="HC38" s="107"/>
      <c r="HD38" s="107"/>
      <c r="HE38" s="107"/>
      <c r="HF38" s="107"/>
      <c r="HG38" s="107"/>
      <c r="HH38" s="107"/>
      <c r="HI38" s="107"/>
      <c r="HJ38" s="107"/>
      <c r="HK38" s="107"/>
      <c r="HL38" s="107"/>
      <c r="HM38" s="107"/>
      <c r="HN38" s="107"/>
      <c r="HO38" s="107"/>
      <c r="HP38" s="107"/>
      <c r="HQ38" s="107"/>
      <c r="HR38" s="107"/>
      <c r="HS38" s="107"/>
      <c r="HT38" s="107"/>
      <c r="HU38" s="107"/>
      <c r="HV38" s="107"/>
      <c r="HW38" s="107"/>
      <c r="HX38" s="107"/>
      <c r="HY38" s="107"/>
      <c r="HZ38" s="107"/>
      <c r="IA38" s="107"/>
      <c r="IB38" s="107"/>
      <c r="IC38" s="107"/>
      <c r="ID38" s="107"/>
      <c r="IE38" s="107"/>
    </row>
    <row r="39" spans="2:239">
      <c r="B39" s="3" t="s">
        <v>1395</v>
      </c>
      <c r="D39" s="1605">
        <f>'MCaço CA-50'!J7</f>
        <v>11476.5</v>
      </c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07"/>
      <c r="BI39" s="107"/>
      <c r="BJ39" s="107"/>
      <c r="BK39" s="107"/>
      <c r="BL39" s="107"/>
      <c r="BM39" s="107"/>
      <c r="BN39" s="107"/>
      <c r="BO39" s="107"/>
      <c r="BP39" s="107"/>
      <c r="BQ39" s="107"/>
      <c r="BR39" s="107"/>
      <c r="BS39" s="107"/>
      <c r="BT39" s="107"/>
      <c r="BU39" s="107"/>
      <c r="BV39" s="107"/>
      <c r="BW39" s="107"/>
      <c r="BX39" s="107"/>
      <c r="BY39" s="107"/>
      <c r="BZ39" s="107"/>
      <c r="CA39" s="107"/>
      <c r="CB39" s="107"/>
      <c r="CC39" s="107"/>
      <c r="CD39" s="107"/>
      <c r="CE39" s="107"/>
      <c r="CF39" s="107"/>
      <c r="CG39" s="107"/>
      <c r="CH39" s="107"/>
      <c r="CI39" s="107"/>
      <c r="CJ39" s="107"/>
      <c r="CK39" s="107"/>
      <c r="CL39" s="107"/>
      <c r="CM39" s="107"/>
      <c r="CN39" s="107"/>
      <c r="CO39" s="107"/>
      <c r="CP39" s="107"/>
      <c r="CQ39" s="107"/>
      <c r="CR39" s="107"/>
      <c r="CS39" s="107"/>
      <c r="CT39" s="107"/>
      <c r="CU39" s="107"/>
      <c r="CV39" s="107"/>
      <c r="CW39" s="107"/>
      <c r="CX39" s="107"/>
      <c r="CY39" s="107"/>
      <c r="CZ39" s="107"/>
      <c r="DA39" s="107"/>
      <c r="DB39" s="107"/>
      <c r="DC39" s="107"/>
      <c r="DD39" s="107"/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/>
      <c r="DR39" s="107"/>
      <c r="DS39" s="107"/>
      <c r="DT39" s="107"/>
      <c r="DU39" s="107"/>
      <c r="DV39" s="107"/>
      <c r="DW39" s="107"/>
      <c r="DX39" s="107"/>
      <c r="DY39" s="107"/>
      <c r="DZ39" s="107"/>
      <c r="EA39" s="107"/>
      <c r="EB39" s="107"/>
      <c r="EC39" s="107"/>
      <c r="ED39" s="107"/>
      <c r="EE39" s="107"/>
      <c r="EF39" s="107"/>
      <c r="EG39" s="107"/>
      <c r="EH39" s="107"/>
      <c r="EI39" s="107"/>
      <c r="EJ39" s="107"/>
      <c r="EK39" s="107"/>
      <c r="EL39" s="107"/>
      <c r="EM39" s="107"/>
      <c r="EN39" s="107"/>
      <c r="EO39" s="107"/>
      <c r="EP39" s="107"/>
      <c r="EQ39" s="107"/>
      <c r="ER39" s="107"/>
      <c r="ES39" s="107"/>
      <c r="ET39" s="107"/>
      <c r="EU39" s="107"/>
      <c r="EV39" s="107"/>
      <c r="EW39" s="107"/>
      <c r="EX39" s="107"/>
      <c r="EY39" s="107"/>
      <c r="EZ39" s="107"/>
      <c r="FA39" s="107"/>
      <c r="FB39" s="107"/>
      <c r="FC39" s="107"/>
      <c r="FD39" s="107"/>
      <c r="FE39" s="107"/>
      <c r="FF39" s="107"/>
      <c r="FG39" s="107"/>
      <c r="FH39" s="107"/>
      <c r="FI39" s="107"/>
      <c r="FJ39" s="107"/>
      <c r="FK39" s="107"/>
      <c r="FL39" s="107"/>
      <c r="FM39" s="107"/>
      <c r="FN39" s="107"/>
      <c r="FO39" s="107"/>
      <c r="FP39" s="107"/>
      <c r="FQ39" s="107"/>
      <c r="FR39" s="107"/>
      <c r="FS39" s="107"/>
      <c r="FT39" s="107"/>
      <c r="FU39" s="107"/>
      <c r="FV39" s="107"/>
      <c r="FW39" s="107"/>
      <c r="FX39" s="107"/>
      <c r="FY39" s="107"/>
      <c r="FZ39" s="107"/>
      <c r="GA39" s="107"/>
      <c r="GB39" s="107"/>
      <c r="GC39" s="107"/>
      <c r="GD39" s="107"/>
      <c r="GE39" s="107"/>
      <c r="GF39" s="107"/>
      <c r="GG39" s="107"/>
      <c r="GH39" s="107"/>
      <c r="GI39" s="107"/>
      <c r="GJ39" s="107"/>
      <c r="GK39" s="107"/>
      <c r="GL39" s="107"/>
      <c r="GM39" s="107"/>
      <c r="GN39" s="107"/>
      <c r="GO39" s="107"/>
      <c r="GP39" s="107"/>
      <c r="GQ39" s="107"/>
      <c r="GR39" s="107"/>
      <c r="GS39" s="107"/>
      <c r="GT39" s="107"/>
      <c r="GU39" s="107"/>
      <c r="GV39" s="107"/>
      <c r="GW39" s="107"/>
      <c r="GX39" s="107"/>
      <c r="GY39" s="107"/>
      <c r="GZ39" s="107"/>
      <c r="HA39" s="107"/>
      <c r="HB39" s="107"/>
      <c r="HC39" s="107"/>
      <c r="HD39" s="107"/>
      <c r="HE39" s="107"/>
      <c r="HF39" s="107"/>
      <c r="HG39" s="107"/>
      <c r="HH39" s="107"/>
      <c r="HI39" s="107"/>
      <c r="HJ39" s="107"/>
      <c r="HK39" s="107"/>
      <c r="HL39" s="107"/>
      <c r="HM39" s="107"/>
      <c r="HN39" s="107"/>
      <c r="HO39" s="107"/>
      <c r="HP39" s="107"/>
      <c r="HQ39" s="107"/>
      <c r="HR39" s="107"/>
      <c r="HS39" s="107"/>
      <c r="HT39" s="107"/>
      <c r="HU39" s="107"/>
      <c r="HV39" s="107"/>
      <c r="HW39" s="107"/>
      <c r="HX39" s="107"/>
      <c r="HY39" s="107"/>
      <c r="HZ39" s="107"/>
      <c r="IA39" s="107"/>
      <c r="IB39" s="107"/>
      <c r="IC39" s="107"/>
      <c r="ID39" s="107"/>
      <c r="IE39" s="107"/>
    </row>
    <row r="40" spans="2:239">
      <c r="B40" s="3" t="s">
        <v>1396</v>
      </c>
      <c r="D40" s="1605">
        <f>'MCaço CA-25'!J34</f>
        <v>8129.7</v>
      </c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7"/>
      <c r="BE40" s="107"/>
      <c r="BF40" s="107"/>
      <c r="BG40" s="107"/>
      <c r="BH40" s="107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07"/>
      <c r="BV40" s="107"/>
      <c r="BW40" s="107"/>
      <c r="BX40" s="107"/>
      <c r="BY40" s="107"/>
      <c r="BZ40" s="107"/>
      <c r="CA40" s="107"/>
      <c r="CB40" s="107"/>
      <c r="CC40" s="107"/>
      <c r="CD40" s="107"/>
      <c r="CE40" s="107"/>
      <c r="CF40" s="107"/>
      <c r="CG40" s="107"/>
      <c r="CH40" s="107"/>
      <c r="CI40" s="107"/>
      <c r="CJ40" s="107"/>
      <c r="CK40" s="107"/>
      <c r="CL40" s="107"/>
      <c r="CM40" s="107"/>
      <c r="CN40" s="107"/>
      <c r="CO40" s="107"/>
      <c r="CP40" s="107"/>
      <c r="CQ40" s="107"/>
      <c r="CR40" s="107"/>
      <c r="CS40" s="107"/>
      <c r="CT40" s="107"/>
      <c r="CU40" s="107"/>
      <c r="CV40" s="107"/>
      <c r="CW40" s="107"/>
      <c r="CX40" s="107"/>
      <c r="CY40" s="107"/>
      <c r="CZ40" s="107"/>
      <c r="DA40" s="107"/>
      <c r="DB40" s="107"/>
      <c r="DC40" s="107"/>
      <c r="DD40" s="107"/>
      <c r="DE40" s="107"/>
      <c r="DF40" s="107"/>
      <c r="DG40" s="107"/>
      <c r="DH40" s="107"/>
      <c r="DI40" s="107"/>
      <c r="DJ40" s="107"/>
      <c r="DK40" s="107"/>
      <c r="DL40" s="107"/>
      <c r="DM40" s="107"/>
      <c r="DN40" s="107"/>
      <c r="DO40" s="107"/>
      <c r="DP40" s="107"/>
      <c r="DQ40" s="107"/>
      <c r="DR40" s="107"/>
      <c r="DS40" s="107"/>
      <c r="DT40" s="107"/>
      <c r="DU40" s="107"/>
      <c r="DV40" s="107"/>
      <c r="DW40" s="107"/>
      <c r="DX40" s="107"/>
      <c r="DY40" s="107"/>
      <c r="DZ40" s="107"/>
      <c r="EA40" s="107"/>
      <c r="EB40" s="107"/>
      <c r="EC40" s="107"/>
      <c r="ED40" s="107"/>
      <c r="EE40" s="107"/>
      <c r="EF40" s="107"/>
      <c r="EG40" s="107"/>
      <c r="EH40" s="107"/>
      <c r="EI40" s="107"/>
      <c r="EJ40" s="107"/>
      <c r="EK40" s="107"/>
      <c r="EL40" s="107"/>
      <c r="EM40" s="107"/>
      <c r="EN40" s="107"/>
      <c r="EO40" s="107"/>
      <c r="EP40" s="107"/>
      <c r="EQ40" s="107"/>
      <c r="ER40" s="107"/>
      <c r="ES40" s="107"/>
      <c r="ET40" s="107"/>
      <c r="EU40" s="107"/>
      <c r="EV40" s="107"/>
      <c r="EW40" s="107"/>
      <c r="EX40" s="107"/>
      <c r="EY40" s="107"/>
      <c r="EZ40" s="107"/>
      <c r="FA40" s="107"/>
      <c r="FB40" s="107"/>
      <c r="FC40" s="107"/>
      <c r="FD40" s="107"/>
      <c r="FE40" s="107"/>
      <c r="FF40" s="107"/>
      <c r="FG40" s="107"/>
      <c r="FH40" s="107"/>
      <c r="FI40" s="107"/>
      <c r="FJ40" s="107"/>
      <c r="FK40" s="107"/>
      <c r="FL40" s="107"/>
      <c r="FM40" s="107"/>
      <c r="FN40" s="107"/>
      <c r="FO40" s="107"/>
      <c r="FP40" s="107"/>
      <c r="FQ40" s="107"/>
      <c r="FR40" s="107"/>
      <c r="FS40" s="107"/>
      <c r="FT40" s="107"/>
      <c r="FU40" s="107"/>
      <c r="FV40" s="107"/>
      <c r="FW40" s="107"/>
      <c r="FX40" s="107"/>
      <c r="FY40" s="107"/>
      <c r="FZ40" s="107"/>
      <c r="GA40" s="107"/>
      <c r="GB40" s="107"/>
      <c r="GC40" s="107"/>
      <c r="GD40" s="107"/>
      <c r="GE40" s="107"/>
      <c r="GF40" s="107"/>
      <c r="GG40" s="107"/>
      <c r="GH40" s="107"/>
      <c r="GI40" s="107"/>
      <c r="GJ40" s="107"/>
      <c r="GK40" s="107"/>
      <c r="GL40" s="107"/>
      <c r="GM40" s="107"/>
      <c r="GN40" s="107"/>
      <c r="GO40" s="107"/>
      <c r="GP40" s="107"/>
      <c r="GQ40" s="107"/>
      <c r="GR40" s="107"/>
      <c r="GS40" s="107"/>
      <c r="GT40" s="107"/>
      <c r="GU40" s="107"/>
      <c r="GV40" s="107"/>
      <c r="GW40" s="107"/>
      <c r="GX40" s="107"/>
      <c r="GY40" s="107"/>
      <c r="GZ40" s="107"/>
      <c r="HA40" s="107"/>
      <c r="HB40" s="107"/>
      <c r="HC40" s="107"/>
      <c r="HD40" s="107"/>
      <c r="HE40" s="107"/>
      <c r="HF40" s="107"/>
      <c r="HG40" s="107"/>
      <c r="HH40" s="107"/>
      <c r="HI40" s="107"/>
      <c r="HJ40" s="107"/>
      <c r="HK40" s="107"/>
      <c r="HL40" s="107"/>
      <c r="HM40" s="107"/>
      <c r="HN40" s="107"/>
      <c r="HO40" s="107"/>
      <c r="HP40" s="107"/>
      <c r="HQ40" s="107"/>
      <c r="HR40" s="107"/>
      <c r="HS40" s="107"/>
      <c r="HT40" s="107"/>
      <c r="HU40" s="107"/>
      <c r="HV40" s="107"/>
      <c r="HW40" s="107"/>
      <c r="HX40" s="107"/>
      <c r="HY40" s="107"/>
      <c r="HZ40" s="107"/>
      <c r="IA40" s="107"/>
      <c r="IB40" s="107"/>
      <c r="IC40" s="107"/>
      <c r="ID40" s="107"/>
      <c r="IE40" s="107"/>
    </row>
    <row r="41" spans="2:239">
      <c r="B41" s="3" t="s">
        <v>1397</v>
      </c>
      <c r="D41" s="1605">
        <f>SUM(D39:D40)</f>
        <v>19606.2</v>
      </c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7"/>
      <c r="BU41" s="107"/>
      <c r="BV41" s="107"/>
      <c r="BW41" s="107"/>
      <c r="BX41" s="107"/>
      <c r="BY41" s="107"/>
      <c r="BZ41" s="107"/>
      <c r="CA41" s="107"/>
      <c r="CB41" s="107"/>
      <c r="CC41" s="107"/>
      <c r="CD41" s="107"/>
      <c r="CE41" s="107"/>
      <c r="CF41" s="107"/>
      <c r="CG41" s="107"/>
      <c r="CH41" s="107"/>
      <c r="CI41" s="107"/>
      <c r="CJ41" s="107"/>
      <c r="CK41" s="107"/>
      <c r="CL41" s="107"/>
      <c r="CM41" s="107"/>
      <c r="CN41" s="107"/>
      <c r="CO41" s="107"/>
      <c r="CP41" s="107"/>
      <c r="CQ41" s="107"/>
      <c r="CR41" s="107"/>
      <c r="CS41" s="107"/>
      <c r="CT41" s="107"/>
      <c r="CU41" s="107"/>
      <c r="CV41" s="107"/>
      <c r="CW41" s="107"/>
      <c r="CX41" s="107"/>
      <c r="CY41" s="107"/>
      <c r="CZ41" s="107"/>
      <c r="DA41" s="107"/>
      <c r="DB41" s="107"/>
      <c r="DC41" s="107"/>
      <c r="DD41" s="107"/>
      <c r="DE41" s="107"/>
      <c r="DF41" s="107"/>
      <c r="DG41" s="107"/>
      <c r="DH41" s="107"/>
      <c r="DI41" s="107"/>
      <c r="DJ41" s="107"/>
      <c r="DK41" s="107"/>
      <c r="DL41" s="107"/>
      <c r="DM41" s="107"/>
      <c r="DN41" s="107"/>
      <c r="DO41" s="107"/>
      <c r="DP41" s="107"/>
      <c r="DQ41" s="107"/>
      <c r="DR41" s="107"/>
      <c r="DS41" s="107"/>
      <c r="DT41" s="107"/>
      <c r="DU41" s="107"/>
      <c r="DV41" s="107"/>
      <c r="DW41" s="107"/>
      <c r="DX41" s="107"/>
      <c r="DY41" s="107"/>
      <c r="DZ41" s="107"/>
      <c r="EA41" s="107"/>
      <c r="EB41" s="107"/>
      <c r="EC41" s="107"/>
      <c r="ED41" s="107"/>
      <c r="EE41" s="107"/>
      <c r="EF41" s="107"/>
      <c r="EG41" s="107"/>
      <c r="EH41" s="107"/>
      <c r="EI41" s="107"/>
      <c r="EJ41" s="107"/>
      <c r="EK41" s="107"/>
      <c r="EL41" s="107"/>
      <c r="EM41" s="107"/>
      <c r="EN41" s="107"/>
      <c r="EO41" s="107"/>
      <c r="EP41" s="107"/>
      <c r="EQ41" s="107"/>
      <c r="ER41" s="107"/>
      <c r="ES41" s="107"/>
      <c r="ET41" s="107"/>
      <c r="EU41" s="107"/>
      <c r="EV41" s="107"/>
      <c r="EW41" s="107"/>
      <c r="EX41" s="107"/>
      <c r="EY41" s="107"/>
      <c r="EZ41" s="107"/>
      <c r="FA41" s="107"/>
      <c r="FB41" s="107"/>
      <c r="FC41" s="107"/>
      <c r="FD41" s="107"/>
      <c r="FE41" s="107"/>
      <c r="FF41" s="107"/>
      <c r="FG41" s="107"/>
      <c r="FH41" s="107"/>
      <c r="FI41" s="107"/>
      <c r="FJ41" s="107"/>
      <c r="FK41" s="107"/>
      <c r="FL41" s="107"/>
      <c r="FM41" s="107"/>
      <c r="FN41" s="107"/>
      <c r="FO41" s="107"/>
      <c r="FP41" s="107"/>
      <c r="FQ41" s="107"/>
      <c r="FR41" s="107"/>
      <c r="FS41" s="107"/>
      <c r="FT41" s="107"/>
      <c r="FU41" s="107"/>
      <c r="FV41" s="107"/>
      <c r="FW41" s="107"/>
      <c r="FX41" s="107"/>
      <c r="FY41" s="107"/>
      <c r="FZ41" s="107"/>
      <c r="GA41" s="107"/>
      <c r="GB41" s="107"/>
      <c r="GC41" s="107"/>
      <c r="GD41" s="107"/>
      <c r="GE41" s="107"/>
      <c r="GF41" s="107"/>
      <c r="GG41" s="107"/>
      <c r="GH41" s="107"/>
      <c r="GI41" s="107"/>
      <c r="GJ41" s="107"/>
      <c r="GK41" s="107"/>
      <c r="GL41" s="107"/>
      <c r="GM41" s="107"/>
      <c r="GN41" s="107"/>
      <c r="GO41" s="107"/>
      <c r="GP41" s="107"/>
      <c r="GQ41" s="107"/>
      <c r="GR41" s="107"/>
      <c r="GS41" s="107"/>
      <c r="GT41" s="107"/>
      <c r="GU41" s="107"/>
      <c r="GV41" s="107"/>
      <c r="GW41" s="107"/>
      <c r="GX41" s="107"/>
      <c r="GY41" s="107"/>
      <c r="GZ41" s="107"/>
      <c r="HA41" s="107"/>
      <c r="HB41" s="107"/>
      <c r="HC41" s="107"/>
      <c r="HD41" s="107"/>
      <c r="HE41" s="107"/>
      <c r="HF41" s="107"/>
      <c r="HG41" s="107"/>
      <c r="HH41" s="107"/>
      <c r="HI41" s="107"/>
      <c r="HJ41" s="107"/>
      <c r="HK41" s="107"/>
      <c r="HL41" s="107"/>
      <c r="HM41" s="107"/>
      <c r="HN41" s="107"/>
      <c r="HO41" s="107"/>
      <c r="HP41" s="107"/>
      <c r="HQ41" s="107"/>
      <c r="HR41" s="107"/>
      <c r="HS41" s="107"/>
      <c r="HT41" s="107"/>
      <c r="HU41" s="107"/>
      <c r="HV41" s="107"/>
      <c r="HW41" s="107"/>
      <c r="HX41" s="107"/>
      <c r="HY41" s="107"/>
      <c r="HZ41" s="107"/>
      <c r="IA41" s="107"/>
      <c r="IB41" s="107"/>
      <c r="IC41" s="107"/>
      <c r="ID41" s="107"/>
      <c r="IE41" s="107"/>
    </row>
    <row r="42" spans="2:239">
      <c r="B42" s="3" t="s">
        <v>1398</v>
      </c>
      <c r="D42" s="1605">
        <f>2*D41</f>
        <v>39212.400000000001</v>
      </c>
    </row>
    <row r="43" spans="2:239">
      <c r="B43" s="3" t="s">
        <v>1399</v>
      </c>
      <c r="D43" s="1605">
        <f>D42*0.886</f>
        <v>34742.186399999999</v>
      </c>
    </row>
  </sheetData>
  <mergeCells count="12">
    <mergeCell ref="B30:P31"/>
    <mergeCell ref="C2:D2"/>
    <mergeCell ref="E2:E4"/>
    <mergeCell ref="J2:J3"/>
    <mergeCell ref="K2:K3"/>
    <mergeCell ref="L2:L3"/>
    <mergeCell ref="M2:M3"/>
    <mergeCell ref="P2:P3"/>
    <mergeCell ref="C3:C4"/>
    <mergeCell ref="B5:B28"/>
    <mergeCell ref="C28:I28"/>
    <mergeCell ref="N28:O28"/>
  </mergeCells>
  <conditionalFormatting sqref="K5 K7 K9 K11 K13 K15 K17 K19 K21 K23 K25 K27">
    <cfRule type="cellIs" dxfId="225" priority="2" operator="equal">
      <formula>0</formula>
    </cfRule>
  </conditionalFormatting>
  <conditionalFormatting sqref="K6 K8 K10 K12 K14 K16 K18 K20 K22 K24 K26">
    <cfRule type="cellIs" dxfId="224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5F44E-F5B9-47E4-8952-258A4D077F8A}">
  <sheetPr>
    <tabColor rgb="FF00FF00"/>
  </sheetPr>
  <dimension ref="A1:AB357"/>
  <sheetViews>
    <sheetView view="pageBreakPreview" zoomScale="75" zoomScaleNormal="75" zoomScaleSheetLayoutView="75" workbookViewId="0">
      <selection activeCell="M5" sqref="M5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.42578125" style="3" customWidth="1"/>
    <col min="5" max="5" width="30.28515625" style="3" customWidth="1"/>
    <col min="6" max="9" width="6.5703125" style="3" customWidth="1"/>
    <col min="10" max="10" width="10" style="3" customWidth="1"/>
    <col min="11" max="11" width="12.5703125" style="3" hidden="1" customWidth="1"/>
    <col min="12" max="12" width="12.85546875" style="3" hidden="1" customWidth="1"/>
    <col min="13" max="13" width="12.85546875" style="3" customWidth="1"/>
    <col min="14" max="14" width="12.42578125" style="3" hidden="1" customWidth="1"/>
    <col min="15" max="15" width="10.85546875" style="3" hidden="1" customWidth="1"/>
    <col min="16" max="16" width="7.5703125" style="3" customWidth="1"/>
    <col min="17" max="17" width="6.85546875" style="3" bestFit="1" customWidth="1"/>
    <col min="18" max="18" width="13.28515625" style="3" customWidth="1"/>
    <col min="19" max="19" width="6.42578125" style="3" hidden="1" customWidth="1"/>
    <col min="20" max="20" width="6.5703125" style="3" hidden="1" customWidth="1"/>
    <col min="21" max="21" width="7.42578125" style="3" hidden="1" customWidth="1"/>
    <col min="22" max="22" width="10.7109375" style="3" hidden="1" customWidth="1"/>
    <col min="23" max="23" width="1.7109375" style="107" customWidth="1"/>
    <col min="24" max="255" width="11.42578125" style="3"/>
    <col min="256" max="256" width="23.7109375" style="3" customWidth="1"/>
    <col min="257" max="257" width="0" style="3" hidden="1" customWidth="1"/>
    <col min="258" max="258" width="41.42578125" style="3" customWidth="1"/>
    <col min="259" max="259" width="19.140625" style="3" customWidth="1"/>
    <col min="260" max="260" width="6.28515625" style="3" customWidth="1"/>
    <col min="261" max="261" width="6" style="3" customWidth="1"/>
    <col min="262" max="262" width="7.42578125" style="3" customWidth="1"/>
    <col min="263" max="263" width="5.7109375" style="3" customWidth="1"/>
    <col min="264" max="264" width="5.28515625" style="3" customWidth="1"/>
    <col min="265" max="265" width="10" style="3" customWidth="1"/>
    <col min="266" max="266" width="6.28515625" style="3" customWidth="1"/>
    <col min="267" max="267" width="8.28515625" style="3" customWidth="1"/>
    <col min="268" max="268" width="12.42578125" style="3" customWidth="1"/>
    <col min="269" max="269" width="5.28515625" style="3" customWidth="1"/>
    <col min="270" max="270" width="10.85546875" style="3" customWidth="1"/>
    <col min="271" max="271" width="4.85546875" style="3" customWidth="1"/>
    <col min="272" max="272" width="5.140625" style="3" customWidth="1"/>
    <col min="273" max="273" width="10.5703125" style="3" customWidth="1"/>
    <col min="274" max="274" width="6.28515625" style="3" customWidth="1"/>
    <col min="275" max="275" width="6.5703125" style="3" customWidth="1"/>
    <col min="276" max="276" width="7.42578125" style="3" customWidth="1"/>
    <col min="277" max="277" width="6.85546875" style="3" customWidth="1"/>
    <col min="278" max="278" width="10.7109375" style="3" customWidth="1"/>
    <col min="279" max="279" width="5.140625" style="3" customWidth="1"/>
    <col min="280" max="511" width="11.42578125" style="3"/>
    <col min="512" max="512" width="23.7109375" style="3" customWidth="1"/>
    <col min="513" max="513" width="0" style="3" hidden="1" customWidth="1"/>
    <col min="514" max="514" width="41.42578125" style="3" customWidth="1"/>
    <col min="515" max="515" width="19.140625" style="3" customWidth="1"/>
    <col min="516" max="516" width="6.28515625" style="3" customWidth="1"/>
    <col min="517" max="517" width="6" style="3" customWidth="1"/>
    <col min="518" max="518" width="7.42578125" style="3" customWidth="1"/>
    <col min="519" max="519" width="5.7109375" style="3" customWidth="1"/>
    <col min="520" max="520" width="5.28515625" style="3" customWidth="1"/>
    <col min="521" max="521" width="10" style="3" customWidth="1"/>
    <col min="522" max="522" width="6.28515625" style="3" customWidth="1"/>
    <col min="523" max="523" width="8.28515625" style="3" customWidth="1"/>
    <col min="524" max="524" width="12.42578125" style="3" customWidth="1"/>
    <col min="525" max="525" width="5.28515625" style="3" customWidth="1"/>
    <col min="526" max="526" width="10.85546875" style="3" customWidth="1"/>
    <col min="527" max="527" width="4.85546875" style="3" customWidth="1"/>
    <col min="528" max="528" width="5.140625" style="3" customWidth="1"/>
    <col min="529" max="529" width="10.5703125" style="3" customWidth="1"/>
    <col min="530" max="530" width="6.28515625" style="3" customWidth="1"/>
    <col min="531" max="531" width="6.5703125" style="3" customWidth="1"/>
    <col min="532" max="532" width="7.42578125" style="3" customWidth="1"/>
    <col min="533" max="533" width="6.85546875" style="3" customWidth="1"/>
    <col min="534" max="534" width="10.7109375" style="3" customWidth="1"/>
    <col min="535" max="535" width="5.140625" style="3" customWidth="1"/>
    <col min="536" max="767" width="11.42578125" style="3"/>
    <col min="768" max="768" width="23.7109375" style="3" customWidth="1"/>
    <col min="769" max="769" width="0" style="3" hidden="1" customWidth="1"/>
    <col min="770" max="770" width="41.42578125" style="3" customWidth="1"/>
    <col min="771" max="771" width="19.140625" style="3" customWidth="1"/>
    <col min="772" max="772" width="6.28515625" style="3" customWidth="1"/>
    <col min="773" max="773" width="6" style="3" customWidth="1"/>
    <col min="774" max="774" width="7.42578125" style="3" customWidth="1"/>
    <col min="775" max="775" width="5.7109375" style="3" customWidth="1"/>
    <col min="776" max="776" width="5.28515625" style="3" customWidth="1"/>
    <col min="777" max="777" width="10" style="3" customWidth="1"/>
    <col min="778" max="778" width="6.28515625" style="3" customWidth="1"/>
    <col min="779" max="779" width="8.28515625" style="3" customWidth="1"/>
    <col min="780" max="780" width="12.42578125" style="3" customWidth="1"/>
    <col min="781" max="781" width="5.28515625" style="3" customWidth="1"/>
    <col min="782" max="782" width="10.85546875" style="3" customWidth="1"/>
    <col min="783" max="783" width="4.85546875" style="3" customWidth="1"/>
    <col min="784" max="784" width="5.140625" style="3" customWidth="1"/>
    <col min="785" max="785" width="10.5703125" style="3" customWidth="1"/>
    <col min="786" max="786" width="6.28515625" style="3" customWidth="1"/>
    <col min="787" max="787" width="6.5703125" style="3" customWidth="1"/>
    <col min="788" max="788" width="7.42578125" style="3" customWidth="1"/>
    <col min="789" max="789" width="6.85546875" style="3" customWidth="1"/>
    <col min="790" max="790" width="10.7109375" style="3" customWidth="1"/>
    <col min="791" max="791" width="5.140625" style="3" customWidth="1"/>
    <col min="792" max="1023" width="11.42578125" style="3"/>
    <col min="1024" max="1024" width="23.7109375" style="3" customWidth="1"/>
    <col min="1025" max="1025" width="0" style="3" hidden="1" customWidth="1"/>
    <col min="1026" max="1026" width="41.42578125" style="3" customWidth="1"/>
    <col min="1027" max="1027" width="19.140625" style="3" customWidth="1"/>
    <col min="1028" max="1028" width="6.28515625" style="3" customWidth="1"/>
    <col min="1029" max="1029" width="6" style="3" customWidth="1"/>
    <col min="1030" max="1030" width="7.42578125" style="3" customWidth="1"/>
    <col min="1031" max="1031" width="5.7109375" style="3" customWidth="1"/>
    <col min="1032" max="1032" width="5.28515625" style="3" customWidth="1"/>
    <col min="1033" max="1033" width="10" style="3" customWidth="1"/>
    <col min="1034" max="1034" width="6.28515625" style="3" customWidth="1"/>
    <col min="1035" max="1035" width="8.28515625" style="3" customWidth="1"/>
    <col min="1036" max="1036" width="12.42578125" style="3" customWidth="1"/>
    <col min="1037" max="1037" width="5.28515625" style="3" customWidth="1"/>
    <col min="1038" max="1038" width="10.85546875" style="3" customWidth="1"/>
    <col min="1039" max="1039" width="4.85546875" style="3" customWidth="1"/>
    <col min="1040" max="1040" width="5.140625" style="3" customWidth="1"/>
    <col min="1041" max="1041" width="10.5703125" style="3" customWidth="1"/>
    <col min="1042" max="1042" width="6.28515625" style="3" customWidth="1"/>
    <col min="1043" max="1043" width="6.5703125" style="3" customWidth="1"/>
    <col min="1044" max="1044" width="7.42578125" style="3" customWidth="1"/>
    <col min="1045" max="1045" width="6.85546875" style="3" customWidth="1"/>
    <col min="1046" max="1046" width="10.7109375" style="3" customWidth="1"/>
    <col min="1047" max="1047" width="5.140625" style="3" customWidth="1"/>
    <col min="1048" max="1279" width="11.42578125" style="3"/>
    <col min="1280" max="1280" width="23.7109375" style="3" customWidth="1"/>
    <col min="1281" max="1281" width="0" style="3" hidden="1" customWidth="1"/>
    <col min="1282" max="1282" width="41.42578125" style="3" customWidth="1"/>
    <col min="1283" max="1283" width="19.140625" style="3" customWidth="1"/>
    <col min="1284" max="1284" width="6.28515625" style="3" customWidth="1"/>
    <col min="1285" max="1285" width="6" style="3" customWidth="1"/>
    <col min="1286" max="1286" width="7.42578125" style="3" customWidth="1"/>
    <col min="1287" max="1287" width="5.7109375" style="3" customWidth="1"/>
    <col min="1288" max="1288" width="5.28515625" style="3" customWidth="1"/>
    <col min="1289" max="1289" width="10" style="3" customWidth="1"/>
    <col min="1290" max="1290" width="6.28515625" style="3" customWidth="1"/>
    <col min="1291" max="1291" width="8.28515625" style="3" customWidth="1"/>
    <col min="1292" max="1292" width="12.42578125" style="3" customWidth="1"/>
    <col min="1293" max="1293" width="5.28515625" style="3" customWidth="1"/>
    <col min="1294" max="1294" width="10.85546875" style="3" customWidth="1"/>
    <col min="1295" max="1295" width="4.85546875" style="3" customWidth="1"/>
    <col min="1296" max="1296" width="5.140625" style="3" customWidth="1"/>
    <col min="1297" max="1297" width="10.5703125" style="3" customWidth="1"/>
    <col min="1298" max="1298" width="6.28515625" style="3" customWidth="1"/>
    <col min="1299" max="1299" width="6.5703125" style="3" customWidth="1"/>
    <col min="1300" max="1300" width="7.42578125" style="3" customWidth="1"/>
    <col min="1301" max="1301" width="6.85546875" style="3" customWidth="1"/>
    <col min="1302" max="1302" width="10.7109375" style="3" customWidth="1"/>
    <col min="1303" max="1303" width="5.140625" style="3" customWidth="1"/>
    <col min="1304" max="1535" width="11.42578125" style="3"/>
    <col min="1536" max="1536" width="23.7109375" style="3" customWidth="1"/>
    <col min="1537" max="1537" width="0" style="3" hidden="1" customWidth="1"/>
    <col min="1538" max="1538" width="41.42578125" style="3" customWidth="1"/>
    <col min="1539" max="1539" width="19.140625" style="3" customWidth="1"/>
    <col min="1540" max="1540" width="6.28515625" style="3" customWidth="1"/>
    <col min="1541" max="1541" width="6" style="3" customWidth="1"/>
    <col min="1542" max="1542" width="7.42578125" style="3" customWidth="1"/>
    <col min="1543" max="1543" width="5.7109375" style="3" customWidth="1"/>
    <col min="1544" max="1544" width="5.28515625" style="3" customWidth="1"/>
    <col min="1545" max="1545" width="10" style="3" customWidth="1"/>
    <col min="1546" max="1546" width="6.28515625" style="3" customWidth="1"/>
    <col min="1547" max="1547" width="8.28515625" style="3" customWidth="1"/>
    <col min="1548" max="1548" width="12.42578125" style="3" customWidth="1"/>
    <col min="1549" max="1549" width="5.28515625" style="3" customWidth="1"/>
    <col min="1550" max="1550" width="10.85546875" style="3" customWidth="1"/>
    <col min="1551" max="1551" width="4.85546875" style="3" customWidth="1"/>
    <col min="1552" max="1552" width="5.140625" style="3" customWidth="1"/>
    <col min="1553" max="1553" width="10.5703125" style="3" customWidth="1"/>
    <col min="1554" max="1554" width="6.28515625" style="3" customWidth="1"/>
    <col min="1555" max="1555" width="6.5703125" style="3" customWidth="1"/>
    <col min="1556" max="1556" width="7.42578125" style="3" customWidth="1"/>
    <col min="1557" max="1557" width="6.85546875" style="3" customWidth="1"/>
    <col min="1558" max="1558" width="10.7109375" style="3" customWidth="1"/>
    <col min="1559" max="1559" width="5.140625" style="3" customWidth="1"/>
    <col min="1560" max="1791" width="11.42578125" style="3"/>
    <col min="1792" max="1792" width="23.7109375" style="3" customWidth="1"/>
    <col min="1793" max="1793" width="0" style="3" hidden="1" customWidth="1"/>
    <col min="1794" max="1794" width="41.42578125" style="3" customWidth="1"/>
    <col min="1795" max="1795" width="19.140625" style="3" customWidth="1"/>
    <col min="1796" max="1796" width="6.28515625" style="3" customWidth="1"/>
    <col min="1797" max="1797" width="6" style="3" customWidth="1"/>
    <col min="1798" max="1798" width="7.42578125" style="3" customWidth="1"/>
    <col min="1799" max="1799" width="5.7109375" style="3" customWidth="1"/>
    <col min="1800" max="1800" width="5.28515625" style="3" customWidth="1"/>
    <col min="1801" max="1801" width="10" style="3" customWidth="1"/>
    <col min="1802" max="1802" width="6.28515625" style="3" customWidth="1"/>
    <col min="1803" max="1803" width="8.28515625" style="3" customWidth="1"/>
    <col min="1804" max="1804" width="12.42578125" style="3" customWidth="1"/>
    <col min="1805" max="1805" width="5.28515625" style="3" customWidth="1"/>
    <col min="1806" max="1806" width="10.85546875" style="3" customWidth="1"/>
    <col min="1807" max="1807" width="4.85546875" style="3" customWidth="1"/>
    <col min="1808" max="1808" width="5.140625" style="3" customWidth="1"/>
    <col min="1809" max="1809" width="10.5703125" style="3" customWidth="1"/>
    <col min="1810" max="1810" width="6.28515625" style="3" customWidth="1"/>
    <col min="1811" max="1811" width="6.5703125" style="3" customWidth="1"/>
    <col min="1812" max="1812" width="7.42578125" style="3" customWidth="1"/>
    <col min="1813" max="1813" width="6.85546875" style="3" customWidth="1"/>
    <col min="1814" max="1814" width="10.7109375" style="3" customWidth="1"/>
    <col min="1815" max="1815" width="5.140625" style="3" customWidth="1"/>
    <col min="1816" max="2047" width="11.42578125" style="3"/>
    <col min="2048" max="2048" width="23.7109375" style="3" customWidth="1"/>
    <col min="2049" max="2049" width="0" style="3" hidden="1" customWidth="1"/>
    <col min="2050" max="2050" width="41.42578125" style="3" customWidth="1"/>
    <col min="2051" max="2051" width="19.140625" style="3" customWidth="1"/>
    <col min="2052" max="2052" width="6.28515625" style="3" customWidth="1"/>
    <col min="2053" max="2053" width="6" style="3" customWidth="1"/>
    <col min="2054" max="2054" width="7.42578125" style="3" customWidth="1"/>
    <col min="2055" max="2055" width="5.7109375" style="3" customWidth="1"/>
    <col min="2056" max="2056" width="5.28515625" style="3" customWidth="1"/>
    <col min="2057" max="2057" width="10" style="3" customWidth="1"/>
    <col min="2058" max="2058" width="6.28515625" style="3" customWidth="1"/>
    <col min="2059" max="2059" width="8.28515625" style="3" customWidth="1"/>
    <col min="2060" max="2060" width="12.42578125" style="3" customWidth="1"/>
    <col min="2061" max="2061" width="5.28515625" style="3" customWidth="1"/>
    <col min="2062" max="2062" width="10.85546875" style="3" customWidth="1"/>
    <col min="2063" max="2063" width="4.85546875" style="3" customWidth="1"/>
    <col min="2064" max="2064" width="5.140625" style="3" customWidth="1"/>
    <col min="2065" max="2065" width="10.5703125" style="3" customWidth="1"/>
    <col min="2066" max="2066" width="6.28515625" style="3" customWidth="1"/>
    <col min="2067" max="2067" width="6.5703125" style="3" customWidth="1"/>
    <col min="2068" max="2068" width="7.42578125" style="3" customWidth="1"/>
    <col min="2069" max="2069" width="6.85546875" style="3" customWidth="1"/>
    <col min="2070" max="2070" width="10.7109375" style="3" customWidth="1"/>
    <col min="2071" max="2071" width="5.140625" style="3" customWidth="1"/>
    <col min="2072" max="2303" width="11.42578125" style="3"/>
    <col min="2304" max="2304" width="23.7109375" style="3" customWidth="1"/>
    <col min="2305" max="2305" width="0" style="3" hidden="1" customWidth="1"/>
    <col min="2306" max="2306" width="41.42578125" style="3" customWidth="1"/>
    <col min="2307" max="2307" width="19.140625" style="3" customWidth="1"/>
    <col min="2308" max="2308" width="6.28515625" style="3" customWidth="1"/>
    <col min="2309" max="2309" width="6" style="3" customWidth="1"/>
    <col min="2310" max="2310" width="7.42578125" style="3" customWidth="1"/>
    <col min="2311" max="2311" width="5.7109375" style="3" customWidth="1"/>
    <col min="2312" max="2312" width="5.28515625" style="3" customWidth="1"/>
    <col min="2313" max="2313" width="10" style="3" customWidth="1"/>
    <col min="2314" max="2314" width="6.28515625" style="3" customWidth="1"/>
    <col min="2315" max="2315" width="8.28515625" style="3" customWidth="1"/>
    <col min="2316" max="2316" width="12.42578125" style="3" customWidth="1"/>
    <col min="2317" max="2317" width="5.28515625" style="3" customWidth="1"/>
    <col min="2318" max="2318" width="10.85546875" style="3" customWidth="1"/>
    <col min="2319" max="2319" width="4.85546875" style="3" customWidth="1"/>
    <col min="2320" max="2320" width="5.140625" style="3" customWidth="1"/>
    <col min="2321" max="2321" width="10.5703125" style="3" customWidth="1"/>
    <col min="2322" max="2322" width="6.28515625" style="3" customWidth="1"/>
    <col min="2323" max="2323" width="6.5703125" style="3" customWidth="1"/>
    <col min="2324" max="2324" width="7.42578125" style="3" customWidth="1"/>
    <col min="2325" max="2325" width="6.85546875" style="3" customWidth="1"/>
    <col min="2326" max="2326" width="10.7109375" style="3" customWidth="1"/>
    <col min="2327" max="2327" width="5.140625" style="3" customWidth="1"/>
    <col min="2328" max="2559" width="11.42578125" style="3"/>
    <col min="2560" max="2560" width="23.7109375" style="3" customWidth="1"/>
    <col min="2561" max="2561" width="0" style="3" hidden="1" customWidth="1"/>
    <col min="2562" max="2562" width="41.42578125" style="3" customWidth="1"/>
    <col min="2563" max="2563" width="19.140625" style="3" customWidth="1"/>
    <col min="2564" max="2564" width="6.28515625" style="3" customWidth="1"/>
    <col min="2565" max="2565" width="6" style="3" customWidth="1"/>
    <col min="2566" max="2566" width="7.42578125" style="3" customWidth="1"/>
    <col min="2567" max="2567" width="5.7109375" style="3" customWidth="1"/>
    <col min="2568" max="2568" width="5.28515625" style="3" customWidth="1"/>
    <col min="2569" max="2569" width="10" style="3" customWidth="1"/>
    <col min="2570" max="2570" width="6.28515625" style="3" customWidth="1"/>
    <col min="2571" max="2571" width="8.28515625" style="3" customWidth="1"/>
    <col min="2572" max="2572" width="12.42578125" style="3" customWidth="1"/>
    <col min="2573" max="2573" width="5.28515625" style="3" customWidth="1"/>
    <col min="2574" max="2574" width="10.85546875" style="3" customWidth="1"/>
    <col min="2575" max="2575" width="4.85546875" style="3" customWidth="1"/>
    <col min="2576" max="2576" width="5.140625" style="3" customWidth="1"/>
    <col min="2577" max="2577" width="10.5703125" style="3" customWidth="1"/>
    <col min="2578" max="2578" width="6.28515625" style="3" customWidth="1"/>
    <col min="2579" max="2579" width="6.5703125" style="3" customWidth="1"/>
    <col min="2580" max="2580" width="7.42578125" style="3" customWidth="1"/>
    <col min="2581" max="2581" width="6.85546875" style="3" customWidth="1"/>
    <col min="2582" max="2582" width="10.7109375" style="3" customWidth="1"/>
    <col min="2583" max="2583" width="5.140625" style="3" customWidth="1"/>
    <col min="2584" max="2815" width="11.42578125" style="3"/>
    <col min="2816" max="2816" width="23.7109375" style="3" customWidth="1"/>
    <col min="2817" max="2817" width="0" style="3" hidden="1" customWidth="1"/>
    <col min="2818" max="2818" width="41.42578125" style="3" customWidth="1"/>
    <col min="2819" max="2819" width="19.140625" style="3" customWidth="1"/>
    <col min="2820" max="2820" width="6.28515625" style="3" customWidth="1"/>
    <col min="2821" max="2821" width="6" style="3" customWidth="1"/>
    <col min="2822" max="2822" width="7.42578125" style="3" customWidth="1"/>
    <col min="2823" max="2823" width="5.7109375" style="3" customWidth="1"/>
    <col min="2824" max="2824" width="5.28515625" style="3" customWidth="1"/>
    <col min="2825" max="2825" width="10" style="3" customWidth="1"/>
    <col min="2826" max="2826" width="6.28515625" style="3" customWidth="1"/>
    <col min="2827" max="2827" width="8.28515625" style="3" customWidth="1"/>
    <col min="2828" max="2828" width="12.42578125" style="3" customWidth="1"/>
    <col min="2829" max="2829" width="5.28515625" style="3" customWidth="1"/>
    <col min="2830" max="2830" width="10.85546875" style="3" customWidth="1"/>
    <col min="2831" max="2831" width="4.85546875" style="3" customWidth="1"/>
    <col min="2832" max="2832" width="5.140625" style="3" customWidth="1"/>
    <col min="2833" max="2833" width="10.5703125" style="3" customWidth="1"/>
    <col min="2834" max="2834" width="6.28515625" style="3" customWidth="1"/>
    <col min="2835" max="2835" width="6.5703125" style="3" customWidth="1"/>
    <col min="2836" max="2836" width="7.42578125" style="3" customWidth="1"/>
    <col min="2837" max="2837" width="6.85546875" style="3" customWidth="1"/>
    <col min="2838" max="2838" width="10.7109375" style="3" customWidth="1"/>
    <col min="2839" max="2839" width="5.140625" style="3" customWidth="1"/>
    <col min="2840" max="3071" width="11.42578125" style="3"/>
    <col min="3072" max="3072" width="23.7109375" style="3" customWidth="1"/>
    <col min="3073" max="3073" width="0" style="3" hidden="1" customWidth="1"/>
    <col min="3074" max="3074" width="41.42578125" style="3" customWidth="1"/>
    <col min="3075" max="3075" width="19.140625" style="3" customWidth="1"/>
    <col min="3076" max="3076" width="6.28515625" style="3" customWidth="1"/>
    <col min="3077" max="3077" width="6" style="3" customWidth="1"/>
    <col min="3078" max="3078" width="7.42578125" style="3" customWidth="1"/>
    <col min="3079" max="3079" width="5.7109375" style="3" customWidth="1"/>
    <col min="3080" max="3080" width="5.28515625" style="3" customWidth="1"/>
    <col min="3081" max="3081" width="10" style="3" customWidth="1"/>
    <col min="3082" max="3082" width="6.28515625" style="3" customWidth="1"/>
    <col min="3083" max="3083" width="8.28515625" style="3" customWidth="1"/>
    <col min="3084" max="3084" width="12.42578125" style="3" customWidth="1"/>
    <col min="3085" max="3085" width="5.28515625" style="3" customWidth="1"/>
    <col min="3086" max="3086" width="10.85546875" style="3" customWidth="1"/>
    <col min="3087" max="3087" width="4.85546875" style="3" customWidth="1"/>
    <col min="3088" max="3088" width="5.140625" style="3" customWidth="1"/>
    <col min="3089" max="3089" width="10.5703125" style="3" customWidth="1"/>
    <col min="3090" max="3090" width="6.28515625" style="3" customWidth="1"/>
    <col min="3091" max="3091" width="6.5703125" style="3" customWidth="1"/>
    <col min="3092" max="3092" width="7.42578125" style="3" customWidth="1"/>
    <col min="3093" max="3093" width="6.85546875" style="3" customWidth="1"/>
    <col min="3094" max="3094" width="10.7109375" style="3" customWidth="1"/>
    <col min="3095" max="3095" width="5.140625" style="3" customWidth="1"/>
    <col min="3096" max="3327" width="11.42578125" style="3"/>
    <col min="3328" max="3328" width="23.7109375" style="3" customWidth="1"/>
    <col min="3329" max="3329" width="0" style="3" hidden="1" customWidth="1"/>
    <col min="3330" max="3330" width="41.42578125" style="3" customWidth="1"/>
    <col min="3331" max="3331" width="19.140625" style="3" customWidth="1"/>
    <col min="3332" max="3332" width="6.28515625" style="3" customWidth="1"/>
    <col min="3333" max="3333" width="6" style="3" customWidth="1"/>
    <col min="3334" max="3334" width="7.42578125" style="3" customWidth="1"/>
    <col min="3335" max="3335" width="5.7109375" style="3" customWidth="1"/>
    <col min="3336" max="3336" width="5.28515625" style="3" customWidth="1"/>
    <col min="3337" max="3337" width="10" style="3" customWidth="1"/>
    <col min="3338" max="3338" width="6.28515625" style="3" customWidth="1"/>
    <col min="3339" max="3339" width="8.28515625" style="3" customWidth="1"/>
    <col min="3340" max="3340" width="12.42578125" style="3" customWidth="1"/>
    <col min="3341" max="3341" width="5.28515625" style="3" customWidth="1"/>
    <col min="3342" max="3342" width="10.85546875" style="3" customWidth="1"/>
    <col min="3343" max="3343" width="4.85546875" style="3" customWidth="1"/>
    <col min="3344" max="3344" width="5.140625" style="3" customWidth="1"/>
    <col min="3345" max="3345" width="10.5703125" style="3" customWidth="1"/>
    <col min="3346" max="3346" width="6.28515625" style="3" customWidth="1"/>
    <col min="3347" max="3347" width="6.5703125" style="3" customWidth="1"/>
    <col min="3348" max="3348" width="7.42578125" style="3" customWidth="1"/>
    <col min="3349" max="3349" width="6.85546875" style="3" customWidth="1"/>
    <col min="3350" max="3350" width="10.7109375" style="3" customWidth="1"/>
    <col min="3351" max="3351" width="5.140625" style="3" customWidth="1"/>
    <col min="3352" max="3583" width="11.42578125" style="3"/>
    <col min="3584" max="3584" width="23.7109375" style="3" customWidth="1"/>
    <col min="3585" max="3585" width="0" style="3" hidden="1" customWidth="1"/>
    <col min="3586" max="3586" width="41.42578125" style="3" customWidth="1"/>
    <col min="3587" max="3587" width="19.140625" style="3" customWidth="1"/>
    <col min="3588" max="3588" width="6.28515625" style="3" customWidth="1"/>
    <col min="3589" max="3589" width="6" style="3" customWidth="1"/>
    <col min="3590" max="3590" width="7.42578125" style="3" customWidth="1"/>
    <col min="3591" max="3591" width="5.7109375" style="3" customWidth="1"/>
    <col min="3592" max="3592" width="5.28515625" style="3" customWidth="1"/>
    <col min="3593" max="3593" width="10" style="3" customWidth="1"/>
    <col min="3594" max="3594" width="6.28515625" style="3" customWidth="1"/>
    <col min="3595" max="3595" width="8.28515625" style="3" customWidth="1"/>
    <col min="3596" max="3596" width="12.42578125" style="3" customWidth="1"/>
    <col min="3597" max="3597" width="5.28515625" style="3" customWidth="1"/>
    <col min="3598" max="3598" width="10.85546875" style="3" customWidth="1"/>
    <col min="3599" max="3599" width="4.85546875" style="3" customWidth="1"/>
    <col min="3600" max="3600" width="5.140625" style="3" customWidth="1"/>
    <col min="3601" max="3601" width="10.5703125" style="3" customWidth="1"/>
    <col min="3602" max="3602" width="6.28515625" style="3" customWidth="1"/>
    <col min="3603" max="3603" width="6.5703125" style="3" customWidth="1"/>
    <col min="3604" max="3604" width="7.42578125" style="3" customWidth="1"/>
    <col min="3605" max="3605" width="6.85546875" style="3" customWidth="1"/>
    <col min="3606" max="3606" width="10.7109375" style="3" customWidth="1"/>
    <col min="3607" max="3607" width="5.140625" style="3" customWidth="1"/>
    <col min="3608" max="3839" width="11.42578125" style="3"/>
    <col min="3840" max="3840" width="23.7109375" style="3" customWidth="1"/>
    <col min="3841" max="3841" width="0" style="3" hidden="1" customWidth="1"/>
    <col min="3842" max="3842" width="41.42578125" style="3" customWidth="1"/>
    <col min="3843" max="3843" width="19.140625" style="3" customWidth="1"/>
    <col min="3844" max="3844" width="6.28515625" style="3" customWidth="1"/>
    <col min="3845" max="3845" width="6" style="3" customWidth="1"/>
    <col min="3846" max="3846" width="7.42578125" style="3" customWidth="1"/>
    <col min="3847" max="3847" width="5.7109375" style="3" customWidth="1"/>
    <col min="3848" max="3848" width="5.28515625" style="3" customWidth="1"/>
    <col min="3849" max="3849" width="10" style="3" customWidth="1"/>
    <col min="3850" max="3850" width="6.28515625" style="3" customWidth="1"/>
    <col min="3851" max="3851" width="8.28515625" style="3" customWidth="1"/>
    <col min="3852" max="3852" width="12.42578125" style="3" customWidth="1"/>
    <col min="3853" max="3853" width="5.28515625" style="3" customWidth="1"/>
    <col min="3854" max="3854" width="10.85546875" style="3" customWidth="1"/>
    <col min="3855" max="3855" width="4.85546875" style="3" customWidth="1"/>
    <col min="3856" max="3856" width="5.140625" style="3" customWidth="1"/>
    <col min="3857" max="3857" width="10.5703125" style="3" customWidth="1"/>
    <col min="3858" max="3858" width="6.28515625" style="3" customWidth="1"/>
    <col min="3859" max="3859" width="6.5703125" style="3" customWidth="1"/>
    <col min="3860" max="3860" width="7.42578125" style="3" customWidth="1"/>
    <col min="3861" max="3861" width="6.85546875" style="3" customWidth="1"/>
    <col min="3862" max="3862" width="10.7109375" style="3" customWidth="1"/>
    <col min="3863" max="3863" width="5.140625" style="3" customWidth="1"/>
    <col min="3864" max="4095" width="11.42578125" style="3"/>
    <col min="4096" max="4096" width="23.7109375" style="3" customWidth="1"/>
    <col min="4097" max="4097" width="0" style="3" hidden="1" customWidth="1"/>
    <col min="4098" max="4098" width="41.42578125" style="3" customWidth="1"/>
    <col min="4099" max="4099" width="19.140625" style="3" customWidth="1"/>
    <col min="4100" max="4100" width="6.28515625" style="3" customWidth="1"/>
    <col min="4101" max="4101" width="6" style="3" customWidth="1"/>
    <col min="4102" max="4102" width="7.42578125" style="3" customWidth="1"/>
    <col min="4103" max="4103" width="5.7109375" style="3" customWidth="1"/>
    <col min="4104" max="4104" width="5.28515625" style="3" customWidth="1"/>
    <col min="4105" max="4105" width="10" style="3" customWidth="1"/>
    <col min="4106" max="4106" width="6.28515625" style="3" customWidth="1"/>
    <col min="4107" max="4107" width="8.28515625" style="3" customWidth="1"/>
    <col min="4108" max="4108" width="12.42578125" style="3" customWidth="1"/>
    <col min="4109" max="4109" width="5.28515625" style="3" customWidth="1"/>
    <col min="4110" max="4110" width="10.85546875" style="3" customWidth="1"/>
    <col min="4111" max="4111" width="4.85546875" style="3" customWidth="1"/>
    <col min="4112" max="4112" width="5.140625" style="3" customWidth="1"/>
    <col min="4113" max="4113" width="10.5703125" style="3" customWidth="1"/>
    <col min="4114" max="4114" width="6.28515625" style="3" customWidth="1"/>
    <col min="4115" max="4115" width="6.5703125" style="3" customWidth="1"/>
    <col min="4116" max="4116" width="7.42578125" style="3" customWidth="1"/>
    <col min="4117" max="4117" width="6.85546875" style="3" customWidth="1"/>
    <col min="4118" max="4118" width="10.7109375" style="3" customWidth="1"/>
    <col min="4119" max="4119" width="5.140625" style="3" customWidth="1"/>
    <col min="4120" max="4351" width="11.42578125" style="3"/>
    <col min="4352" max="4352" width="23.7109375" style="3" customWidth="1"/>
    <col min="4353" max="4353" width="0" style="3" hidden="1" customWidth="1"/>
    <col min="4354" max="4354" width="41.42578125" style="3" customWidth="1"/>
    <col min="4355" max="4355" width="19.140625" style="3" customWidth="1"/>
    <col min="4356" max="4356" width="6.28515625" style="3" customWidth="1"/>
    <col min="4357" max="4357" width="6" style="3" customWidth="1"/>
    <col min="4358" max="4358" width="7.42578125" style="3" customWidth="1"/>
    <col min="4359" max="4359" width="5.7109375" style="3" customWidth="1"/>
    <col min="4360" max="4360" width="5.28515625" style="3" customWidth="1"/>
    <col min="4361" max="4361" width="10" style="3" customWidth="1"/>
    <col min="4362" max="4362" width="6.28515625" style="3" customWidth="1"/>
    <col min="4363" max="4363" width="8.28515625" style="3" customWidth="1"/>
    <col min="4364" max="4364" width="12.42578125" style="3" customWidth="1"/>
    <col min="4365" max="4365" width="5.28515625" style="3" customWidth="1"/>
    <col min="4366" max="4366" width="10.85546875" style="3" customWidth="1"/>
    <col min="4367" max="4367" width="4.85546875" style="3" customWidth="1"/>
    <col min="4368" max="4368" width="5.140625" style="3" customWidth="1"/>
    <col min="4369" max="4369" width="10.5703125" style="3" customWidth="1"/>
    <col min="4370" max="4370" width="6.28515625" style="3" customWidth="1"/>
    <col min="4371" max="4371" width="6.5703125" style="3" customWidth="1"/>
    <col min="4372" max="4372" width="7.42578125" style="3" customWidth="1"/>
    <col min="4373" max="4373" width="6.85546875" style="3" customWidth="1"/>
    <col min="4374" max="4374" width="10.7109375" style="3" customWidth="1"/>
    <col min="4375" max="4375" width="5.140625" style="3" customWidth="1"/>
    <col min="4376" max="4607" width="11.42578125" style="3"/>
    <col min="4608" max="4608" width="23.7109375" style="3" customWidth="1"/>
    <col min="4609" max="4609" width="0" style="3" hidden="1" customWidth="1"/>
    <col min="4610" max="4610" width="41.42578125" style="3" customWidth="1"/>
    <col min="4611" max="4611" width="19.140625" style="3" customWidth="1"/>
    <col min="4612" max="4612" width="6.28515625" style="3" customWidth="1"/>
    <col min="4613" max="4613" width="6" style="3" customWidth="1"/>
    <col min="4614" max="4614" width="7.42578125" style="3" customWidth="1"/>
    <col min="4615" max="4615" width="5.7109375" style="3" customWidth="1"/>
    <col min="4616" max="4616" width="5.28515625" style="3" customWidth="1"/>
    <col min="4617" max="4617" width="10" style="3" customWidth="1"/>
    <col min="4618" max="4618" width="6.28515625" style="3" customWidth="1"/>
    <col min="4619" max="4619" width="8.28515625" style="3" customWidth="1"/>
    <col min="4620" max="4620" width="12.42578125" style="3" customWidth="1"/>
    <col min="4621" max="4621" width="5.28515625" style="3" customWidth="1"/>
    <col min="4622" max="4622" width="10.85546875" style="3" customWidth="1"/>
    <col min="4623" max="4623" width="4.85546875" style="3" customWidth="1"/>
    <col min="4624" max="4624" width="5.140625" style="3" customWidth="1"/>
    <col min="4625" max="4625" width="10.5703125" style="3" customWidth="1"/>
    <col min="4626" max="4626" width="6.28515625" style="3" customWidth="1"/>
    <col min="4627" max="4627" width="6.5703125" style="3" customWidth="1"/>
    <col min="4628" max="4628" width="7.42578125" style="3" customWidth="1"/>
    <col min="4629" max="4629" width="6.85546875" style="3" customWidth="1"/>
    <col min="4630" max="4630" width="10.7109375" style="3" customWidth="1"/>
    <col min="4631" max="4631" width="5.140625" style="3" customWidth="1"/>
    <col min="4632" max="4863" width="11.42578125" style="3"/>
    <col min="4864" max="4864" width="23.7109375" style="3" customWidth="1"/>
    <col min="4865" max="4865" width="0" style="3" hidden="1" customWidth="1"/>
    <col min="4866" max="4866" width="41.42578125" style="3" customWidth="1"/>
    <col min="4867" max="4867" width="19.140625" style="3" customWidth="1"/>
    <col min="4868" max="4868" width="6.28515625" style="3" customWidth="1"/>
    <col min="4869" max="4869" width="6" style="3" customWidth="1"/>
    <col min="4870" max="4870" width="7.42578125" style="3" customWidth="1"/>
    <col min="4871" max="4871" width="5.7109375" style="3" customWidth="1"/>
    <col min="4872" max="4872" width="5.28515625" style="3" customWidth="1"/>
    <col min="4873" max="4873" width="10" style="3" customWidth="1"/>
    <col min="4874" max="4874" width="6.28515625" style="3" customWidth="1"/>
    <col min="4875" max="4875" width="8.28515625" style="3" customWidth="1"/>
    <col min="4876" max="4876" width="12.42578125" style="3" customWidth="1"/>
    <col min="4877" max="4877" width="5.28515625" style="3" customWidth="1"/>
    <col min="4878" max="4878" width="10.85546875" style="3" customWidth="1"/>
    <col min="4879" max="4879" width="4.85546875" style="3" customWidth="1"/>
    <col min="4880" max="4880" width="5.140625" style="3" customWidth="1"/>
    <col min="4881" max="4881" width="10.5703125" style="3" customWidth="1"/>
    <col min="4882" max="4882" width="6.28515625" style="3" customWidth="1"/>
    <col min="4883" max="4883" width="6.5703125" style="3" customWidth="1"/>
    <col min="4884" max="4884" width="7.42578125" style="3" customWidth="1"/>
    <col min="4885" max="4885" width="6.85546875" style="3" customWidth="1"/>
    <col min="4886" max="4886" width="10.7109375" style="3" customWidth="1"/>
    <col min="4887" max="4887" width="5.140625" style="3" customWidth="1"/>
    <col min="4888" max="5119" width="11.42578125" style="3"/>
    <col min="5120" max="5120" width="23.7109375" style="3" customWidth="1"/>
    <col min="5121" max="5121" width="0" style="3" hidden="1" customWidth="1"/>
    <col min="5122" max="5122" width="41.42578125" style="3" customWidth="1"/>
    <col min="5123" max="5123" width="19.140625" style="3" customWidth="1"/>
    <col min="5124" max="5124" width="6.28515625" style="3" customWidth="1"/>
    <col min="5125" max="5125" width="6" style="3" customWidth="1"/>
    <col min="5126" max="5126" width="7.42578125" style="3" customWidth="1"/>
    <col min="5127" max="5127" width="5.7109375" style="3" customWidth="1"/>
    <col min="5128" max="5128" width="5.28515625" style="3" customWidth="1"/>
    <col min="5129" max="5129" width="10" style="3" customWidth="1"/>
    <col min="5130" max="5130" width="6.28515625" style="3" customWidth="1"/>
    <col min="5131" max="5131" width="8.28515625" style="3" customWidth="1"/>
    <col min="5132" max="5132" width="12.42578125" style="3" customWidth="1"/>
    <col min="5133" max="5133" width="5.28515625" style="3" customWidth="1"/>
    <col min="5134" max="5134" width="10.85546875" style="3" customWidth="1"/>
    <col min="5135" max="5135" width="4.85546875" style="3" customWidth="1"/>
    <col min="5136" max="5136" width="5.140625" style="3" customWidth="1"/>
    <col min="5137" max="5137" width="10.5703125" style="3" customWidth="1"/>
    <col min="5138" max="5138" width="6.28515625" style="3" customWidth="1"/>
    <col min="5139" max="5139" width="6.5703125" style="3" customWidth="1"/>
    <col min="5140" max="5140" width="7.42578125" style="3" customWidth="1"/>
    <col min="5141" max="5141" width="6.85546875" style="3" customWidth="1"/>
    <col min="5142" max="5142" width="10.7109375" style="3" customWidth="1"/>
    <col min="5143" max="5143" width="5.140625" style="3" customWidth="1"/>
    <col min="5144" max="5375" width="11.42578125" style="3"/>
    <col min="5376" max="5376" width="23.7109375" style="3" customWidth="1"/>
    <col min="5377" max="5377" width="0" style="3" hidden="1" customWidth="1"/>
    <col min="5378" max="5378" width="41.42578125" style="3" customWidth="1"/>
    <col min="5379" max="5379" width="19.140625" style="3" customWidth="1"/>
    <col min="5380" max="5380" width="6.28515625" style="3" customWidth="1"/>
    <col min="5381" max="5381" width="6" style="3" customWidth="1"/>
    <col min="5382" max="5382" width="7.42578125" style="3" customWidth="1"/>
    <col min="5383" max="5383" width="5.7109375" style="3" customWidth="1"/>
    <col min="5384" max="5384" width="5.28515625" style="3" customWidth="1"/>
    <col min="5385" max="5385" width="10" style="3" customWidth="1"/>
    <col min="5386" max="5386" width="6.28515625" style="3" customWidth="1"/>
    <col min="5387" max="5387" width="8.28515625" style="3" customWidth="1"/>
    <col min="5388" max="5388" width="12.42578125" style="3" customWidth="1"/>
    <col min="5389" max="5389" width="5.28515625" style="3" customWidth="1"/>
    <col min="5390" max="5390" width="10.85546875" style="3" customWidth="1"/>
    <col min="5391" max="5391" width="4.85546875" style="3" customWidth="1"/>
    <col min="5392" max="5392" width="5.140625" style="3" customWidth="1"/>
    <col min="5393" max="5393" width="10.5703125" style="3" customWidth="1"/>
    <col min="5394" max="5394" width="6.28515625" style="3" customWidth="1"/>
    <col min="5395" max="5395" width="6.5703125" style="3" customWidth="1"/>
    <col min="5396" max="5396" width="7.42578125" style="3" customWidth="1"/>
    <col min="5397" max="5397" width="6.85546875" style="3" customWidth="1"/>
    <col min="5398" max="5398" width="10.7109375" style="3" customWidth="1"/>
    <col min="5399" max="5399" width="5.140625" style="3" customWidth="1"/>
    <col min="5400" max="5631" width="11.42578125" style="3"/>
    <col min="5632" max="5632" width="23.7109375" style="3" customWidth="1"/>
    <col min="5633" max="5633" width="0" style="3" hidden="1" customWidth="1"/>
    <col min="5634" max="5634" width="41.42578125" style="3" customWidth="1"/>
    <col min="5635" max="5635" width="19.140625" style="3" customWidth="1"/>
    <col min="5636" max="5636" width="6.28515625" style="3" customWidth="1"/>
    <col min="5637" max="5637" width="6" style="3" customWidth="1"/>
    <col min="5638" max="5638" width="7.42578125" style="3" customWidth="1"/>
    <col min="5639" max="5639" width="5.7109375" style="3" customWidth="1"/>
    <col min="5640" max="5640" width="5.28515625" style="3" customWidth="1"/>
    <col min="5641" max="5641" width="10" style="3" customWidth="1"/>
    <col min="5642" max="5642" width="6.28515625" style="3" customWidth="1"/>
    <col min="5643" max="5643" width="8.28515625" style="3" customWidth="1"/>
    <col min="5644" max="5644" width="12.42578125" style="3" customWidth="1"/>
    <col min="5645" max="5645" width="5.28515625" style="3" customWidth="1"/>
    <col min="5646" max="5646" width="10.85546875" style="3" customWidth="1"/>
    <col min="5647" max="5647" width="4.85546875" style="3" customWidth="1"/>
    <col min="5648" max="5648" width="5.140625" style="3" customWidth="1"/>
    <col min="5649" max="5649" width="10.5703125" style="3" customWidth="1"/>
    <col min="5650" max="5650" width="6.28515625" style="3" customWidth="1"/>
    <col min="5651" max="5651" width="6.5703125" style="3" customWidth="1"/>
    <col min="5652" max="5652" width="7.42578125" style="3" customWidth="1"/>
    <col min="5653" max="5653" width="6.85546875" style="3" customWidth="1"/>
    <col min="5654" max="5654" width="10.7109375" style="3" customWidth="1"/>
    <col min="5655" max="5655" width="5.140625" style="3" customWidth="1"/>
    <col min="5656" max="5887" width="11.42578125" style="3"/>
    <col min="5888" max="5888" width="23.7109375" style="3" customWidth="1"/>
    <col min="5889" max="5889" width="0" style="3" hidden="1" customWidth="1"/>
    <col min="5890" max="5890" width="41.42578125" style="3" customWidth="1"/>
    <col min="5891" max="5891" width="19.140625" style="3" customWidth="1"/>
    <col min="5892" max="5892" width="6.28515625" style="3" customWidth="1"/>
    <col min="5893" max="5893" width="6" style="3" customWidth="1"/>
    <col min="5894" max="5894" width="7.42578125" style="3" customWidth="1"/>
    <col min="5895" max="5895" width="5.7109375" style="3" customWidth="1"/>
    <col min="5896" max="5896" width="5.28515625" style="3" customWidth="1"/>
    <col min="5897" max="5897" width="10" style="3" customWidth="1"/>
    <col min="5898" max="5898" width="6.28515625" style="3" customWidth="1"/>
    <col min="5899" max="5899" width="8.28515625" style="3" customWidth="1"/>
    <col min="5900" max="5900" width="12.42578125" style="3" customWidth="1"/>
    <col min="5901" max="5901" width="5.28515625" style="3" customWidth="1"/>
    <col min="5902" max="5902" width="10.85546875" style="3" customWidth="1"/>
    <col min="5903" max="5903" width="4.85546875" style="3" customWidth="1"/>
    <col min="5904" max="5904" width="5.140625" style="3" customWidth="1"/>
    <col min="5905" max="5905" width="10.5703125" style="3" customWidth="1"/>
    <col min="5906" max="5906" width="6.28515625" style="3" customWidth="1"/>
    <col min="5907" max="5907" width="6.5703125" style="3" customWidth="1"/>
    <col min="5908" max="5908" width="7.42578125" style="3" customWidth="1"/>
    <col min="5909" max="5909" width="6.85546875" style="3" customWidth="1"/>
    <col min="5910" max="5910" width="10.7109375" style="3" customWidth="1"/>
    <col min="5911" max="5911" width="5.140625" style="3" customWidth="1"/>
    <col min="5912" max="6143" width="11.42578125" style="3"/>
    <col min="6144" max="6144" width="23.7109375" style="3" customWidth="1"/>
    <col min="6145" max="6145" width="0" style="3" hidden="1" customWidth="1"/>
    <col min="6146" max="6146" width="41.42578125" style="3" customWidth="1"/>
    <col min="6147" max="6147" width="19.140625" style="3" customWidth="1"/>
    <col min="6148" max="6148" width="6.28515625" style="3" customWidth="1"/>
    <col min="6149" max="6149" width="6" style="3" customWidth="1"/>
    <col min="6150" max="6150" width="7.42578125" style="3" customWidth="1"/>
    <col min="6151" max="6151" width="5.7109375" style="3" customWidth="1"/>
    <col min="6152" max="6152" width="5.28515625" style="3" customWidth="1"/>
    <col min="6153" max="6153" width="10" style="3" customWidth="1"/>
    <col min="6154" max="6154" width="6.28515625" style="3" customWidth="1"/>
    <col min="6155" max="6155" width="8.28515625" style="3" customWidth="1"/>
    <col min="6156" max="6156" width="12.42578125" style="3" customWidth="1"/>
    <col min="6157" max="6157" width="5.28515625" style="3" customWidth="1"/>
    <col min="6158" max="6158" width="10.85546875" style="3" customWidth="1"/>
    <col min="6159" max="6159" width="4.85546875" style="3" customWidth="1"/>
    <col min="6160" max="6160" width="5.140625" style="3" customWidth="1"/>
    <col min="6161" max="6161" width="10.5703125" style="3" customWidth="1"/>
    <col min="6162" max="6162" width="6.28515625" style="3" customWidth="1"/>
    <col min="6163" max="6163" width="6.5703125" style="3" customWidth="1"/>
    <col min="6164" max="6164" width="7.42578125" style="3" customWidth="1"/>
    <col min="6165" max="6165" width="6.85546875" style="3" customWidth="1"/>
    <col min="6166" max="6166" width="10.7109375" style="3" customWidth="1"/>
    <col min="6167" max="6167" width="5.140625" style="3" customWidth="1"/>
    <col min="6168" max="6399" width="11.42578125" style="3"/>
    <col min="6400" max="6400" width="23.7109375" style="3" customWidth="1"/>
    <col min="6401" max="6401" width="0" style="3" hidden="1" customWidth="1"/>
    <col min="6402" max="6402" width="41.42578125" style="3" customWidth="1"/>
    <col min="6403" max="6403" width="19.140625" style="3" customWidth="1"/>
    <col min="6404" max="6404" width="6.28515625" style="3" customWidth="1"/>
    <col min="6405" max="6405" width="6" style="3" customWidth="1"/>
    <col min="6406" max="6406" width="7.42578125" style="3" customWidth="1"/>
    <col min="6407" max="6407" width="5.7109375" style="3" customWidth="1"/>
    <col min="6408" max="6408" width="5.28515625" style="3" customWidth="1"/>
    <col min="6409" max="6409" width="10" style="3" customWidth="1"/>
    <col min="6410" max="6410" width="6.28515625" style="3" customWidth="1"/>
    <col min="6411" max="6411" width="8.28515625" style="3" customWidth="1"/>
    <col min="6412" max="6412" width="12.42578125" style="3" customWidth="1"/>
    <col min="6413" max="6413" width="5.28515625" style="3" customWidth="1"/>
    <col min="6414" max="6414" width="10.85546875" style="3" customWidth="1"/>
    <col min="6415" max="6415" width="4.85546875" style="3" customWidth="1"/>
    <col min="6416" max="6416" width="5.140625" style="3" customWidth="1"/>
    <col min="6417" max="6417" width="10.5703125" style="3" customWidth="1"/>
    <col min="6418" max="6418" width="6.28515625" style="3" customWidth="1"/>
    <col min="6419" max="6419" width="6.5703125" style="3" customWidth="1"/>
    <col min="6420" max="6420" width="7.42578125" style="3" customWidth="1"/>
    <col min="6421" max="6421" width="6.85546875" style="3" customWidth="1"/>
    <col min="6422" max="6422" width="10.7109375" style="3" customWidth="1"/>
    <col min="6423" max="6423" width="5.140625" style="3" customWidth="1"/>
    <col min="6424" max="6655" width="11.42578125" style="3"/>
    <col min="6656" max="6656" width="23.7109375" style="3" customWidth="1"/>
    <col min="6657" max="6657" width="0" style="3" hidden="1" customWidth="1"/>
    <col min="6658" max="6658" width="41.42578125" style="3" customWidth="1"/>
    <col min="6659" max="6659" width="19.140625" style="3" customWidth="1"/>
    <col min="6660" max="6660" width="6.28515625" style="3" customWidth="1"/>
    <col min="6661" max="6661" width="6" style="3" customWidth="1"/>
    <col min="6662" max="6662" width="7.42578125" style="3" customWidth="1"/>
    <col min="6663" max="6663" width="5.7109375" style="3" customWidth="1"/>
    <col min="6664" max="6664" width="5.28515625" style="3" customWidth="1"/>
    <col min="6665" max="6665" width="10" style="3" customWidth="1"/>
    <col min="6666" max="6666" width="6.28515625" style="3" customWidth="1"/>
    <col min="6667" max="6667" width="8.28515625" style="3" customWidth="1"/>
    <col min="6668" max="6668" width="12.42578125" style="3" customWidth="1"/>
    <col min="6669" max="6669" width="5.28515625" style="3" customWidth="1"/>
    <col min="6670" max="6670" width="10.85546875" style="3" customWidth="1"/>
    <col min="6671" max="6671" width="4.85546875" style="3" customWidth="1"/>
    <col min="6672" max="6672" width="5.140625" style="3" customWidth="1"/>
    <col min="6673" max="6673" width="10.5703125" style="3" customWidth="1"/>
    <col min="6674" max="6674" width="6.28515625" style="3" customWidth="1"/>
    <col min="6675" max="6675" width="6.5703125" style="3" customWidth="1"/>
    <col min="6676" max="6676" width="7.42578125" style="3" customWidth="1"/>
    <col min="6677" max="6677" width="6.85546875" style="3" customWidth="1"/>
    <col min="6678" max="6678" width="10.7109375" style="3" customWidth="1"/>
    <col min="6679" max="6679" width="5.140625" style="3" customWidth="1"/>
    <col min="6680" max="6911" width="11.42578125" style="3"/>
    <col min="6912" max="6912" width="23.7109375" style="3" customWidth="1"/>
    <col min="6913" max="6913" width="0" style="3" hidden="1" customWidth="1"/>
    <col min="6914" max="6914" width="41.42578125" style="3" customWidth="1"/>
    <col min="6915" max="6915" width="19.140625" style="3" customWidth="1"/>
    <col min="6916" max="6916" width="6.28515625" style="3" customWidth="1"/>
    <col min="6917" max="6917" width="6" style="3" customWidth="1"/>
    <col min="6918" max="6918" width="7.42578125" style="3" customWidth="1"/>
    <col min="6919" max="6919" width="5.7109375" style="3" customWidth="1"/>
    <col min="6920" max="6920" width="5.28515625" style="3" customWidth="1"/>
    <col min="6921" max="6921" width="10" style="3" customWidth="1"/>
    <col min="6922" max="6922" width="6.28515625" style="3" customWidth="1"/>
    <col min="6923" max="6923" width="8.28515625" style="3" customWidth="1"/>
    <col min="6924" max="6924" width="12.42578125" style="3" customWidth="1"/>
    <col min="6925" max="6925" width="5.28515625" style="3" customWidth="1"/>
    <col min="6926" max="6926" width="10.85546875" style="3" customWidth="1"/>
    <col min="6927" max="6927" width="4.85546875" style="3" customWidth="1"/>
    <col min="6928" max="6928" width="5.140625" style="3" customWidth="1"/>
    <col min="6929" max="6929" width="10.5703125" style="3" customWidth="1"/>
    <col min="6930" max="6930" width="6.28515625" style="3" customWidth="1"/>
    <col min="6931" max="6931" width="6.5703125" style="3" customWidth="1"/>
    <col min="6932" max="6932" width="7.42578125" style="3" customWidth="1"/>
    <col min="6933" max="6933" width="6.85546875" style="3" customWidth="1"/>
    <col min="6934" max="6934" width="10.7109375" style="3" customWidth="1"/>
    <col min="6935" max="6935" width="5.140625" style="3" customWidth="1"/>
    <col min="6936" max="7167" width="11.42578125" style="3"/>
    <col min="7168" max="7168" width="23.7109375" style="3" customWidth="1"/>
    <col min="7169" max="7169" width="0" style="3" hidden="1" customWidth="1"/>
    <col min="7170" max="7170" width="41.42578125" style="3" customWidth="1"/>
    <col min="7171" max="7171" width="19.140625" style="3" customWidth="1"/>
    <col min="7172" max="7172" width="6.28515625" style="3" customWidth="1"/>
    <col min="7173" max="7173" width="6" style="3" customWidth="1"/>
    <col min="7174" max="7174" width="7.42578125" style="3" customWidth="1"/>
    <col min="7175" max="7175" width="5.7109375" style="3" customWidth="1"/>
    <col min="7176" max="7176" width="5.28515625" style="3" customWidth="1"/>
    <col min="7177" max="7177" width="10" style="3" customWidth="1"/>
    <col min="7178" max="7178" width="6.28515625" style="3" customWidth="1"/>
    <col min="7179" max="7179" width="8.28515625" style="3" customWidth="1"/>
    <col min="7180" max="7180" width="12.42578125" style="3" customWidth="1"/>
    <col min="7181" max="7181" width="5.28515625" style="3" customWidth="1"/>
    <col min="7182" max="7182" width="10.85546875" style="3" customWidth="1"/>
    <col min="7183" max="7183" width="4.85546875" style="3" customWidth="1"/>
    <col min="7184" max="7184" width="5.140625" style="3" customWidth="1"/>
    <col min="7185" max="7185" width="10.5703125" style="3" customWidth="1"/>
    <col min="7186" max="7186" width="6.28515625" style="3" customWidth="1"/>
    <col min="7187" max="7187" width="6.5703125" style="3" customWidth="1"/>
    <col min="7188" max="7188" width="7.42578125" style="3" customWidth="1"/>
    <col min="7189" max="7189" width="6.85546875" style="3" customWidth="1"/>
    <col min="7190" max="7190" width="10.7109375" style="3" customWidth="1"/>
    <col min="7191" max="7191" width="5.140625" style="3" customWidth="1"/>
    <col min="7192" max="7423" width="11.42578125" style="3"/>
    <col min="7424" max="7424" width="23.7109375" style="3" customWidth="1"/>
    <col min="7425" max="7425" width="0" style="3" hidden="1" customWidth="1"/>
    <col min="7426" max="7426" width="41.42578125" style="3" customWidth="1"/>
    <col min="7427" max="7427" width="19.140625" style="3" customWidth="1"/>
    <col min="7428" max="7428" width="6.28515625" style="3" customWidth="1"/>
    <col min="7429" max="7429" width="6" style="3" customWidth="1"/>
    <col min="7430" max="7430" width="7.42578125" style="3" customWidth="1"/>
    <col min="7431" max="7431" width="5.7109375" style="3" customWidth="1"/>
    <col min="7432" max="7432" width="5.28515625" style="3" customWidth="1"/>
    <col min="7433" max="7433" width="10" style="3" customWidth="1"/>
    <col min="7434" max="7434" width="6.28515625" style="3" customWidth="1"/>
    <col min="7435" max="7435" width="8.28515625" style="3" customWidth="1"/>
    <col min="7436" max="7436" width="12.42578125" style="3" customWidth="1"/>
    <col min="7437" max="7437" width="5.28515625" style="3" customWidth="1"/>
    <col min="7438" max="7438" width="10.85546875" style="3" customWidth="1"/>
    <col min="7439" max="7439" width="4.85546875" style="3" customWidth="1"/>
    <col min="7440" max="7440" width="5.140625" style="3" customWidth="1"/>
    <col min="7441" max="7441" width="10.5703125" style="3" customWidth="1"/>
    <col min="7442" max="7442" width="6.28515625" style="3" customWidth="1"/>
    <col min="7443" max="7443" width="6.5703125" style="3" customWidth="1"/>
    <col min="7444" max="7444" width="7.42578125" style="3" customWidth="1"/>
    <col min="7445" max="7445" width="6.85546875" style="3" customWidth="1"/>
    <col min="7446" max="7446" width="10.7109375" style="3" customWidth="1"/>
    <col min="7447" max="7447" width="5.140625" style="3" customWidth="1"/>
    <col min="7448" max="7679" width="11.42578125" style="3"/>
    <col min="7680" max="7680" width="23.7109375" style="3" customWidth="1"/>
    <col min="7681" max="7681" width="0" style="3" hidden="1" customWidth="1"/>
    <col min="7682" max="7682" width="41.42578125" style="3" customWidth="1"/>
    <col min="7683" max="7683" width="19.140625" style="3" customWidth="1"/>
    <col min="7684" max="7684" width="6.28515625" style="3" customWidth="1"/>
    <col min="7685" max="7685" width="6" style="3" customWidth="1"/>
    <col min="7686" max="7686" width="7.42578125" style="3" customWidth="1"/>
    <col min="7687" max="7687" width="5.7109375" style="3" customWidth="1"/>
    <col min="7688" max="7688" width="5.28515625" style="3" customWidth="1"/>
    <col min="7689" max="7689" width="10" style="3" customWidth="1"/>
    <col min="7690" max="7690" width="6.28515625" style="3" customWidth="1"/>
    <col min="7691" max="7691" width="8.28515625" style="3" customWidth="1"/>
    <col min="7692" max="7692" width="12.42578125" style="3" customWidth="1"/>
    <col min="7693" max="7693" width="5.28515625" style="3" customWidth="1"/>
    <col min="7694" max="7694" width="10.85546875" style="3" customWidth="1"/>
    <col min="7695" max="7695" width="4.85546875" style="3" customWidth="1"/>
    <col min="7696" max="7696" width="5.140625" style="3" customWidth="1"/>
    <col min="7697" max="7697" width="10.5703125" style="3" customWidth="1"/>
    <col min="7698" max="7698" width="6.28515625" style="3" customWidth="1"/>
    <col min="7699" max="7699" width="6.5703125" style="3" customWidth="1"/>
    <col min="7700" max="7700" width="7.42578125" style="3" customWidth="1"/>
    <col min="7701" max="7701" width="6.85546875" style="3" customWidth="1"/>
    <col min="7702" max="7702" width="10.7109375" style="3" customWidth="1"/>
    <col min="7703" max="7703" width="5.140625" style="3" customWidth="1"/>
    <col min="7704" max="7935" width="11.42578125" style="3"/>
    <col min="7936" max="7936" width="23.7109375" style="3" customWidth="1"/>
    <col min="7937" max="7937" width="0" style="3" hidden="1" customWidth="1"/>
    <col min="7938" max="7938" width="41.42578125" style="3" customWidth="1"/>
    <col min="7939" max="7939" width="19.140625" style="3" customWidth="1"/>
    <col min="7940" max="7940" width="6.28515625" style="3" customWidth="1"/>
    <col min="7941" max="7941" width="6" style="3" customWidth="1"/>
    <col min="7942" max="7942" width="7.42578125" style="3" customWidth="1"/>
    <col min="7943" max="7943" width="5.7109375" style="3" customWidth="1"/>
    <col min="7944" max="7944" width="5.28515625" style="3" customWidth="1"/>
    <col min="7945" max="7945" width="10" style="3" customWidth="1"/>
    <col min="7946" max="7946" width="6.28515625" style="3" customWidth="1"/>
    <col min="7947" max="7947" width="8.28515625" style="3" customWidth="1"/>
    <col min="7948" max="7948" width="12.42578125" style="3" customWidth="1"/>
    <col min="7949" max="7949" width="5.28515625" style="3" customWidth="1"/>
    <col min="7950" max="7950" width="10.85546875" style="3" customWidth="1"/>
    <col min="7951" max="7951" width="4.85546875" style="3" customWidth="1"/>
    <col min="7952" max="7952" width="5.140625" style="3" customWidth="1"/>
    <col min="7953" max="7953" width="10.5703125" style="3" customWidth="1"/>
    <col min="7954" max="7954" width="6.28515625" style="3" customWidth="1"/>
    <col min="7955" max="7955" width="6.5703125" style="3" customWidth="1"/>
    <col min="7956" max="7956" width="7.42578125" style="3" customWidth="1"/>
    <col min="7957" max="7957" width="6.85546875" style="3" customWidth="1"/>
    <col min="7958" max="7958" width="10.7109375" style="3" customWidth="1"/>
    <col min="7959" max="7959" width="5.140625" style="3" customWidth="1"/>
    <col min="7960" max="8191" width="11.42578125" style="3"/>
    <col min="8192" max="8192" width="23.7109375" style="3" customWidth="1"/>
    <col min="8193" max="8193" width="0" style="3" hidden="1" customWidth="1"/>
    <col min="8194" max="8194" width="41.42578125" style="3" customWidth="1"/>
    <col min="8195" max="8195" width="19.140625" style="3" customWidth="1"/>
    <col min="8196" max="8196" width="6.28515625" style="3" customWidth="1"/>
    <col min="8197" max="8197" width="6" style="3" customWidth="1"/>
    <col min="8198" max="8198" width="7.42578125" style="3" customWidth="1"/>
    <col min="8199" max="8199" width="5.7109375" style="3" customWidth="1"/>
    <col min="8200" max="8200" width="5.28515625" style="3" customWidth="1"/>
    <col min="8201" max="8201" width="10" style="3" customWidth="1"/>
    <col min="8202" max="8202" width="6.28515625" style="3" customWidth="1"/>
    <col min="8203" max="8203" width="8.28515625" style="3" customWidth="1"/>
    <col min="8204" max="8204" width="12.42578125" style="3" customWidth="1"/>
    <col min="8205" max="8205" width="5.28515625" style="3" customWidth="1"/>
    <col min="8206" max="8206" width="10.85546875" style="3" customWidth="1"/>
    <col min="8207" max="8207" width="4.85546875" style="3" customWidth="1"/>
    <col min="8208" max="8208" width="5.140625" style="3" customWidth="1"/>
    <col min="8209" max="8209" width="10.5703125" style="3" customWidth="1"/>
    <col min="8210" max="8210" width="6.28515625" style="3" customWidth="1"/>
    <col min="8211" max="8211" width="6.5703125" style="3" customWidth="1"/>
    <col min="8212" max="8212" width="7.42578125" style="3" customWidth="1"/>
    <col min="8213" max="8213" width="6.85546875" style="3" customWidth="1"/>
    <col min="8214" max="8214" width="10.7109375" style="3" customWidth="1"/>
    <col min="8215" max="8215" width="5.140625" style="3" customWidth="1"/>
    <col min="8216" max="8447" width="11.42578125" style="3"/>
    <col min="8448" max="8448" width="23.7109375" style="3" customWidth="1"/>
    <col min="8449" max="8449" width="0" style="3" hidden="1" customWidth="1"/>
    <col min="8450" max="8450" width="41.42578125" style="3" customWidth="1"/>
    <col min="8451" max="8451" width="19.140625" style="3" customWidth="1"/>
    <col min="8452" max="8452" width="6.28515625" style="3" customWidth="1"/>
    <col min="8453" max="8453" width="6" style="3" customWidth="1"/>
    <col min="8454" max="8454" width="7.42578125" style="3" customWidth="1"/>
    <col min="8455" max="8455" width="5.7109375" style="3" customWidth="1"/>
    <col min="8456" max="8456" width="5.28515625" style="3" customWidth="1"/>
    <col min="8457" max="8457" width="10" style="3" customWidth="1"/>
    <col min="8458" max="8458" width="6.28515625" style="3" customWidth="1"/>
    <col min="8459" max="8459" width="8.28515625" style="3" customWidth="1"/>
    <col min="8460" max="8460" width="12.42578125" style="3" customWidth="1"/>
    <col min="8461" max="8461" width="5.28515625" style="3" customWidth="1"/>
    <col min="8462" max="8462" width="10.85546875" style="3" customWidth="1"/>
    <col min="8463" max="8463" width="4.85546875" style="3" customWidth="1"/>
    <col min="8464" max="8464" width="5.140625" style="3" customWidth="1"/>
    <col min="8465" max="8465" width="10.5703125" style="3" customWidth="1"/>
    <col min="8466" max="8466" width="6.28515625" style="3" customWidth="1"/>
    <col min="8467" max="8467" width="6.5703125" style="3" customWidth="1"/>
    <col min="8468" max="8468" width="7.42578125" style="3" customWidth="1"/>
    <col min="8469" max="8469" width="6.85546875" style="3" customWidth="1"/>
    <col min="8470" max="8470" width="10.7109375" style="3" customWidth="1"/>
    <col min="8471" max="8471" width="5.140625" style="3" customWidth="1"/>
    <col min="8472" max="8703" width="11.42578125" style="3"/>
    <col min="8704" max="8704" width="23.7109375" style="3" customWidth="1"/>
    <col min="8705" max="8705" width="0" style="3" hidden="1" customWidth="1"/>
    <col min="8706" max="8706" width="41.42578125" style="3" customWidth="1"/>
    <col min="8707" max="8707" width="19.140625" style="3" customWidth="1"/>
    <col min="8708" max="8708" width="6.28515625" style="3" customWidth="1"/>
    <col min="8709" max="8709" width="6" style="3" customWidth="1"/>
    <col min="8710" max="8710" width="7.42578125" style="3" customWidth="1"/>
    <col min="8711" max="8711" width="5.7109375" style="3" customWidth="1"/>
    <col min="8712" max="8712" width="5.28515625" style="3" customWidth="1"/>
    <col min="8713" max="8713" width="10" style="3" customWidth="1"/>
    <col min="8714" max="8714" width="6.28515625" style="3" customWidth="1"/>
    <col min="8715" max="8715" width="8.28515625" style="3" customWidth="1"/>
    <col min="8716" max="8716" width="12.42578125" style="3" customWidth="1"/>
    <col min="8717" max="8717" width="5.28515625" style="3" customWidth="1"/>
    <col min="8718" max="8718" width="10.85546875" style="3" customWidth="1"/>
    <col min="8719" max="8719" width="4.85546875" style="3" customWidth="1"/>
    <col min="8720" max="8720" width="5.140625" style="3" customWidth="1"/>
    <col min="8721" max="8721" width="10.5703125" style="3" customWidth="1"/>
    <col min="8722" max="8722" width="6.28515625" style="3" customWidth="1"/>
    <col min="8723" max="8723" width="6.5703125" style="3" customWidth="1"/>
    <col min="8724" max="8724" width="7.42578125" style="3" customWidth="1"/>
    <col min="8725" max="8725" width="6.85546875" style="3" customWidth="1"/>
    <col min="8726" max="8726" width="10.7109375" style="3" customWidth="1"/>
    <col min="8727" max="8727" width="5.140625" style="3" customWidth="1"/>
    <col min="8728" max="8959" width="11.42578125" style="3"/>
    <col min="8960" max="8960" width="23.7109375" style="3" customWidth="1"/>
    <col min="8961" max="8961" width="0" style="3" hidden="1" customWidth="1"/>
    <col min="8962" max="8962" width="41.42578125" style="3" customWidth="1"/>
    <col min="8963" max="8963" width="19.140625" style="3" customWidth="1"/>
    <col min="8964" max="8964" width="6.28515625" style="3" customWidth="1"/>
    <col min="8965" max="8965" width="6" style="3" customWidth="1"/>
    <col min="8966" max="8966" width="7.42578125" style="3" customWidth="1"/>
    <col min="8967" max="8967" width="5.7109375" style="3" customWidth="1"/>
    <col min="8968" max="8968" width="5.28515625" style="3" customWidth="1"/>
    <col min="8969" max="8969" width="10" style="3" customWidth="1"/>
    <col min="8970" max="8970" width="6.28515625" style="3" customWidth="1"/>
    <col min="8971" max="8971" width="8.28515625" style="3" customWidth="1"/>
    <col min="8972" max="8972" width="12.42578125" style="3" customWidth="1"/>
    <col min="8973" max="8973" width="5.28515625" style="3" customWidth="1"/>
    <col min="8974" max="8974" width="10.85546875" style="3" customWidth="1"/>
    <col min="8975" max="8975" width="4.85546875" style="3" customWidth="1"/>
    <col min="8976" max="8976" width="5.140625" style="3" customWidth="1"/>
    <col min="8977" max="8977" width="10.5703125" style="3" customWidth="1"/>
    <col min="8978" max="8978" width="6.28515625" style="3" customWidth="1"/>
    <col min="8979" max="8979" width="6.5703125" style="3" customWidth="1"/>
    <col min="8980" max="8980" width="7.42578125" style="3" customWidth="1"/>
    <col min="8981" max="8981" width="6.85546875" style="3" customWidth="1"/>
    <col min="8982" max="8982" width="10.7109375" style="3" customWidth="1"/>
    <col min="8983" max="8983" width="5.140625" style="3" customWidth="1"/>
    <col min="8984" max="9215" width="11.42578125" style="3"/>
    <col min="9216" max="9216" width="23.7109375" style="3" customWidth="1"/>
    <col min="9217" max="9217" width="0" style="3" hidden="1" customWidth="1"/>
    <col min="9218" max="9218" width="41.42578125" style="3" customWidth="1"/>
    <col min="9219" max="9219" width="19.140625" style="3" customWidth="1"/>
    <col min="9220" max="9220" width="6.28515625" style="3" customWidth="1"/>
    <col min="9221" max="9221" width="6" style="3" customWidth="1"/>
    <col min="9222" max="9222" width="7.42578125" style="3" customWidth="1"/>
    <col min="9223" max="9223" width="5.7109375" style="3" customWidth="1"/>
    <col min="9224" max="9224" width="5.28515625" style="3" customWidth="1"/>
    <col min="9225" max="9225" width="10" style="3" customWidth="1"/>
    <col min="9226" max="9226" width="6.28515625" style="3" customWidth="1"/>
    <col min="9227" max="9227" width="8.28515625" style="3" customWidth="1"/>
    <col min="9228" max="9228" width="12.42578125" style="3" customWidth="1"/>
    <col min="9229" max="9229" width="5.28515625" style="3" customWidth="1"/>
    <col min="9230" max="9230" width="10.85546875" style="3" customWidth="1"/>
    <col min="9231" max="9231" width="4.85546875" style="3" customWidth="1"/>
    <col min="9232" max="9232" width="5.140625" style="3" customWidth="1"/>
    <col min="9233" max="9233" width="10.5703125" style="3" customWidth="1"/>
    <col min="9234" max="9234" width="6.28515625" style="3" customWidth="1"/>
    <col min="9235" max="9235" width="6.5703125" style="3" customWidth="1"/>
    <col min="9236" max="9236" width="7.42578125" style="3" customWidth="1"/>
    <col min="9237" max="9237" width="6.85546875" style="3" customWidth="1"/>
    <col min="9238" max="9238" width="10.7109375" style="3" customWidth="1"/>
    <col min="9239" max="9239" width="5.140625" style="3" customWidth="1"/>
    <col min="9240" max="9471" width="11.42578125" style="3"/>
    <col min="9472" max="9472" width="23.7109375" style="3" customWidth="1"/>
    <col min="9473" max="9473" width="0" style="3" hidden="1" customWidth="1"/>
    <col min="9474" max="9474" width="41.42578125" style="3" customWidth="1"/>
    <col min="9475" max="9475" width="19.140625" style="3" customWidth="1"/>
    <col min="9476" max="9476" width="6.28515625" style="3" customWidth="1"/>
    <col min="9477" max="9477" width="6" style="3" customWidth="1"/>
    <col min="9478" max="9478" width="7.42578125" style="3" customWidth="1"/>
    <col min="9479" max="9479" width="5.7109375" style="3" customWidth="1"/>
    <col min="9480" max="9480" width="5.28515625" style="3" customWidth="1"/>
    <col min="9481" max="9481" width="10" style="3" customWidth="1"/>
    <col min="9482" max="9482" width="6.28515625" style="3" customWidth="1"/>
    <col min="9483" max="9483" width="8.28515625" style="3" customWidth="1"/>
    <col min="9484" max="9484" width="12.42578125" style="3" customWidth="1"/>
    <col min="9485" max="9485" width="5.28515625" style="3" customWidth="1"/>
    <col min="9486" max="9486" width="10.85546875" style="3" customWidth="1"/>
    <col min="9487" max="9487" width="4.85546875" style="3" customWidth="1"/>
    <col min="9488" max="9488" width="5.140625" style="3" customWidth="1"/>
    <col min="9489" max="9489" width="10.5703125" style="3" customWidth="1"/>
    <col min="9490" max="9490" width="6.28515625" style="3" customWidth="1"/>
    <col min="9491" max="9491" width="6.5703125" style="3" customWidth="1"/>
    <col min="9492" max="9492" width="7.42578125" style="3" customWidth="1"/>
    <col min="9493" max="9493" width="6.85546875" style="3" customWidth="1"/>
    <col min="9494" max="9494" width="10.7109375" style="3" customWidth="1"/>
    <col min="9495" max="9495" width="5.140625" style="3" customWidth="1"/>
    <col min="9496" max="9727" width="11.42578125" style="3"/>
    <col min="9728" max="9728" width="23.7109375" style="3" customWidth="1"/>
    <col min="9729" max="9729" width="0" style="3" hidden="1" customWidth="1"/>
    <col min="9730" max="9730" width="41.42578125" style="3" customWidth="1"/>
    <col min="9731" max="9731" width="19.140625" style="3" customWidth="1"/>
    <col min="9732" max="9732" width="6.28515625" style="3" customWidth="1"/>
    <col min="9733" max="9733" width="6" style="3" customWidth="1"/>
    <col min="9734" max="9734" width="7.42578125" style="3" customWidth="1"/>
    <col min="9735" max="9735" width="5.7109375" style="3" customWidth="1"/>
    <col min="9736" max="9736" width="5.28515625" style="3" customWidth="1"/>
    <col min="9737" max="9737" width="10" style="3" customWidth="1"/>
    <col min="9738" max="9738" width="6.28515625" style="3" customWidth="1"/>
    <col min="9739" max="9739" width="8.28515625" style="3" customWidth="1"/>
    <col min="9740" max="9740" width="12.42578125" style="3" customWidth="1"/>
    <col min="9741" max="9741" width="5.28515625" style="3" customWidth="1"/>
    <col min="9742" max="9742" width="10.85546875" style="3" customWidth="1"/>
    <col min="9743" max="9743" width="4.85546875" style="3" customWidth="1"/>
    <col min="9744" max="9744" width="5.140625" style="3" customWidth="1"/>
    <col min="9745" max="9745" width="10.5703125" style="3" customWidth="1"/>
    <col min="9746" max="9746" width="6.28515625" style="3" customWidth="1"/>
    <col min="9747" max="9747" width="6.5703125" style="3" customWidth="1"/>
    <col min="9748" max="9748" width="7.42578125" style="3" customWidth="1"/>
    <col min="9749" max="9749" width="6.85546875" style="3" customWidth="1"/>
    <col min="9750" max="9750" width="10.7109375" style="3" customWidth="1"/>
    <col min="9751" max="9751" width="5.140625" style="3" customWidth="1"/>
    <col min="9752" max="9983" width="11.42578125" style="3"/>
    <col min="9984" max="9984" width="23.7109375" style="3" customWidth="1"/>
    <col min="9985" max="9985" width="0" style="3" hidden="1" customWidth="1"/>
    <col min="9986" max="9986" width="41.42578125" style="3" customWidth="1"/>
    <col min="9987" max="9987" width="19.140625" style="3" customWidth="1"/>
    <col min="9988" max="9988" width="6.28515625" style="3" customWidth="1"/>
    <col min="9989" max="9989" width="6" style="3" customWidth="1"/>
    <col min="9990" max="9990" width="7.42578125" style="3" customWidth="1"/>
    <col min="9991" max="9991" width="5.7109375" style="3" customWidth="1"/>
    <col min="9992" max="9992" width="5.28515625" style="3" customWidth="1"/>
    <col min="9993" max="9993" width="10" style="3" customWidth="1"/>
    <col min="9994" max="9994" width="6.28515625" style="3" customWidth="1"/>
    <col min="9995" max="9995" width="8.28515625" style="3" customWidth="1"/>
    <col min="9996" max="9996" width="12.42578125" style="3" customWidth="1"/>
    <col min="9997" max="9997" width="5.28515625" style="3" customWidth="1"/>
    <col min="9998" max="9998" width="10.85546875" style="3" customWidth="1"/>
    <col min="9999" max="9999" width="4.85546875" style="3" customWidth="1"/>
    <col min="10000" max="10000" width="5.140625" style="3" customWidth="1"/>
    <col min="10001" max="10001" width="10.5703125" style="3" customWidth="1"/>
    <col min="10002" max="10002" width="6.28515625" style="3" customWidth="1"/>
    <col min="10003" max="10003" width="6.5703125" style="3" customWidth="1"/>
    <col min="10004" max="10004" width="7.42578125" style="3" customWidth="1"/>
    <col min="10005" max="10005" width="6.85546875" style="3" customWidth="1"/>
    <col min="10006" max="10006" width="10.7109375" style="3" customWidth="1"/>
    <col min="10007" max="10007" width="5.140625" style="3" customWidth="1"/>
    <col min="10008" max="10239" width="11.42578125" style="3"/>
    <col min="10240" max="10240" width="23.7109375" style="3" customWidth="1"/>
    <col min="10241" max="10241" width="0" style="3" hidden="1" customWidth="1"/>
    <col min="10242" max="10242" width="41.42578125" style="3" customWidth="1"/>
    <col min="10243" max="10243" width="19.140625" style="3" customWidth="1"/>
    <col min="10244" max="10244" width="6.28515625" style="3" customWidth="1"/>
    <col min="10245" max="10245" width="6" style="3" customWidth="1"/>
    <col min="10246" max="10246" width="7.42578125" style="3" customWidth="1"/>
    <col min="10247" max="10247" width="5.7109375" style="3" customWidth="1"/>
    <col min="10248" max="10248" width="5.28515625" style="3" customWidth="1"/>
    <col min="10249" max="10249" width="10" style="3" customWidth="1"/>
    <col min="10250" max="10250" width="6.28515625" style="3" customWidth="1"/>
    <col min="10251" max="10251" width="8.28515625" style="3" customWidth="1"/>
    <col min="10252" max="10252" width="12.42578125" style="3" customWidth="1"/>
    <col min="10253" max="10253" width="5.28515625" style="3" customWidth="1"/>
    <col min="10254" max="10254" width="10.85546875" style="3" customWidth="1"/>
    <col min="10255" max="10255" width="4.85546875" style="3" customWidth="1"/>
    <col min="10256" max="10256" width="5.140625" style="3" customWidth="1"/>
    <col min="10257" max="10257" width="10.5703125" style="3" customWidth="1"/>
    <col min="10258" max="10258" width="6.28515625" style="3" customWidth="1"/>
    <col min="10259" max="10259" width="6.5703125" style="3" customWidth="1"/>
    <col min="10260" max="10260" width="7.42578125" style="3" customWidth="1"/>
    <col min="10261" max="10261" width="6.85546875" style="3" customWidth="1"/>
    <col min="10262" max="10262" width="10.7109375" style="3" customWidth="1"/>
    <col min="10263" max="10263" width="5.140625" style="3" customWidth="1"/>
    <col min="10264" max="10495" width="11.42578125" style="3"/>
    <col min="10496" max="10496" width="23.7109375" style="3" customWidth="1"/>
    <col min="10497" max="10497" width="0" style="3" hidden="1" customWidth="1"/>
    <col min="10498" max="10498" width="41.42578125" style="3" customWidth="1"/>
    <col min="10499" max="10499" width="19.140625" style="3" customWidth="1"/>
    <col min="10500" max="10500" width="6.28515625" style="3" customWidth="1"/>
    <col min="10501" max="10501" width="6" style="3" customWidth="1"/>
    <col min="10502" max="10502" width="7.42578125" style="3" customWidth="1"/>
    <col min="10503" max="10503" width="5.7109375" style="3" customWidth="1"/>
    <col min="10504" max="10504" width="5.28515625" style="3" customWidth="1"/>
    <col min="10505" max="10505" width="10" style="3" customWidth="1"/>
    <col min="10506" max="10506" width="6.28515625" style="3" customWidth="1"/>
    <col min="10507" max="10507" width="8.28515625" style="3" customWidth="1"/>
    <col min="10508" max="10508" width="12.42578125" style="3" customWidth="1"/>
    <col min="10509" max="10509" width="5.28515625" style="3" customWidth="1"/>
    <col min="10510" max="10510" width="10.85546875" style="3" customWidth="1"/>
    <col min="10511" max="10511" width="4.85546875" style="3" customWidth="1"/>
    <col min="10512" max="10512" width="5.140625" style="3" customWidth="1"/>
    <col min="10513" max="10513" width="10.5703125" style="3" customWidth="1"/>
    <col min="10514" max="10514" width="6.28515625" style="3" customWidth="1"/>
    <col min="10515" max="10515" width="6.5703125" style="3" customWidth="1"/>
    <col min="10516" max="10516" width="7.42578125" style="3" customWidth="1"/>
    <col min="10517" max="10517" width="6.85546875" style="3" customWidth="1"/>
    <col min="10518" max="10518" width="10.7109375" style="3" customWidth="1"/>
    <col min="10519" max="10519" width="5.140625" style="3" customWidth="1"/>
    <col min="10520" max="10751" width="11.42578125" style="3"/>
    <col min="10752" max="10752" width="23.7109375" style="3" customWidth="1"/>
    <col min="10753" max="10753" width="0" style="3" hidden="1" customWidth="1"/>
    <col min="10754" max="10754" width="41.42578125" style="3" customWidth="1"/>
    <col min="10755" max="10755" width="19.140625" style="3" customWidth="1"/>
    <col min="10756" max="10756" width="6.28515625" style="3" customWidth="1"/>
    <col min="10757" max="10757" width="6" style="3" customWidth="1"/>
    <col min="10758" max="10758" width="7.42578125" style="3" customWidth="1"/>
    <col min="10759" max="10759" width="5.7109375" style="3" customWidth="1"/>
    <col min="10760" max="10760" width="5.28515625" style="3" customWidth="1"/>
    <col min="10761" max="10761" width="10" style="3" customWidth="1"/>
    <col min="10762" max="10762" width="6.28515625" style="3" customWidth="1"/>
    <col min="10763" max="10763" width="8.28515625" style="3" customWidth="1"/>
    <col min="10764" max="10764" width="12.42578125" style="3" customWidth="1"/>
    <col min="10765" max="10765" width="5.28515625" style="3" customWidth="1"/>
    <col min="10766" max="10766" width="10.85546875" style="3" customWidth="1"/>
    <col min="10767" max="10767" width="4.85546875" style="3" customWidth="1"/>
    <col min="10768" max="10768" width="5.140625" style="3" customWidth="1"/>
    <col min="10769" max="10769" width="10.5703125" style="3" customWidth="1"/>
    <col min="10770" max="10770" width="6.28515625" style="3" customWidth="1"/>
    <col min="10771" max="10771" width="6.5703125" style="3" customWidth="1"/>
    <col min="10772" max="10772" width="7.42578125" style="3" customWidth="1"/>
    <col min="10773" max="10773" width="6.85546875" style="3" customWidth="1"/>
    <col min="10774" max="10774" width="10.7109375" style="3" customWidth="1"/>
    <col min="10775" max="10775" width="5.140625" style="3" customWidth="1"/>
    <col min="10776" max="11007" width="11.42578125" style="3"/>
    <col min="11008" max="11008" width="23.7109375" style="3" customWidth="1"/>
    <col min="11009" max="11009" width="0" style="3" hidden="1" customWidth="1"/>
    <col min="11010" max="11010" width="41.42578125" style="3" customWidth="1"/>
    <col min="11011" max="11011" width="19.140625" style="3" customWidth="1"/>
    <col min="11012" max="11012" width="6.28515625" style="3" customWidth="1"/>
    <col min="11013" max="11013" width="6" style="3" customWidth="1"/>
    <col min="11014" max="11014" width="7.42578125" style="3" customWidth="1"/>
    <col min="11015" max="11015" width="5.7109375" style="3" customWidth="1"/>
    <col min="11016" max="11016" width="5.28515625" style="3" customWidth="1"/>
    <col min="11017" max="11017" width="10" style="3" customWidth="1"/>
    <col min="11018" max="11018" width="6.28515625" style="3" customWidth="1"/>
    <col min="11019" max="11019" width="8.28515625" style="3" customWidth="1"/>
    <col min="11020" max="11020" width="12.42578125" style="3" customWidth="1"/>
    <col min="11021" max="11021" width="5.28515625" style="3" customWidth="1"/>
    <col min="11022" max="11022" width="10.85546875" style="3" customWidth="1"/>
    <col min="11023" max="11023" width="4.85546875" style="3" customWidth="1"/>
    <col min="11024" max="11024" width="5.140625" style="3" customWidth="1"/>
    <col min="11025" max="11025" width="10.5703125" style="3" customWidth="1"/>
    <col min="11026" max="11026" width="6.28515625" style="3" customWidth="1"/>
    <col min="11027" max="11027" width="6.5703125" style="3" customWidth="1"/>
    <col min="11028" max="11028" width="7.42578125" style="3" customWidth="1"/>
    <col min="11029" max="11029" width="6.85546875" style="3" customWidth="1"/>
    <col min="11030" max="11030" width="10.7109375" style="3" customWidth="1"/>
    <col min="11031" max="11031" width="5.140625" style="3" customWidth="1"/>
    <col min="11032" max="11263" width="11.42578125" style="3"/>
    <col min="11264" max="11264" width="23.7109375" style="3" customWidth="1"/>
    <col min="11265" max="11265" width="0" style="3" hidden="1" customWidth="1"/>
    <col min="11266" max="11266" width="41.42578125" style="3" customWidth="1"/>
    <col min="11267" max="11267" width="19.140625" style="3" customWidth="1"/>
    <col min="11268" max="11268" width="6.28515625" style="3" customWidth="1"/>
    <col min="11269" max="11269" width="6" style="3" customWidth="1"/>
    <col min="11270" max="11270" width="7.42578125" style="3" customWidth="1"/>
    <col min="11271" max="11271" width="5.7109375" style="3" customWidth="1"/>
    <col min="11272" max="11272" width="5.28515625" style="3" customWidth="1"/>
    <col min="11273" max="11273" width="10" style="3" customWidth="1"/>
    <col min="11274" max="11274" width="6.28515625" style="3" customWidth="1"/>
    <col min="11275" max="11275" width="8.28515625" style="3" customWidth="1"/>
    <col min="11276" max="11276" width="12.42578125" style="3" customWidth="1"/>
    <col min="11277" max="11277" width="5.28515625" style="3" customWidth="1"/>
    <col min="11278" max="11278" width="10.85546875" style="3" customWidth="1"/>
    <col min="11279" max="11279" width="4.85546875" style="3" customWidth="1"/>
    <col min="11280" max="11280" width="5.140625" style="3" customWidth="1"/>
    <col min="11281" max="11281" width="10.5703125" style="3" customWidth="1"/>
    <col min="11282" max="11282" width="6.28515625" style="3" customWidth="1"/>
    <col min="11283" max="11283" width="6.5703125" style="3" customWidth="1"/>
    <col min="11284" max="11284" width="7.42578125" style="3" customWidth="1"/>
    <col min="11285" max="11285" width="6.85546875" style="3" customWidth="1"/>
    <col min="11286" max="11286" width="10.7109375" style="3" customWidth="1"/>
    <col min="11287" max="11287" width="5.140625" style="3" customWidth="1"/>
    <col min="11288" max="11519" width="11.42578125" style="3"/>
    <col min="11520" max="11520" width="23.7109375" style="3" customWidth="1"/>
    <col min="11521" max="11521" width="0" style="3" hidden="1" customWidth="1"/>
    <col min="11522" max="11522" width="41.42578125" style="3" customWidth="1"/>
    <col min="11523" max="11523" width="19.140625" style="3" customWidth="1"/>
    <col min="11524" max="11524" width="6.28515625" style="3" customWidth="1"/>
    <col min="11525" max="11525" width="6" style="3" customWidth="1"/>
    <col min="11526" max="11526" width="7.42578125" style="3" customWidth="1"/>
    <col min="11527" max="11527" width="5.7109375" style="3" customWidth="1"/>
    <col min="11528" max="11528" width="5.28515625" style="3" customWidth="1"/>
    <col min="11529" max="11529" width="10" style="3" customWidth="1"/>
    <col min="11530" max="11530" width="6.28515625" style="3" customWidth="1"/>
    <col min="11531" max="11531" width="8.28515625" style="3" customWidth="1"/>
    <col min="11532" max="11532" width="12.42578125" style="3" customWidth="1"/>
    <col min="11533" max="11533" width="5.28515625" style="3" customWidth="1"/>
    <col min="11534" max="11534" width="10.85546875" style="3" customWidth="1"/>
    <col min="11535" max="11535" width="4.85546875" style="3" customWidth="1"/>
    <col min="11536" max="11536" width="5.140625" style="3" customWidth="1"/>
    <col min="11537" max="11537" width="10.5703125" style="3" customWidth="1"/>
    <col min="11538" max="11538" width="6.28515625" style="3" customWidth="1"/>
    <col min="11539" max="11539" width="6.5703125" style="3" customWidth="1"/>
    <col min="11540" max="11540" width="7.42578125" style="3" customWidth="1"/>
    <col min="11541" max="11541" width="6.85546875" style="3" customWidth="1"/>
    <col min="11542" max="11542" width="10.7109375" style="3" customWidth="1"/>
    <col min="11543" max="11543" width="5.140625" style="3" customWidth="1"/>
    <col min="11544" max="11775" width="11.42578125" style="3"/>
    <col min="11776" max="11776" width="23.7109375" style="3" customWidth="1"/>
    <col min="11777" max="11777" width="0" style="3" hidden="1" customWidth="1"/>
    <col min="11778" max="11778" width="41.42578125" style="3" customWidth="1"/>
    <col min="11779" max="11779" width="19.140625" style="3" customWidth="1"/>
    <col min="11780" max="11780" width="6.28515625" style="3" customWidth="1"/>
    <col min="11781" max="11781" width="6" style="3" customWidth="1"/>
    <col min="11782" max="11782" width="7.42578125" style="3" customWidth="1"/>
    <col min="11783" max="11783" width="5.7109375" style="3" customWidth="1"/>
    <col min="11784" max="11784" width="5.28515625" style="3" customWidth="1"/>
    <col min="11785" max="11785" width="10" style="3" customWidth="1"/>
    <col min="11786" max="11786" width="6.28515625" style="3" customWidth="1"/>
    <col min="11787" max="11787" width="8.28515625" style="3" customWidth="1"/>
    <col min="11788" max="11788" width="12.42578125" style="3" customWidth="1"/>
    <col min="11789" max="11789" width="5.28515625" style="3" customWidth="1"/>
    <col min="11790" max="11790" width="10.85546875" style="3" customWidth="1"/>
    <col min="11791" max="11791" width="4.85546875" style="3" customWidth="1"/>
    <col min="11792" max="11792" width="5.140625" style="3" customWidth="1"/>
    <col min="11793" max="11793" width="10.5703125" style="3" customWidth="1"/>
    <col min="11794" max="11794" width="6.28515625" style="3" customWidth="1"/>
    <col min="11795" max="11795" width="6.5703125" style="3" customWidth="1"/>
    <col min="11796" max="11796" width="7.42578125" style="3" customWidth="1"/>
    <col min="11797" max="11797" width="6.85546875" style="3" customWidth="1"/>
    <col min="11798" max="11798" width="10.7109375" style="3" customWidth="1"/>
    <col min="11799" max="11799" width="5.140625" style="3" customWidth="1"/>
    <col min="11800" max="12031" width="11.42578125" style="3"/>
    <col min="12032" max="12032" width="23.7109375" style="3" customWidth="1"/>
    <col min="12033" max="12033" width="0" style="3" hidden="1" customWidth="1"/>
    <col min="12034" max="12034" width="41.42578125" style="3" customWidth="1"/>
    <col min="12035" max="12035" width="19.140625" style="3" customWidth="1"/>
    <col min="12036" max="12036" width="6.28515625" style="3" customWidth="1"/>
    <col min="12037" max="12037" width="6" style="3" customWidth="1"/>
    <col min="12038" max="12038" width="7.42578125" style="3" customWidth="1"/>
    <col min="12039" max="12039" width="5.7109375" style="3" customWidth="1"/>
    <col min="12040" max="12040" width="5.28515625" style="3" customWidth="1"/>
    <col min="12041" max="12041" width="10" style="3" customWidth="1"/>
    <col min="12042" max="12042" width="6.28515625" style="3" customWidth="1"/>
    <col min="12043" max="12043" width="8.28515625" style="3" customWidth="1"/>
    <col min="12044" max="12044" width="12.42578125" style="3" customWidth="1"/>
    <col min="12045" max="12045" width="5.28515625" style="3" customWidth="1"/>
    <col min="12046" max="12046" width="10.85546875" style="3" customWidth="1"/>
    <col min="12047" max="12047" width="4.85546875" style="3" customWidth="1"/>
    <col min="12048" max="12048" width="5.140625" style="3" customWidth="1"/>
    <col min="12049" max="12049" width="10.5703125" style="3" customWidth="1"/>
    <col min="12050" max="12050" width="6.28515625" style="3" customWidth="1"/>
    <col min="12051" max="12051" width="6.5703125" style="3" customWidth="1"/>
    <col min="12052" max="12052" width="7.42578125" style="3" customWidth="1"/>
    <col min="12053" max="12053" width="6.85546875" style="3" customWidth="1"/>
    <col min="12054" max="12054" width="10.7109375" style="3" customWidth="1"/>
    <col min="12055" max="12055" width="5.140625" style="3" customWidth="1"/>
    <col min="12056" max="12287" width="11.42578125" style="3"/>
    <col min="12288" max="12288" width="23.7109375" style="3" customWidth="1"/>
    <col min="12289" max="12289" width="0" style="3" hidden="1" customWidth="1"/>
    <col min="12290" max="12290" width="41.42578125" style="3" customWidth="1"/>
    <col min="12291" max="12291" width="19.140625" style="3" customWidth="1"/>
    <col min="12292" max="12292" width="6.28515625" style="3" customWidth="1"/>
    <col min="12293" max="12293" width="6" style="3" customWidth="1"/>
    <col min="12294" max="12294" width="7.42578125" style="3" customWidth="1"/>
    <col min="12295" max="12295" width="5.7109375" style="3" customWidth="1"/>
    <col min="12296" max="12296" width="5.28515625" style="3" customWidth="1"/>
    <col min="12297" max="12297" width="10" style="3" customWidth="1"/>
    <col min="12298" max="12298" width="6.28515625" style="3" customWidth="1"/>
    <col min="12299" max="12299" width="8.28515625" style="3" customWidth="1"/>
    <col min="12300" max="12300" width="12.42578125" style="3" customWidth="1"/>
    <col min="12301" max="12301" width="5.28515625" style="3" customWidth="1"/>
    <col min="12302" max="12302" width="10.85546875" style="3" customWidth="1"/>
    <col min="12303" max="12303" width="4.85546875" style="3" customWidth="1"/>
    <col min="12304" max="12304" width="5.140625" style="3" customWidth="1"/>
    <col min="12305" max="12305" width="10.5703125" style="3" customWidth="1"/>
    <col min="12306" max="12306" width="6.28515625" style="3" customWidth="1"/>
    <col min="12307" max="12307" width="6.5703125" style="3" customWidth="1"/>
    <col min="12308" max="12308" width="7.42578125" style="3" customWidth="1"/>
    <col min="12309" max="12309" width="6.85546875" style="3" customWidth="1"/>
    <col min="12310" max="12310" width="10.7109375" style="3" customWidth="1"/>
    <col min="12311" max="12311" width="5.140625" style="3" customWidth="1"/>
    <col min="12312" max="12543" width="11.42578125" style="3"/>
    <col min="12544" max="12544" width="23.7109375" style="3" customWidth="1"/>
    <col min="12545" max="12545" width="0" style="3" hidden="1" customWidth="1"/>
    <col min="12546" max="12546" width="41.42578125" style="3" customWidth="1"/>
    <col min="12547" max="12547" width="19.140625" style="3" customWidth="1"/>
    <col min="12548" max="12548" width="6.28515625" style="3" customWidth="1"/>
    <col min="12549" max="12549" width="6" style="3" customWidth="1"/>
    <col min="12550" max="12550" width="7.42578125" style="3" customWidth="1"/>
    <col min="12551" max="12551" width="5.7109375" style="3" customWidth="1"/>
    <col min="12552" max="12552" width="5.28515625" style="3" customWidth="1"/>
    <col min="12553" max="12553" width="10" style="3" customWidth="1"/>
    <col min="12554" max="12554" width="6.28515625" style="3" customWidth="1"/>
    <col min="12555" max="12555" width="8.28515625" style="3" customWidth="1"/>
    <col min="12556" max="12556" width="12.42578125" style="3" customWidth="1"/>
    <col min="12557" max="12557" width="5.28515625" style="3" customWidth="1"/>
    <col min="12558" max="12558" width="10.85546875" style="3" customWidth="1"/>
    <col min="12559" max="12559" width="4.85546875" style="3" customWidth="1"/>
    <col min="12560" max="12560" width="5.140625" style="3" customWidth="1"/>
    <col min="12561" max="12561" width="10.5703125" style="3" customWidth="1"/>
    <col min="12562" max="12562" width="6.28515625" style="3" customWidth="1"/>
    <col min="12563" max="12563" width="6.5703125" style="3" customWidth="1"/>
    <col min="12564" max="12564" width="7.42578125" style="3" customWidth="1"/>
    <col min="12565" max="12565" width="6.85546875" style="3" customWidth="1"/>
    <col min="12566" max="12566" width="10.7109375" style="3" customWidth="1"/>
    <col min="12567" max="12567" width="5.140625" style="3" customWidth="1"/>
    <col min="12568" max="12799" width="11.42578125" style="3"/>
    <col min="12800" max="12800" width="23.7109375" style="3" customWidth="1"/>
    <col min="12801" max="12801" width="0" style="3" hidden="1" customWidth="1"/>
    <col min="12802" max="12802" width="41.42578125" style="3" customWidth="1"/>
    <col min="12803" max="12803" width="19.140625" style="3" customWidth="1"/>
    <col min="12804" max="12804" width="6.28515625" style="3" customWidth="1"/>
    <col min="12805" max="12805" width="6" style="3" customWidth="1"/>
    <col min="12806" max="12806" width="7.42578125" style="3" customWidth="1"/>
    <col min="12807" max="12807" width="5.7109375" style="3" customWidth="1"/>
    <col min="12808" max="12808" width="5.28515625" style="3" customWidth="1"/>
    <col min="12809" max="12809" width="10" style="3" customWidth="1"/>
    <col min="12810" max="12810" width="6.28515625" style="3" customWidth="1"/>
    <col min="12811" max="12811" width="8.28515625" style="3" customWidth="1"/>
    <col min="12812" max="12812" width="12.42578125" style="3" customWidth="1"/>
    <col min="12813" max="12813" width="5.28515625" style="3" customWidth="1"/>
    <col min="12814" max="12814" width="10.85546875" style="3" customWidth="1"/>
    <col min="12815" max="12815" width="4.85546875" style="3" customWidth="1"/>
    <col min="12816" max="12816" width="5.140625" style="3" customWidth="1"/>
    <col min="12817" max="12817" width="10.5703125" style="3" customWidth="1"/>
    <col min="12818" max="12818" width="6.28515625" style="3" customWidth="1"/>
    <col min="12819" max="12819" width="6.5703125" style="3" customWidth="1"/>
    <col min="12820" max="12820" width="7.42578125" style="3" customWidth="1"/>
    <col min="12821" max="12821" width="6.85546875" style="3" customWidth="1"/>
    <col min="12822" max="12822" width="10.7109375" style="3" customWidth="1"/>
    <col min="12823" max="12823" width="5.140625" style="3" customWidth="1"/>
    <col min="12824" max="13055" width="11.42578125" style="3"/>
    <col min="13056" max="13056" width="23.7109375" style="3" customWidth="1"/>
    <col min="13057" max="13057" width="0" style="3" hidden="1" customWidth="1"/>
    <col min="13058" max="13058" width="41.42578125" style="3" customWidth="1"/>
    <col min="13059" max="13059" width="19.140625" style="3" customWidth="1"/>
    <col min="13060" max="13060" width="6.28515625" style="3" customWidth="1"/>
    <col min="13061" max="13061" width="6" style="3" customWidth="1"/>
    <col min="13062" max="13062" width="7.42578125" style="3" customWidth="1"/>
    <col min="13063" max="13063" width="5.7109375" style="3" customWidth="1"/>
    <col min="13064" max="13064" width="5.28515625" style="3" customWidth="1"/>
    <col min="13065" max="13065" width="10" style="3" customWidth="1"/>
    <col min="13066" max="13066" width="6.28515625" style="3" customWidth="1"/>
    <col min="13067" max="13067" width="8.28515625" style="3" customWidth="1"/>
    <col min="13068" max="13068" width="12.42578125" style="3" customWidth="1"/>
    <col min="13069" max="13069" width="5.28515625" style="3" customWidth="1"/>
    <col min="13070" max="13070" width="10.85546875" style="3" customWidth="1"/>
    <col min="13071" max="13071" width="4.85546875" style="3" customWidth="1"/>
    <col min="13072" max="13072" width="5.140625" style="3" customWidth="1"/>
    <col min="13073" max="13073" width="10.5703125" style="3" customWidth="1"/>
    <col min="13074" max="13074" width="6.28515625" style="3" customWidth="1"/>
    <col min="13075" max="13075" width="6.5703125" style="3" customWidth="1"/>
    <col min="13076" max="13076" width="7.42578125" style="3" customWidth="1"/>
    <col min="13077" max="13077" width="6.85546875" style="3" customWidth="1"/>
    <col min="13078" max="13078" width="10.7109375" style="3" customWidth="1"/>
    <col min="13079" max="13079" width="5.140625" style="3" customWidth="1"/>
    <col min="13080" max="13311" width="11.42578125" style="3"/>
    <col min="13312" max="13312" width="23.7109375" style="3" customWidth="1"/>
    <col min="13313" max="13313" width="0" style="3" hidden="1" customWidth="1"/>
    <col min="13314" max="13314" width="41.42578125" style="3" customWidth="1"/>
    <col min="13315" max="13315" width="19.140625" style="3" customWidth="1"/>
    <col min="13316" max="13316" width="6.28515625" style="3" customWidth="1"/>
    <col min="13317" max="13317" width="6" style="3" customWidth="1"/>
    <col min="13318" max="13318" width="7.42578125" style="3" customWidth="1"/>
    <col min="13319" max="13319" width="5.7109375" style="3" customWidth="1"/>
    <col min="13320" max="13320" width="5.28515625" style="3" customWidth="1"/>
    <col min="13321" max="13321" width="10" style="3" customWidth="1"/>
    <col min="13322" max="13322" width="6.28515625" style="3" customWidth="1"/>
    <col min="13323" max="13323" width="8.28515625" style="3" customWidth="1"/>
    <col min="13324" max="13324" width="12.42578125" style="3" customWidth="1"/>
    <col min="13325" max="13325" width="5.28515625" style="3" customWidth="1"/>
    <col min="13326" max="13326" width="10.85546875" style="3" customWidth="1"/>
    <col min="13327" max="13327" width="4.85546875" style="3" customWidth="1"/>
    <col min="13328" max="13328" width="5.140625" style="3" customWidth="1"/>
    <col min="13329" max="13329" width="10.5703125" style="3" customWidth="1"/>
    <col min="13330" max="13330" width="6.28515625" style="3" customWidth="1"/>
    <col min="13331" max="13331" width="6.5703125" style="3" customWidth="1"/>
    <col min="13332" max="13332" width="7.42578125" style="3" customWidth="1"/>
    <col min="13333" max="13333" width="6.85546875" style="3" customWidth="1"/>
    <col min="13334" max="13334" width="10.7109375" style="3" customWidth="1"/>
    <col min="13335" max="13335" width="5.140625" style="3" customWidth="1"/>
    <col min="13336" max="13567" width="11.42578125" style="3"/>
    <col min="13568" max="13568" width="23.7109375" style="3" customWidth="1"/>
    <col min="13569" max="13569" width="0" style="3" hidden="1" customWidth="1"/>
    <col min="13570" max="13570" width="41.42578125" style="3" customWidth="1"/>
    <col min="13571" max="13571" width="19.140625" style="3" customWidth="1"/>
    <col min="13572" max="13572" width="6.28515625" style="3" customWidth="1"/>
    <col min="13573" max="13573" width="6" style="3" customWidth="1"/>
    <col min="13574" max="13574" width="7.42578125" style="3" customWidth="1"/>
    <col min="13575" max="13575" width="5.7109375" style="3" customWidth="1"/>
    <col min="13576" max="13576" width="5.28515625" style="3" customWidth="1"/>
    <col min="13577" max="13577" width="10" style="3" customWidth="1"/>
    <col min="13578" max="13578" width="6.28515625" style="3" customWidth="1"/>
    <col min="13579" max="13579" width="8.28515625" style="3" customWidth="1"/>
    <col min="13580" max="13580" width="12.42578125" style="3" customWidth="1"/>
    <col min="13581" max="13581" width="5.28515625" style="3" customWidth="1"/>
    <col min="13582" max="13582" width="10.85546875" style="3" customWidth="1"/>
    <col min="13583" max="13583" width="4.85546875" style="3" customWidth="1"/>
    <col min="13584" max="13584" width="5.140625" style="3" customWidth="1"/>
    <col min="13585" max="13585" width="10.5703125" style="3" customWidth="1"/>
    <col min="13586" max="13586" width="6.28515625" style="3" customWidth="1"/>
    <col min="13587" max="13587" width="6.5703125" style="3" customWidth="1"/>
    <col min="13588" max="13588" width="7.42578125" style="3" customWidth="1"/>
    <col min="13589" max="13589" width="6.85546875" style="3" customWidth="1"/>
    <col min="13590" max="13590" width="10.7109375" style="3" customWidth="1"/>
    <col min="13591" max="13591" width="5.140625" style="3" customWidth="1"/>
    <col min="13592" max="13823" width="11.42578125" style="3"/>
    <col min="13824" max="13824" width="23.7109375" style="3" customWidth="1"/>
    <col min="13825" max="13825" width="0" style="3" hidden="1" customWidth="1"/>
    <col min="13826" max="13826" width="41.42578125" style="3" customWidth="1"/>
    <col min="13827" max="13827" width="19.140625" style="3" customWidth="1"/>
    <col min="13828" max="13828" width="6.28515625" style="3" customWidth="1"/>
    <col min="13829" max="13829" width="6" style="3" customWidth="1"/>
    <col min="13830" max="13830" width="7.42578125" style="3" customWidth="1"/>
    <col min="13831" max="13831" width="5.7109375" style="3" customWidth="1"/>
    <col min="13832" max="13832" width="5.28515625" style="3" customWidth="1"/>
    <col min="13833" max="13833" width="10" style="3" customWidth="1"/>
    <col min="13834" max="13834" width="6.28515625" style="3" customWidth="1"/>
    <col min="13835" max="13835" width="8.28515625" style="3" customWidth="1"/>
    <col min="13836" max="13836" width="12.42578125" style="3" customWidth="1"/>
    <col min="13837" max="13837" width="5.28515625" style="3" customWidth="1"/>
    <col min="13838" max="13838" width="10.85546875" style="3" customWidth="1"/>
    <col min="13839" max="13839" width="4.85546875" style="3" customWidth="1"/>
    <col min="13840" max="13840" width="5.140625" style="3" customWidth="1"/>
    <col min="13841" max="13841" width="10.5703125" style="3" customWidth="1"/>
    <col min="13842" max="13842" width="6.28515625" style="3" customWidth="1"/>
    <col min="13843" max="13843" width="6.5703125" style="3" customWidth="1"/>
    <col min="13844" max="13844" width="7.42578125" style="3" customWidth="1"/>
    <col min="13845" max="13845" width="6.85546875" style="3" customWidth="1"/>
    <col min="13846" max="13846" width="10.7109375" style="3" customWidth="1"/>
    <col min="13847" max="13847" width="5.140625" style="3" customWidth="1"/>
    <col min="13848" max="14079" width="11.42578125" style="3"/>
    <col min="14080" max="14080" width="23.7109375" style="3" customWidth="1"/>
    <col min="14081" max="14081" width="0" style="3" hidden="1" customWidth="1"/>
    <col min="14082" max="14082" width="41.42578125" style="3" customWidth="1"/>
    <col min="14083" max="14083" width="19.140625" style="3" customWidth="1"/>
    <col min="14084" max="14084" width="6.28515625" style="3" customWidth="1"/>
    <col min="14085" max="14085" width="6" style="3" customWidth="1"/>
    <col min="14086" max="14086" width="7.42578125" style="3" customWidth="1"/>
    <col min="14087" max="14087" width="5.7109375" style="3" customWidth="1"/>
    <col min="14088" max="14088" width="5.28515625" style="3" customWidth="1"/>
    <col min="14089" max="14089" width="10" style="3" customWidth="1"/>
    <col min="14090" max="14090" width="6.28515625" style="3" customWidth="1"/>
    <col min="14091" max="14091" width="8.28515625" style="3" customWidth="1"/>
    <col min="14092" max="14092" width="12.42578125" style="3" customWidth="1"/>
    <col min="14093" max="14093" width="5.28515625" style="3" customWidth="1"/>
    <col min="14094" max="14094" width="10.85546875" style="3" customWidth="1"/>
    <col min="14095" max="14095" width="4.85546875" style="3" customWidth="1"/>
    <col min="14096" max="14096" width="5.140625" style="3" customWidth="1"/>
    <col min="14097" max="14097" width="10.5703125" style="3" customWidth="1"/>
    <col min="14098" max="14098" width="6.28515625" style="3" customWidth="1"/>
    <col min="14099" max="14099" width="6.5703125" style="3" customWidth="1"/>
    <col min="14100" max="14100" width="7.42578125" style="3" customWidth="1"/>
    <col min="14101" max="14101" width="6.85546875" style="3" customWidth="1"/>
    <col min="14102" max="14102" width="10.7109375" style="3" customWidth="1"/>
    <col min="14103" max="14103" width="5.140625" style="3" customWidth="1"/>
    <col min="14104" max="14335" width="11.42578125" style="3"/>
    <col min="14336" max="14336" width="23.7109375" style="3" customWidth="1"/>
    <col min="14337" max="14337" width="0" style="3" hidden="1" customWidth="1"/>
    <col min="14338" max="14338" width="41.42578125" style="3" customWidth="1"/>
    <col min="14339" max="14339" width="19.140625" style="3" customWidth="1"/>
    <col min="14340" max="14340" width="6.28515625" style="3" customWidth="1"/>
    <col min="14341" max="14341" width="6" style="3" customWidth="1"/>
    <col min="14342" max="14342" width="7.42578125" style="3" customWidth="1"/>
    <col min="14343" max="14343" width="5.7109375" style="3" customWidth="1"/>
    <col min="14344" max="14344" width="5.28515625" style="3" customWidth="1"/>
    <col min="14345" max="14345" width="10" style="3" customWidth="1"/>
    <col min="14346" max="14346" width="6.28515625" style="3" customWidth="1"/>
    <col min="14347" max="14347" width="8.28515625" style="3" customWidth="1"/>
    <col min="14348" max="14348" width="12.42578125" style="3" customWidth="1"/>
    <col min="14349" max="14349" width="5.28515625" style="3" customWidth="1"/>
    <col min="14350" max="14350" width="10.85546875" style="3" customWidth="1"/>
    <col min="14351" max="14351" width="4.85546875" style="3" customWidth="1"/>
    <col min="14352" max="14352" width="5.140625" style="3" customWidth="1"/>
    <col min="14353" max="14353" width="10.5703125" style="3" customWidth="1"/>
    <col min="14354" max="14354" width="6.28515625" style="3" customWidth="1"/>
    <col min="14355" max="14355" width="6.5703125" style="3" customWidth="1"/>
    <col min="14356" max="14356" width="7.42578125" style="3" customWidth="1"/>
    <col min="14357" max="14357" width="6.85546875" style="3" customWidth="1"/>
    <col min="14358" max="14358" width="10.7109375" style="3" customWidth="1"/>
    <col min="14359" max="14359" width="5.140625" style="3" customWidth="1"/>
    <col min="14360" max="14591" width="11.42578125" style="3"/>
    <col min="14592" max="14592" width="23.7109375" style="3" customWidth="1"/>
    <col min="14593" max="14593" width="0" style="3" hidden="1" customWidth="1"/>
    <col min="14594" max="14594" width="41.42578125" style="3" customWidth="1"/>
    <col min="14595" max="14595" width="19.140625" style="3" customWidth="1"/>
    <col min="14596" max="14596" width="6.28515625" style="3" customWidth="1"/>
    <col min="14597" max="14597" width="6" style="3" customWidth="1"/>
    <col min="14598" max="14598" width="7.42578125" style="3" customWidth="1"/>
    <col min="14599" max="14599" width="5.7109375" style="3" customWidth="1"/>
    <col min="14600" max="14600" width="5.28515625" style="3" customWidth="1"/>
    <col min="14601" max="14601" width="10" style="3" customWidth="1"/>
    <col min="14602" max="14602" width="6.28515625" style="3" customWidth="1"/>
    <col min="14603" max="14603" width="8.28515625" style="3" customWidth="1"/>
    <col min="14604" max="14604" width="12.42578125" style="3" customWidth="1"/>
    <col min="14605" max="14605" width="5.28515625" style="3" customWidth="1"/>
    <col min="14606" max="14606" width="10.85546875" style="3" customWidth="1"/>
    <col min="14607" max="14607" width="4.85546875" style="3" customWidth="1"/>
    <col min="14608" max="14608" width="5.140625" style="3" customWidth="1"/>
    <col min="14609" max="14609" width="10.5703125" style="3" customWidth="1"/>
    <col min="14610" max="14610" width="6.28515625" style="3" customWidth="1"/>
    <col min="14611" max="14611" width="6.5703125" style="3" customWidth="1"/>
    <col min="14612" max="14612" width="7.42578125" style="3" customWidth="1"/>
    <col min="14613" max="14613" width="6.85546875" style="3" customWidth="1"/>
    <col min="14614" max="14614" width="10.7109375" style="3" customWidth="1"/>
    <col min="14615" max="14615" width="5.140625" style="3" customWidth="1"/>
    <col min="14616" max="14847" width="11.42578125" style="3"/>
    <col min="14848" max="14848" width="23.7109375" style="3" customWidth="1"/>
    <col min="14849" max="14849" width="0" style="3" hidden="1" customWidth="1"/>
    <col min="14850" max="14850" width="41.42578125" style="3" customWidth="1"/>
    <col min="14851" max="14851" width="19.140625" style="3" customWidth="1"/>
    <col min="14852" max="14852" width="6.28515625" style="3" customWidth="1"/>
    <col min="14853" max="14853" width="6" style="3" customWidth="1"/>
    <col min="14854" max="14854" width="7.42578125" style="3" customWidth="1"/>
    <col min="14855" max="14855" width="5.7109375" style="3" customWidth="1"/>
    <col min="14856" max="14856" width="5.28515625" style="3" customWidth="1"/>
    <col min="14857" max="14857" width="10" style="3" customWidth="1"/>
    <col min="14858" max="14858" width="6.28515625" style="3" customWidth="1"/>
    <col min="14859" max="14859" width="8.28515625" style="3" customWidth="1"/>
    <col min="14860" max="14860" width="12.42578125" style="3" customWidth="1"/>
    <col min="14861" max="14861" width="5.28515625" style="3" customWidth="1"/>
    <col min="14862" max="14862" width="10.85546875" style="3" customWidth="1"/>
    <col min="14863" max="14863" width="4.85546875" style="3" customWidth="1"/>
    <col min="14864" max="14864" width="5.140625" style="3" customWidth="1"/>
    <col min="14865" max="14865" width="10.5703125" style="3" customWidth="1"/>
    <col min="14866" max="14866" width="6.28515625" style="3" customWidth="1"/>
    <col min="14867" max="14867" width="6.5703125" style="3" customWidth="1"/>
    <col min="14868" max="14868" width="7.42578125" style="3" customWidth="1"/>
    <col min="14869" max="14869" width="6.85546875" style="3" customWidth="1"/>
    <col min="14870" max="14870" width="10.7109375" style="3" customWidth="1"/>
    <col min="14871" max="14871" width="5.140625" style="3" customWidth="1"/>
    <col min="14872" max="15103" width="11.42578125" style="3"/>
    <col min="15104" max="15104" width="23.7109375" style="3" customWidth="1"/>
    <col min="15105" max="15105" width="0" style="3" hidden="1" customWidth="1"/>
    <col min="15106" max="15106" width="41.42578125" style="3" customWidth="1"/>
    <col min="15107" max="15107" width="19.140625" style="3" customWidth="1"/>
    <col min="15108" max="15108" width="6.28515625" style="3" customWidth="1"/>
    <col min="15109" max="15109" width="6" style="3" customWidth="1"/>
    <col min="15110" max="15110" width="7.42578125" style="3" customWidth="1"/>
    <col min="15111" max="15111" width="5.7109375" style="3" customWidth="1"/>
    <col min="15112" max="15112" width="5.28515625" style="3" customWidth="1"/>
    <col min="15113" max="15113" width="10" style="3" customWidth="1"/>
    <col min="15114" max="15114" width="6.28515625" style="3" customWidth="1"/>
    <col min="15115" max="15115" width="8.28515625" style="3" customWidth="1"/>
    <col min="15116" max="15116" width="12.42578125" style="3" customWidth="1"/>
    <col min="15117" max="15117" width="5.28515625" style="3" customWidth="1"/>
    <col min="15118" max="15118" width="10.85546875" style="3" customWidth="1"/>
    <col min="15119" max="15119" width="4.85546875" style="3" customWidth="1"/>
    <col min="15120" max="15120" width="5.140625" style="3" customWidth="1"/>
    <col min="15121" max="15121" width="10.5703125" style="3" customWidth="1"/>
    <col min="15122" max="15122" width="6.28515625" style="3" customWidth="1"/>
    <col min="15123" max="15123" width="6.5703125" style="3" customWidth="1"/>
    <col min="15124" max="15124" width="7.42578125" style="3" customWidth="1"/>
    <col min="15125" max="15125" width="6.85546875" style="3" customWidth="1"/>
    <col min="15126" max="15126" width="10.7109375" style="3" customWidth="1"/>
    <col min="15127" max="15127" width="5.140625" style="3" customWidth="1"/>
    <col min="15128" max="15359" width="11.42578125" style="3"/>
    <col min="15360" max="15360" width="23.7109375" style="3" customWidth="1"/>
    <col min="15361" max="15361" width="0" style="3" hidden="1" customWidth="1"/>
    <col min="15362" max="15362" width="41.42578125" style="3" customWidth="1"/>
    <col min="15363" max="15363" width="19.140625" style="3" customWidth="1"/>
    <col min="15364" max="15364" width="6.28515625" style="3" customWidth="1"/>
    <col min="15365" max="15365" width="6" style="3" customWidth="1"/>
    <col min="15366" max="15366" width="7.42578125" style="3" customWidth="1"/>
    <col min="15367" max="15367" width="5.7109375" style="3" customWidth="1"/>
    <col min="15368" max="15368" width="5.28515625" style="3" customWidth="1"/>
    <col min="15369" max="15369" width="10" style="3" customWidth="1"/>
    <col min="15370" max="15370" width="6.28515625" style="3" customWidth="1"/>
    <col min="15371" max="15371" width="8.28515625" style="3" customWidth="1"/>
    <col min="15372" max="15372" width="12.42578125" style="3" customWidth="1"/>
    <col min="15373" max="15373" width="5.28515625" style="3" customWidth="1"/>
    <col min="15374" max="15374" width="10.85546875" style="3" customWidth="1"/>
    <col min="15375" max="15375" width="4.85546875" style="3" customWidth="1"/>
    <col min="15376" max="15376" width="5.140625" style="3" customWidth="1"/>
    <col min="15377" max="15377" width="10.5703125" style="3" customWidth="1"/>
    <col min="15378" max="15378" width="6.28515625" style="3" customWidth="1"/>
    <col min="15379" max="15379" width="6.5703125" style="3" customWidth="1"/>
    <col min="15380" max="15380" width="7.42578125" style="3" customWidth="1"/>
    <col min="15381" max="15381" width="6.85546875" style="3" customWidth="1"/>
    <col min="15382" max="15382" width="10.7109375" style="3" customWidth="1"/>
    <col min="15383" max="15383" width="5.140625" style="3" customWidth="1"/>
    <col min="15384" max="15615" width="11.42578125" style="3"/>
    <col min="15616" max="15616" width="23.7109375" style="3" customWidth="1"/>
    <col min="15617" max="15617" width="0" style="3" hidden="1" customWidth="1"/>
    <col min="15618" max="15618" width="41.42578125" style="3" customWidth="1"/>
    <col min="15619" max="15619" width="19.140625" style="3" customWidth="1"/>
    <col min="15620" max="15620" width="6.28515625" style="3" customWidth="1"/>
    <col min="15621" max="15621" width="6" style="3" customWidth="1"/>
    <col min="15622" max="15622" width="7.42578125" style="3" customWidth="1"/>
    <col min="15623" max="15623" width="5.7109375" style="3" customWidth="1"/>
    <col min="15624" max="15624" width="5.28515625" style="3" customWidth="1"/>
    <col min="15625" max="15625" width="10" style="3" customWidth="1"/>
    <col min="15626" max="15626" width="6.28515625" style="3" customWidth="1"/>
    <col min="15627" max="15627" width="8.28515625" style="3" customWidth="1"/>
    <col min="15628" max="15628" width="12.42578125" style="3" customWidth="1"/>
    <col min="15629" max="15629" width="5.28515625" style="3" customWidth="1"/>
    <col min="15630" max="15630" width="10.85546875" style="3" customWidth="1"/>
    <col min="15631" max="15631" width="4.85546875" style="3" customWidth="1"/>
    <col min="15632" max="15632" width="5.140625" style="3" customWidth="1"/>
    <col min="15633" max="15633" width="10.5703125" style="3" customWidth="1"/>
    <col min="15634" max="15634" width="6.28515625" style="3" customWidth="1"/>
    <col min="15635" max="15635" width="6.5703125" style="3" customWidth="1"/>
    <col min="15636" max="15636" width="7.42578125" style="3" customWidth="1"/>
    <col min="15637" max="15637" width="6.85546875" style="3" customWidth="1"/>
    <col min="15638" max="15638" width="10.7109375" style="3" customWidth="1"/>
    <col min="15639" max="15639" width="5.140625" style="3" customWidth="1"/>
    <col min="15640" max="15871" width="11.42578125" style="3"/>
    <col min="15872" max="15872" width="23.7109375" style="3" customWidth="1"/>
    <col min="15873" max="15873" width="0" style="3" hidden="1" customWidth="1"/>
    <col min="15874" max="15874" width="41.42578125" style="3" customWidth="1"/>
    <col min="15875" max="15875" width="19.140625" style="3" customWidth="1"/>
    <col min="15876" max="15876" width="6.28515625" style="3" customWidth="1"/>
    <col min="15877" max="15877" width="6" style="3" customWidth="1"/>
    <col min="15878" max="15878" width="7.42578125" style="3" customWidth="1"/>
    <col min="15879" max="15879" width="5.7109375" style="3" customWidth="1"/>
    <col min="15880" max="15880" width="5.28515625" style="3" customWidth="1"/>
    <col min="15881" max="15881" width="10" style="3" customWidth="1"/>
    <col min="15882" max="15882" width="6.28515625" style="3" customWidth="1"/>
    <col min="15883" max="15883" width="8.28515625" style="3" customWidth="1"/>
    <col min="15884" max="15884" width="12.42578125" style="3" customWidth="1"/>
    <col min="15885" max="15885" width="5.28515625" style="3" customWidth="1"/>
    <col min="15886" max="15886" width="10.85546875" style="3" customWidth="1"/>
    <col min="15887" max="15887" width="4.85546875" style="3" customWidth="1"/>
    <col min="15888" max="15888" width="5.140625" style="3" customWidth="1"/>
    <col min="15889" max="15889" width="10.5703125" style="3" customWidth="1"/>
    <col min="15890" max="15890" width="6.28515625" style="3" customWidth="1"/>
    <col min="15891" max="15891" width="6.5703125" style="3" customWidth="1"/>
    <col min="15892" max="15892" width="7.42578125" style="3" customWidth="1"/>
    <col min="15893" max="15893" width="6.85546875" style="3" customWidth="1"/>
    <col min="15894" max="15894" width="10.7109375" style="3" customWidth="1"/>
    <col min="15895" max="15895" width="5.140625" style="3" customWidth="1"/>
    <col min="15896" max="16127" width="11.42578125" style="3"/>
    <col min="16128" max="16128" width="23.7109375" style="3" customWidth="1"/>
    <col min="16129" max="16129" width="0" style="3" hidden="1" customWidth="1"/>
    <col min="16130" max="16130" width="41.42578125" style="3" customWidth="1"/>
    <col min="16131" max="16131" width="19.140625" style="3" customWidth="1"/>
    <col min="16132" max="16132" width="6.28515625" style="3" customWidth="1"/>
    <col min="16133" max="16133" width="6" style="3" customWidth="1"/>
    <col min="16134" max="16134" width="7.42578125" style="3" customWidth="1"/>
    <col min="16135" max="16135" width="5.7109375" style="3" customWidth="1"/>
    <col min="16136" max="16136" width="5.28515625" style="3" customWidth="1"/>
    <col min="16137" max="16137" width="10" style="3" customWidth="1"/>
    <col min="16138" max="16138" width="6.28515625" style="3" customWidth="1"/>
    <col min="16139" max="16139" width="8.28515625" style="3" customWidth="1"/>
    <col min="16140" max="16140" width="12.42578125" style="3" customWidth="1"/>
    <col min="16141" max="16141" width="5.28515625" style="3" customWidth="1"/>
    <col min="16142" max="16142" width="10.85546875" style="3" customWidth="1"/>
    <col min="16143" max="16143" width="4.85546875" style="3" customWidth="1"/>
    <col min="16144" max="16144" width="5.140625" style="3" customWidth="1"/>
    <col min="16145" max="16145" width="10.5703125" style="3" customWidth="1"/>
    <col min="16146" max="16146" width="6.28515625" style="3" customWidth="1"/>
    <col min="16147" max="16147" width="6.5703125" style="3" customWidth="1"/>
    <col min="16148" max="16148" width="7.42578125" style="3" customWidth="1"/>
    <col min="16149" max="16149" width="6.85546875" style="3" customWidth="1"/>
    <col min="16150" max="16150" width="10.7109375" style="3" customWidth="1"/>
    <col min="16151" max="16151" width="5.140625" style="3" customWidth="1"/>
    <col min="16152" max="16384" width="11.42578125" style="3"/>
  </cols>
  <sheetData>
    <row r="1" spans="1:25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5"/>
    </row>
    <row r="2" spans="1:25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520" t="s">
        <v>7</v>
      </c>
      <c r="K2" s="1520" t="s">
        <v>108</v>
      </c>
      <c r="L2" s="1520" t="s">
        <v>109</v>
      </c>
      <c r="M2" s="1845" t="s">
        <v>9</v>
      </c>
      <c r="N2" s="1845"/>
      <c r="O2" s="1845"/>
      <c r="P2" s="198" t="s">
        <v>10</v>
      </c>
      <c r="Q2" s="196"/>
      <c r="R2" s="1520"/>
      <c r="S2" s="11"/>
      <c r="T2" s="12"/>
      <c r="U2" s="12"/>
      <c r="V2" s="1532"/>
      <c r="W2" s="14"/>
    </row>
    <row r="3" spans="1:25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521" t="s">
        <v>18</v>
      </c>
      <c r="K3" s="1521"/>
      <c r="L3" s="1521"/>
      <c r="M3" s="1846"/>
      <c r="N3" s="1846"/>
      <c r="O3" s="1846"/>
      <c r="P3" s="202" t="s">
        <v>23</v>
      </c>
      <c r="Q3" s="203"/>
      <c r="R3" s="1521" t="s">
        <v>24</v>
      </c>
      <c r="S3" s="1532"/>
      <c r="T3" s="1532"/>
      <c r="U3" s="1532"/>
      <c r="V3" s="1533"/>
      <c r="W3" s="14"/>
    </row>
    <row r="4" spans="1:25" s="2" customFormat="1" ht="22.5" customHeight="1">
      <c r="A4" s="6"/>
      <c r="B4" s="176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21" t="s">
        <v>34</v>
      </c>
      <c r="K4" s="1521" t="s">
        <v>34</v>
      </c>
      <c r="L4" s="1521" t="s">
        <v>34</v>
      </c>
      <c r="M4" s="1521" t="s">
        <v>146</v>
      </c>
      <c r="N4" s="1521"/>
      <c r="O4" s="1521"/>
      <c r="P4" s="202" t="s">
        <v>38</v>
      </c>
      <c r="Q4" s="203"/>
      <c r="R4" s="1521" t="s">
        <v>120</v>
      </c>
      <c r="S4" s="1533"/>
      <c r="T4" s="1533"/>
      <c r="U4" s="1533"/>
      <c r="V4" s="1533"/>
      <c r="W4" s="14"/>
    </row>
    <row r="5" spans="1:25" s="2" customFormat="1" ht="18" customHeight="1">
      <c r="A5" s="6"/>
      <c r="B5" s="1791" t="s">
        <v>210</v>
      </c>
      <c r="C5" s="204" t="s">
        <v>43</v>
      </c>
      <c r="D5" s="205"/>
      <c r="E5" s="204" t="s">
        <v>3</v>
      </c>
      <c r="F5" s="39">
        <v>15</v>
      </c>
      <c r="G5" s="40">
        <v>9.67</v>
      </c>
      <c r="H5" s="39">
        <v>176</v>
      </c>
      <c r="I5" s="40">
        <v>12.12</v>
      </c>
      <c r="J5" s="123">
        <f>IF(F5="","",((H5-F5)*20)+I5-G5)</f>
        <v>3222.45</v>
      </c>
      <c r="K5" s="206"/>
      <c r="L5" s="207"/>
      <c r="M5" s="207">
        <v>0</v>
      </c>
      <c r="N5" s="208"/>
      <c r="O5" s="207"/>
      <c r="P5" s="323">
        <v>2.2000000000000002</v>
      </c>
      <c r="Q5" s="209" t="s">
        <v>147</v>
      </c>
      <c r="R5" s="208">
        <f>+P5*M5</f>
        <v>0</v>
      </c>
      <c r="S5" s="23"/>
      <c r="T5" s="28"/>
      <c r="U5" s="28"/>
      <c r="V5" s="25"/>
      <c r="W5" s="29"/>
    </row>
    <row r="6" spans="1:25" s="2" customFormat="1" ht="18" customHeight="1">
      <c r="A6" s="6"/>
      <c r="B6" s="1792"/>
      <c r="C6" s="38"/>
      <c r="D6" s="39"/>
      <c r="E6" s="38"/>
      <c r="F6" s="39"/>
      <c r="G6" s="40"/>
      <c r="H6" s="39"/>
      <c r="I6" s="40"/>
      <c r="J6" s="41"/>
      <c r="K6" s="40"/>
      <c r="L6" s="41"/>
      <c r="M6" s="41"/>
      <c r="N6" s="42"/>
      <c r="O6" s="41"/>
      <c r="P6" s="142"/>
      <c r="Q6" s="143"/>
      <c r="R6" s="42"/>
      <c r="S6" s="40"/>
      <c r="T6" s="46"/>
      <c r="U6" s="46"/>
      <c r="V6" s="42"/>
      <c r="W6" s="29"/>
    </row>
    <row r="7" spans="1:25" s="2" customFormat="1" ht="18" customHeight="1">
      <c r="A7" s="6"/>
      <c r="B7" s="1792"/>
      <c r="C7" s="184"/>
      <c r="D7" s="185"/>
      <c r="E7" s="184"/>
      <c r="F7" s="185"/>
      <c r="G7" s="186"/>
      <c r="H7" s="185"/>
      <c r="I7" s="186"/>
      <c r="J7" s="187"/>
      <c r="K7" s="186"/>
      <c r="L7" s="187"/>
      <c r="M7" s="187"/>
      <c r="N7" s="188"/>
      <c r="O7" s="187"/>
      <c r="P7" s="215"/>
      <c r="Q7" s="216"/>
      <c r="R7" s="188"/>
      <c r="S7" s="32"/>
      <c r="T7" s="37"/>
      <c r="U7" s="37"/>
      <c r="V7" s="34"/>
      <c r="W7" s="29"/>
    </row>
    <row r="8" spans="1:25" s="2" customFormat="1" ht="18" customHeight="1">
      <c r="A8" s="6"/>
      <c r="B8" s="1792" t="s">
        <v>211</v>
      </c>
      <c r="C8" s="38"/>
      <c r="D8" s="39"/>
      <c r="E8" s="38"/>
      <c r="F8" s="38"/>
      <c r="G8" s="40"/>
      <c r="H8" s="39"/>
      <c r="I8" s="40"/>
      <c r="J8" s="40"/>
      <c r="K8" s="41"/>
      <c r="L8" s="40"/>
      <c r="M8" s="41"/>
      <c r="N8" s="42"/>
      <c r="O8" s="42"/>
      <c r="P8" s="142"/>
      <c r="Q8" s="143"/>
      <c r="R8" s="42"/>
      <c r="S8" s="42"/>
      <c r="T8" s="40"/>
      <c r="U8" s="46"/>
      <c r="V8" s="46"/>
      <c r="W8" s="29"/>
    </row>
    <row r="9" spans="1:25" s="2" customFormat="1" ht="18" customHeight="1">
      <c r="A9" s="6"/>
      <c r="B9" s="1792"/>
      <c r="C9" s="184"/>
      <c r="D9" s="185"/>
      <c r="E9" s="184"/>
      <c r="F9" s="185"/>
      <c r="G9" s="186"/>
      <c r="H9" s="185"/>
      <c r="I9" s="186"/>
      <c r="J9" s="187"/>
      <c r="K9" s="186"/>
      <c r="L9" s="187"/>
      <c r="M9" s="187"/>
      <c r="N9" s="188"/>
      <c r="O9" s="187"/>
      <c r="P9" s="215"/>
      <c r="Q9" s="216"/>
      <c r="R9" s="188"/>
      <c r="S9" s="34"/>
      <c r="T9" s="32"/>
      <c r="U9" s="37"/>
      <c r="V9" s="37"/>
      <c r="W9" s="29"/>
    </row>
    <row r="10" spans="1:25" s="2" customFormat="1" ht="18" customHeight="1">
      <c r="A10" s="6"/>
      <c r="B10" s="125"/>
      <c r="C10" s="38"/>
      <c r="D10" s="39"/>
      <c r="E10" s="38"/>
      <c r="F10" s="38"/>
      <c r="G10" s="40"/>
      <c r="H10" s="39"/>
      <c r="I10" s="40"/>
      <c r="J10" s="40"/>
      <c r="K10" s="41"/>
      <c r="L10" s="40"/>
      <c r="M10" s="41"/>
      <c r="N10" s="42"/>
      <c r="O10" s="42"/>
      <c r="P10" s="142"/>
      <c r="Q10" s="143"/>
      <c r="R10" s="42"/>
      <c r="S10" s="42"/>
      <c r="T10" s="40"/>
      <c r="U10" s="46"/>
      <c r="V10" s="46"/>
      <c r="W10" s="29"/>
    </row>
    <row r="11" spans="1:25" s="2" customFormat="1" ht="18" customHeight="1">
      <c r="A11" s="6"/>
      <c r="B11" s="125"/>
      <c r="C11" s="184"/>
      <c r="D11" s="185"/>
      <c r="E11" s="184"/>
      <c r="F11" s="185"/>
      <c r="G11" s="186"/>
      <c r="H11" s="185"/>
      <c r="I11" s="186"/>
      <c r="J11" s="187"/>
      <c r="K11" s="186"/>
      <c r="L11" s="187"/>
      <c r="M11" s="187"/>
      <c r="N11" s="188"/>
      <c r="O11" s="187"/>
      <c r="P11" s="215"/>
      <c r="Q11" s="216"/>
      <c r="R11" s="188"/>
      <c r="S11" s="34"/>
      <c r="T11" s="32"/>
      <c r="U11" s="37"/>
      <c r="V11" s="37"/>
      <c r="W11" s="29"/>
      <c r="Y11" s="2">
        <f>7.2+2.5+0.6</f>
        <v>10.299999999999999</v>
      </c>
    </row>
    <row r="12" spans="1:25" s="2" customFormat="1" ht="18" hidden="1" customHeight="1">
      <c r="A12" s="6"/>
      <c r="B12" s="125"/>
      <c r="C12" s="38"/>
      <c r="D12" s="39"/>
      <c r="E12" s="38"/>
      <c r="F12" s="38"/>
      <c r="G12" s="40"/>
      <c r="H12" s="39"/>
      <c r="I12" s="40"/>
      <c r="J12" s="40"/>
      <c r="K12" s="41"/>
      <c r="L12" s="40"/>
      <c r="M12" s="41"/>
      <c r="N12" s="42"/>
      <c r="O12" s="42"/>
      <c r="P12" s="142"/>
      <c r="Q12" s="143"/>
      <c r="R12" s="42"/>
      <c r="S12" s="42"/>
      <c r="T12" s="40"/>
      <c r="U12" s="46"/>
      <c r="V12" s="46"/>
      <c r="W12" s="29"/>
    </row>
    <row r="13" spans="1:25" s="2" customFormat="1" ht="18" hidden="1" customHeight="1">
      <c r="A13" s="6"/>
      <c r="B13" s="1850"/>
      <c r="C13" s="30"/>
      <c r="D13" s="31"/>
      <c r="E13" s="30"/>
      <c r="F13" s="30"/>
      <c r="G13" s="32"/>
      <c r="H13" s="31"/>
      <c r="I13" s="32"/>
      <c r="J13" s="32"/>
      <c r="K13" s="33"/>
      <c r="L13" s="32"/>
      <c r="M13" s="33"/>
      <c r="N13" s="34"/>
      <c r="O13" s="34"/>
      <c r="P13" s="144"/>
      <c r="Q13" s="145"/>
      <c r="R13" s="34"/>
      <c r="S13" s="34"/>
      <c r="T13" s="32"/>
      <c r="U13" s="37"/>
      <c r="V13" s="37"/>
      <c r="W13" s="29"/>
    </row>
    <row r="14" spans="1:25" s="2" customFormat="1" ht="18" hidden="1" customHeight="1">
      <c r="A14" s="6"/>
      <c r="B14" s="1850"/>
      <c r="C14" s="38"/>
      <c r="D14" s="39"/>
      <c r="E14" s="38"/>
      <c r="F14" s="38"/>
      <c r="G14" s="40"/>
      <c r="H14" s="39"/>
      <c r="I14" s="40"/>
      <c r="J14" s="40"/>
      <c r="K14" s="41"/>
      <c r="L14" s="40"/>
      <c r="M14" s="41"/>
      <c r="N14" s="42"/>
      <c r="O14" s="42"/>
      <c r="P14" s="142"/>
      <c r="Q14" s="143"/>
      <c r="R14" s="42"/>
      <c r="S14" s="42"/>
      <c r="T14" s="40"/>
      <c r="U14" s="46"/>
      <c r="V14" s="46"/>
      <c r="W14" s="29"/>
      <c r="Y14" s="117">
        <f>+J6+J8+J10</f>
        <v>0</v>
      </c>
    </row>
    <row r="15" spans="1:25" s="2" customFormat="1" ht="18" hidden="1" customHeight="1">
      <c r="A15" s="6"/>
      <c r="B15" s="1850"/>
      <c r="C15" s="30"/>
      <c r="D15" s="31"/>
      <c r="E15" s="30"/>
      <c r="F15" s="30"/>
      <c r="G15" s="32"/>
      <c r="H15" s="31"/>
      <c r="I15" s="32"/>
      <c r="J15" s="32"/>
      <c r="K15" s="33"/>
      <c r="L15" s="32"/>
      <c r="M15" s="33"/>
      <c r="N15" s="34"/>
      <c r="O15" s="34"/>
      <c r="P15" s="144"/>
      <c r="Q15" s="145"/>
      <c r="R15" s="34"/>
      <c r="S15" s="34"/>
      <c r="T15" s="32"/>
      <c r="U15" s="37"/>
      <c r="V15" s="37"/>
      <c r="W15" s="29"/>
      <c r="Y15" s="2">
        <v>8.6</v>
      </c>
    </row>
    <row r="16" spans="1:25" s="2" customFormat="1" ht="18" hidden="1" customHeight="1">
      <c r="A16" s="6"/>
      <c r="B16" s="48"/>
      <c r="C16" s="38"/>
      <c r="D16" s="39"/>
      <c r="E16" s="38"/>
      <c r="F16" s="38"/>
      <c r="G16" s="40"/>
      <c r="H16" s="39"/>
      <c r="I16" s="40"/>
      <c r="J16" s="40"/>
      <c r="K16" s="41"/>
      <c r="L16" s="40"/>
      <c r="M16" s="41"/>
      <c r="N16" s="42"/>
      <c r="O16" s="42"/>
      <c r="P16" s="142"/>
      <c r="Q16" s="143"/>
      <c r="R16" s="42"/>
      <c r="S16" s="42"/>
      <c r="T16" s="40"/>
      <c r="U16" s="46"/>
      <c r="V16" s="46"/>
      <c r="W16" s="29"/>
      <c r="Y16" s="2">
        <v>0.3</v>
      </c>
    </row>
    <row r="17" spans="1:25" s="2" customFormat="1" ht="18" hidden="1" customHeight="1">
      <c r="A17" s="6"/>
      <c r="B17" s="48"/>
      <c r="C17" s="30"/>
      <c r="D17" s="31"/>
      <c r="E17" s="30"/>
      <c r="F17" s="30"/>
      <c r="G17" s="32"/>
      <c r="H17" s="31"/>
      <c r="I17" s="32"/>
      <c r="J17" s="32"/>
      <c r="K17" s="33"/>
      <c r="L17" s="32"/>
      <c r="M17" s="33"/>
      <c r="N17" s="34"/>
      <c r="O17" s="34"/>
      <c r="P17" s="144"/>
      <c r="Q17" s="145"/>
      <c r="R17" s="34"/>
      <c r="S17" s="34"/>
      <c r="T17" s="32"/>
      <c r="U17" s="37"/>
      <c r="V17" s="37"/>
      <c r="W17" s="29"/>
      <c r="Y17" s="2">
        <f>+Y14*Y15*Y16</f>
        <v>0</v>
      </c>
    </row>
    <row r="18" spans="1:25" s="2" customFormat="1" ht="18" hidden="1" customHeight="1">
      <c r="A18" s="6"/>
      <c r="B18" s="48"/>
      <c r="C18" s="38"/>
      <c r="D18" s="39"/>
      <c r="E18" s="38"/>
      <c r="F18" s="38"/>
      <c r="G18" s="40"/>
      <c r="H18" s="39"/>
      <c r="I18" s="40"/>
      <c r="J18" s="40"/>
      <c r="K18" s="41"/>
      <c r="L18" s="40"/>
      <c r="M18" s="41"/>
      <c r="N18" s="42"/>
      <c r="O18" s="42"/>
      <c r="P18" s="142"/>
      <c r="Q18" s="143"/>
      <c r="R18" s="42"/>
      <c r="S18" s="42"/>
      <c r="T18" s="40"/>
      <c r="U18" s="46"/>
      <c r="V18" s="46"/>
      <c r="W18" s="29"/>
    </row>
    <row r="19" spans="1:25" s="2" customFormat="1" ht="18" hidden="1" customHeight="1">
      <c r="A19" s="6"/>
      <c r="B19" s="48"/>
      <c r="C19" s="30"/>
      <c r="D19" s="31"/>
      <c r="E19" s="30"/>
      <c r="F19" s="30"/>
      <c r="G19" s="31"/>
      <c r="H19" s="32"/>
      <c r="I19" s="31"/>
      <c r="J19" s="32"/>
      <c r="K19" s="33"/>
      <c r="L19" s="32"/>
      <c r="M19" s="33"/>
      <c r="N19" s="33"/>
      <c r="O19" s="34"/>
      <c r="P19" s="144"/>
      <c r="Q19" s="145"/>
      <c r="R19" s="34"/>
      <c r="S19" s="34"/>
      <c r="T19" s="32"/>
      <c r="U19" s="37"/>
      <c r="V19" s="37"/>
      <c r="W19" s="29"/>
    </row>
    <row r="20" spans="1:25" s="2" customFormat="1" ht="18" hidden="1" customHeight="1">
      <c r="A20" s="6"/>
      <c r="B20" s="48"/>
      <c r="C20" s="38"/>
      <c r="D20" s="39"/>
      <c r="E20" s="38"/>
      <c r="F20" s="38"/>
      <c r="G20" s="39"/>
      <c r="H20" s="40"/>
      <c r="I20" s="39"/>
      <c r="J20" s="40"/>
      <c r="K20" s="41"/>
      <c r="L20" s="40"/>
      <c r="M20" s="41"/>
      <c r="N20" s="41"/>
      <c r="O20" s="42"/>
      <c r="P20" s="142"/>
      <c r="Q20" s="143"/>
      <c r="R20" s="42"/>
      <c r="S20" s="42"/>
      <c r="T20" s="40"/>
      <c r="U20" s="46"/>
      <c r="V20" s="46"/>
      <c r="W20" s="29"/>
    </row>
    <row r="21" spans="1:25" s="2" customFormat="1" ht="18" hidden="1" customHeight="1">
      <c r="A21" s="6"/>
      <c r="B21" s="48"/>
      <c r="C21" s="30"/>
      <c r="D21" s="31"/>
      <c r="E21" s="30"/>
      <c r="F21" s="30"/>
      <c r="G21" s="31"/>
      <c r="H21" s="32"/>
      <c r="I21" s="31"/>
      <c r="J21" s="32"/>
      <c r="K21" s="33"/>
      <c r="L21" s="32"/>
      <c r="M21" s="33"/>
      <c r="N21" s="33"/>
      <c r="O21" s="34"/>
      <c r="P21" s="144"/>
      <c r="Q21" s="145"/>
      <c r="R21" s="34"/>
      <c r="S21" s="34"/>
      <c r="T21" s="32"/>
      <c r="U21" s="37"/>
      <c r="V21" s="37"/>
      <c r="W21" s="29"/>
    </row>
    <row r="22" spans="1:25" s="2" customFormat="1" ht="18" hidden="1" customHeight="1">
      <c r="A22" s="6"/>
      <c r="B22" s="48"/>
      <c r="C22" s="38"/>
      <c r="D22" s="39"/>
      <c r="E22" s="38"/>
      <c r="F22" s="38"/>
      <c r="G22" s="39"/>
      <c r="H22" s="40"/>
      <c r="I22" s="39"/>
      <c r="J22" s="40"/>
      <c r="K22" s="41"/>
      <c r="L22" s="40"/>
      <c r="M22" s="41"/>
      <c r="N22" s="41"/>
      <c r="O22" s="42"/>
      <c r="P22" s="142"/>
      <c r="Q22" s="143"/>
      <c r="R22" s="42"/>
      <c r="S22" s="42"/>
      <c r="T22" s="40"/>
      <c r="U22" s="46"/>
      <c r="V22" s="46"/>
      <c r="W22" s="29"/>
    </row>
    <row r="23" spans="1:25" s="2" customFormat="1" ht="18" hidden="1" customHeight="1">
      <c r="A23" s="6"/>
      <c r="B23" s="48"/>
      <c r="C23" s="30"/>
      <c r="D23" s="31"/>
      <c r="E23" s="30"/>
      <c r="F23" s="30"/>
      <c r="G23" s="31"/>
      <c r="H23" s="32"/>
      <c r="I23" s="31"/>
      <c r="J23" s="32"/>
      <c r="K23" s="33"/>
      <c r="L23" s="32"/>
      <c r="M23" s="33"/>
      <c r="N23" s="33"/>
      <c r="O23" s="34"/>
      <c r="P23" s="144"/>
      <c r="Q23" s="145"/>
      <c r="R23" s="34"/>
      <c r="S23" s="34"/>
      <c r="T23" s="32"/>
      <c r="U23" s="37"/>
      <c r="V23" s="37"/>
      <c r="W23" s="29"/>
    </row>
    <row r="24" spans="1:25" s="2" customFormat="1" ht="18" hidden="1" customHeight="1">
      <c r="A24" s="6"/>
      <c r="B24" s="48"/>
      <c r="C24" s="38"/>
      <c r="D24" s="39"/>
      <c r="E24" s="38"/>
      <c r="F24" s="38"/>
      <c r="G24" s="39"/>
      <c r="H24" s="40"/>
      <c r="I24" s="39"/>
      <c r="J24" s="40"/>
      <c r="K24" s="41"/>
      <c r="L24" s="40"/>
      <c r="M24" s="41"/>
      <c r="N24" s="41"/>
      <c r="O24" s="42"/>
      <c r="P24" s="142"/>
      <c r="Q24" s="143"/>
      <c r="R24" s="42"/>
      <c r="S24" s="42"/>
      <c r="T24" s="40"/>
      <c r="U24" s="46"/>
      <c r="V24" s="46"/>
      <c r="W24" s="29"/>
    </row>
    <row r="25" spans="1:25" s="2" customFormat="1" ht="18" hidden="1" customHeight="1">
      <c r="A25" s="6"/>
      <c r="B25" s="48"/>
      <c r="C25" s="30"/>
      <c r="D25" s="31"/>
      <c r="E25" s="30"/>
      <c r="F25" s="30"/>
      <c r="G25" s="31"/>
      <c r="H25" s="32"/>
      <c r="I25" s="31"/>
      <c r="J25" s="32"/>
      <c r="K25" s="33"/>
      <c r="L25" s="32"/>
      <c r="M25" s="33"/>
      <c r="N25" s="33"/>
      <c r="O25" s="34"/>
      <c r="P25" s="144"/>
      <c r="Q25" s="145"/>
      <c r="R25" s="34"/>
      <c r="S25" s="34"/>
      <c r="T25" s="32"/>
      <c r="U25" s="37"/>
      <c r="V25" s="37"/>
      <c r="W25" s="29"/>
    </row>
    <row r="26" spans="1:25" s="2" customFormat="1" ht="18" hidden="1" customHeight="1">
      <c r="A26" s="6"/>
      <c r="B26" s="48"/>
      <c r="C26" s="38"/>
      <c r="D26" s="39"/>
      <c r="E26" s="38"/>
      <c r="F26" s="38"/>
      <c r="G26" s="39"/>
      <c r="H26" s="40"/>
      <c r="I26" s="39"/>
      <c r="J26" s="40"/>
      <c r="K26" s="41"/>
      <c r="L26" s="40"/>
      <c r="M26" s="41"/>
      <c r="N26" s="41"/>
      <c r="O26" s="42"/>
      <c r="P26" s="142"/>
      <c r="Q26" s="143"/>
      <c r="R26" s="42"/>
      <c r="S26" s="42"/>
      <c r="T26" s="40"/>
      <c r="U26" s="46"/>
      <c r="V26" s="46"/>
      <c r="W26" s="29"/>
    </row>
    <row r="27" spans="1:25" s="2" customFormat="1" ht="18" hidden="1" customHeight="1">
      <c r="A27" s="6"/>
      <c r="B27" s="48"/>
      <c r="C27" s="30"/>
      <c r="D27" s="31"/>
      <c r="E27" s="30"/>
      <c r="F27" s="30"/>
      <c r="G27" s="31"/>
      <c r="H27" s="32"/>
      <c r="I27" s="31"/>
      <c r="J27" s="32"/>
      <c r="K27" s="33"/>
      <c r="L27" s="32"/>
      <c r="M27" s="33"/>
      <c r="N27" s="33"/>
      <c r="O27" s="34"/>
      <c r="P27" s="144"/>
      <c r="Q27" s="145"/>
      <c r="R27" s="34"/>
      <c r="S27" s="34"/>
      <c r="T27" s="32"/>
      <c r="U27" s="37"/>
      <c r="V27" s="37"/>
      <c r="W27" s="29"/>
    </row>
    <row r="28" spans="1:25" s="2" customFormat="1" ht="18" hidden="1" customHeight="1">
      <c r="A28" s="6"/>
      <c r="B28" s="48"/>
      <c r="C28" s="38"/>
      <c r="D28" s="39"/>
      <c r="E28" s="38"/>
      <c r="F28" s="38"/>
      <c r="G28" s="39"/>
      <c r="H28" s="40"/>
      <c r="I28" s="39"/>
      <c r="J28" s="40"/>
      <c r="K28" s="41"/>
      <c r="L28" s="40"/>
      <c r="M28" s="41"/>
      <c r="N28" s="41"/>
      <c r="O28" s="42"/>
      <c r="P28" s="142"/>
      <c r="Q28" s="143"/>
      <c r="R28" s="42"/>
      <c r="S28" s="42"/>
      <c r="T28" s="40"/>
      <c r="U28" s="46"/>
      <c r="V28" s="46"/>
      <c r="W28" s="29"/>
    </row>
    <row r="29" spans="1:25" s="2" customFormat="1" ht="18" hidden="1" customHeight="1">
      <c r="A29" s="6"/>
      <c r="B29" s="48"/>
      <c r="C29" s="30"/>
      <c r="D29" s="31"/>
      <c r="E29" s="30"/>
      <c r="F29" s="30"/>
      <c r="G29" s="31"/>
      <c r="H29" s="32"/>
      <c r="I29" s="31"/>
      <c r="J29" s="32"/>
      <c r="K29" s="33"/>
      <c r="L29" s="32"/>
      <c r="M29" s="33"/>
      <c r="N29" s="33"/>
      <c r="O29" s="34"/>
      <c r="P29" s="144"/>
      <c r="Q29" s="145"/>
      <c r="R29" s="34"/>
      <c r="S29" s="34"/>
      <c r="T29" s="32"/>
      <c r="U29" s="37"/>
      <c r="V29" s="37"/>
      <c r="W29" s="29"/>
    </row>
    <row r="30" spans="1:25" s="2" customFormat="1" ht="18" hidden="1" customHeight="1">
      <c r="A30" s="6"/>
      <c r="B30" s="48"/>
      <c r="C30" s="38"/>
      <c r="D30" s="39"/>
      <c r="E30" s="38"/>
      <c r="F30" s="38"/>
      <c r="G30" s="39"/>
      <c r="H30" s="40"/>
      <c r="I30" s="39"/>
      <c r="J30" s="40"/>
      <c r="K30" s="41"/>
      <c r="L30" s="40"/>
      <c r="M30" s="41"/>
      <c r="N30" s="41"/>
      <c r="O30" s="42"/>
      <c r="P30" s="142"/>
      <c r="Q30" s="143"/>
      <c r="R30" s="42"/>
      <c r="S30" s="42"/>
      <c r="T30" s="40"/>
      <c r="U30" s="46"/>
      <c r="V30" s="46"/>
      <c r="W30" s="29"/>
    </row>
    <row r="31" spans="1:25" s="2" customFormat="1" ht="18" hidden="1" customHeight="1">
      <c r="A31" s="6"/>
      <c r="B31" s="48"/>
      <c r="C31" s="30"/>
      <c r="D31" s="31"/>
      <c r="E31" s="30"/>
      <c r="F31" s="30"/>
      <c r="G31" s="31"/>
      <c r="H31" s="32"/>
      <c r="I31" s="31"/>
      <c r="J31" s="32"/>
      <c r="K31" s="33"/>
      <c r="L31" s="32"/>
      <c r="M31" s="33"/>
      <c r="N31" s="33"/>
      <c r="O31" s="34"/>
      <c r="P31" s="144"/>
      <c r="Q31" s="145"/>
      <c r="R31" s="34"/>
      <c r="S31" s="34"/>
      <c r="T31" s="32"/>
      <c r="U31" s="37"/>
      <c r="V31" s="37"/>
      <c r="W31" s="29"/>
    </row>
    <row r="32" spans="1:25" s="2" customFormat="1" ht="18" hidden="1" customHeight="1">
      <c r="A32" s="6"/>
      <c r="B32" s="48"/>
      <c r="C32" s="38"/>
      <c r="D32" s="39"/>
      <c r="E32" s="38"/>
      <c r="F32" s="38"/>
      <c r="G32" s="39"/>
      <c r="H32" s="40"/>
      <c r="I32" s="39"/>
      <c r="J32" s="40"/>
      <c r="K32" s="41"/>
      <c r="L32" s="40"/>
      <c r="M32" s="41"/>
      <c r="N32" s="41"/>
      <c r="O32" s="42"/>
      <c r="P32" s="142"/>
      <c r="Q32" s="143"/>
      <c r="R32" s="42"/>
      <c r="S32" s="42"/>
      <c r="T32" s="40"/>
      <c r="U32" s="46"/>
      <c r="V32" s="46"/>
      <c r="W32" s="29"/>
    </row>
    <row r="33" spans="1:28" s="2" customFormat="1" ht="18" hidden="1" customHeight="1">
      <c r="A33" s="6"/>
      <c r="B33" s="48"/>
      <c r="C33" s="30"/>
      <c r="D33" s="31"/>
      <c r="E33" s="30"/>
      <c r="F33" s="30"/>
      <c r="G33" s="31"/>
      <c r="H33" s="32"/>
      <c r="I33" s="31"/>
      <c r="J33" s="32"/>
      <c r="K33" s="33"/>
      <c r="L33" s="32"/>
      <c r="M33" s="33"/>
      <c r="N33" s="33"/>
      <c r="O33" s="34"/>
      <c r="P33" s="144"/>
      <c r="Q33" s="145"/>
      <c r="R33" s="34"/>
      <c r="S33" s="34"/>
      <c r="T33" s="32"/>
      <c r="U33" s="37"/>
      <c r="V33" s="37"/>
      <c r="W33" s="29"/>
    </row>
    <row r="34" spans="1:28" s="2" customFormat="1" ht="18" hidden="1" customHeight="1">
      <c r="A34" s="6"/>
      <c r="B34" s="48"/>
      <c r="C34" s="38"/>
      <c r="D34" s="39"/>
      <c r="E34" s="38"/>
      <c r="F34" s="38"/>
      <c r="G34" s="39"/>
      <c r="H34" s="40"/>
      <c r="I34" s="39"/>
      <c r="J34" s="40"/>
      <c r="K34" s="41"/>
      <c r="L34" s="40"/>
      <c r="M34" s="41"/>
      <c r="N34" s="41"/>
      <c r="O34" s="42"/>
      <c r="P34" s="142"/>
      <c r="Q34" s="143"/>
      <c r="R34" s="42"/>
      <c r="S34" s="42"/>
      <c r="T34" s="40"/>
      <c r="U34" s="46"/>
      <c r="V34" s="46"/>
      <c r="W34" s="29"/>
    </row>
    <row r="35" spans="1:28" s="2" customFormat="1" ht="18" hidden="1" customHeight="1">
      <c r="A35" s="6"/>
      <c r="B35" s="48"/>
      <c r="C35" s="30"/>
      <c r="D35" s="31"/>
      <c r="E35" s="30"/>
      <c r="F35" s="30"/>
      <c r="G35" s="31"/>
      <c r="H35" s="32"/>
      <c r="I35" s="31"/>
      <c r="J35" s="32"/>
      <c r="K35" s="33"/>
      <c r="L35" s="32"/>
      <c r="M35" s="33"/>
      <c r="N35" s="33"/>
      <c r="O35" s="34"/>
      <c r="P35" s="144"/>
      <c r="Q35" s="145"/>
      <c r="R35" s="34"/>
      <c r="S35" s="34"/>
      <c r="T35" s="32"/>
      <c r="U35" s="37"/>
      <c r="V35" s="37"/>
      <c r="W35" s="29"/>
    </row>
    <row r="36" spans="1:28" s="2" customFormat="1" ht="18" hidden="1" customHeight="1">
      <c r="A36" s="6"/>
      <c r="B36" s="48"/>
      <c r="C36" s="38"/>
      <c r="D36" s="39"/>
      <c r="E36" s="38"/>
      <c r="F36" s="38"/>
      <c r="G36" s="39"/>
      <c r="H36" s="40"/>
      <c r="I36" s="39"/>
      <c r="J36" s="40"/>
      <c r="K36" s="41"/>
      <c r="L36" s="40"/>
      <c r="M36" s="41"/>
      <c r="N36" s="41"/>
      <c r="O36" s="42"/>
      <c r="P36" s="142"/>
      <c r="Q36" s="143"/>
      <c r="R36" s="42"/>
      <c r="S36" s="42"/>
      <c r="T36" s="40"/>
      <c r="U36" s="46"/>
      <c r="V36" s="46"/>
      <c r="W36" s="29"/>
    </row>
    <row r="37" spans="1:28" s="2" customFormat="1" ht="18" hidden="1" customHeight="1">
      <c r="A37" s="6"/>
      <c r="B37" s="48"/>
      <c r="C37" s="30"/>
      <c r="D37" s="31"/>
      <c r="E37" s="30"/>
      <c r="F37" s="30"/>
      <c r="G37" s="31"/>
      <c r="H37" s="32"/>
      <c r="I37" s="31"/>
      <c r="J37" s="32"/>
      <c r="K37" s="33"/>
      <c r="L37" s="32"/>
      <c r="M37" s="33"/>
      <c r="N37" s="33"/>
      <c r="O37" s="34"/>
      <c r="P37" s="144"/>
      <c r="Q37" s="145"/>
      <c r="R37" s="34"/>
      <c r="S37" s="34"/>
      <c r="T37" s="32"/>
      <c r="U37" s="37"/>
      <c r="V37" s="37"/>
      <c r="W37" s="29"/>
    </row>
    <row r="38" spans="1:28" s="2" customFormat="1" ht="18" hidden="1" customHeight="1">
      <c r="A38" s="6"/>
      <c r="B38" s="48"/>
      <c r="C38" s="38"/>
      <c r="D38" s="39"/>
      <c r="E38" s="38"/>
      <c r="F38" s="38"/>
      <c r="G38" s="39"/>
      <c r="H38" s="40"/>
      <c r="I38" s="39"/>
      <c r="J38" s="40"/>
      <c r="K38" s="41"/>
      <c r="L38" s="40"/>
      <c r="M38" s="41"/>
      <c r="N38" s="41"/>
      <c r="O38" s="42"/>
      <c r="P38" s="142"/>
      <c r="Q38" s="143"/>
      <c r="R38" s="42"/>
      <c r="S38" s="42"/>
      <c r="T38" s="40"/>
      <c r="U38" s="46"/>
      <c r="V38" s="46"/>
      <c r="W38" s="29"/>
    </row>
    <row r="39" spans="1:28" s="2" customFormat="1" ht="18" hidden="1" customHeight="1">
      <c r="A39" s="6"/>
      <c r="B39" s="48"/>
      <c r="C39" s="49"/>
      <c r="D39" s="50"/>
      <c r="E39" s="30"/>
      <c r="F39" s="50"/>
      <c r="G39" s="51"/>
      <c r="H39" s="50"/>
      <c r="I39" s="51"/>
      <c r="J39" s="52"/>
      <c r="K39" s="51"/>
      <c r="L39" s="33"/>
      <c r="M39" s="33"/>
      <c r="N39" s="53"/>
      <c r="O39" s="53"/>
      <c r="P39" s="144"/>
      <c r="Q39" s="145"/>
      <c r="R39" s="34"/>
      <c r="S39" s="56"/>
      <c r="T39" s="56"/>
      <c r="U39" s="56"/>
      <c r="V39" s="53"/>
      <c r="W39" s="29"/>
    </row>
    <row r="40" spans="1:28" s="2" customFormat="1" ht="18" customHeight="1">
      <c r="A40" s="6"/>
      <c r="B40" s="48"/>
      <c r="C40" s="1793"/>
      <c r="D40" s="1793"/>
      <c r="E40" s="1793"/>
      <c r="F40" s="1793"/>
      <c r="G40" s="1793"/>
      <c r="H40" s="1793"/>
      <c r="I40" s="1794"/>
      <c r="J40" s="59">
        <f>SUM(J5:J39)</f>
        <v>3222.45</v>
      </c>
      <c r="K40" s="59">
        <f t="shared" ref="K40:R40" si="0">SUM(K5:K39)</f>
        <v>0</v>
      </c>
      <c r="L40" s="59">
        <f t="shared" si="0"/>
        <v>0</v>
      </c>
      <c r="M40" s="59">
        <f t="shared" si="0"/>
        <v>0</v>
      </c>
      <c r="N40" s="59">
        <f t="shared" si="0"/>
        <v>0</v>
      </c>
      <c r="O40" s="59">
        <f t="shared" si="0"/>
        <v>0</v>
      </c>
      <c r="P40" s="1854"/>
      <c r="Q40" s="1855"/>
      <c r="R40" s="114">
        <f t="shared" si="0"/>
        <v>0</v>
      </c>
      <c r="S40" s="61"/>
      <c r="T40" s="62"/>
      <c r="U40" s="116"/>
      <c r="V40" s="65"/>
      <c r="W40" s="29"/>
    </row>
    <row r="41" spans="1:28" s="76" customFormat="1" ht="6" customHeight="1">
      <c r="A41" s="71"/>
      <c r="B41" s="98"/>
      <c r="C41" s="73"/>
      <c r="D41" s="73"/>
      <c r="E41" s="73"/>
      <c r="F41" s="73"/>
      <c r="G41" s="73"/>
      <c r="H41" s="73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324"/>
      <c r="W41" s="29"/>
      <c r="X41" s="2"/>
      <c r="Y41" s="2"/>
      <c r="Z41" s="2"/>
      <c r="AA41" s="2"/>
      <c r="AB41" s="2"/>
    </row>
    <row r="42" spans="1:28" s="76" customFormat="1">
      <c r="A42" s="71"/>
      <c r="B42" s="1795" t="s">
        <v>145</v>
      </c>
      <c r="C42" s="1796"/>
      <c r="D42" s="1796"/>
      <c r="E42" s="1796"/>
      <c r="F42" s="1796"/>
      <c r="G42" s="1796"/>
      <c r="H42" s="1796"/>
      <c r="I42" s="1796"/>
      <c r="J42" s="1796"/>
      <c r="K42" s="1796"/>
      <c r="L42" s="1796"/>
      <c r="M42" s="1796"/>
      <c r="N42" s="1796"/>
      <c r="O42" s="1796"/>
      <c r="P42" s="1796"/>
      <c r="Q42" s="1796"/>
      <c r="R42" s="1796"/>
      <c r="S42" s="1796"/>
      <c r="T42" s="1796"/>
      <c r="U42" s="1796"/>
      <c r="V42" s="1797"/>
      <c r="W42" s="29"/>
      <c r="X42" s="2"/>
      <c r="Y42" s="2"/>
      <c r="Z42" s="2"/>
      <c r="AA42" s="2"/>
      <c r="AB42" s="2"/>
    </row>
    <row r="43" spans="1:28" s="76" customFormat="1">
      <c r="A43" s="71"/>
      <c r="B43" s="1798"/>
      <c r="C43" s="1799"/>
      <c r="D43" s="1799"/>
      <c r="E43" s="1799"/>
      <c r="F43" s="1799"/>
      <c r="G43" s="1799"/>
      <c r="H43" s="1799"/>
      <c r="I43" s="1799"/>
      <c r="J43" s="1799"/>
      <c r="K43" s="1799"/>
      <c r="L43" s="1799"/>
      <c r="M43" s="1799"/>
      <c r="N43" s="1799"/>
      <c r="O43" s="1799"/>
      <c r="P43" s="1799"/>
      <c r="Q43" s="1799"/>
      <c r="R43" s="1799"/>
      <c r="S43" s="1799"/>
      <c r="T43" s="1799"/>
      <c r="U43" s="1799"/>
      <c r="V43" s="1800"/>
      <c r="W43" s="29"/>
      <c r="X43" s="2"/>
      <c r="Y43" s="2"/>
      <c r="Z43" s="2"/>
      <c r="AA43" s="2"/>
      <c r="AB43" s="2"/>
    </row>
    <row r="44" spans="1:28" s="76" customFormat="1" ht="5.0999999999999996" customHeight="1">
      <c r="A44" s="71"/>
      <c r="B44" s="98"/>
      <c r="C44" s="72"/>
      <c r="D44" s="72"/>
      <c r="E44" s="72"/>
      <c r="F44" s="72"/>
      <c r="G44" s="72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325"/>
      <c r="W44" s="29"/>
      <c r="X44" s="2"/>
      <c r="Y44" s="2"/>
      <c r="Z44" s="2"/>
      <c r="AA44" s="2"/>
      <c r="AB44" s="2"/>
    </row>
    <row r="45" spans="1:28" ht="8.1" customHeight="1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5"/>
    </row>
    <row r="46" spans="1:28" s="2" customFormat="1" ht="22.5" customHeight="1">
      <c r="A46" s="6"/>
      <c r="B46" s="7"/>
      <c r="C46" s="1856" t="s">
        <v>4</v>
      </c>
      <c r="D46" s="1857"/>
      <c r="E46" s="1858" t="s">
        <v>5</v>
      </c>
      <c r="F46" s="8" t="s">
        <v>6</v>
      </c>
      <c r="G46" s="8"/>
      <c r="H46" s="8"/>
      <c r="I46" s="9"/>
      <c r="J46" s="1532" t="s">
        <v>7</v>
      </c>
      <c r="K46" s="1532" t="s">
        <v>8</v>
      </c>
      <c r="L46" s="1532" t="s">
        <v>9</v>
      </c>
      <c r="M46" s="1532" t="s">
        <v>9</v>
      </c>
      <c r="N46" s="1532" t="s">
        <v>9</v>
      </c>
      <c r="O46" s="1532"/>
      <c r="P46" s="10" t="s">
        <v>10</v>
      </c>
      <c r="Q46" s="9"/>
      <c r="R46" s="1532"/>
      <c r="S46" s="11" t="s">
        <v>11</v>
      </c>
      <c r="T46" s="12"/>
      <c r="U46" s="12"/>
      <c r="V46" s="1532" t="s">
        <v>12</v>
      </c>
      <c r="W46" s="14"/>
    </row>
    <row r="47" spans="1:28" s="2" customFormat="1" ht="22.5" customHeight="1">
      <c r="A47" s="6"/>
      <c r="B47" s="15" t="s">
        <v>13</v>
      </c>
      <c r="C47" s="1858" t="s">
        <v>14</v>
      </c>
      <c r="D47" s="16" t="s">
        <v>15</v>
      </c>
      <c r="E47" s="1859"/>
      <c r="F47" s="12" t="s">
        <v>16</v>
      </c>
      <c r="G47" s="13"/>
      <c r="H47" s="11" t="s">
        <v>17</v>
      </c>
      <c r="I47" s="13"/>
      <c r="J47" s="1533" t="s">
        <v>18</v>
      </c>
      <c r="K47" s="1533" t="s">
        <v>19</v>
      </c>
      <c r="L47" s="17" t="s">
        <v>20</v>
      </c>
      <c r="M47" s="1533" t="s">
        <v>56</v>
      </c>
      <c r="N47" s="1533" t="s">
        <v>0</v>
      </c>
      <c r="O47" s="1533" t="s">
        <v>22</v>
      </c>
      <c r="P47" s="18" t="s">
        <v>23</v>
      </c>
      <c r="Q47" s="19"/>
      <c r="R47" s="1533" t="s">
        <v>24</v>
      </c>
      <c r="S47" s="1532" t="s">
        <v>25</v>
      </c>
      <c r="T47" s="1532" t="s">
        <v>26</v>
      </c>
      <c r="U47" s="1532" t="s">
        <v>27</v>
      </c>
      <c r="V47" s="1533" t="s">
        <v>29</v>
      </c>
      <c r="W47" s="14"/>
    </row>
    <row r="48" spans="1:28" s="2" customFormat="1" ht="22.5" customHeight="1">
      <c r="A48" s="6"/>
      <c r="B48" s="15" t="s">
        <v>30</v>
      </c>
      <c r="C48" s="1859"/>
      <c r="D48" s="16" t="s">
        <v>31</v>
      </c>
      <c r="E48" s="1859"/>
      <c r="F48" s="20" t="s">
        <v>32</v>
      </c>
      <c r="G48" s="1532" t="s">
        <v>33</v>
      </c>
      <c r="H48" s="1532" t="s">
        <v>32</v>
      </c>
      <c r="I48" s="1532" t="s">
        <v>33</v>
      </c>
      <c r="J48" s="1533" t="s">
        <v>34</v>
      </c>
      <c r="K48" s="1533" t="s">
        <v>34</v>
      </c>
      <c r="L48" s="1533" t="s">
        <v>35</v>
      </c>
      <c r="M48" s="1533" t="s">
        <v>35</v>
      </c>
      <c r="N48" s="1533" t="s">
        <v>35</v>
      </c>
      <c r="O48" s="1533" t="s">
        <v>37</v>
      </c>
      <c r="P48" s="18" t="s">
        <v>38</v>
      </c>
      <c r="Q48" s="19"/>
      <c r="R48" s="1533" t="s">
        <v>39</v>
      </c>
      <c r="S48" s="1533"/>
      <c r="T48" s="1533" t="s">
        <v>40</v>
      </c>
      <c r="U48" s="1533" t="s">
        <v>41</v>
      </c>
      <c r="V48" s="1533" t="s">
        <v>42</v>
      </c>
      <c r="W48" s="14"/>
    </row>
    <row r="49" spans="1:23" s="2" customFormat="1" ht="18" customHeight="1">
      <c r="A49" s="6"/>
      <c r="B49" s="1791" t="str">
        <f>+B5</f>
        <v xml:space="preserve">TELA ELETROSOLDADA                                                                                                                                                         </v>
      </c>
      <c r="C49" s="21" t="s">
        <v>67</v>
      </c>
      <c r="D49" s="22"/>
      <c r="E49" s="21"/>
      <c r="F49" s="22"/>
      <c r="G49" s="23"/>
      <c r="H49" s="22"/>
      <c r="I49" s="23"/>
      <c r="J49" s="24"/>
      <c r="K49" s="23"/>
      <c r="L49" s="24"/>
      <c r="M49" s="24"/>
      <c r="N49" s="25"/>
      <c r="O49" s="25"/>
      <c r="P49" s="26"/>
      <c r="Q49" s="27"/>
      <c r="R49" s="25"/>
      <c r="S49" s="28"/>
      <c r="T49" s="28"/>
      <c r="U49" s="28"/>
      <c r="V49" s="25"/>
      <c r="W49" s="29"/>
    </row>
    <row r="50" spans="1:23" s="2" customFormat="1" ht="18" customHeight="1">
      <c r="A50" s="6"/>
      <c r="B50" s="1792"/>
      <c r="C50" s="38" t="s">
        <v>67</v>
      </c>
      <c r="D50" s="39"/>
      <c r="E50" s="38"/>
      <c r="F50" s="39"/>
      <c r="G50" s="40"/>
      <c r="H50" s="39"/>
      <c r="I50" s="40"/>
      <c r="J50" s="41"/>
      <c r="K50" s="40"/>
      <c r="L50" s="41"/>
      <c r="M50" s="41"/>
      <c r="N50" s="42"/>
      <c r="O50" s="42"/>
      <c r="P50" s="44"/>
      <c r="Q50" s="45"/>
      <c r="R50" s="42"/>
      <c r="S50" s="46"/>
      <c r="T50" s="46"/>
      <c r="U50" s="46"/>
      <c r="V50" s="42"/>
      <c r="W50" s="29"/>
    </row>
    <row r="51" spans="1:23" s="2" customFormat="1" ht="18" customHeight="1">
      <c r="A51" s="6"/>
      <c r="B51" s="1837">
        <f>+B7</f>
        <v>0</v>
      </c>
      <c r="C51" s="30" t="s">
        <v>67</v>
      </c>
      <c r="D51" s="31"/>
      <c r="E51" s="30"/>
      <c r="F51" s="31"/>
      <c r="G51" s="32"/>
      <c r="H51" s="31"/>
      <c r="I51" s="32"/>
      <c r="J51" s="33"/>
      <c r="K51" s="32"/>
      <c r="L51" s="33"/>
      <c r="M51" s="33"/>
      <c r="N51" s="34"/>
      <c r="O51" s="34"/>
      <c r="P51" s="35"/>
      <c r="Q51" s="36"/>
      <c r="R51" s="34"/>
      <c r="S51" s="37"/>
      <c r="T51" s="37"/>
      <c r="U51" s="37"/>
      <c r="V51" s="34"/>
      <c r="W51" s="29"/>
    </row>
    <row r="52" spans="1:23" s="2" customFormat="1" ht="18" customHeight="1">
      <c r="A52" s="6"/>
      <c r="B52" s="1837"/>
      <c r="C52" s="38" t="s">
        <v>67</v>
      </c>
      <c r="D52" s="39"/>
      <c r="E52" s="38"/>
      <c r="F52" s="39"/>
      <c r="G52" s="40"/>
      <c r="H52" s="39"/>
      <c r="I52" s="40"/>
      <c r="J52" s="41"/>
      <c r="K52" s="40"/>
      <c r="L52" s="41"/>
      <c r="M52" s="41"/>
      <c r="N52" s="42"/>
      <c r="O52" s="42"/>
      <c r="P52" s="44"/>
      <c r="Q52" s="45"/>
      <c r="R52" s="42"/>
      <c r="S52" s="46"/>
      <c r="T52" s="46"/>
      <c r="U52" s="46"/>
      <c r="V52" s="42"/>
      <c r="W52" s="29"/>
    </row>
    <row r="53" spans="1:23" s="2" customFormat="1" ht="18" customHeight="1">
      <c r="A53" s="6"/>
      <c r="B53" s="1837"/>
      <c r="C53" s="30" t="s">
        <v>67</v>
      </c>
      <c r="D53" s="31"/>
      <c r="E53" s="30"/>
      <c r="F53" s="31"/>
      <c r="G53" s="32"/>
      <c r="H53" s="31"/>
      <c r="I53" s="32"/>
      <c r="J53" s="33"/>
      <c r="K53" s="32"/>
      <c r="L53" s="33"/>
      <c r="M53" s="33"/>
      <c r="N53" s="34"/>
      <c r="O53" s="34"/>
      <c r="P53" s="35"/>
      <c r="Q53" s="36"/>
      <c r="R53" s="34"/>
      <c r="S53" s="37"/>
      <c r="T53" s="37"/>
      <c r="U53" s="37"/>
      <c r="V53" s="34"/>
      <c r="W53" s="29"/>
    </row>
    <row r="54" spans="1:23" s="2" customFormat="1" ht="18" customHeight="1">
      <c r="A54" s="6"/>
      <c r="B54" s="47"/>
      <c r="C54" s="38" t="s">
        <v>67</v>
      </c>
      <c r="D54" s="39"/>
      <c r="E54" s="38"/>
      <c r="F54" s="39"/>
      <c r="G54" s="40"/>
      <c r="H54" s="39"/>
      <c r="I54" s="40"/>
      <c r="J54" s="41"/>
      <c r="K54" s="40"/>
      <c r="L54" s="41"/>
      <c r="M54" s="41"/>
      <c r="N54" s="42"/>
      <c r="O54" s="42"/>
      <c r="P54" s="44"/>
      <c r="Q54" s="45"/>
      <c r="R54" s="42"/>
      <c r="S54" s="46"/>
      <c r="T54" s="46"/>
      <c r="U54" s="46"/>
      <c r="V54" s="42"/>
      <c r="W54" s="29"/>
    </row>
    <row r="55" spans="1:23" s="2" customFormat="1" ht="18" customHeight="1">
      <c r="A55" s="6"/>
      <c r="B55" s="47"/>
      <c r="C55" s="30" t="s">
        <v>67</v>
      </c>
      <c r="D55" s="31" t="s">
        <v>67</v>
      </c>
      <c r="E55" s="30" t="str">
        <f t="shared" ref="E55:E83" si="1">IF(F55="","","Acost. LD")</f>
        <v/>
      </c>
      <c r="F55" s="31" t="s">
        <v>67</v>
      </c>
      <c r="G55" s="32" t="s">
        <v>67</v>
      </c>
      <c r="H55" s="31" t="s">
        <v>67</v>
      </c>
      <c r="I55" s="32" t="s">
        <v>67</v>
      </c>
      <c r="J55" s="33" t="str">
        <f t="shared" ref="J55:J83" si="2">IF(F55="","",((H55-F55)*20)+I55-G55)</f>
        <v/>
      </c>
      <c r="K55" s="32" t="s">
        <v>67</v>
      </c>
      <c r="L55" s="33"/>
      <c r="M55" s="33"/>
      <c r="N55" s="34" t="str">
        <f t="shared" ref="N55:N83" si="3">IF(F55="","",(J55*K55)+M55+L55)</f>
        <v/>
      </c>
      <c r="O55" s="34" t="str">
        <f>IF(F55="","",N55*#REF!/100)</f>
        <v/>
      </c>
      <c r="P55" s="35" t="s">
        <v>67</v>
      </c>
      <c r="Q55" s="36" t="str">
        <f t="shared" ref="Q55:Q83" si="4">IF(F55="","","t/m3")</f>
        <v/>
      </c>
      <c r="R55" s="34" t="str">
        <f t="shared" ref="R55:R83" si="5">IF(F55="","",O55*P55)</f>
        <v/>
      </c>
      <c r="S55" s="37" t="s">
        <v>67</v>
      </c>
      <c r="T55" s="37" t="str">
        <f t="shared" ref="T55:T83" si="6">IF(F55="","",IF(D55&gt;H55,((D55-H55)*0.02),IF(D55&lt;F55,((F55-D55)*0.02),IF(F55="","",0))))</f>
        <v/>
      </c>
      <c r="U55" s="37" t="str">
        <f t="shared" ref="U55:U83" si="7">IF(F55="","",IF(D55&gt;H55,((((H55-F55)*20)+I55-G55)/2000),IF(D55&gt;F55,((((D55-F55)*0.02)^2)+(((H55-D55)*0.02)^2))/(2*((H55-F55)*0.02)),((((H55-F55)*20)+I55-G55)/2000))))</f>
        <v/>
      </c>
      <c r="V55" s="34" t="str">
        <f>IF(F55="","",O55*#REF!)</f>
        <v/>
      </c>
      <c r="W55" s="29"/>
    </row>
    <row r="56" spans="1:23" s="2" customFormat="1" ht="18" customHeight="1">
      <c r="A56" s="6"/>
      <c r="B56" s="48"/>
      <c r="C56" s="38" t="s">
        <v>67</v>
      </c>
      <c r="D56" s="39" t="s">
        <v>67</v>
      </c>
      <c r="E56" s="38" t="str">
        <f t="shared" si="1"/>
        <v/>
      </c>
      <c r="F56" s="39" t="s">
        <v>67</v>
      </c>
      <c r="G56" s="40" t="s">
        <v>67</v>
      </c>
      <c r="H56" s="39" t="s">
        <v>67</v>
      </c>
      <c r="I56" s="40" t="s">
        <v>67</v>
      </c>
      <c r="J56" s="41" t="str">
        <f t="shared" si="2"/>
        <v/>
      </c>
      <c r="K56" s="40" t="s">
        <v>67</v>
      </c>
      <c r="L56" s="41"/>
      <c r="M56" s="41"/>
      <c r="N56" s="42" t="str">
        <f t="shared" si="3"/>
        <v/>
      </c>
      <c r="O56" s="42" t="str">
        <f>IF(F56="","",N56*#REF!/100)</f>
        <v/>
      </c>
      <c r="P56" s="44" t="s">
        <v>67</v>
      </c>
      <c r="Q56" s="45" t="str">
        <f t="shared" si="4"/>
        <v/>
      </c>
      <c r="R56" s="42" t="str">
        <f t="shared" si="5"/>
        <v/>
      </c>
      <c r="S56" s="46" t="s">
        <v>67</v>
      </c>
      <c r="T56" s="46" t="str">
        <f t="shared" si="6"/>
        <v/>
      </c>
      <c r="U56" s="46" t="str">
        <f t="shared" si="7"/>
        <v/>
      </c>
      <c r="V56" s="42" t="str">
        <f>IF(F56="","",O56*#REF!)</f>
        <v/>
      </c>
      <c r="W56" s="29"/>
    </row>
    <row r="57" spans="1:23" s="2" customFormat="1" ht="18" customHeight="1">
      <c r="A57" s="6"/>
      <c r="B57" s="48"/>
      <c r="C57" s="30" t="s">
        <v>67</v>
      </c>
      <c r="D57" s="31" t="s">
        <v>67</v>
      </c>
      <c r="E57" s="30" t="str">
        <f t="shared" si="1"/>
        <v/>
      </c>
      <c r="F57" s="31" t="s">
        <v>67</v>
      </c>
      <c r="G57" s="32" t="s">
        <v>67</v>
      </c>
      <c r="H57" s="31" t="s">
        <v>67</v>
      </c>
      <c r="I57" s="32" t="s">
        <v>67</v>
      </c>
      <c r="J57" s="33" t="str">
        <f t="shared" si="2"/>
        <v/>
      </c>
      <c r="K57" s="32" t="s">
        <v>67</v>
      </c>
      <c r="L57" s="33"/>
      <c r="M57" s="33"/>
      <c r="N57" s="34" t="str">
        <f t="shared" si="3"/>
        <v/>
      </c>
      <c r="O57" s="34" t="str">
        <f>IF(F57="","",N57*#REF!/100)</f>
        <v/>
      </c>
      <c r="P57" s="35" t="s">
        <v>67</v>
      </c>
      <c r="Q57" s="36" t="str">
        <f t="shared" si="4"/>
        <v/>
      </c>
      <c r="R57" s="34" t="str">
        <f t="shared" si="5"/>
        <v/>
      </c>
      <c r="S57" s="37" t="s">
        <v>67</v>
      </c>
      <c r="T57" s="37" t="str">
        <f t="shared" si="6"/>
        <v/>
      </c>
      <c r="U57" s="37" t="str">
        <f t="shared" si="7"/>
        <v/>
      </c>
      <c r="V57" s="34" t="str">
        <f>IF(F57="","",O57*#REF!)</f>
        <v/>
      </c>
      <c r="W57" s="29"/>
    </row>
    <row r="58" spans="1:23" s="2" customFormat="1" ht="18" customHeight="1">
      <c r="A58" s="6"/>
      <c r="B58" s="48"/>
      <c r="C58" s="38" t="s">
        <v>67</v>
      </c>
      <c r="D58" s="39" t="s">
        <v>67</v>
      </c>
      <c r="E58" s="38" t="str">
        <f t="shared" si="1"/>
        <v/>
      </c>
      <c r="F58" s="39" t="s">
        <v>67</v>
      </c>
      <c r="G58" s="40" t="s">
        <v>67</v>
      </c>
      <c r="H58" s="39" t="s">
        <v>67</v>
      </c>
      <c r="I58" s="40" t="s">
        <v>67</v>
      </c>
      <c r="J58" s="41" t="str">
        <f t="shared" si="2"/>
        <v/>
      </c>
      <c r="K58" s="40" t="s">
        <v>67</v>
      </c>
      <c r="L58" s="41"/>
      <c r="M58" s="41"/>
      <c r="N58" s="42" t="str">
        <f t="shared" si="3"/>
        <v/>
      </c>
      <c r="O58" s="42" t="str">
        <f>IF(F58="","",N58*#REF!/100)</f>
        <v/>
      </c>
      <c r="P58" s="44" t="s">
        <v>67</v>
      </c>
      <c r="Q58" s="45" t="str">
        <f t="shared" si="4"/>
        <v/>
      </c>
      <c r="R58" s="42" t="str">
        <f t="shared" si="5"/>
        <v/>
      </c>
      <c r="S58" s="46" t="s">
        <v>67</v>
      </c>
      <c r="T58" s="46" t="str">
        <f t="shared" si="6"/>
        <v/>
      </c>
      <c r="U58" s="46" t="str">
        <f t="shared" si="7"/>
        <v/>
      </c>
      <c r="V58" s="42" t="str">
        <f>IF(F58="","",O58*#REF!)</f>
        <v/>
      </c>
      <c r="W58" s="29"/>
    </row>
    <row r="59" spans="1:23" s="2" customFormat="1" ht="18" customHeight="1">
      <c r="A59" s="6"/>
      <c r="B59" s="48"/>
      <c r="C59" s="30" t="s">
        <v>67</v>
      </c>
      <c r="D59" s="31" t="s">
        <v>67</v>
      </c>
      <c r="E59" s="30" t="str">
        <f t="shared" si="1"/>
        <v/>
      </c>
      <c r="F59" s="31" t="s">
        <v>67</v>
      </c>
      <c r="G59" s="32" t="s">
        <v>67</v>
      </c>
      <c r="H59" s="31" t="s">
        <v>67</v>
      </c>
      <c r="I59" s="32" t="s">
        <v>67</v>
      </c>
      <c r="J59" s="33" t="str">
        <f t="shared" si="2"/>
        <v/>
      </c>
      <c r="K59" s="32" t="s">
        <v>67</v>
      </c>
      <c r="L59" s="33"/>
      <c r="M59" s="33"/>
      <c r="N59" s="34" t="str">
        <f t="shared" si="3"/>
        <v/>
      </c>
      <c r="O59" s="34" t="str">
        <f>IF(F59="","",N59*#REF!/100)</f>
        <v/>
      </c>
      <c r="P59" s="35" t="s">
        <v>67</v>
      </c>
      <c r="Q59" s="36" t="str">
        <f t="shared" si="4"/>
        <v/>
      </c>
      <c r="R59" s="34" t="str">
        <f t="shared" si="5"/>
        <v/>
      </c>
      <c r="S59" s="37" t="s">
        <v>67</v>
      </c>
      <c r="T59" s="37" t="str">
        <f t="shared" si="6"/>
        <v/>
      </c>
      <c r="U59" s="37" t="str">
        <f t="shared" si="7"/>
        <v/>
      </c>
      <c r="V59" s="34" t="str">
        <f>IF(F59="","",O59*#REF!)</f>
        <v/>
      </c>
      <c r="W59" s="29"/>
    </row>
    <row r="60" spans="1:23" s="2" customFormat="1" ht="18" customHeight="1">
      <c r="A60" s="6"/>
      <c r="B60" s="48"/>
      <c r="C60" s="38" t="s">
        <v>67</v>
      </c>
      <c r="D60" s="39" t="s">
        <v>67</v>
      </c>
      <c r="E60" s="38" t="str">
        <f t="shared" si="1"/>
        <v/>
      </c>
      <c r="F60" s="39" t="s">
        <v>67</v>
      </c>
      <c r="G60" s="40" t="s">
        <v>67</v>
      </c>
      <c r="H60" s="39" t="s">
        <v>67</v>
      </c>
      <c r="I60" s="40" t="s">
        <v>67</v>
      </c>
      <c r="J60" s="41" t="str">
        <f t="shared" si="2"/>
        <v/>
      </c>
      <c r="K60" s="40" t="s">
        <v>67</v>
      </c>
      <c r="L60" s="41"/>
      <c r="M60" s="41"/>
      <c r="N60" s="42" t="str">
        <f t="shared" si="3"/>
        <v/>
      </c>
      <c r="O60" s="42" t="str">
        <f>IF(F60="","",N60*#REF!/100)</f>
        <v/>
      </c>
      <c r="P60" s="44" t="s">
        <v>67</v>
      </c>
      <c r="Q60" s="45" t="str">
        <f t="shared" si="4"/>
        <v/>
      </c>
      <c r="R60" s="42" t="str">
        <f t="shared" si="5"/>
        <v/>
      </c>
      <c r="S60" s="46" t="s">
        <v>67</v>
      </c>
      <c r="T60" s="46" t="str">
        <f t="shared" si="6"/>
        <v/>
      </c>
      <c r="U60" s="46" t="str">
        <f t="shared" si="7"/>
        <v/>
      </c>
      <c r="V60" s="42" t="str">
        <f>IF(F60="","",O60*#REF!)</f>
        <v/>
      </c>
      <c r="W60" s="29"/>
    </row>
    <row r="61" spans="1:23" s="2" customFormat="1" ht="18" customHeight="1">
      <c r="A61" s="6"/>
      <c r="B61" s="48"/>
      <c r="C61" s="30" t="s">
        <v>67</v>
      </c>
      <c r="D61" s="31" t="s">
        <v>67</v>
      </c>
      <c r="E61" s="30" t="str">
        <f t="shared" si="1"/>
        <v/>
      </c>
      <c r="F61" s="31" t="s">
        <v>67</v>
      </c>
      <c r="G61" s="32" t="s">
        <v>67</v>
      </c>
      <c r="H61" s="31" t="s">
        <v>67</v>
      </c>
      <c r="I61" s="32" t="s">
        <v>67</v>
      </c>
      <c r="J61" s="33" t="str">
        <f t="shared" si="2"/>
        <v/>
      </c>
      <c r="K61" s="32" t="s">
        <v>67</v>
      </c>
      <c r="L61" s="33"/>
      <c r="M61" s="33"/>
      <c r="N61" s="34" t="str">
        <f t="shared" si="3"/>
        <v/>
      </c>
      <c r="O61" s="34" t="str">
        <f>IF(F61="","",N61*#REF!/100)</f>
        <v/>
      </c>
      <c r="P61" s="35" t="s">
        <v>67</v>
      </c>
      <c r="Q61" s="36" t="str">
        <f t="shared" si="4"/>
        <v/>
      </c>
      <c r="R61" s="34" t="str">
        <f t="shared" si="5"/>
        <v/>
      </c>
      <c r="S61" s="37" t="s">
        <v>67</v>
      </c>
      <c r="T61" s="37" t="str">
        <f t="shared" si="6"/>
        <v/>
      </c>
      <c r="U61" s="37" t="str">
        <f t="shared" si="7"/>
        <v/>
      </c>
      <c r="V61" s="34" t="str">
        <f>IF(F61="","",O61*#REF!)</f>
        <v/>
      </c>
      <c r="W61" s="29"/>
    </row>
    <row r="62" spans="1:23" s="2" customFormat="1" ht="18" customHeight="1">
      <c r="A62" s="6"/>
      <c r="B62" s="48"/>
      <c r="C62" s="38" t="s">
        <v>67</v>
      </c>
      <c r="D62" s="39" t="s">
        <v>67</v>
      </c>
      <c r="E62" s="38" t="str">
        <f t="shared" si="1"/>
        <v/>
      </c>
      <c r="F62" s="39" t="s">
        <v>67</v>
      </c>
      <c r="G62" s="40" t="s">
        <v>67</v>
      </c>
      <c r="H62" s="39" t="s">
        <v>67</v>
      </c>
      <c r="I62" s="40" t="s">
        <v>67</v>
      </c>
      <c r="J62" s="41" t="str">
        <f t="shared" si="2"/>
        <v/>
      </c>
      <c r="K62" s="40" t="s">
        <v>67</v>
      </c>
      <c r="L62" s="41"/>
      <c r="M62" s="41"/>
      <c r="N62" s="42" t="str">
        <f t="shared" si="3"/>
        <v/>
      </c>
      <c r="O62" s="42" t="str">
        <f>IF(F62="","",N62*#REF!/100)</f>
        <v/>
      </c>
      <c r="P62" s="44" t="s">
        <v>67</v>
      </c>
      <c r="Q62" s="45" t="str">
        <f t="shared" si="4"/>
        <v/>
      </c>
      <c r="R62" s="42" t="str">
        <f t="shared" si="5"/>
        <v/>
      </c>
      <c r="S62" s="46" t="s">
        <v>67</v>
      </c>
      <c r="T62" s="46" t="str">
        <f t="shared" si="6"/>
        <v/>
      </c>
      <c r="U62" s="46" t="str">
        <f t="shared" si="7"/>
        <v/>
      </c>
      <c r="V62" s="42" t="str">
        <f>IF(F62="","",O62*#REF!)</f>
        <v/>
      </c>
      <c r="W62" s="29"/>
    </row>
    <row r="63" spans="1:23" s="2" customFormat="1" ht="18" customHeight="1">
      <c r="A63" s="6"/>
      <c r="B63" s="48"/>
      <c r="C63" s="30" t="s">
        <v>67</v>
      </c>
      <c r="D63" s="31" t="s">
        <v>67</v>
      </c>
      <c r="E63" s="30" t="str">
        <f t="shared" si="1"/>
        <v/>
      </c>
      <c r="F63" s="31" t="s">
        <v>67</v>
      </c>
      <c r="G63" s="32" t="s">
        <v>67</v>
      </c>
      <c r="H63" s="31" t="s">
        <v>67</v>
      </c>
      <c r="I63" s="32" t="s">
        <v>67</v>
      </c>
      <c r="J63" s="33" t="str">
        <f t="shared" si="2"/>
        <v/>
      </c>
      <c r="K63" s="32" t="s">
        <v>67</v>
      </c>
      <c r="L63" s="33"/>
      <c r="M63" s="33"/>
      <c r="N63" s="34" t="str">
        <f t="shared" si="3"/>
        <v/>
      </c>
      <c r="O63" s="34" t="str">
        <f>IF(F63="","",N63*#REF!/100)</f>
        <v/>
      </c>
      <c r="P63" s="35" t="s">
        <v>67</v>
      </c>
      <c r="Q63" s="36" t="str">
        <f t="shared" si="4"/>
        <v/>
      </c>
      <c r="R63" s="34" t="str">
        <f t="shared" si="5"/>
        <v/>
      </c>
      <c r="S63" s="37" t="s">
        <v>67</v>
      </c>
      <c r="T63" s="37" t="str">
        <f t="shared" si="6"/>
        <v/>
      </c>
      <c r="U63" s="37" t="str">
        <f t="shared" si="7"/>
        <v/>
      </c>
      <c r="V63" s="34" t="str">
        <f>IF(F63="","",O63*#REF!)</f>
        <v/>
      </c>
      <c r="W63" s="29"/>
    </row>
    <row r="64" spans="1:23" s="2" customFormat="1" ht="18" customHeight="1">
      <c r="A64" s="6"/>
      <c r="B64" s="48"/>
      <c r="C64" s="38" t="s">
        <v>67</v>
      </c>
      <c r="D64" s="39" t="s">
        <v>67</v>
      </c>
      <c r="E64" s="38" t="str">
        <f t="shared" si="1"/>
        <v/>
      </c>
      <c r="F64" s="39" t="s">
        <v>67</v>
      </c>
      <c r="G64" s="40" t="s">
        <v>67</v>
      </c>
      <c r="H64" s="39" t="s">
        <v>67</v>
      </c>
      <c r="I64" s="40" t="s">
        <v>67</v>
      </c>
      <c r="J64" s="41" t="str">
        <f t="shared" si="2"/>
        <v/>
      </c>
      <c r="K64" s="40" t="s">
        <v>67</v>
      </c>
      <c r="L64" s="41"/>
      <c r="M64" s="41"/>
      <c r="N64" s="42" t="str">
        <f t="shared" si="3"/>
        <v/>
      </c>
      <c r="O64" s="42" t="str">
        <f>IF(F64="","",N64*#REF!/100)</f>
        <v/>
      </c>
      <c r="P64" s="44" t="s">
        <v>67</v>
      </c>
      <c r="Q64" s="45" t="str">
        <f t="shared" si="4"/>
        <v/>
      </c>
      <c r="R64" s="42" t="str">
        <f t="shared" si="5"/>
        <v/>
      </c>
      <c r="S64" s="46" t="s">
        <v>67</v>
      </c>
      <c r="T64" s="46" t="str">
        <f t="shared" si="6"/>
        <v/>
      </c>
      <c r="U64" s="46" t="str">
        <f t="shared" si="7"/>
        <v/>
      </c>
      <c r="V64" s="42" t="str">
        <f>IF(F64="","",O64*#REF!)</f>
        <v/>
      </c>
      <c r="W64" s="29"/>
    </row>
    <row r="65" spans="1:23" s="2" customFormat="1" ht="18" customHeight="1">
      <c r="A65" s="6"/>
      <c r="B65" s="48"/>
      <c r="C65" s="30" t="s">
        <v>67</v>
      </c>
      <c r="D65" s="31" t="s">
        <v>67</v>
      </c>
      <c r="E65" s="30" t="str">
        <f t="shared" si="1"/>
        <v/>
      </c>
      <c r="F65" s="31" t="s">
        <v>67</v>
      </c>
      <c r="G65" s="32" t="s">
        <v>67</v>
      </c>
      <c r="H65" s="31" t="s">
        <v>67</v>
      </c>
      <c r="I65" s="32" t="s">
        <v>67</v>
      </c>
      <c r="J65" s="33" t="str">
        <f t="shared" si="2"/>
        <v/>
      </c>
      <c r="K65" s="32" t="s">
        <v>67</v>
      </c>
      <c r="L65" s="33"/>
      <c r="M65" s="33"/>
      <c r="N65" s="34" t="str">
        <f t="shared" si="3"/>
        <v/>
      </c>
      <c r="O65" s="34" t="str">
        <f>IF(F65="","",N65*#REF!/100)</f>
        <v/>
      </c>
      <c r="P65" s="35" t="s">
        <v>67</v>
      </c>
      <c r="Q65" s="36" t="str">
        <f t="shared" si="4"/>
        <v/>
      </c>
      <c r="R65" s="34" t="str">
        <f t="shared" si="5"/>
        <v/>
      </c>
      <c r="S65" s="37" t="s">
        <v>67</v>
      </c>
      <c r="T65" s="37" t="str">
        <f t="shared" si="6"/>
        <v/>
      </c>
      <c r="U65" s="37" t="str">
        <f t="shared" si="7"/>
        <v/>
      </c>
      <c r="V65" s="34" t="str">
        <f>IF(F65="","",O65*#REF!)</f>
        <v/>
      </c>
      <c r="W65" s="29"/>
    </row>
    <row r="66" spans="1:23" s="2" customFormat="1" ht="18" customHeight="1">
      <c r="A66" s="6"/>
      <c r="B66" s="48"/>
      <c r="C66" s="38" t="s">
        <v>67</v>
      </c>
      <c r="D66" s="39" t="s">
        <v>67</v>
      </c>
      <c r="E66" s="38" t="str">
        <f t="shared" si="1"/>
        <v/>
      </c>
      <c r="F66" s="39" t="s">
        <v>67</v>
      </c>
      <c r="G66" s="40" t="s">
        <v>67</v>
      </c>
      <c r="H66" s="39" t="s">
        <v>67</v>
      </c>
      <c r="I66" s="40" t="s">
        <v>67</v>
      </c>
      <c r="J66" s="41" t="str">
        <f t="shared" si="2"/>
        <v/>
      </c>
      <c r="K66" s="40" t="s">
        <v>67</v>
      </c>
      <c r="L66" s="41"/>
      <c r="M66" s="41"/>
      <c r="N66" s="42" t="str">
        <f t="shared" si="3"/>
        <v/>
      </c>
      <c r="O66" s="42" t="str">
        <f>IF(F66="","",N66*#REF!/100)</f>
        <v/>
      </c>
      <c r="P66" s="44" t="s">
        <v>67</v>
      </c>
      <c r="Q66" s="45" t="str">
        <f t="shared" si="4"/>
        <v/>
      </c>
      <c r="R66" s="42" t="str">
        <f t="shared" si="5"/>
        <v/>
      </c>
      <c r="S66" s="46" t="s">
        <v>67</v>
      </c>
      <c r="T66" s="46" t="str">
        <f t="shared" si="6"/>
        <v/>
      </c>
      <c r="U66" s="46" t="str">
        <f t="shared" si="7"/>
        <v/>
      </c>
      <c r="V66" s="42" t="str">
        <f>IF(F66="","",O66*#REF!)</f>
        <v/>
      </c>
      <c r="W66" s="29"/>
    </row>
    <row r="67" spans="1:23" s="2" customFormat="1" ht="18" customHeight="1">
      <c r="A67" s="6"/>
      <c r="B67" s="48"/>
      <c r="C67" s="30" t="s">
        <v>67</v>
      </c>
      <c r="D67" s="31" t="s">
        <v>67</v>
      </c>
      <c r="E67" s="30" t="str">
        <f t="shared" si="1"/>
        <v/>
      </c>
      <c r="F67" s="31" t="s">
        <v>67</v>
      </c>
      <c r="G67" s="32" t="s">
        <v>67</v>
      </c>
      <c r="H67" s="31" t="s">
        <v>67</v>
      </c>
      <c r="I67" s="32" t="s">
        <v>67</v>
      </c>
      <c r="J67" s="33" t="str">
        <f t="shared" si="2"/>
        <v/>
      </c>
      <c r="K67" s="32" t="s">
        <v>67</v>
      </c>
      <c r="L67" s="33"/>
      <c r="M67" s="33"/>
      <c r="N67" s="34" t="str">
        <f t="shared" si="3"/>
        <v/>
      </c>
      <c r="O67" s="34" t="str">
        <f>IF(F67="","",N67*#REF!/100)</f>
        <v/>
      </c>
      <c r="P67" s="35" t="s">
        <v>67</v>
      </c>
      <c r="Q67" s="36" t="str">
        <f t="shared" si="4"/>
        <v/>
      </c>
      <c r="R67" s="34" t="str">
        <f t="shared" si="5"/>
        <v/>
      </c>
      <c r="S67" s="37" t="s">
        <v>67</v>
      </c>
      <c r="T67" s="37" t="str">
        <f t="shared" si="6"/>
        <v/>
      </c>
      <c r="U67" s="37" t="str">
        <f t="shared" si="7"/>
        <v/>
      </c>
      <c r="V67" s="34" t="str">
        <f>IF(F67="","",O67*#REF!)</f>
        <v/>
      </c>
      <c r="W67" s="29"/>
    </row>
    <row r="68" spans="1:23" s="2" customFormat="1" ht="18" customHeight="1">
      <c r="A68" s="6"/>
      <c r="B68" s="48"/>
      <c r="C68" s="38" t="s">
        <v>67</v>
      </c>
      <c r="D68" s="39" t="s">
        <v>67</v>
      </c>
      <c r="E68" s="38" t="str">
        <f t="shared" si="1"/>
        <v/>
      </c>
      <c r="F68" s="39" t="s">
        <v>67</v>
      </c>
      <c r="G68" s="40" t="s">
        <v>67</v>
      </c>
      <c r="H68" s="39" t="s">
        <v>67</v>
      </c>
      <c r="I68" s="40" t="s">
        <v>67</v>
      </c>
      <c r="J68" s="41" t="str">
        <f t="shared" si="2"/>
        <v/>
      </c>
      <c r="K68" s="40" t="s">
        <v>67</v>
      </c>
      <c r="L68" s="41"/>
      <c r="M68" s="41"/>
      <c r="N68" s="42" t="str">
        <f t="shared" si="3"/>
        <v/>
      </c>
      <c r="O68" s="42" t="str">
        <f>IF(F68="","",N68*#REF!/100)</f>
        <v/>
      </c>
      <c r="P68" s="44" t="s">
        <v>67</v>
      </c>
      <c r="Q68" s="45" t="str">
        <f t="shared" si="4"/>
        <v/>
      </c>
      <c r="R68" s="42" t="str">
        <f t="shared" si="5"/>
        <v/>
      </c>
      <c r="S68" s="46" t="s">
        <v>67</v>
      </c>
      <c r="T68" s="46" t="str">
        <f t="shared" si="6"/>
        <v/>
      </c>
      <c r="U68" s="46" t="str">
        <f t="shared" si="7"/>
        <v/>
      </c>
      <c r="V68" s="42" t="str">
        <f>IF(F68="","",O68*#REF!)</f>
        <v/>
      </c>
      <c r="W68" s="29"/>
    </row>
    <row r="69" spans="1:23" s="2" customFormat="1" ht="18" customHeight="1">
      <c r="A69" s="6"/>
      <c r="B69" s="48"/>
      <c r="C69" s="30" t="s">
        <v>67</v>
      </c>
      <c r="D69" s="31" t="s">
        <v>67</v>
      </c>
      <c r="E69" s="30" t="str">
        <f t="shared" si="1"/>
        <v/>
      </c>
      <c r="F69" s="31" t="s">
        <v>67</v>
      </c>
      <c r="G69" s="32" t="s">
        <v>67</v>
      </c>
      <c r="H69" s="31" t="s">
        <v>67</v>
      </c>
      <c r="I69" s="32" t="s">
        <v>67</v>
      </c>
      <c r="J69" s="33" t="str">
        <f t="shared" si="2"/>
        <v/>
      </c>
      <c r="K69" s="32" t="s">
        <v>67</v>
      </c>
      <c r="L69" s="33"/>
      <c r="M69" s="33"/>
      <c r="N69" s="34" t="str">
        <f t="shared" si="3"/>
        <v/>
      </c>
      <c r="O69" s="34" t="str">
        <f>IF(F69="","",N69*#REF!/100)</f>
        <v/>
      </c>
      <c r="P69" s="35" t="s">
        <v>67</v>
      </c>
      <c r="Q69" s="36" t="str">
        <f t="shared" si="4"/>
        <v/>
      </c>
      <c r="R69" s="34" t="str">
        <f t="shared" si="5"/>
        <v/>
      </c>
      <c r="S69" s="37" t="s">
        <v>67</v>
      </c>
      <c r="T69" s="37" t="str">
        <f t="shared" si="6"/>
        <v/>
      </c>
      <c r="U69" s="37" t="str">
        <f t="shared" si="7"/>
        <v/>
      </c>
      <c r="V69" s="34" t="str">
        <f>IF(F69="","",O69*#REF!)</f>
        <v/>
      </c>
      <c r="W69" s="29"/>
    </row>
    <row r="70" spans="1:23" s="2" customFormat="1" ht="18" customHeight="1">
      <c r="A70" s="6"/>
      <c r="B70" s="48"/>
      <c r="C70" s="38" t="s">
        <v>67</v>
      </c>
      <c r="D70" s="39" t="s">
        <v>67</v>
      </c>
      <c r="E70" s="38" t="str">
        <f t="shared" si="1"/>
        <v/>
      </c>
      <c r="F70" s="39" t="s">
        <v>67</v>
      </c>
      <c r="G70" s="40" t="s">
        <v>67</v>
      </c>
      <c r="H70" s="39" t="s">
        <v>67</v>
      </c>
      <c r="I70" s="40" t="s">
        <v>67</v>
      </c>
      <c r="J70" s="41" t="str">
        <f t="shared" si="2"/>
        <v/>
      </c>
      <c r="K70" s="40" t="s">
        <v>67</v>
      </c>
      <c r="L70" s="41"/>
      <c r="M70" s="41"/>
      <c r="N70" s="42" t="str">
        <f t="shared" si="3"/>
        <v/>
      </c>
      <c r="O70" s="42" t="str">
        <f>IF(F70="","",N70*#REF!/100)</f>
        <v/>
      </c>
      <c r="P70" s="44" t="s">
        <v>67</v>
      </c>
      <c r="Q70" s="45" t="str">
        <f t="shared" si="4"/>
        <v/>
      </c>
      <c r="R70" s="42" t="str">
        <f t="shared" si="5"/>
        <v/>
      </c>
      <c r="S70" s="46" t="s">
        <v>67</v>
      </c>
      <c r="T70" s="46" t="str">
        <f t="shared" si="6"/>
        <v/>
      </c>
      <c r="U70" s="46" t="str">
        <f t="shared" si="7"/>
        <v/>
      </c>
      <c r="V70" s="42" t="str">
        <f>IF(F70="","",O70*#REF!)</f>
        <v/>
      </c>
      <c r="W70" s="29"/>
    </row>
    <row r="71" spans="1:23" s="2" customFormat="1" ht="18" customHeight="1">
      <c r="A71" s="6"/>
      <c r="B71" s="48"/>
      <c r="C71" s="30" t="s">
        <v>67</v>
      </c>
      <c r="D71" s="31" t="s">
        <v>67</v>
      </c>
      <c r="E71" s="30" t="str">
        <f t="shared" si="1"/>
        <v/>
      </c>
      <c r="F71" s="31" t="s">
        <v>67</v>
      </c>
      <c r="G71" s="32" t="s">
        <v>67</v>
      </c>
      <c r="H71" s="31" t="s">
        <v>67</v>
      </c>
      <c r="I71" s="32" t="s">
        <v>67</v>
      </c>
      <c r="J71" s="33" t="str">
        <f t="shared" si="2"/>
        <v/>
      </c>
      <c r="K71" s="32" t="s">
        <v>67</v>
      </c>
      <c r="L71" s="33"/>
      <c r="M71" s="33"/>
      <c r="N71" s="34" t="str">
        <f t="shared" si="3"/>
        <v/>
      </c>
      <c r="O71" s="34" t="str">
        <f>IF(F71="","",N71*#REF!/100)</f>
        <v/>
      </c>
      <c r="P71" s="35" t="s">
        <v>67</v>
      </c>
      <c r="Q71" s="36" t="str">
        <f t="shared" si="4"/>
        <v/>
      </c>
      <c r="R71" s="34" t="str">
        <f t="shared" si="5"/>
        <v/>
      </c>
      <c r="S71" s="37" t="s">
        <v>67</v>
      </c>
      <c r="T71" s="37" t="str">
        <f t="shared" si="6"/>
        <v/>
      </c>
      <c r="U71" s="37" t="str">
        <f t="shared" si="7"/>
        <v/>
      </c>
      <c r="V71" s="34" t="str">
        <f>IF(F71="","",O71*#REF!)</f>
        <v/>
      </c>
      <c r="W71" s="29"/>
    </row>
    <row r="72" spans="1:23" s="2" customFormat="1" ht="18" customHeight="1">
      <c r="A72" s="6"/>
      <c r="B72" s="48"/>
      <c r="C72" s="38" t="s">
        <v>67</v>
      </c>
      <c r="D72" s="39" t="s">
        <v>67</v>
      </c>
      <c r="E72" s="38" t="str">
        <f t="shared" si="1"/>
        <v/>
      </c>
      <c r="F72" s="39" t="s">
        <v>67</v>
      </c>
      <c r="G72" s="40" t="s">
        <v>67</v>
      </c>
      <c r="H72" s="39" t="s">
        <v>67</v>
      </c>
      <c r="I72" s="40" t="s">
        <v>67</v>
      </c>
      <c r="J72" s="41" t="str">
        <f t="shared" si="2"/>
        <v/>
      </c>
      <c r="K72" s="40" t="s">
        <v>67</v>
      </c>
      <c r="L72" s="41"/>
      <c r="M72" s="41"/>
      <c r="N72" s="42" t="str">
        <f t="shared" si="3"/>
        <v/>
      </c>
      <c r="O72" s="42" t="str">
        <f>IF(F72="","",N72*#REF!/100)</f>
        <v/>
      </c>
      <c r="P72" s="44" t="s">
        <v>67</v>
      </c>
      <c r="Q72" s="45" t="str">
        <f t="shared" si="4"/>
        <v/>
      </c>
      <c r="R72" s="42" t="str">
        <f t="shared" si="5"/>
        <v/>
      </c>
      <c r="S72" s="46" t="s">
        <v>67</v>
      </c>
      <c r="T72" s="46" t="str">
        <f t="shared" si="6"/>
        <v/>
      </c>
      <c r="U72" s="46" t="str">
        <f t="shared" si="7"/>
        <v/>
      </c>
      <c r="V72" s="42" t="str">
        <f>IF(F72="","",O72*#REF!)</f>
        <v/>
      </c>
      <c r="W72" s="29"/>
    </row>
    <row r="73" spans="1:23" s="2" customFormat="1" ht="18" customHeight="1">
      <c r="A73" s="6"/>
      <c r="B73" s="48"/>
      <c r="C73" s="30" t="s">
        <v>67</v>
      </c>
      <c r="D73" s="31" t="s">
        <v>67</v>
      </c>
      <c r="E73" s="30" t="str">
        <f t="shared" si="1"/>
        <v/>
      </c>
      <c r="F73" s="31" t="s">
        <v>67</v>
      </c>
      <c r="G73" s="32" t="s">
        <v>67</v>
      </c>
      <c r="H73" s="31" t="s">
        <v>67</v>
      </c>
      <c r="I73" s="32" t="s">
        <v>67</v>
      </c>
      <c r="J73" s="33" t="str">
        <f t="shared" si="2"/>
        <v/>
      </c>
      <c r="K73" s="32" t="s">
        <v>67</v>
      </c>
      <c r="L73" s="33"/>
      <c r="M73" s="33"/>
      <c r="N73" s="34" t="str">
        <f t="shared" si="3"/>
        <v/>
      </c>
      <c r="O73" s="34" t="str">
        <f>IF(F73="","",N73*#REF!/100)</f>
        <v/>
      </c>
      <c r="P73" s="35" t="s">
        <v>67</v>
      </c>
      <c r="Q73" s="36" t="str">
        <f t="shared" si="4"/>
        <v/>
      </c>
      <c r="R73" s="34" t="str">
        <f t="shared" si="5"/>
        <v/>
      </c>
      <c r="S73" s="37" t="s">
        <v>67</v>
      </c>
      <c r="T73" s="37" t="str">
        <f t="shared" si="6"/>
        <v/>
      </c>
      <c r="U73" s="37" t="str">
        <f t="shared" si="7"/>
        <v/>
      </c>
      <c r="V73" s="34" t="str">
        <f>IF(F73="","",O73*#REF!)</f>
        <v/>
      </c>
      <c r="W73" s="29"/>
    </row>
    <row r="74" spans="1:23" s="2" customFormat="1" ht="18" customHeight="1">
      <c r="A74" s="6"/>
      <c r="B74" s="48"/>
      <c r="C74" s="38" t="s">
        <v>67</v>
      </c>
      <c r="D74" s="39" t="s">
        <v>67</v>
      </c>
      <c r="E74" s="38" t="str">
        <f t="shared" si="1"/>
        <v/>
      </c>
      <c r="F74" s="39" t="s">
        <v>67</v>
      </c>
      <c r="G74" s="40" t="s">
        <v>67</v>
      </c>
      <c r="H74" s="39" t="s">
        <v>67</v>
      </c>
      <c r="I74" s="40" t="s">
        <v>67</v>
      </c>
      <c r="J74" s="41" t="str">
        <f t="shared" si="2"/>
        <v/>
      </c>
      <c r="K74" s="40" t="s">
        <v>67</v>
      </c>
      <c r="L74" s="41"/>
      <c r="M74" s="41"/>
      <c r="N74" s="42" t="str">
        <f t="shared" si="3"/>
        <v/>
      </c>
      <c r="O74" s="42" t="str">
        <f>IF(F74="","",N74*#REF!/100)</f>
        <v/>
      </c>
      <c r="P74" s="44" t="s">
        <v>67</v>
      </c>
      <c r="Q74" s="45" t="str">
        <f t="shared" si="4"/>
        <v/>
      </c>
      <c r="R74" s="42" t="str">
        <f t="shared" si="5"/>
        <v/>
      </c>
      <c r="S74" s="46" t="s">
        <v>67</v>
      </c>
      <c r="T74" s="46" t="str">
        <f t="shared" si="6"/>
        <v/>
      </c>
      <c r="U74" s="46" t="str">
        <f t="shared" si="7"/>
        <v/>
      </c>
      <c r="V74" s="42" t="str">
        <f>IF(F74="","",O74*#REF!)</f>
        <v/>
      </c>
      <c r="W74" s="29"/>
    </row>
    <row r="75" spans="1:23" s="2" customFormat="1" ht="18" customHeight="1">
      <c r="A75" s="6"/>
      <c r="B75" s="48"/>
      <c r="C75" s="30" t="s">
        <v>67</v>
      </c>
      <c r="D75" s="31" t="s">
        <v>67</v>
      </c>
      <c r="E75" s="30" t="str">
        <f t="shared" si="1"/>
        <v/>
      </c>
      <c r="F75" s="31" t="s">
        <v>67</v>
      </c>
      <c r="G75" s="32" t="s">
        <v>67</v>
      </c>
      <c r="H75" s="31" t="s">
        <v>67</v>
      </c>
      <c r="I75" s="32" t="s">
        <v>67</v>
      </c>
      <c r="J75" s="33" t="str">
        <f t="shared" si="2"/>
        <v/>
      </c>
      <c r="K75" s="32" t="s">
        <v>67</v>
      </c>
      <c r="L75" s="33"/>
      <c r="M75" s="33"/>
      <c r="N75" s="34" t="str">
        <f t="shared" si="3"/>
        <v/>
      </c>
      <c r="O75" s="34" t="str">
        <f>IF(F75="","",N75*#REF!/100)</f>
        <v/>
      </c>
      <c r="P75" s="35" t="s">
        <v>67</v>
      </c>
      <c r="Q75" s="36" t="str">
        <f t="shared" si="4"/>
        <v/>
      </c>
      <c r="R75" s="34" t="str">
        <f t="shared" si="5"/>
        <v/>
      </c>
      <c r="S75" s="37" t="s">
        <v>67</v>
      </c>
      <c r="T75" s="37" t="str">
        <f t="shared" si="6"/>
        <v/>
      </c>
      <c r="U75" s="37" t="str">
        <f t="shared" si="7"/>
        <v/>
      </c>
      <c r="V75" s="34" t="str">
        <f>IF(F75="","",O75*#REF!)</f>
        <v/>
      </c>
      <c r="W75" s="29"/>
    </row>
    <row r="76" spans="1:23" s="2" customFormat="1" ht="18" customHeight="1">
      <c r="A76" s="6"/>
      <c r="B76" s="48"/>
      <c r="C76" s="38" t="s">
        <v>67</v>
      </c>
      <c r="D76" s="39" t="s">
        <v>67</v>
      </c>
      <c r="E76" s="38" t="str">
        <f t="shared" si="1"/>
        <v/>
      </c>
      <c r="F76" s="39" t="s">
        <v>67</v>
      </c>
      <c r="G76" s="40" t="s">
        <v>67</v>
      </c>
      <c r="H76" s="39" t="s">
        <v>67</v>
      </c>
      <c r="I76" s="40" t="s">
        <v>67</v>
      </c>
      <c r="J76" s="41" t="str">
        <f t="shared" si="2"/>
        <v/>
      </c>
      <c r="K76" s="40" t="s">
        <v>67</v>
      </c>
      <c r="L76" s="41"/>
      <c r="M76" s="41"/>
      <c r="N76" s="42" t="str">
        <f t="shared" si="3"/>
        <v/>
      </c>
      <c r="O76" s="42" t="str">
        <f>IF(F76="","",N76*#REF!/100)</f>
        <v/>
      </c>
      <c r="P76" s="44" t="s">
        <v>67</v>
      </c>
      <c r="Q76" s="45" t="str">
        <f t="shared" si="4"/>
        <v/>
      </c>
      <c r="R76" s="42" t="str">
        <f t="shared" si="5"/>
        <v/>
      </c>
      <c r="S76" s="46" t="s">
        <v>67</v>
      </c>
      <c r="T76" s="46" t="str">
        <f t="shared" si="6"/>
        <v/>
      </c>
      <c r="U76" s="46" t="str">
        <f t="shared" si="7"/>
        <v/>
      </c>
      <c r="V76" s="42" t="str">
        <f>IF(F76="","",O76*#REF!)</f>
        <v/>
      </c>
      <c r="W76" s="29"/>
    </row>
    <row r="77" spans="1:23" s="2" customFormat="1" ht="18" customHeight="1">
      <c r="A77" s="6"/>
      <c r="B77" s="48"/>
      <c r="C77" s="30" t="s">
        <v>67</v>
      </c>
      <c r="D77" s="31" t="s">
        <v>67</v>
      </c>
      <c r="E77" s="30" t="str">
        <f t="shared" si="1"/>
        <v/>
      </c>
      <c r="F77" s="31" t="s">
        <v>67</v>
      </c>
      <c r="G77" s="32" t="s">
        <v>67</v>
      </c>
      <c r="H77" s="31" t="s">
        <v>67</v>
      </c>
      <c r="I77" s="32" t="s">
        <v>67</v>
      </c>
      <c r="J77" s="33" t="str">
        <f t="shared" si="2"/>
        <v/>
      </c>
      <c r="K77" s="32" t="s">
        <v>67</v>
      </c>
      <c r="L77" s="33"/>
      <c r="M77" s="33"/>
      <c r="N77" s="34" t="str">
        <f t="shared" si="3"/>
        <v/>
      </c>
      <c r="O77" s="34" t="str">
        <f>IF(F77="","",N77*#REF!/100)</f>
        <v/>
      </c>
      <c r="P77" s="35" t="s">
        <v>67</v>
      </c>
      <c r="Q77" s="36" t="str">
        <f t="shared" si="4"/>
        <v/>
      </c>
      <c r="R77" s="34" t="str">
        <f t="shared" si="5"/>
        <v/>
      </c>
      <c r="S77" s="37" t="s">
        <v>67</v>
      </c>
      <c r="T77" s="37" t="str">
        <f t="shared" si="6"/>
        <v/>
      </c>
      <c r="U77" s="37" t="str">
        <f t="shared" si="7"/>
        <v/>
      </c>
      <c r="V77" s="34" t="str">
        <f>IF(F77="","",O77*#REF!)</f>
        <v/>
      </c>
      <c r="W77" s="29"/>
    </row>
    <row r="78" spans="1:23" s="2" customFormat="1" ht="18" customHeight="1">
      <c r="A78" s="6"/>
      <c r="B78" s="48"/>
      <c r="C78" s="38" t="s">
        <v>67</v>
      </c>
      <c r="D78" s="39" t="s">
        <v>67</v>
      </c>
      <c r="E78" s="38" t="str">
        <f t="shared" si="1"/>
        <v/>
      </c>
      <c r="F78" s="39" t="s">
        <v>67</v>
      </c>
      <c r="G78" s="40" t="s">
        <v>67</v>
      </c>
      <c r="H78" s="39" t="s">
        <v>67</v>
      </c>
      <c r="I78" s="40" t="s">
        <v>67</v>
      </c>
      <c r="J78" s="41" t="str">
        <f t="shared" si="2"/>
        <v/>
      </c>
      <c r="K78" s="40" t="s">
        <v>67</v>
      </c>
      <c r="L78" s="41"/>
      <c r="M78" s="41"/>
      <c r="N78" s="42" t="str">
        <f t="shared" si="3"/>
        <v/>
      </c>
      <c r="O78" s="42" t="str">
        <f>IF(F78="","",N78*#REF!/100)</f>
        <v/>
      </c>
      <c r="P78" s="44" t="s">
        <v>67</v>
      </c>
      <c r="Q78" s="45" t="str">
        <f t="shared" si="4"/>
        <v/>
      </c>
      <c r="R78" s="42" t="str">
        <f t="shared" si="5"/>
        <v/>
      </c>
      <c r="S78" s="46" t="s">
        <v>67</v>
      </c>
      <c r="T78" s="46" t="str">
        <f t="shared" si="6"/>
        <v/>
      </c>
      <c r="U78" s="46" t="str">
        <f t="shared" si="7"/>
        <v/>
      </c>
      <c r="V78" s="42" t="str">
        <f>IF(F78="","",O78*#REF!)</f>
        <v/>
      </c>
      <c r="W78" s="29"/>
    </row>
    <row r="79" spans="1:23" s="2" customFormat="1" ht="18" customHeight="1">
      <c r="A79" s="6"/>
      <c r="B79" s="48"/>
      <c r="C79" s="30" t="s">
        <v>67</v>
      </c>
      <c r="D79" s="31" t="s">
        <v>67</v>
      </c>
      <c r="E79" s="30" t="str">
        <f t="shared" si="1"/>
        <v/>
      </c>
      <c r="F79" s="31" t="s">
        <v>67</v>
      </c>
      <c r="G79" s="32" t="s">
        <v>67</v>
      </c>
      <c r="H79" s="31" t="s">
        <v>67</v>
      </c>
      <c r="I79" s="32" t="s">
        <v>67</v>
      </c>
      <c r="J79" s="33" t="str">
        <f t="shared" si="2"/>
        <v/>
      </c>
      <c r="K79" s="32" t="s">
        <v>67</v>
      </c>
      <c r="L79" s="33"/>
      <c r="M79" s="33"/>
      <c r="N79" s="34" t="str">
        <f t="shared" si="3"/>
        <v/>
      </c>
      <c r="O79" s="34" t="str">
        <f>IF(F79="","",N79*#REF!/100)</f>
        <v/>
      </c>
      <c r="P79" s="35" t="s">
        <v>67</v>
      </c>
      <c r="Q79" s="36" t="str">
        <f t="shared" si="4"/>
        <v/>
      </c>
      <c r="R79" s="34" t="str">
        <f t="shared" si="5"/>
        <v/>
      </c>
      <c r="S79" s="37" t="s">
        <v>67</v>
      </c>
      <c r="T79" s="37" t="str">
        <f t="shared" si="6"/>
        <v/>
      </c>
      <c r="U79" s="37" t="str">
        <f t="shared" si="7"/>
        <v/>
      </c>
      <c r="V79" s="34" t="str">
        <f>IF(F79="","",O79*#REF!)</f>
        <v/>
      </c>
      <c r="W79" s="29"/>
    </row>
    <row r="80" spans="1:23" s="2" customFormat="1" ht="18" customHeight="1">
      <c r="A80" s="6"/>
      <c r="B80" s="48"/>
      <c r="C80" s="38" t="s">
        <v>67</v>
      </c>
      <c r="D80" s="39" t="s">
        <v>67</v>
      </c>
      <c r="E80" s="38" t="str">
        <f t="shared" si="1"/>
        <v/>
      </c>
      <c r="F80" s="39" t="s">
        <v>67</v>
      </c>
      <c r="G80" s="40" t="s">
        <v>67</v>
      </c>
      <c r="H80" s="39" t="s">
        <v>67</v>
      </c>
      <c r="I80" s="40" t="s">
        <v>67</v>
      </c>
      <c r="J80" s="41" t="str">
        <f t="shared" si="2"/>
        <v/>
      </c>
      <c r="K80" s="40" t="s">
        <v>67</v>
      </c>
      <c r="L80" s="41"/>
      <c r="M80" s="41"/>
      <c r="N80" s="42" t="str">
        <f t="shared" si="3"/>
        <v/>
      </c>
      <c r="O80" s="42" t="str">
        <f>IF(F80="","",N80*#REF!/100)</f>
        <v/>
      </c>
      <c r="P80" s="44" t="s">
        <v>67</v>
      </c>
      <c r="Q80" s="45" t="str">
        <f t="shared" si="4"/>
        <v/>
      </c>
      <c r="R80" s="42" t="str">
        <f t="shared" si="5"/>
        <v/>
      </c>
      <c r="S80" s="46" t="s">
        <v>67</v>
      </c>
      <c r="T80" s="46" t="str">
        <f t="shared" si="6"/>
        <v/>
      </c>
      <c r="U80" s="46" t="str">
        <f t="shared" si="7"/>
        <v/>
      </c>
      <c r="V80" s="42" t="str">
        <f>IF(F80="","",O80*#REF!)</f>
        <v/>
      </c>
      <c r="W80" s="29"/>
    </row>
    <row r="81" spans="1:28" s="2" customFormat="1" ht="18" customHeight="1">
      <c r="A81" s="6"/>
      <c r="B81" s="48"/>
      <c r="C81" s="30" t="s">
        <v>67</v>
      </c>
      <c r="D81" s="31" t="s">
        <v>67</v>
      </c>
      <c r="E81" s="30" t="str">
        <f t="shared" si="1"/>
        <v/>
      </c>
      <c r="F81" s="31" t="s">
        <v>67</v>
      </c>
      <c r="G81" s="32" t="s">
        <v>67</v>
      </c>
      <c r="H81" s="31" t="s">
        <v>67</v>
      </c>
      <c r="I81" s="32" t="s">
        <v>67</v>
      </c>
      <c r="J81" s="33" t="str">
        <f t="shared" si="2"/>
        <v/>
      </c>
      <c r="K81" s="32" t="s">
        <v>67</v>
      </c>
      <c r="L81" s="33"/>
      <c r="M81" s="33"/>
      <c r="N81" s="34" t="str">
        <f t="shared" si="3"/>
        <v/>
      </c>
      <c r="O81" s="34" t="str">
        <f>IF(F81="","",N81*#REF!/100)</f>
        <v/>
      </c>
      <c r="P81" s="35" t="s">
        <v>67</v>
      </c>
      <c r="Q81" s="36" t="str">
        <f t="shared" si="4"/>
        <v/>
      </c>
      <c r="R81" s="34" t="str">
        <f t="shared" si="5"/>
        <v/>
      </c>
      <c r="S81" s="37" t="s">
        <v>67</v>
      </c>
      <c r="T81" s="37" t="str">
        <f t="shared" si="6"/>
        <v/>
      </c>
      <c r="U81" s="37" t="str">
        <f t="shared" si="7"/>
        <v/>
      </c>
      <c r="V81" s="34" t="str">
        <f>IF(F81="","",O81*#REF!)</f>
        <v/>
      </c>
      <c r="W81" s="29"/>
    </row>
    <row r="82" spans="1:28" s="2" customFormat="1" ht="18" customHeight="1">
      <c r="A82" s="6"/>
      <c r="B82" s="48"/>
      <c r="C82" s="38" t="s">
        <v>67</v>
      </c>
      <c r="D82" s="39" t="s">
        <v>67</v>
      </c>
      <c r="E82" s="38" t="str">
        <f t="shared" si="1"/>
        <v/>
      </c>
      <c r="F82" s="39" t="s">
        <v>67</v>
      </c>
      <c r="G82" s="40" t="s">
        <v>67</v>
      </c>
      <c r="H82" s="39" t="s">
        <v>67</v>
      </c>
      <c r="I82" s="40" t="s">
        <v>67</v>
      </c>
      <c r="J82" s="41" t="str">
        <f t="shared" si="2"/>
        <v/>
      </c>
      <c r="K82" s="40" t="s">
        <v>67</v>
      </c>
      <c r="L82" s="41"/>
      <c r="M82" s="41"/>
      <c r="N82" s="42" t="str">
        <f t="shared" si="3"/>
        <v/>
      </c>
      <c r="O82" s="42" t="str">
        <f>IF(F82="","",N82*#REF!/100)</f>
        <v/>
      </c>
      <c r="P82" s="44" t="s">
        <v>67</v>
      </c>
      <c r="Q82" s="45" t="str">
        <f t="shared" si="4"/>
        <v/>
      </c>
      <c r="R82" s="42" t="str">
        <f t="shared" si="5"/>
        <v/>
      </c>
      <c r="S82" s="46" t="s">
        <v>67</v>
      </c>
      <c r="T82" s="46" t="str">
        <f t="shared" si="6"/>
        <v/>
      </c>
      <c r="U82" s="46" t="str">
        <f t="shared" si="7"/>
        <v/>
      </c>
      <c r="V82" s="42" t="str">
        <f>IF(F82="","",O82*#REF!)</f>
        <v/>
      </c>
      <c r="W82" s="29"/>
    </row>
    <row r="83" spans="1:28" s="2" customFormat="1" ht="18" customHeight="1">
      <c r="A83" s="6"/>
      <c r="B83" s="48"/>
      <c r="C83" s="49" t="s">
        <v>67</v>
      </c>
      <c r="D83" s="50" t="s">
        <v>67</v>
      </c>
      <c r="E83" s="49" t="str">
        <f t="shared" si="1"/>
        <v/>
      </c>
      <c r="F83" s="50" t="s">
        <v>67</v>
      </c>
      <c r="G83" s="51" t="s">
        <v>67</v>
      </c>
      <c r="H83" s="50" t="s">
        <v>67</v>
      </c>
      <c r="I83" s="51" t="s">
        <v>67</v>
      </c>
      <c r="J83" s="52" t="str">
        <f t="shared" si="2"/>
        <v/>
      </c>
      <c r="K83" s="51" t="s">
        <v>67</v>
      </c>
      <c r="L83" s="33"/>
      <c r="M83" s="33"/>
      <c r="N83" s="53" t="str">
        <f t="shared" si="3"/>
        <v/>
      </c>
      <c r="O83" s="53" t="str">
        <f>IF(F83="","",N83*#REF!/100)</f>
        <v/>
      </c>
      <c r="P83" s="54" t="s">
        <v>67</v>
      </c>
      <c r="Q83" s="55" t="str">
        <f t="shared" si="4"/>
        <v/>
      </c>
      <c r="R83" s="53" t="str">
        <f t="shared" si="5"/>
        <v/>
      </c>
      <c r="S83" s="56" t="s">
        <v>67</v>
      </c>
      <c r="T83" s="56" t="str">
        <f t="shared" si="6"/>
        <v/>
      </c>
      <c r="U83" s="56" t="str">
        <f t="shared" si="7"/>
        <v/>
      </c>
      <c r="V83" s="53" t="str">
        <f>IF(F83="","",O83*#REF!)</f>
        <v/>
      </c>
      <c r="W83" s="29"/>
    </row>
    <row r="84" spans="1:28" s="2" customFormat="1" ht="18" customHeight="1">
      <c r="A84" s="6"/>
      <c r="B84" s="48"/>
      <c r="C84" s="1793"/>
      <c r="D84" s="1793"/>
      <c r="E84" s="1793"/>
      <c r="F84" s="1793"/>
      <c r="G84" s="1793"/>
      <c r="H84" s="1793"/>
      <c r="I84" s="1794"/>
      <c r="J84" s="57">
        <f>SUM(J49:J83)</f>
        <v>0</v>
      </c>
      <c r="K84" s="58"/>
      <c r="L84" s="57"/>
      <c r="M84" s="57"/>
      <c r="N84" s="57">
        <f>SUM(N49:N83)</f>
        <v>0</v>
      </c>
      <c r="O84" s="57">
        <f>SUM(O49:O83)</f>
        <v>0</v>
      </c>
      <c r="P84" s="1530"/>
      <c r="Q84" s="1531"/>
      <c r="R84" s="60">
        <f>SUM(R49:R83)</f>
        <v>0</v>
      </c>
      <c r="S84" s="61" t="s">
        <v>44</v>
      </c>
      <c r="T84" s="62"/>
      <c r="U84" s="63" t="e">
        <f>V84/O84</f>
        <v>#DIV/0!</v>
      </c>
      <c r="V84" s="65">
        <f>SUM(V49:V83)</f>
        <v>0</v>
      </c>
      <c r="W84" s="29"/>
    </row>
    <row r="85" spans="1:28" s="2" customFormat="1" ht="18" customHeight="1">
      <c r="A85" s="6"/>
      <c r="B85" s="66"/>
      <c r="C85" s="1869" t="e">
        <f>+#REF!</f>
        <v>#REF!</v>
      </c>
      <c r="D85" s="1870"/>
      <c r="E85" s="1870"/>
      <c r="F85" s="1870"/>
      <c r="G85" s="1870"/>
      <c r="H85" s="1870"/>
      <c r="I85" s="1870"/>
      <c r="J85" s="1870"/>
      <c r="K85" s="1870"/>
      <c r="L85" s="1870"/>
      <c r="M85" s="1870"/>
      <c r="N85" s="1870"/>
      <c r="O85" s="67" t="e">
        <f>R85/1.02</f>
        <v>#REF!</v>
      </c>
      <c r="P85" s="68" t="e">
        <f>+#REF!</f>
        <v>#REF!</v>
      </c>
      <c r="Q85" s="69" t="s">
        <v>46</v>
      </c>
      <c r="R85" s="70" t="e">
        <f>+P85*R84/1000</f>
        <v>#REF!</v>
      </c>
      <c r="S85" s="1860"/>
      <c r="T85" s="1861"/>
      <c r="U85" s="1861"/>
      <c r="V85" s="1862"/>
      <c r="W85" s="29"/>
    </row>
    <row r="86" spans="1:28" s="76" customFormat="1" ht="6" customHeight="1">
      <c r="A86" s="71"/>
      <c r="B86" s="72"/>
      <c r="C86" s="73"/>
      <c r="D86" s="73"/>
      <c r="E86" s="73"/>
      <c r="F86" s="73"/>
      <c r="G86" s="73"/>
      <c r="H86" s="73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5"/>
      <c r="W86" s="29"/>
      <c r="X86" s="2"/>
      <c r="Y86" s="2"/>
      <c r="Z86" s="2"/>
      <c r="AA86" s="2"/>
      <c r="AB86" s="2"/>
    </row>
    <row r="87" spans="1:28" s="76" customFormat="1" ht="7.5" customHeight="1">
      <c r="A87" s="71"/>
      <c r="B87" s="1863" t="s">
        <v>57</v>
      </c>
      <c r="C87" s="1864"/>
      <c r="D87" s="1864"/>
      <c r="E87" s="1864"/>
      <c r="F87" s="1864"/>
      <c r="G87" s="1864"/>
      <c r="H87" s="1864"/>
      <c r="I87" s="1864"/>
      <c r="J87" s="1864"/>
      <c r="K87" s="1864"/>
      <c r="L87" s="1864"/>
      <c r="M87" s="1864"/>
      <c r="N87" s="1864"/>
      <c r="O87" s="1864"/>
      <c r="P87" s="1864"/>
      <c r="Q87" s="1864"/>
      <c r="R87" s="1864"/>
      <c r="S87" s="1864"/>
      <c r="T87" s="1864"/>
      <c r="U87" s="1864"/>
      <c r="V87" s="1865"/>
      <c r="W87" s="29"/>
      <c r="X87" s="2"/>
      <c r="Y87" s="2"/>
      <c r="Z87" s="2"/>
      <c r="AA87" s="2"/>
      <c r="AB87" s="2"/>
    </row>
    <row r="88" spans="1:28" s="76" customFormat="1" ht="7.5" customHeight="1">
      <c r="A88" s="71"/>
      <c r="B88" s="1866"/>
      <c r="C88" s="1867"/>
      <c r="D88" s="1867"/>
      <c r="E88" s="1867"/>
      <c r="F88" s="1867"/>
      <c r="G88" s="1867"/>
      <c r="H88" s="1867"/>
      <c r="I88" s="1867"/>
      <c r="J88" s="1867"/>
      <c r="K88" s="1867"/>
      <c r="L88" s="1867"/>
      <c r="M88" s="1867"/>
      <c r="N88" s="1867"/>
      <c r="O88" s="1867"/>
      <c r="P88" s="1867"/>
      <c r="Q88" s="1867"/>
      <c r="R88" s="1867"/>
      <c r="S88" s="1867"/>
      <c r="T88" s="1867"/>
      <c r="U88" s="1867"/>
      <c r="V88" s="1868"/>
      <c r="W88" s="29"/>
      <c r="X88" s="2"/>
      <c r="Y88" s="2"/>
      <c r="Z88" s="2"/>
      <c r="AA88" s="2"/>
      <c r="AB88" s="2"/>
    </row>
    <row r="89" spans="1:28" s="76" customFormat="1" ht="5.0999999999999996" customHeight="1">
      <c r="A89" s="71"/>
      <c r="B89" s="72"/>
      <c r="C89" s="72"/>
      <c r="D89" s="72"/>
      <c r="E89" s="72"/>
      <c r="F89" s="72"/>
      <c r="G89" s="72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8"/>
      <c r="W89" s="29"/>
      <c r="X89" s="2"/>
      <c r="Y89" s="2"/>
      <c r="Z89" s="2"/>
      <c r="AA89" s="2"/>
      <c r="AB89" s="2"/>
    </row>
    <row r="90" spans="1:28" s="76" customFormat="1" ht="15.6" customHeight="1">
      <c r="A90" s="71"/>
      <c r="B90" s="79" t="s">
        <v>47</v>
      </c>
      <c r="C90" s="80"/>
      <c r="D90" s="80"/>
      <c r="E90" s="81"/>
      <c r="F90" s="82"/>
      <c r="G90" s="82"/>
      <c r="H90" s="83"/>
      <c r="I90" s="84"/>
      <c r="J90" s="84"/>
      <c r="K90" s="85"/>
      <c r="L90" s="86" t="s">
        <v>48</v>
      </c>
      <c r="M90" s="83" t="e">
        <f>+#REF!</f>
        <v>#REF!</v>
      </c>
      <c r="N90" s="82"/>
      <c r="O90" s="84"/>
      <c r="P90" s="83"/>
      <c r="Q90" s="84"/>
      <c r="R90" s="84"/>
      <c r="S90" s="83"/>
      <c r="T90" s="84"/>
      <c r="U90" s="84"/>
      <c r="V90" s="87" t="s">
        <v>49</v>
      </c>
      <c r="W90" s="29"/>
      <c r="X90" s="2"/>
      <c r="Y90" s="2"/>
      <c r="Z90" s="2"/>
      <c r="AA90" s="2"/>
      <c r="AB90" s="2"/>
    </row>
    <row r="91" spans="1:28" s="76" customFormat="1" ht="15.6" customHeight="1">
      <c r="A91" s="71"/>
      <c r="B91" s="88"/>
      <c r="C91" s="89"/>
      <c r="D91" s="89"/>
      <c r="E91" s="96"/>
      <c r="F91" s="90"/>
      <c r="G91" s="90"/>
      <c r="H91" s="91"/>
      <c r="I91" s="92"/>
      <c r="J91" s="92"/>
      <c r="K91" s="93"/>
      <c r="L91" s="94" t="s">
        <v>50</v>
      </c>
      <c r="M91" s="91" t="e">
        <f>+#REF!</f>
        <v>#REF!</v>
      </c>
      <c r="N91" s="90"/>
      <c r="O91" s="92"/>
      <c r="P91" s="91"/>
      <c r="Q91" s="92"/>
      <c r="R91" s="92"/>
      <c r="S91" s="91"/>
      <c r="T91" s="92"/>
      <c r="U91" s="92"/>
      <c r="V91" s="95"/>
      <c r="W91" s="29"/>
      <c r="X91" s="2"/>
      <c r="Y91" s="2"/>
      <c r="Z91" s="2"/>
      <c r="AA91" s="2"/>
      <c r="AB91" s="2"/>
    </row>
    <row r="92" spans="1:28" s="76" customFormat="1" ht="15.6" customHeight="1">
      <c r="A92" s="71"/>
      <c r="B92" s="88"/>
      <c r="C92" s="89"/>
      <c r="D92" s="89"/>
      <c r="E92" s="96"/>
      <c r="F92" s="90"/>
      <c r="G92" s="90"/>
      <c r="H92" s="91"/>
      <c r="I92" s="92"/>
      <c r="J92" s="92"/>
      <c r="K92" s="93"/>
      <c r="L92" s="94" t="s">
        <v>51</v>
      </c>
      <c r="M92" s="91" t="e">
        <f>+#REF!</f>
        <v>#REF!</v>
      </c>
      <c r="N92" s="90"/>
      <c r="O92" s="92"/>
      <c r="P92" s="91"/>
      <c r="Q92" s="92"/>
      <c r="R92" s="92"/>
      <c r="S92" s="91"/>
      <c r="T92" s="92"/>
      <c r="U92" s="92"/>
      <c r="V92" s="1871" t="s">
        <v>52</v>
      </c>
      <c r="W92" s="29"/>
      <c r="X92" s="2"/>
      <c r="Y92" s="2"/>
      <c r="Z92" s="2"/>
      <c r="AA92" s="2"/>
      <c r="AB92" s="2"/>
    </row>
    <row r="93" spans="1:28" s="76" customFormat="1" ht="15.6" customHeight="1">
      <c r="A93" s="71"/>
      <c r="B93" s="88"/>
      <c r="C93" s="89"/>
      <c r="D93" s="89"/>
      <c r="E93" s="96"/>
      <c r="F93" s="90"/>
      <c r="G93" s="90"/>
      <c r="H93" s="91"/>
      <c r="I93" s="92"/>
      <c r="J93" s="92"/>
      <c r="K93" s="93"/>
      <c r="L93" s="94" t="s">
        <v>53</v>
      </c>
      <c r="M93" s="91" t="e">
        <f>+#REF!</f>
        <v>#REF!</v>
      </c>
      <c r="N93" s="90"/>
      <c r="O93" s="92"/>
      <c r="P93" s="91"/>
      <c r="Q93" s="92"/>
      <c r="R93" s="92"/>
      <c r="S93" s="91"/>
      <c r="T93" s="92"/>
      <c r="U93" s="92"/>
      <c r="V93" s="1872"/>
      <c r="W93" s="29"/>
      <c r="X93" s="2"/>
      <c r="Y93" s="2"/>
      <c r="Z93" s="2"/>
      <c r="AA93" s="2"/>
      <c r="AB93" s="2"/>
    </row>
    <row r="94" spans="1:28" s="76" customFormat="1" ht="15.6" customHeight="1">
      <c r="A94" s="71"/>
      <c r="B94" s="97"/>
      <c r="C94" s="73"/>
      <c r="D94" s="73"/>
      <c r="E94" s="73"/>
      <c r="F94" s="73"/>
      <c r="G94" s="73"/>
      <c r="H94" s="73"/>
      <c r="I94" s="98" t="s">
        <v>54</v>
      </c>
      <c r="J94" s="99">
        <f ca="1">TODAY()</f>
        <v>46063</v>
      </c>
      <c r="K94" s="100"/>
      <c r="L94" s="101" t="s">
        <v>55</v>
      </c>
      <c r="M94" s="74" t="e">
        <f>+#REF!</f>
        <v>#REF!</v>
      </c>
      <c r="N94" s="73"/>
      <c r="O94" s="74"/>
      <c r="P94" s="74"/>
      <c r="Q94" s="74"/>
      <c r="R94" s="74"/>
      <c r="S94" s="74"/>
      <c r="T94" s="74"/>
      <c r="U94" s="74"/>
      <c r="V94" s="1873"/>
      <c r="W94" s="29"/>
      <c r="X94" s="2"/>
      <c r="Y94" s="2"/>
      <c r="Z94" s="2"/>
      <c r="AA94" s="2"/>
      <c r="AB94" s="2"/>
    </row>
    <row r="95" spans="1:28" s="106" customFormat="1" ht="8.1" customHeight="1">
      <c r="A95" s="102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4"/>
      <c r="X95" s="105"/>
      <c r="Y95" s="105"/>
      <c r="Z95" s="105"/>
      <c r="AA95" s="105"/>
      <c r="AB95" s="105"/>
    </row>
    <row r="96" spans="1:28" ht="8.1" customHeight="1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5"/>
    </row>
    <row r="97" spans="1:23" s="2" customFormat="1" ht="22.5" customHeight="1">
      <c r="A97" s="6"/>
      <c r="B97" s="7"/>
      <c r="C97" s="1856" t="s">
        <v>4</v>
      </c>
      <c r="D97" s="1857"/>
      <c r="E97" s="1858" t="s">
        <v>5</v>
      </c>
      <c r="F97" s="8" t="s">
        <v>6</v>
      </c>
      <c r="G97" s="8"/>
      <c r="H97" s="8"/>
      <c r="I97" s="9"/>
      <c r="J97" s="1532" t="s">
        <v>7</v>
      </c>
      <c r="K97" s="1532" t="s">
        <v>8</v>
      </c>
      <c r="L97" s="1532" t="s">
        <v>9</v>
      </c>
      <c r="M97" s="1532" t="s">
        <v>9</v>
      </c>
      <c r="N97" s="1532" t="s">
        <v>9</v>
      </c>
      <c r="O97" s="1532"/>
      <c r="P97" s="10" t="s">
        <v>10</v>
      </c>
      <c r="Q97" s="9"/>
      <c r="R97" s="1532"/>
      <c r="S97" s="11" t="s">
        <v>11</v>
      </c>
      <c r="T97" s="12"/>
      <c r="U97" s="12"/>
      <c r="V97" s="1532" t="s">
        <v>12</v>
      </c>
      <c r="W97" s="14"/>
    </row>
    <row r="98" spans="1:23" s="2" customFormat="1" ht="22.5" customHeight="1">
      <c r="A98" s="6"/>
      <c r="B98" s="15" t="s">
        <v>13</v>
      </c>
      <c r="C98" s="1858" t="s">
        <v>14</v>
      </c>
      <c r="D98" s="16" t="s">
        <v>15</v>
      </c>
      <c r="E98" s="1859"/>
      <c r="F98" s="12" t="s">
        <v>16</v>
      </c>
      <c r="G98" s="13"/>
      <c r="H98" s="11" t="s">
        <v>17</v>
      </c>
      <c r="I98" s="13"/>
      <c r="J98" s="1533" t="s">
        <v>18</v>
      </c>
      <c r="K98" s="1533" t="s">
        <v>19</v>
      </c>
      <c r="L98" s="17" t="s">
        <v>20</v>
      </c>
      <c r="M98" s="1533" t="s">
        <v>56</v>
      </c>
      <c r="N98" s="1533" t="s">
        <v>0</v>
      </c>
      <c r="O98" s="1533" t="s">
        <v>22</v>
      </c>
      <c r="P98" s="18" t="s">
        <v>23</v>
      </c>
      <c r="Q98" s="19"/>
      <c r="R98" s="1533" t="s">
        <v>24</v>
      </c>
      <c r="S98" s="1532" t="s">
        <v>25</v>
      </c>
      <c r="T98" s="1532" t="s">
        <v>26</v>
      </c>
      <c r="U98" s="1532" t="s">
        <v>27</v>
      </c>
      <c r="V98" s="1533" t="s">
        <v>29</v>
      </c>
      <c r="W98" s="14"/>
    </row>
    <row r="99" spans="1:23" s="2" customFormat="1" ht="22.5" customHeight="1">
      <c r="A99" s="6"/>
      <c r="B99" s="15" t="s">
        <v>30</v>
      </c>
      <c r="C99" s="1859"/>
      <c r="D99" s="16" t="s">
        <v>31</v>
      </c>
      <c r="E99" s="1859"/>
      <c r="F99" s="20" t="s">
        <v>32</v>
      </c>
      <c r="G99" s="1532" t="s">
        <v>33</v>
      </c>
      <c r="H99" s="1532" t="s">
        <v>32</v>
      </c>
      <c r="I99" s="1532" t="s">
        <v>33</v>
      </c>
      <c r="J99" s="1533" t="s">
        <v>34</v>
      </c>
      <c r="K99" s="1533" t="s">
        <v>34</v>
      </c>
      <c r="L99" s="1533" t="s">
        <v>35</v>
      </c>
      <c r="M99" s="1533" t="s">
        <v>35</v>
      </c>
      <c r="N99" s="1533" t="s">
        <v>35</v>
      </c>
      <c r="O99" s="1533" t="s">
        <v>37</v>
      </c>
      <c r="P99" s="18" t="s">
        <v>38</v>
      </c>
      <c r="Q99" s="19"/>
      <c r="R99" s="1533" t="s">
        <v>39</v>
      </c>
      <c r="S99" s="1533"/>
      <c r="T99" s="1533" t="s">
        <v>40</v>
      </c>
      <c r="U99" s="1533" t="s">
        <v>41</v>
      </c>
      <c r="V99" s="1533" t="s">
        <v>42</v>
      </c>
      <c r="W99" s="14"/>
    </row>
    <row r="100" spans="1:23" s="2" customFormat="1" ht="18" customHeight="1">
      <c r="A100" s="6"/>
      <c r="B100" s="1791" t="str">
        <f>+B49</f>
        <v xml:space="preserve">TELA ELETROSOLDADA                                                                                                                                                         </v>
      </c>
      <c r="C100" s="21" t="s">
        <v>67</v>
      </c>
      <c r="D100" s="22" t="s">
        <v>67</v>
      </c>
      <c r="E100" s="21" t="str">
        <f>IF(F100="","","Acost. LE")</f>
        <v/>
      </c>
      <c r="F100" s="22"/>
      <c r="G100" s="23"/>
      <c r="H100" s="22"/>
      <c r="I100" s="23"/>
      <c r="J100" s="24"/>
      <c r="K100" s="23" t="s">
        <v>67</v>
      </c>
      <c r="L100" s="24"/>
      <c r="M100" s="24"/>
      <c r="N100" s="25" t="str">
        <f>IF(F100="","",(J100*K100)+M100+L100)</f>
        <v/>
      </c>
      <c r="O100" s="25" t="str">
        <f>IF(F100="","",N100*#REF!/100)</f>
        <v/>
      </c>
      <c r="P100" s="26" t="s">
        <v>67</v>
      </c>
      <c r="Q100" s="27" t="str">
        <f t="shared" ref="Q100:Q134" si="8">IF(F100="","","t/m3")</f>
        <v/>
      </c>
      <c r="R100" s="25" t="str">
        <f t="shared" ref="R100:R134" si="9">IF(F100="","",O100*P100)</f>
        <v/>
      </c>
      <c r="S100" s="28" t="s">
        <v>67</v>
      </c>
      <c r="T100" s="28" t="str">
        <f t="shared" ref="T100:T134" si="10">IF(F100="","",IF(D100&gt;H100,((D100-H100)*0.02),IF(D100&lt;F100,((F100-D100)*0.02),IF(F100="","",0))))</f>
        <v/>
      </c>
      <c r="U100" s="28" t="str">
        <f t="shared" ref="U100:U134" si="11">IF(F100="","",IF(D100&gt;H100,((((H100-F100)*20)+I100-G100)/2000),IF(D100&gt;F100,((((D100-F100)*0.02)^2)+(((H100-D100)*0.02)^2))/(2*((H100-F100)*0.02)),((((H100-F100)*20)+I100-G100)/2000))))</f>
        <v/>
      </c>
      <c r="V100" s="25" t="str">
        <f>IF(F100="","",O100*#REF!)</f>
        <v/>
      </c>
      <c r="W100" s="29"/>
    </row>
    <row r="101" spans="1:23" s="2" customFormat="1" ht="18" customHeight="1">
      <c r="A101" s="6"/>
      <c r="B101" s="1792"/>
      <c r="C101" s="38" t="s">
        <v>67</v>
      </c>
      <c r="D101" s="39" t="s">
        <v>67</v>
      </c>
      <c r="E101" s="38" t="str">
        <f t="shared" ref="E101:E134" si="12">IF(F101="","","Acost. LE")</f>
        <v/>
      </c>
      <c r="F101" s="39"/>
      <c r="G101" s="40"/>
      <c r="H101" s="39"/>
      <c r="I101" s="40"/>
      <c r="J101" s="41"/>
      <c r="K101" s="40" t="s">
        <v>67</v>
      </c>
      <c r="L101" s="41"/>
      <c r="M101" s="41"/>
      <c r="N101" s="42" t="str">
        <f t="shared" ref="N101:N134" si="13">IF(F101="","",(J101*K101)+M101+L101)</f>
        <v/>
      </c>
      <c r="O101" s="42" t="str">
        <f>IF(F101="","",N101*#REF!/100)</f>
        <v/>
      </c>
      <c r="P101" s="44" t="s">
        <v>67</v>
      </c>
      <c r="Q101" s="45" t="str">
        <f t="shared" si="8"/>
        <v/>
      </c>
      <c r="R101" s="42" t="str">
        <f t="shared" si="9"/>
        <v/>
      </c>
      <c r="S101" s="46" t="s">
        <v>67</v>
      </c>
      <c r="T101" s="46" t="str">
        <f t="shared" si="10"/>
        <v/>
      </c>
      <c r="U101" s="46" t="str">
        <f t="shared" si="11"/>
        <v/>
      </c>
      <c r="V101" s="42" t="str">
        <f>IF(F101="","",O101*#REF!)</f>
        <v/>
      </c>
      <c r="W101" s="29"/>
    </row>
    <row r="102" spans="1:23" s="2" customFormat="1" ht="18" customHeight="1">
      <c r="A102" s="6"/>
      <c r="B102" s="1837">
        <f>+B51</f>
        <v>0</v>
      </c>
      <c r="C102" s="30" t="s">
        <v>67</v>
      </c>
      <c r="D102" s="31" t="s">
        <v>67</v>
      </c>
      <c r="E102" s="30" t="str">
        <f t="shared" si="12"/>
        <v/>
      </c>
      <c r="F102" s="31"/>
      <c r="G102" s="32"/>
      <c r="H102" s="31"/>
      <c r="I102" s="32"/>
      <c r="J102" s="33"/>
      <c r="K102" s="32" t="s">
        <v>67</v>
      </c>
      <c r="L102" s="33"/>
      <c r="M102" s="33"/>
      <c r="N102" s="34" t="str">
        <f t="shared" si="13"/>
        <v/>
      </c>
      <c r="O102" s="34" t="str">
        <f>IF(F102="","",N102*#REF!/100)</f>
        <v/>
      </c>
      <c r="P102" s="35" t="s">
        <v>67</v>
      </c>
      <c r="Q102" s="36" t="str">
        <f t="shared" si="8"/>
        <v/>
      </c>
      <c r="R102" s="34" t="str">
        <f t="shared" si="9"/>
        <v/>
      </c>
      <c r="S102" s="37" t="s">
        <v>67</v>
      </c>
      <c r="T102" s="37" t="str">
        <f t="shared" si="10"/>
        <v/>
      </c>
      <c r="U102" s="37" t="str">
        <f t="shared" si="11"/>
        <v/>
      </c>
      <c r="V102" s="34" t="str">
        <f>IF(F102="","",O102*#REF!)</f>
        <v/>
      </c>
      <c r="W102" s="29"/>
    </row>
    <row r="103" spans="1:23" s="2" customFormat="1" ht="18" customHeight="1">
      <c r="A103" s="6"/>
      <c r="B103" s="1837"/>
      <c r="C103" s="38" t="s">
        <v>67</v>
      </c>
      <c r="D103" s="39" t="s">
        <v>67</v>
      </c>
      <c r="E103" s="38" t="str">
        <f t="shared" si="12"/>
        <v/>
      </c>
      <c r="F103" s="39"/>
      <c r="G103" s="40"/>
      <c r="H103" s="39"/>
      <c r="I103" s="40"/>
      <c r="J103" s="41"/>
      <c r="K103" s="40" t="s">
        <v>67</v>
      </c>
      <c r="L103" s="41"/>
      <c r="M103" s="41"/>
      <c r="N103" s="42" t="str">
        <f t="shared" si="13"/>
        <v/>
      </c>
      <c r="O103" s="42" t="str">
        <f>IF(F103="","",N103*#REF!/100)</f>
        <v/>
      </c>
      <c r="P103" s="44" t="s">
        <v>67</v>
      </c>
      <c r="Q103" s="45" t="str">
        <f t="shared" si="8"/>
        <v/>
      </c>
      <c r="R103" s="42" t="str">
        <f t="shared" si="9"/>
        <v/>
      </c>
      <c r="S103" s="46" t="s">
        <v>67</v>
      </c>
      <c r="T103" s="46" t="str">
        <f t="shared" si="10"/>
        <v/>
      </c>
      <c r="U103" s="46" t="str">
        <f t="shared" si="11"/>
        <v/>
      </c>
      <c r="V103" s="42" t="str">
        <f>IF(F103="","",O103*#REF!)</f>
        <v/>
      </c>
      <c r="W103" s="29"/>
    </row>
    <row r="104" spans="1:23" s="2" customFormat="1" ht="18" customHeight="1">
      <c r="A104" s="6"/>
      <c r="B104" s="1837"/>
      <c r="C104" s="30" t="s">
        <v>67</v>
      </c>
      <c r="D104" s="31" t="s">
        <v>67</v>
      </c>
      <c r="E104" s="30" t="str">
        <f t="shared" si="12"/>
        <v/>
      </c>
      <c r="F104" s="31"/>
      <c r="G104" s="32"/>
      <c r="H104" s="31"/>
      <c r="I104" s="32"/>
      <c r="J104" s="33"/>
      <c r="K104" s="32" t="s">
        <v>67</v>
      </c>
      <c r="L104" s="33"/>
      <c r="M104" s="33"/>
      <c r="N104" s="34" t="str">
        <f t="shared" si="13"/>
        <v/>
      </c>
      <c r="O104" s="34" t="str">
        <f>IF(F104="","",N104*#REF!/100)</f>
        <v/>
      </c>
      <c r="P104" s="35" t="s">
        <v>67</v>
      </c>
      <c r="Q104" s="36" t="str">
        <f t="shared" si="8"/>
        <v/>
      </c>
      <c r="R104" s="34" t="str">
        <f t="shared" si="9"/>
        <v/>
      </c>
      <c r="S104" s="37" t="s">
        <v>67</v>
      </c>
      <c r="T104" s="37" t="str">
        <f t="shared" si="10"/>
        <v/>
      </c>
      <c r="U104" s="37" t="str">
        <f t="shared" si="11"/>
        <v/>
      </c>
      <c r="V104" s="34" t="str">
        <f>IF(F104="","",O104*#REF!)</f>
        <v/>
      </c>
      <c r="W104" s="29"/>
    </row>
    <row r="105" spans="1:23" s="2" customFormat="1" ht="18" customHeight="1">
      <c r="A105" s="6"/>
      <c r="B105" s="47"/>
      <c r="C105" s="38" t="s">
        <v>67</v>
      </c>
      <c r="D105" s="39" t="s">
        <v>67</v>
      </c>
      <c r="E105" s="38" t="str">
        <f t="shared" si="12"/>
        <v/>
      </c>
      <c r="F105" s="39"/>
      <c r="G105" s="40"/>
      <c r="H105" s="39"/>
      <c r="I105" s="40"/>
      <c r="J105" s="41"/>
      <c r="K105" s="40" t="s">
        <v>67</v>
      </c>
      <c r="L105" s="41"/>
      <c r="M105" s="41"/>
      <c r="N105" s="42" t="str">
        <f t="shared" si="13"/>
        <v/>
      </c>
      <c r="O105" s="42" t="str">
        <f>IF(F105="","",N105*#REF!/100)</f>
        <v/>
      </c>
      <c r="P105" s="44" t="s">
        <v>67</v>
      </c>
      <c r="Q105" s="45" t="str">
        <f t="shared" si="8"/>
        <v/>
      </c>
      <c r="R105" s="42" t="str">
        <f t="shared" si="9"/>
        <v/>
      </c>
      <c r="S105" s="46" t="s">
        <v>67</v>
      </c>
      <c r="T105" s="46" t="str">
        <f t="shared" si="10"/>
        <v/>
      </c>
      <c r="U105" s="46" t="str">
        <f t="shared" si="11"/>
        <v/>
      </c>
      <c r="V105" s="42" t="str">
        <f>IF(F105="","",O105*#REF!)</f>
        <v/>
      </c>
      <c r="W105" s="29"/>
    </row>
    <row r="106" spans="1:23" s="2" customFormat="1" ht="18" customHeight="1">
      <c r="A106" s="6"/>
      <c r="B106" s="47"/>
      <c r="C106" s="30" t="s">
        <v>67</v>
      </c>
      <c r="D106" s="31" t="s">
        <v>67</v>
      </c>
      <c r="E106" s="30" t="str">
        <f t="shared" si="12"/>
        <v/>
      </c>
      <c r="F106" s="31" t="s">
        <v>67</v>
      </c>
      <c r="G106" s="32" t="s">
        <v>67</v>
      </c>
      <c r="H106" s="31" t="s">
        <v>67</v>
      </c>
      <c r="I106" s="32" t="s">
        <v>67</v>
      </c>
      <c r="J106" s="33" t="str">
        <f t="shared" ref="J106:J134" si="14">IF(F106="","",((H106-F106)*20)+I106-G106)</f>
        <v/>
      </c>
      <c r="K106" s="32" t="s">
        <v>67</v>
      </c>
      <c r="L106" s="33"/>
      <c r="M106" s="33"/>
      <c r="N106" s="34" t="str">
        <f t="shared" si="13"/>
        <v/>
      </c>
      <c r="O106" s="34" t="str">
        <f>IF(F106="","",N106*#REF!/100)</f>
        <v/>
      </c>
      <c r="P106" s="35" t="s">
        <v>67</v>
      </c>
      <c r="Q106" s="36" t="str">
        <f t="shared" si="8"/>
        <v/>
      </c>
      <c r="R106" s="34" t="str">
        <f t="shared" si="9"/>
        <v/>
      </c>
      <c r="S106" s="37" t="s">
        <v>67</v>
      </c>
      <c r="T106" s="37" t="str">
        <f t="shared" si="10"/>
        <v/>
      </c>
      <c r="U106" s="37" t="str">
        <f t="shared" si="11"/>
        <v/>
      </c>
      <c r="V106" s="34" t="str">
        <f>IF(F106="","",O106*#REF!)</f>
        <v/>
      </c>
      <c r="W106" s="29"/>
    </row>
    <row r="107" spans="1:23" s="2" customFormat="1" ht="18" customHeight="1">
      <c r="A107" s="6"/>
      <c r="B107" s="48"/>
      <c r="C107" s="38" t="s">
        <v>67</v>
      </c>
      <c r="D107" s="39" t="s">
        <v>67</v>
      </c>
      <c r="E107" s="38" t="str">
        <f t="shared" si="12"/>
        <v/>
      </c>
      <c r="F107" s="39" t="s">
        <v>67</v>
      </c>
      <c r="G107" s="40" t="s">
        <v>67</v>
      </c>
      <c r="H107" s="39" t="s">
        <v>67</v>
      </c>
      <c r="I107" s="40" t="s">
        <v>67</v>
      </c>
      <c r="J107" s="41" t="str">
        <f t="shared" si="14"/>
        <v/>
      </c>
      <c r="K107" s="40" t="s">
        <v>67</v>
      </c>
      <c r="L107" s="41"/>
      <c r="M107" s="41"/>
      <c r="N107" s="42" t="str">
        <f t="shared" si="13"/>
        <v/>
      </c>
      <c r="O107" s="42" t="str">
        <f>IF(F107="","",N107*#REF!/100)</f>
        <v/>
      </c>
      <c r="P107" s="44" t="s">
        <v>67</v>
      </c>
      <c r="Q107" s="45" t="str">
        <f t="shared" si="8"/>
        <v/>
      </c>
      <c r="R107" s="42" t="str">
        <f t="shared" si="9"/>
        <v/>
      </c>
      <c r="S107" s="46" t="s">
        <v>67</v>
      </c>
      <c r="T107" s="46" t="str">
        <f t="shared" si="10"/>
        <v/>
      </c>
      <c r="U107" s="46" t="str">
        <f t="shared" si="11"/>
        <v/>
      </c>
      <c r="V107" s="42" t="str">
        <f>IF(F107="","",O107*#REF!)</f>
        <v/>
      </c>
      <c r="W107" s="29"/>
    </row>
    <row r="108" spans="1:23" s="2" customFormat="1" ht="18" customHeight="1">
      <c r="A108" s="6"/>
      <c r="B108" s="48"/>
      <c r="C108" s="30" t="s">
        <v>67</v>
      </c>
      <c r="D108" s="31" t="s">
        <v>67</v>
      </c>
      <c r="E108" s="30" t="str">
        <f t="shared" si="12"/>
        <v/>
      </c>
      <c r="F108" s="31" t="s">
        <v>67</v>
      </c>
      <c r="G108" s="32" t="s">
        <v>67</v>
      </c>
      <c r="H108" s="31" t="s">
        <v>67</v>
      </c>
      <c r="I108" s="32" t="s">
        <v>67</v>
      </c>
      <c r="J108" s="33" t="str">
        <f t="shared" si="14"/>
        <v/>
      </c>
      <c r="K108" s="32" t="s">
        <v>67</v>
      </c>
      <c r="L108" s="33"/>
      <c r="M108" s="33"/>
      <c r="N108" s="34" t="str">
        <f t="shared" si="13"/>
        <v/>
      </c>
      <c r="O108" s="34" t="str">
        <f>IF(F108="","",N108*#REF!/100)</f>
        <v/>
      </c>
      <c r="P108" s="35" t="s">
        <v>67</v>
      </c>
      <c r="Q108" s="36" t="str">
        <f t="shared" si="8"/>
        <v/>
      </c>
      <c r="R108" s="34" t="str">
        <f t="shared" si="9"/>
        <v/>
      </c>
      <c r="S108" s="37" t="s">
        <v>67</v>
      </c>
      <c r="T108" s="37" t="str">
        <f t="shared" si="10"/>
        <v/>
      </c>
      <c r="U108" s="37" t="str">
        <f t="shared" si="11"/>
        <v/>
      </c>
      <c r="V108" s="34" t="str">
        <f>IF(F108="","",O108*#REF!)</f>
        <v/>
      </c>
      <c r="W108" s="29"/>
    </row>
    <row r="109" spans="1:23" s="2" customFormat="1" ht="18" customHeight="1">
      <c r="A109" s="6"/>
      <c r="B109" s="48"/>
      <c r="C109" s="38" t="s">
        <v>67</v>
      </c>
      <c r="D109" s="39" t="s">
        <v>67</v>
      </c>
      <c r="E109" s="38" t="str">
        <f t="shared" si="12"/>
        <v/>
      </c>
      <c r="F109" s="39" t="s">
        <v>67</v>
      </c>
      <c r="G109" s="40" t="s">
        <v>67</v>
      </c>
      <c r="H109" s="39" t="s">
        <v>67</v>
      </c>
      <c r="I109" s="40" t="s">
        <v>67</v>
      </c>
      <c r="J109" s="41" t="str">
        <f t="shared" si="14"/>
        <v/>
      </c>
      <c r="K109" s="40" t="s">
        <v>67</v>
      </c>
      <c r="L109" s="41"/>
      <c r="M109" s="41"/>
      <c r="N109" s="42" t="str">
        <f t="shared" si="13"/>
        <v/>
      </c>
      <c r="O109" s="42" t="str">
        <f>IF(F109="","",N109*#REF!/100)</f>
        <v/>
      </c>
      <c r="P109" s="44" t="s">
        <v>67</v>
      </c>
      <c r="Q109" s="45" t="str">
        <f t="shared" si="8"/>
        <v/>
      </c>
      <c r="R109" s="42" t="str">
        <f t="shared" si="9"/>
        <v/>
      </c>
      <c r="S109" s="46" t="s">
        <v>67</v>
      </c>
      <c r="T109" s="46" t="str">
        <f t="shared" si="10"/>
        <v/>
      </c>
      <c r="U109" s="46" t="str">
        <f t="shared" si="11"/>
        <v/>
      </c>
      <c r="V109" s="42" t="str">
        <f>IF(F109="","",O109*#REF!)</f>
        <v/>
      </c>
      <c r="W109" s="29"/>
    </row>
    <row r="110" spans="1:23" s="2" customFormat="1" ht="18" customHeight="1">
      <c r="A110" s="6"/>
      <c r="B110" s="48"/>
      <c r="C110" s="30" t="s">
        <v>67</v>
      </c>
      <c r="D110" s="31" t="s">
        <v>67</v>
      </c>
      <c r="E110" s="30" t="str">
        <f t="shared" si="12"/>
        <v/>
      </c>
      <c r="F110" s="31" t="s">
        <v>67</v>
      </c>
      <c r="G110" s="32" t="s">
        <v>67</v>
      </c>
      <c r="H110" s="31" t="s">
        <v>67</v>
      </c>
      <c r="I110" s="32" t="s">
        <v>67</v>
      </c>
      <c r="J110" s="33" t="str">
        <f t="shared" si="14"/>
        <v/>
      </c>
      <c r="K110" s="32" t="s">
        <v>67</v>
      </c>
      <c r="L110" s="33"/>
      <c r="M110" s="33"/>
      <c r="N110" s="34" t="str">
        <f t="shared" si="13"/>
        <v/>
      </c>
      <c r="O110" s="34" t="str">
        <f>IF(F110="","",N110*#REF!/100)</f>
        <v/>
      </c>
      <c r="P110" s="35" t="s">
        <v>67</v>
      </c>
      <c r="Q110" s="36" t="str">
        <f t="shared" si="8"/>
        <v/>
      </c>
      <c r="R110" s="34" t="str">
        <f t="shared" si="9"/>
        <v/>
      </c>
      <c r="S110" s="37" t="s">
        <v>67</v>
      </c>
      <c r="T110" s="37" t="str">
        <f t="shared" si="10"/>
        <v/>
      </c>
      <c r="U110" s="37" t="str">
        <f t="shared" si="11"/>
        <v/>
      </c>
      <c r="V110" s="34" t="str">
        <f>IF(F110="","",O110*#REF!)</f>
        <v/>
      </c>
      <c r="W110" s="29"/>
    </row>
    <row r="111" spans="1:23" s="2" customFormat="1" ht="18" customHeight="1">
      <c r="A111" s="6"/>
      <c r="B111" s="48"/>
      <c r="C111" s="38" t="s">
        <v>67</v>
      </c>
      <c r="D111" s="39" t="s">
        <v>67</v>
      </c>
      <c r="E111" s="38" t="str">
        <f t="shared" si="12"/>
        <v/>
      </c>
      <c r="F111" s="39" t="s">
        <v>67</v>
      </c>
      <c r="G111" s="40" t="s">
        <v>67</v>
      </c>
      <c r="H111" s="39" t="s">
        <v>67</v>
      </c>
      <c r="I111" s="40" t="s">
        <v>67</v>
      </c>
      <c r="J111" s="41" t="str">
        <f t="shared" si="14"/>
        <v/>
      </c>
      <c r="K111" s="40" t="s">
        <v>67</v>
      </c>
      <c r="L111" s="41"/>
      <c r="M111" s="41"/>
      <c r="N111" s="42" t="str">
        <f t="shared" si="13"/>
        <v/>
      </c>
      <c r="O111" s="42" t="str">
        <f>IF(F111="","",N111*#REF!/100)</f>
        <v/>
      </c>
      <c r="P111" s="44" t="s">
        <v>67</v>
      </c>
      <c r="Q111" s="45" t="str">
        <f t="shared" si="8"/>
        <v/>
      </c>
      <c r="R111" s="42" t="str">
        <f t="shared" si="9"/>
        <v/>
      </c>
      <c r="S111" s="46" t="s">
        <v>67</v>
      </c>
      <c r="T111" s="46" t="str">
        <f t="shared" si="10"/>
        <v/>
      </c>
      <c r="U111" s="46" t="str">
        <f t="shared" si="11"/>
        <v/>
      </c>
      <c r="V111" s="42" t="str">
        <f>IF(F111="","",O111*#REF!)</f>
        <v/>
      </c>
      <c r="W111" s="29"/>
    </row>
    <row r="112" spans="1:23" s="2" customFormat="1" ht="18" customHeight="1">
      <c r="A112" s="6"/>
      <c r="B112" s="48"/>
      <c r="C112" s="30" t="s">
        <v>67</v>
      </c>
      <c r="D112" s="31" t="s">
        <v>67</v>
      </c>
      <c r="E112" s="30" t="str">
        <f t="shared" si="12"/>
        <v/>
      </c>
      <c r="F112" s="31" t="s">
        <v>67</v>
      </c>
      <c r="G112" s="32" t="s">
        <v>67</v>
      </c>
      <c r="H112" s="31" t="s">
        <v>67</v>
      </c>
      <c r="I112" s="32" t="s">
        <v>67</v>
      </c>
      <c r="J112" s="33" t="str">
        <f t="shared" si="14"/>
        <v/>
      </c>
      <c r="K112" s="32" t="s">
        <v>67</v>
      </c>
      <c r="L112" s="33"/>
      <c r="M112" s="33"/>
      <c r="N112" s="34" t="str">
        <f t="shared" si="13"/>
        <v/>
      </c>
      <c r="O112" s="34" t="str">
        <f>IF(F112="","",N112*#REF!/100)</f>
        <v/>
      </c>
      <c r="P112" s="35" t="s">
        <v>67</v>
      </c>
      <c r="Q112" s="36" t="str">
        <f t="shared" si="8"/>
        <v/>
      </c>
      <c r="R112" s="34" t="str">
        <f t="shared" si="9"/>
        <v/>
      </c>
      <c r="S112" s="37" t="s">
        <v>67</v>
      </c>
      <c r="T112" s="37" t="str">
        <f t="shared" si="10"/>
        <v/>
      </c>
      <c r="U112" s="37" t="str">
        <f t="shared" si="11"/>
        <v/>
      </c>
      <c r="V112" s="34" t="str">
        <f>IF(F112="","",O112*#REF!)</f>
        <v/>
      </c>
      <c r="W112" s="29"/>
    </row>
    <row r="113" spans="1:23" s="2" customFormat="1" ht="18" customHeight="1">
      <c r="A113" s="6"/>
      <c r="B113" s="48"/>
      <c r="C113" s="38" t="s">
        <v>67</v>
      </c>
      <c r="D113" s="39" t="s">
        <v>67</v>
      </c>
      <c r="E113" s="38" t="str">
        <f t="shared" si="12"/>
        <v/>
      </c>
      <c r="F113" s="39" t="s">
        <v>67</v>
      </c>
      <c r="G113" s="40" t="s">
        <v>67</v>
      </c>
      <c r="H113" s="39" t="s">
        <v>67</v>
      </c>
      <c r="I113" s="40" t="s">
        <v>67</v>
      </c>
      <c r="J113" s="41" t="str">
        <f t="shared" si="14"/>
        <v/>
      </c>
      <c r="K113" s="40" t="s">
        <v>67</v>
      </c>
      <c r="L113" s="41"/>
      <c r="M113" s="41"/>
      <c r="N113" s="42" t="str">
        <f t="shared" si="13"/>
        <v/>
      </c>
      <c r="O113" s="42" t="str">
        <f>IF(F113="","",N113*#REF!/100)</f>
        <v/>
      </c>
      <c r="P113" s="44" t="s">
        <v>67</v>
      </c>
      <c r="Q113" s="45" t="str">
        <f t="shared" si="8"/>
        <v/>
      </c>
      <c r="R113" s="42" t="str">
        <f t="shared" si="9"/>
        <v/>
      </c>
      <c r="S113" s="46" t="s">
        <v>67</v>
      </c>
      <c r="T113" s="46" t="str">
        <f t="shared" si="10"/>
        <v/>
      </c>
      <c r="U113" s="46" t="str">
        <f t="shared" si="11"/>
        <v/>
      </c>
      <c r="V113" s="42" t="str">
        <f>IF(F113="","",O113*#REF!)</f>
        <v/>
      </c>
      <c r="W113" s="29"/>
    </row>
    <row r="114" spans="1:23" s="2" customFormat="1" ht="18" customHeight="1">
      <c r="A114" s="6"/>
      <c r="B114" s="48"/>
      <c r="C114" s="30" t="s">
        <v>67</v>
      </c>
      <c r="D114" s="31" t="s">
        <v>67</v>
      </c>
      <c r="E114" s="30" t="str">
        <f t="shared" si="12"/>
        <v/>
      </c>
      <c r="F114" s="31" t="s">
        <v>67</v>
      </c>
      <c r="G114" s="32" t="s">
        <v>67</v>
      </c>
      <c r="H114" s="31" t="s">
        <v>67</v>
      </c>
      <c r="I114" s="32" t="s">
        <v>67</v>
      </c>
      <c r="J114" s="33" t="str">
        <f t="shared" si="14"/>
        <v/>
      </c>
      <c r="K114" s="32" t="s">
        <v>67</v>
      </c>
      <c r="L114" s="33"/>
      <c r="M114" s="33"/>
      <c r="N114" s="34" t="str">
        <f t="shared" si="13"/>
        <v/>
      </c>
      <c r="O114" s="34" t="str">
        <f>IF(F114="","",N114*#REF!/100)</f>
        <v/>
      </c>
      <c r="P114" s="35" t="s">
        <v>67</v>
      </c>
      <c r="Q114" s="36" t="str">
        <f t="shared" si="8"/>
        <v/>
      </c>
      <c r="R114" s="34" t="str">
        <f t="shared" si="9"/>
        <v/>
      </c>
      <c r="S114" s="37" t="s">
        <v>67</v>
      </c>
      <c r="T114" s="37" t="str">
        <f t="shared" si="10"/>
        <v/>
      </c>
      <c r="U114" s="37" t="str">
        <f t="shared" si="11"/>
        <v/>
      </c>
      <c r="V114" s="34" t="str">
        <f>IF(F114="","",O114*#REF!)</f>
        <v/>
      </c>
      <c r="W114" s="29"/>
    </row>
    <row r="115" spans="1:23" s="2" customFormat="1" ht="18" customHeight="1">
      <c r="A115" s="6"/>
      <c r="B115" s="48"/>
      <c r="C115" s="38" t="s">
        <v>67</v>
      </c>
      <c r="D115" s="39" t="s">
        <v>67</v>
      </c>
      <c r="E115" s="38" t="str">
        <f t="shared" si="12"/>
        <v/>
      </c>
      <c r="F115" s="39" t="s">
        <v>67</v>
      </c>
      <c r="G115" s="40" t="s">
        <v>67</v>
      </c>
      <c r="H115" s="39" t="s">
        <v>67</v>
      </c>
      <c r="I115" s="40" t="s">
        <v>67</v>
      </c>
      <c r="J115" s="41" t="str">
        <f t="shared" si="14"/>
        <v/>
      </c>
      <c r="K115" s="40" t="s">
        <v>67</v>
      </c>
      <c r="L115" s="41"/>
      <c r="M115" s="41"/>
      <c r="N115" s="42" t="str">
        <f t="shared" si="13"/>
        <v/>
      </c>
      <c r="O115" s="42" t="str">
        <f>IF(F115="","",N115*#REF!/100)</f>
        <v/>
      </c>
      <c r="P115" s="44" t="s">
        <v>67</v>
      </c>
      <c r="Q115" s="45" t="str">
        <f t="shared" si="8"/>
        <v/>
      </c>
      <c r="R115" s="42" t="str">
        <f t="shared" si="9"/>
        <v/>
      </c>
      <c r="S115" s="46" t="s">
        <v>67</v>
      </c>
      <c r="T115" s="46" t="str">
        <f t="shared" si="10"/>
        <v/>
      </c>
      <c r="U115" s="46" t="str">
        <f t="shared" si="11"/>
        <v/>
      </c>
      <c r="V115" s="42" t="str">
        <f>IF(F115="","",O115*#REF!)</f>
        <v/>
      </c>
      <c r="W115" s="29"/>
    </row>
    <row r="116" spans="1:23" s="2" customFormat="1" ht="18" customHeight="1">
      <c r="A116" s="6"/>
      <c r="B116" s="48"/>
      <c r="C116" s="30" t="s">
        <v>67</v>
      </c>
      <c r="D116" s="31" t="s">
        <v>67</v>
      </c>
      <c r="E116" s="30" t="str">
        <f t="shared" si="12"/>
        <v/>
      </c>
      <c r="F116" s="31" t="s">
        <v>67</v>
      </c>
      <c r="G116" s="32" t="s">
        <v>67</v>
      </c>
      <c r="H116" s="31" t="s">
        <v>67</v>
      </c>
      <c r="I116" s="32" t="s">
        <v>67</v>
      </c>
      <c r="J116" s="33" t="str">
        <f t="shared" si="14"/>
        <v/>
      </c>
      <c r="K116" s="32" t="s">
        <v>67</v>
      </c>
      <c r="L116" s="33"/>
      <c r="M116" s="33"/>
      <c r="N116" s="34" t="str">
        <f t="shared" si="13"/>
        <v/>
      </c>
      <c r="O116" s="34" t="str">
        <f>IF(F116="","",N116*#REF!/100)</f>
        <v/>
      </c>
      <c r="P116" s="35" t="s">
        <v>67</v>
      </c>
      <c r="Q116" s="36" t="str">
        <f t="shared" si="8"/>
        <v/>
      </c>
      <c r="R116" s="34" t="str">
        <f t="shared" si="9"/>
        <v/>
      </c>
      <c r="S116" s="37" t="s">
        <v>67</v>
      </c>
      <c r="T116" s="37" t="str">
        <f t="shared" si="10"/>
        <v/>
      </c>
      <c r="U116" s="37" t="str">
        <f t="shared" si="11"/>
        <v/>
      </c>
      <c r="V116" s="34" t="str">
        <f>IF(F116="","",O116*#REF!)</f>
        <v/>
      </c>
      <c r="W116" s="29"/>
    </row>
    <row r="117" spans="1:23" s="2" customFormat="1" ht="18" customHeight="1">
      <c r="A117" s="6"/>
      <c r="B117" s="48"/>
      <c r="C117" s="38" t="s">
        <v>67</v>
      </c>
      <c r="D117" s="39" t="s">
        <v>67</v>
      </c>
      <c r="E117" s="38" t="str">
        <f t="shared" si="12"/>
        <v/>
      </c>
      <c r="F117" s="39" t="s">
        <v>67</v>
      </c>
      <c r="G117" s="40" t="s">
        <v>67</v>
      </c>
      <c r="H117" s="39" t="s">
        <v>67</v>
      </c>
      <c r="I117" s="40" t="s">
        <v>67</v>
      </c>
      <c r="J117" s="41" t="str">
        <f t="shared" si="14"/>
        <v/>
      </c>
      <c r="K117" s="40" t="s">
        <v>67</v>
      </c>
      <c r="L117" s="41"/>
      <c r="M117" s="41"/>
      <c r="N117" s="42" t="str">
        <f t="shared" si="13"/>
        <v/>
      </c>
      <c r="O117" s="42" t="str">
        <f>IF(F117="","",N117*#REF!/100)</f>
        <v/>
      </c>
      <c r="P117" s="44" t="s">
        <v>67</v>
      </c>
      <c r="Q117" s="45" t="str">
        <f t="shared" si="8"/>
        <v/>
      </c>
      <c r="R117" s="42" t="str">
        <f t="shared" si="9"/>
        <v/>
      </c>
      <c r="S117" s="46" t="s">
        <v>67</v>
      </c>
      <c r="T117" s="46" t="str">
        <f t="shared" si="10"/>
        <v/>
      </c>
      <c r="U117" s="46" t="str">
        <f t="shared" si="11"/>
        <v/>
      </c>
      <c r="V117" s="42" t="str">
        <f>IF(F117="","",O117*#REF!)</f>
        <v/>
      </c>
      <c r="W117" s="29"/>
    </row>
    <row r="118" spans="1:23" s="2" customFormat="1" ht="18" customHeight="1">
      <c r="A118" s="6"/>
      <c r="B118" s="48"/>
      <c r="C118" s="30" t="s">
        <v>67</v>
      </c>
      <c r="D118" s="31" t="s">
        <v>67</v>
      </c>
      <c r="E118" s="30" t="str">
        <f t="shared" si="12"/>
        <v/>
      </c>
      <c r="F118" s="31" t="s">
        <v>67</v>
      </c>
      <c r="G118" s="32" t="s">
        <v>67</v>
      </c>
      <c r="H118" s="31" t="s">
        <v>67</v>
      </c>
      <c r="I118" s="32" t="s">
        <v>67</v>
      </c>
      <c r="J118" s="33" t="str">
        <f t="shared" si="14"/>
        <v/>
      </c>
      <c r="K118" s="32" t="s">
        <v>67</v>
      </c>
      <c r="L118" s="33"/>
      <c r="M118" s="33"/>
      <c r="N118" s="34" t="str">
        <f t="shared" si="13"/>
        <v/>
      </c>
      <c r="O118" s="34" t="str">
        <f>IF(F118="","",N118*#REF!/100)</f>
        <v/>
      </c>
      <c r="P118" s="35" t="s">
        <v>67</v>
      </c>
      <c r="Q118" s="36" t="str">
        <f t="shared" si="8"/>
        <v/>
      </c>
      <c r="R118" s="34" t="str">
        <f t="shared" si="9"/>
        <v/>
      </c>
      <c r="S118" s="37" t="s">
        <v>67</v>
      </c>
      <c r="T118" s="37" t="str">
        <f t="shared" si="10"/>
        <v/>
      </c>
      <c r="U118" s="37" t="str">
        <f t="shared" si="11"/>
        <v/>
      </c>
      <c r="V118" s="34" t="str">
        <f>IF(F118="","",O118*#REF!)</f>
        <v/>
      </c>
      <c r="W118" s="29"/>
    </row>
    <row r="119" spans="1:23" s="2" customFormat="1" ht="18" customHeight="1">
      <c r="A119" s="6"/>
      <c r="B119" s="48"/>
      <c r="C119" s="38" t="s">
        <v>67</v>
      </c>
      <c r="D119" s="39" t="s">
        <v>67</v>
      </c>
      <c r="E119" s="38" t="str">
        <f t="shared" si="12"/>
        <v/>
      </c>
      <c r="F119" s="39" t="s">
        <v>67</v>
      </c>
      <c r="G119" s="40" t="s">
        <v>67</v>
      </c>
      <c r="H119" s="39" t="s">
        <v>67</v>
      </c>
      <c r="I119" s="40" t="s">
        <v>67</v>
      </c>
      <c r="J119" s="41" t="str">
        <f t="shared" si="14"/>
        <v/>
      </c>
      <c r="K119" s="40" t="s">
        <v>67</v>
      </c>
      <c r="L119" s="41"/>
      <c r="M119" s="41"/>
      <c r="N119" s="42" t="str">
        <f t="shared" si="13"/>
        <v/>
      </c>
      <c r="O119" s="42" t="str">
        <f>IF(F119="","",N119*#REF!/100)</f>
        <v/>
      </c>
      <c r="P119" s="44" t="s">
        <v>67</v>
      </c>
      <c r="Q119" s="45" t="str">
        <f t="shared" si="8"/>
        <v/>
      </c>
      <c r="R119" s="42" t="str">
        <f t="shared" si="9"/>
        <v/>
      </c>
      <c r="S119" s="46" t="s">
        <v>67</v>
      </c>
      <c r="T119" s="46" t="str">
        <f t="shared" si="10"/>
        <v/>
      </c>
      <c r="U119" s="46" t="str">
        <f t="shared" si="11"/>
        <v/>
      </c>
      <c r="V119" s="42" t="str">
        <f>IF(F119="","",O119*#REF!)</f>
        <v/>
      </c>
      <c r="W119" s="29"/>
    </row>
    <row r="120" spans="1:23" s="2" customFormat="1" ht="18" customHeight="1">
      <c r="A120" s="6"/>
      <c r="B120" s="48"/>
      <c r="C120" s="30" t="s">
        <v>67</v>
      </c>
      <c r="D120" s="31" t="s">
        <v>67</v>
      </c>
      <c r="E120" s="30" t="str">
        <f t="shared" si="12"/>
        <v/>
      </c>
      <c r="F120" s="31" t="s">
        <v>67</v>
      </c>
      <c r="G120" s="32" t="s">
        <v>67</v>
      </c>
      <c r="H120" s="31" t="s">
        <v>67</v>
      </c>
      <c r="I120" s="32" t="s">
        <v>67</v>
      </c>
      <c r="J120" s="33" t="str">
        <f t="shared" si="14"/>
        <v/>
      </c>
      <c r="K120" s="32" t="s">
        <v>67</v>
      </c>
      <c r="L120" s="33"/>
      <c r="M120" s="33"/>
      <c r="N120" s="34" t="str">
        <f t="shared" si="13"/>
        <v/>
      </c>
      <c r="O120" s="34" t="str">
        <f>IF(F120="","",N120*#REF!/100)</f>
        <v/>
      </c>
      <c r="P120" s="35" t="s">
        <v>67</v>
      </c>
      <c r="Q120" s="36" t="str">
        <f t="shared" si="8"/>
        <v/>
      </c>
      <c r="R120" s="34" t="str">
        <f t="shared" si="9"/>
        <v/>
      </c>
      <c r="S120" s="37" t="s">
        <v>67</v>
      </c>
      <c r="T120" s="37" t="str">
        <f t="shared" si="10"/>
        <v/>
      </c>
      <c r="U120" s="37" t="str">
        <f t="shared" si="11"/>
        <v/>
      </c>
      <c r="V120" s="34" t="str">
        <f>IF(F120="","",O120*#REF!)</f>
        <v/>
      </c>
      <c r="W120" s="29"/>
    </row>
    <row r="121" spans="1:23" s="2" customFormat="1" ht="18" customHeight="1">
      <c r="A121" s="6"/>
      <c r="B121" s="48"/>
      <c r="C121" s="38" t="s">
        <v>67</v>
      </c>
      <c r="D121" s="39" t="s">
        <v>67</v>
      </c>
      <c r="E121" s="38" t="str">
        <f t="shared" si="12"/>
        <v/>
      </c>
      <c r="F121" s="39" t="s">
        <v>67</v>
      </c>
      <c r="G121" s="40" t="s">
        <v>67</v>
      </c>
      <c r="H121" s="39" t="s">
        <v>67</v>
      </c>
      <c r="I121" s="40" t="s">
        <v>67</v>
      </c>
      <c r="J121" s="41" t="str">
        <f t="shared" si="14"/>
        <v/>
      </c>
      <c r="K121" s="40" t="s">
        <v>67</v>
      </c>
      <c r="L121" s="41"/>
      <c r="M121" s="41"/>
      <c r="N121" s="42" t="str">
        <f t="shared" si="13"/>
        <v/>
      </c>
      <c r="O121" s="42" t="str">
        <f>IF(F121="","",N121*#REF!/100)</f>
        <v/>
      </c>
      <c r="P121" s="44" t="s">
        <v>67</v>
      </c>
      <c r="Q121" s="45" t="str">
        <f t="shared" si="8"/>
        <v/>
      </c>
      <c r="R121" s="42" t="str">
        <f t="shared" si="9"/>
        <v/>
      </c>
      <c r="S121" s="46" t="s">
        <v>67</v>
      </c>
      <c r="T121" s="46" t="str">
        <f t="shared" si="10"/>
        <v/>
      </c>
      <c r="U121" s="46" t="str">
        <f t="shared" si="11"/>
        <v/>
      </c>
      <c r="V121" s="42" t="str">
        <f>IF(F121="","",O121*#REF!)</f>
        <v/>
      </c>
      <c r="W121" s="29"/>
    </row>
    <row r="122" spans="1:23" s="2" customFormat="1" ht="18" customHeight="1">
      <c r="A122" s="6"/>
      <c r="B122" s="48"/>
      <c r="C122" s="30" t="s">
        <v>67</v>
      </c>
      <c r="D122" s="31" t="s">
        <v>67</v>
      </c>
      <c r="E122" s="30" t="str">
        <f t="shared" si="12"/>
        <v/>
      </c>
      <c r="F122" s="31" t="s">
        <v>67</v>
      </c>
      <c r="G122" s="32" t="s">
        <v>67</v>
      </c>
      <c r="H122" s="31" t="s">
        <v>67</v>
      </c>
      <c r="I122" s="32" t="s">
        <v>67</v>
      </c>
      <c r="J122" s="33" t="str">
        <f t="shared" si="14"/>
        <v/>
      </c>
      <c r="K122" s="32" t="s">
        <v>67</v>
      </c>
      <c r="L122" s="33"/>
      <c r="M122" s="33"/>
      <c r="N122" s="34" t="str">
        <f t="shared" si="13"/>
        <v/>
      </c>
      <c r="O122" s="34" t="str">
        <f>IF(F122="","",N122*#REF!/100)</f>
        <v/>
      </c>
      <c r="P122" s="35" t="s">
        <v>67</v>
      </c>
      <c r="Q122" s="36" t="str">
        <f t="shared" si="8"/>
        <v/>
      </c>
      <c r="R122" s="34" t="str">
        <f t="shared" si="9"/>
        <v/>
      </c>
      <c r="S122" s="37" t="s">
        <v>67</v>
      </c>
      <c r="T122" s="37" t="str">
        <f t="shared" si="10"/>
        <v/>
      </c>
      <c r="U122" s="37" t="str">
        <f t="shared" si="11"/>
        <v/>
      </c>
      <c r="V122" s="34" t="str">
        <f>IF(F122="","",O122*#REF!)</f>
        <v/>
      </c>
      <c r="W122" s="29"/>
    </row>
    <row r="123" spans="1:23" s="2" customFormat="1" ht="18" customHeight="1">
      <c r="A123" s="6"/>
      <c r="B123" s="48"/>
      <c r="C123" s="38" t="s">
        <v>67</v>
      </c>
      <c r="D123" s="39" t="s">
        <v>67</v>
      </c>
      <c r="E123" s="38" t="str">
        <f t="shared" si="12"/>
        <v/>
      </c>
      <c r="F123" s="39" t="s">
        <v>67</v>
      </c>
      <c r="G123" s="40" t="s">
        <v>67</v>
      </c>
      <c r="H123" s="39" t="s">
        <v>67</v>
      </c>
      <c r="I123" s="40" t="s">
        <v>67</v>
      </c>
      <c r="J123" s="41" t="str">
        <f t="shared" si="14"/>
        <v/>
      </c>
      <c r="K123" s="40" t="s">
        <v>67</v>
      </c>
      <c r="L123" s="41"/>
      <c r="M123" s="41"/>
      <c r="N123" s="42" t="str">
        <f t="shared" si="13"/>
        <v/>
      </c>
      <c r="O123" s="42" t="str">
        <f>IF(F123="","",N123*#REF!/100)</f>
        <v/>
      </c>
      <c r="P123" s="44" t="s">
        <v>67</v>
      </c>
      <c r="Q123" s="45" t="str">
        <f t="shared" si="8"/>
        <v/>
      </c>
      <c r="R123" s="42" t="str">
        <f t="shared" si="9"/>
        <v/>
      </c>
      <c r="S123" s="46" t="s">
        <v>67</v>
      </c>
      <c r="T123" s="46" t="str">
        <f t="shared" si="10"/>
        <v/>
      </c>
      <c r="U123" s="46" t="str">
        <f t="shared" si="11"/>
        <v/>
      </c>
      <c r="V123" s="42" t="str">
        <f>IF(F123="","",O123*#REF!)</f>
        <v/>
      </c>
      <c r="W123" s="29"/>
    </row>
    <row r="124" spans="1:23" s="2" customFormat="1" ht="18" customHeight="1">
      <c r="A124" s="6"/>
      <c r="B124" s="48"/>
      <c r="C124" s="30" t="s">
        <v>67</v>
      </c>
      <c r="D124" s="31" t="s">
        <v>67</v>
      </c>
      <c r="E124" s="30" t="str">
        <f t="shared" si="12"/>
        <v/>
      </c>
      <c r="F124" s="31" t="s">
        <v>67</v>
      </c>
      <c r="G124" s="32" t="s">
        <v>67</v>
      </c>
      <c r="H124" s="31" t="s">
        <v>67</v>
      </c>
      <c r="I124" s="32" t="s">
        <v>67</v>
      </c>
      <c r="J124" s="33" t="str">
        <f t="shared" si="14"/>
        <v/>
      </c>
      <c r="K124" s="32" t="s">
        <v>67</v>
      </c>
      <c r="L124" s="33"/>
      <c r="M124" s="33"/>
      <c r="N124" s="34" t="str">
        <f t="shared" si="13"/>
        <v/>
      </c>
      <c r="O124" s="34" t="str">
        <f>IF(F124="","",N124*#REF!/100)</f>
        <v/>
      </c>
      <c r="P124" s="35" t="s">
        <v>67</v>
      </c>
      <c r="Q124" s="36" t="str">
        <f t="shared" si="8"/>
        <v/>
      </c>
      <c r="R124" s="34" t="str">
        <f t="shared" si="9"/>
        <v/>
      </c>
      <c r="S124" s="37" t="s">
        <v>67</v>
      </c>
      <c r="T124" s="37" t="str">
        <f t="shared" si="10"/>
        <v/>
      </c>
      <c r="U124" s="37" t="str">
        <f t="shared" si="11"/>
        <v/>
      </c>
      <c r="V124" s="34" t="str">
        <f>IF(F124="","",O124*#REF!)</f>
        <v/>
      </c>
      <c r="W124" s="29"/>
    </row>
    <row r="125" spans="1:23" s="2" customFormat="1" ht="18" customHeight="1">
      <c r="A125" s="6"/>
      <c r="B125" s="48"/>
      <c r="C125" s="38" t="s">
        <v>67</v>
      </c>
      <c r="D125" s="39" t="s">
        <v>67</v>
      </c>
      <c r="E125" s="38" t="str">
        <f t="shared" si="12"/>
        <v/>
      </c>
      <c r="F125" s="39" t="s">
        <v>67</v>
      </c>
      <c r="G125" s="40" t="s">
        <v>67</v>
      </c>
      <c r="H125" s="39" t="s">
        <v>67</v>
      </c>
      <c r="I125" s="40" t="s">
        <v>67</v>
      </c>
      <c r="J125" s="41" t="str">
        <f t="shared" si="14"/>
        <v/>
      </c>
      <c r="K125" s="40" t="s">
        <v>67</v>
      </c>
      <c r="L125" s="41"/>
      <c r="M125" s="41"/>
      <c r="N125" s="42" t="str">
        <f t="shared" si="13"/>
        <v/>
      </c>
      <c r="O125" s="42" t="str">
        <f>IF(F125="","",N125*#REF!/100)</f>
        <v/>
      </c>
      <c r="P125" s="44" t="s">
        <v>67</v>
      </c>
      <c r="Q125" s="45" t="str">
        <f t="shared" si="8"/>
        <v/>
      </c>
      <c r="R125" s="42" t="str">
        <f t="shared" si="9"/>
        <v/>
      </c>
      <c r="S125" s="46" t="s">
        <v>67</v>
      </c>
      <c r="T125" s="46" t="str">
        <f t="shared" si="10"/>
        <v/>
      </c>
      <c r="U125" s="46" t="str">
        <f t="shared" si="11"/>
        <v/>
      </c>
      <c r="V125" s="42" t="str">
        <f>IF(F125="","",O125*#REF!)</f>
        <v/>
      </c>
      <c r="W125" s="29"/>
    </row>
    <row r="126" spans="1:23" s="2" customFormat="1" ht="18" customHeight="1">
      <c r="A126" s="6"/>
      <c r="B126" s="48"/>
      <c r="C126" s="30" t="s">
        <v>67</v>
      </c>
      <c r="D126" s="31" t="s">
        <v>67</v>
      </c>
      <c r="E126" s="30" t="str">
        <f t="shared" si="12"/>
        <v/>
      </c>
      <c r="F126" s="31" t="s">
        <v>67</v>
      </c>
      <c r="G126" s="32" t="s">
        <v>67</v>
      </c>
      <c r="H126" s="31" t="s">
        <v>67</v>
      </c>
      <c r="I126" s="32" t="s">
        <v>67</v>
      </c>
      <c r="J126" s="33" t="str">
        <f t="shared" si="14"/>
        <v/>
      </c>
      <c r="K126" s="32" t="s">
        <v>67</v>
      </c>
      <c r="L126" s="33"/>
      <c r="M126" s="33"/>
      <c r="N126" s="34" t="str">
        <f t="shared" si="13"/>
        <v/>
      </c>
      <c r="O126" s="34" t="str">
        <f>IF(F126="","",N126*#REF!/100)</f>
        <v/>
      </c>
      <c r="P126" s="35" t="s">
        <v>67</v>
      </c>
      <c r="Q126" s="36" t="str">
        <f t="shared" si="8"/>
        <v/>
      </c>
      <c r="R126" s="34" t="str">
        <f t="shared" si="9"/>
        <v/>
      </c>
      <c r="S126" s="37" t="s">
        <v>67</v>
      </c>
      <c r="T126" s="37" t="str">
        <f t="shared" si="10"/>
        <v/>
      </c>
      <c r="U126" s="37" t="str">
        <f t="shared" si="11"/>
        <v/>
      </c>
      <c r="V126" s="34" t="str">
        <f>IF(F126="","",O126*#REF!)</f>
        <v/>
      </c>
      <c r="W126" s="29"/>
    </row>
    <row r="127" spans="1:23" s="2" customFormat="1" ht="18" customHeight="1">
      <c r="A127" s="6"/>
      <c r="B127" s="48"/>
      <c r="C127" s="38" t="s">
        <v>67</v>
      </c>
      <c r="D127" s="39" t="s">
        <v>67</v>
      </c>
      <c r="E127" s="38" t="str">
        <f t="shared" si="12"/>
        <v/>
      </c>
      <c r="F127" s="39" t="s">
        <v>67</v>
      </c>
      <c r="G127" s="40" t="s">
        <v>67</v>
      </c>
      <c r="H127" s="39" t="s">
        <v>67</v>
      </c>
      <c r="I127" s="40" t="s">
        <v>67</v>
      </c>
      <c r="J127" s="41" t="str">
        <f t="shared" si="14"/>
        <v/>
      </c>
      <c r="K127" s="40" t="s">
        <v>67</v>
      </c>
      <c r="L127" s="41"/>
      <c r="M127" s="41"/>
      <c r="N127" s="42" t="str">
        <f t="shared" si="13"/>
        <v/>
      </c>
      <c r="O127" s="42" t="str">
        <f>IF(F127="","",N127*#REF!/100)</f>
        <v/>
      </c>
      <c r="P127" s="44" t="s">
        <v>67</v>
      </c>
      <c r="Q127" s="45" t="str">
        <f t="shared" si="8"/>
        <v/>
      </c>
      <c r="R127" s="42" t="str">
        <f t="shared" si="9"/>
        <v/>
      </c>
      <c r="S127" s="46" t="s">
        <v>67</v>
      </c>
      <c r="T127" s="46" t="str">
        <f t="shared" si="10"/>
        <v/>
      </c>
      <c r="U127" s="46" t="str">
        <f t="shared" si="11"/>
        <v/>
      </c>
      <c r="V127" s="42" t="str">
        <f>IF(F127="","",O127*#REF!)</f>
        <v/>
      </c>
      <c r="W127" s="29"/>
    </row>
    <row r="128" spans="1:23" s="2" customFormat="1" ht="18" customHeight="1">
      <c r="A128" s="6"/>
      <c r="B128" s="48"/>
      <c r="C128" s="30" t="s">
        <v>67</v>
      </c>
      <c r="D128" s="31" t="s">
        <v>67</v>
      </c>
      <c r="E128" s="30" t="str">
        <f t="shared" si="12"/>
        <v/>
      </c>
      <c r="F128" s="31" t="s">
        <v>67</v>
      </c>
      <c r="G128" s="32" t="s">
        <v>67</v>
      </c>
      <c r="H128" s="31" t="s">
        <v>67</v>
      </c>
      <c r="I128" s="32" t="s">
        <v>67</v>
      </c>
      <c r="J128" s="33" t="str">
        <f t="shared" si="14"/>
        <v/>
      </c>
      <c r="K128" s="32" t="s">
        <v>67</v>
      </c>
      <c r="L128" s="33"/>
      <c r="M128" s="33"/>
      <c r="N128" s="34" t="str">
        <f t="shared" si="13"/>
        <v/>
      </c>
      <c r="O128" s="34" t="str">
        <f>IF(F128="","",N128*#REF!/100)</f>
        <v/>
      </c>
      <c r="P128" s="35" t="s">
        <v>67</v>
      </c>
      <c r="Q128" s="36" t="str">
        <f t="shared" si="8"/>
        <v/>
      </c>
      <c r="R128" s="34" t="str">
        <f t="shared" si="9"/>
        <v/>
      </c>
      <c r="S128" s="37" t="s">
        <v>67</v>
      </c>
      <c r="T128" s="37" t="str">
        <f t="shared" si="10"/>
        <v/>
      </c>
      <c r="U128" s="37" t="str">
        <f t="shared" si="11"/>
        <v/>
      </c>
      <c r="V128" s="34" t="str">
        <f>IF(F128="","",O128*#REF!)</f>
        <v/>
      </c>
      <c r="W128" s="29"/>
    </row>
    <row r="129" spans="1:28" s="2" customFormat="1" ht="18" customHeight="1">
      <c r="A129" s="6"/>
      <c r="B129" s="48"/>
      <c r="C129" s="38" t="s">
        <v>67</v>
      </c>
      <c r="D129" s="39" t="s">
        <v>67</v>
      </c>
      <c r="E129" s="38" t="str">
        <f t="shared" si="12"/>
        <v/>
      </c>
      <c r="F129" s="39" t="s">
        <v>67</v>
      </c>
      <c r="G129" s="40" t="s">
        <v>67</v>
      </c>
      <c r="H129" s="39" t="s">
        <v>67</v>
      </c>
      <c r="I129" s="40" t="s">
        <v>67</v>
      </c>
      <c r="J129" s="41" t="str">
        <f t="shared" si="14"/>
        <v/>
      </c>
      <c r="K129" s="40" t="s">
        <v>67</v>
      </c>
      <c r="L129" s="41"/>
      <c r="M129" s="41"/>
      <c r="N129" s="42" t="str">
        <f t="shared" si="13"/>
        <v/>
      </c>
      <c r="O129" s="42" t="str">
        <f>IF(F129="","",N129*#REF!/100)</f>
        <v/>
      </c>
      <c r="P129" s="44" t="s">
        <v>67</v>
      </c>
      <c r="Q129" s="45" t="str">
        <f t="shared" si="8"/>
        <v/>
      </c>
      <c r="R129" s="42" t="str">
        <f t="shared" si="9"/>
        <v/>
      </c>
      <c r="S129" s="46" t="s">
        <v>67</v>
      </c>
      <c r="T129" s="46" t="str">
        <f t="shared" si="10"/>
        <v/>
      </c>
      <c r="U129" s="46" t="str">
        <f t="shared" si="11"/>
        <v/>
      </c>
      <c r="V129" s="42" t="str">
        <f>IF(F129="","",O129*#REF!)</f>
        <v/>
      </c>
      <c r="W129" s="29"/>
    </row>
    <row r="130" spans="1:28" s="2" customFormat="1" ht="18" customHeight="1">
      <c r="A130" s="6"/>
      <c r="B130" s="48"/>
      <c r="C130" s="30" t="s">
        <v>67</v>
      </c>
      <c r="D130" s="31" t="s">
        <v>67</v>
      </c>
      <c r="E130" s="30" t="str">
        <f t="shared" si="12"/>
        <v/>
      </c>
      <c r="F130" s="31" t="s">
        <v>67</v>
      </c>
      <c r="G130" s="32" t="s">
        <v>67</v>
      </c>
      <c r="H130" s="31" t="s">
        <v>67</v>
      </c>
      <c r="I130" s="32" t="s">
        <v>67</v>
      </c>
      <c r="J130" s="33" t="str">
        <f t="shared" si="14"/>
        <v/>
      </c>
      <c r="K130" s="32" t="s">
        <v>67</v>
      </c>
      <c r="L130" s="33"/>
      <c r="M130" s="33"/>
      <c r="N130" s="34" t="str">
        <f t="shared" si="13"/>
        <v/>
      </c>
      <c r="O130" s="34" t="str">
        <f>IF(F130="","",N130*#REF!/100)</f>
        <v/>
      </c>
      <c r="P130" s="35" t="s">
        <v>67</v>
      </c>
      <c r="Q130" s="36" t="str">
        <f t="shared" si="8"/>
        <v/>
      </c>
      <c r="R130" s="34" t="str">
        <f t="shared" si="9"/>
        <v/>
      </c>
      <c r="S130" s="37" t="s">
        <v>67</v>
      </c>
      <c r="T130" s="37" t="str">
        <f t="shared" si="10"/>
        <v/>
      </c>
      <c r="U130" s="37" t="str">
        <f t="shared" si="11"/>
        <v/>
      </c>
      <c r="V130" s="34" t="str">
        <f>IF(F130="","",O130*#REF!)</f>
        <v/>
      </c>
      <c r="W130" s="29"/>
    </row>
    <row r="131" spans="1:28" s="2" customFormat="1" ht="18" customHeight="1">
      <c r="A131" s="6"/>
      <c r="B131" s="48"/>
      <c r="C131" s="38" t="s">
        <v>67</v>
      </c>
      <c r="D131" s="39" t="s">
        <v>67</v>
      </c>
      <c r="E131" s="38" t="str">
        <f t="shared" si="12"/>
        <v/>
      </c>
      <c r="F131" s="39" t="s">
        <v>67</v>
      </c>
      <c r="G131" s="40" t="s">
        <v>67</v>
      </c>
      <c r="H131" s="39" t="s">
        <v>67</v>
      </c>
      <c r="I131" s="40" t="s">
        <v>67</v>
      </c>
      <c r="J131" s="41" t="str">
        <f t="shared" si="14"/>
        <v/>
      </c>
      <c r="K131" s="40" t="s">
        <v>67</v>
      </c>
      <c r="L131" s="41"/>
      <c r="M131" s="41"/>
      <c r="N131" s="42" t="str">
        <f t="shared" si="13"/>
        <v/>
      </c>
      <c r="O131" s="42" t="str">
        <f>IF(F131="","",N131*#REF!/100)</f>
        <v/>
      </c>
      <c r="P131" s="44" t="s">
        <v>67</v>
      </c>
      <c r="Q131" s="45" t="str">
        <f t="shared" si="8"/>
        <v/>
      </c>
      <c r="R131" s="42" t="str">
        <f t="shared" si="9"/>
        <v/>
      </c>
      <c r="S131" s="46" t="s">
        <v>67</v>
      </c>
      <c r="T131" s="46" t="str">
        <f t="shared" si="10"/>
        <v/>
      </c>
      <c r="U131" s="46" t="str">
        <f t="shared" si="11"/>
        <v/>
      </c>
      <c r="V131" s="42" t="str">
        <f>IF(F131="","",O131*#REF!)</f>
        <v/>
      </c>
      <c r="W131" s="29"/>
    </row>
    <row r="132" spans="1:28" s="2" customFormat="1" ht="18" customHeight="1">
      <c r="A132" s="6"/>
      <c r="B132" s="48"/>
      <c r="C132" s="30" t="s">
        <v>67</v>
      </c>
      <c r="D132" s="31" t="s">
        <v>67</v>
      </c>
      <c r="E132" s="30" t="str">
        <f t="shared" si="12"/>
        <v/>
      </c>
      <c r="F132" s="31" t="s">
        <v>67</v>
      </c>
      <c r="G132" s="32" t="s">
        <v>67</v>
      </c>
      <c r="H132" s="31" t="s">
        <v>67</v>
      </c>
      <c r="I132" s="32" t="s">
        <v>67</v>
      </c>
      <c r="J132" s="33" t="str">
        <f t="shared" si="14"/>
        <v/>
      </c>
      <c r="K132" s="32" t="s">
        <v>67</v>
      </c>
      <c r="L132" s="33"/>
      <c r="M132" s="33"/>
      <c r="N132" s="34" t="str">
        <f t="shared" si="13"/>
        <v/>
      </c>
      <c r="O132" s="34" t="str">
        <f>IF(F132="","",N132*#REF!/100)</f>
        <v/>
      </c>
      <c r="P132" s="35" t="s">
        <v>67</v>
      </c>
      <c r="Q132" s="36" t="str">
        <f t="shared" si="8"/>
        <v/>
      </c>
      <c r="R132" s="34" t="str">
        <f t="shared" si="9"/>
        <v/>
      </c>
      <c r="S132" s="37" t="s">
        <v>67</v>
      </c>
      <c r="T132" s="37" t="str">
        <f t="shared" si="10"/>
        <v/>
      </c>
      <c r="U132" s="37" t="str">
        <f t="shared" si="11"/>
        <v/>
      </c>
      <c r="V132" s="34" t="str">
        <f>IF(F132="","",O132*#REF!)</f>
        <v/>
      </c>
      <c r="W132" s="29"/>
    </row>
    <row r="133" spans="1:28" s="2" customFormat="1" ht="18" customHeight="1">
      <c r="A133" s="6"/>
      <c r="B133" s="48"/>
      <c r="C133" s="38" t="s">
        <v>67</v>
      </c>
      <c r="D133" s="39" t="s">
        <v>67</v>
      </c>
      <c r="E133" s="38" t="str">
        <f t="shared" si="12"/>
        <v/>
      </c>
      <c r="F133" s="39" t="s">
        <v>67</v>
      </c>
      <c r="G133" s="40" t="s">
        <v>67</v>
      </c>
      <c r="H133" s="39" t="s">
        <v>67</v>
      </c>
      <c r="I133" s="40" t="s">
        <v>67</v>
      </c>
      <c r="J133" s="41" t="str">
        <f t="shared" si="14"/>
        <v/>
      </c>
      <c r="K133" s="40" t="s">
        <v>67</v>
      </c>
      <c r="L133" s="41"/>
      <c r="M133" s="41"/>
      <c r="N133" s="42" t="str">
        <f t="shared" si="13"/>
        <v/>
      </c>
      <c r="O133" s="42" t="str">
        <f>IF(F133="","",N133*#REF!/100)</f>
        <v/>
      </c>
      <c r="P133" s="44" t="s">
        <v>67</v>
      </c>
      <c r="Q133" s="45" t="str">
        <f t="shared" si="8"/>
        <v/>
      </c>
      <c r="R133" s="42" t="str">
        <f t="shared" si="9"/>
        <v/>
      </c>
      <c r="S133" s="46" t="s">
        <v>67</v>
      </c>
      <c r="T133" s="46" t="str">
        <f t="shared" si="10"/>
        <v/>
      </c>
      <c r="U133" s="46" t="str">
        <f t="shared" si="11"/>
        <v/>
      </c>
      <c r="V133" s="42" t="str">
        <f>IF(F133="","",O133*#REF!)</f>
        <v/>
      </c>
      <c r="W133" s="29"/>
    </row>
    <row r="134" spans="1:28" s="2" customFormat="1" ht="18" customHeight="1">
      <c r="A134" s="6"/>
      <c r="B134" s="48"/>
      <c r="C134" s="49" t="s">
        <v>67</v>
      </c>
      <c r="D134" s="50" t="s">
        <v>67</v>
      </c>
      <c r="E134" s="49" t="str">
        <f t="shared" si="12"/>
        <v/>
      </c>
      <c r="F134" s="50" t="s">
        <v>67</v>
      </c>
      <c r="G134" s="51" t="s">
        <v>67</v>
      </c>
      <c r="H134" s="50" t="s">
        <v>67</v>
      </c>
      <c r="I134" s="51" t="s">
        <v>67</v>
      </c>
      <c r="J134" s="52" t="str">
        <f t="shared" si="14"/>
        <v/>
      </c>
      <c r="K134" s="51" t="s">
        <v>67</v>
      </c>
      <c r="L134" s="33"/>
      <c r="M134" s="33"/>
      <c r="N134" s="53" t="str">
        <f t="shared" si="13"/>
        <v/>
      </c>
      <c r="O134" s="53" t="str">
        <f>IF(F134="","",N134*#REF!/100)</f>
        <v/>
      </c>
      <c r="P134" s="54" t="s">
        <v>67</v>
      </c>
      <c r="Q134" s="55" t="str">
        <f t="shared" si="8"/>
        <v/>
      </c>
      <c r="R134" s="53" t="str">
        <f t="shared" si="9"/>
        <v/>
      </c>
      <c r="S134" s="56" t="s">
        <v>67</v>
      </c>
      <c r="T134" s="56" t="str">
        <f t="shared" si="10"/>
        <v/>
      </c>
      <c r="U134" s="56" t="str">
        <f t="shared" si="11"/>
        <v/>
      </c>
      <c r="V134" s="53" t="str">
        <f>IF(F134="","",O134*#REF!)</f>
        <v/>
      </c>
      <c r="W134" s="29"/>
    </row>
    <row r="135" spans="1:28" s="2" customFormat="1" ht="18" customHeight="1">
      <c r="A135" s="6"/>
      <c r="B135" s="48"/>
      <c r="C135" s="1793"/>
      <c r="D135" s="1793"/>
      <c r="E135" s="1793"/>
      <c r="F135" s="1793"/>
      <c r="G135" s="1793"/>
      <c r="H135" s="1793"/>
      <c r="I135" s="1794"/>
      <c r="J135" s="57">
        <f>SUM(J100:J134)</f>
        <v>0</v>
      </c>
      <c r="K135" s="58"/>
      <c r="L135" s="57"/>
      <c r="M135" s="57"/>
      <c r="N135" s="57">
        <f>SUM(N100:N134)</f>
        <v>0</v>
      </c>
      <c r="O135" s="57">
        <f>SUM(O100:O134)</f>
        <v>0</v>
      </c>
      <c r="P135" s="1530"/>
      <c r="Q135" s="1531"/>
      <c r="R135" s="60">
        <f>SUM(R100:R134)</f>
        <v>0</v>
      </c>
      <c r="S135" s="61" t="s">
        <v>44</v>
      </c>
      <c r="T135" s="62"/>
      <c r="U135" s="63" t="e">
        <f>V135/O135</f>
        <v>#DIV/0!</v>
      </c>
      <c r="V135" s="65">
        <f>SUM(V100:V134)</f>
        <v>0</v>
      </c>
      <c r="W135" s="29"/>
    </row>
    <row r="136" spans="1:28" s="2" customFormat="1" ht="18" customHeight="1">
      <c r="A136" s="6"/>
      <c r="B136" s="66"/>
      <c r="C136" s="1869" t="e">
        <f>+C85</f>
        <v>#REF!</v>
      </c>
      <c r="D136" s="1870"/>
      <c r="E136" s="1870"/>
      <c r="F136" s="1870"/>
      <c r="G136" s="1870"/>
      <c r="H136" s="1870"/>
      <c r="I136" s="1870"/>
      <c r="J136" s="1870"/>
      <c r="K136" s="1870"/>
      <c r="L136" s="1870"/>
      <c r="M136" s="1870"/>
      <c r="N136" s="1870"/>
      <c r="O136" s="67" t="e">
        <f>R136/1.02</f>
        <v>#REF!</v>
      </c>
      <c r="P136" s="68" t="e">
        <f>+P85</f>
        <v>#REF!</v>
      </c>
      <c r="Q136" s="69" t="s">
        <v>46</v>
      </c>
      <c r="R136" s="70" t="e">
        <f>+P136*R135/1000</f>
        <v>#REF!</v>
      </c>
      <c r="S136" s="1860"/>
      <c r="T136" s="1861"/>
      <c r="U136" s="1861"/>
      <c r="V136" s="1862"/>
      <c r="W136" s="29"/>
    </row>
    <row r="137" spans="1:28" s="76" customFormat="1" ht="6" customHeight="1">
      <c r="A137" s="71"/>
      <c r="B137" s="72"/>
      <c r="C137" s="73"/>
      <c r="D137" s="73"/>
      <c r="E137" s="73"/>
      <c r="F137" s="73"/>
      <c r="G137" s="73"/>
      <c r="H137" s="73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5"/>
      <c r="W137" s="29"/>
      <c r="X137" s="2"/>
      <c r="Y137" s="2"/>
      <c r="Z137" s="2"/>
      <c r="AA137" s="2"/>
      <c r="AB137" s="2"/>
    </row>
    <row r="138" spans="1:28" s="76" customFormat="1" ht="7.5" customHeight="1">
      <c r="A138" s="71"/>
      <c r="B138" s="1863" t="s">
        <v>58</v>
      </c>
      <c r="C138" s="1864"/>
      <c r="D138" s="1864"/>
      <c r="E138" s="1864"/>
      <c r="F138" s="1864"/>
      <c r="G138" s="1864"/>
      <c r="H138" s="1864"/>
      <c r="I138" s="1864"/>
      <c r="J138" s="1864"/>
      <c r="K138" s="1864"/>
      <c r="L138" s="1864"/>
      <c r="M138" s="1864"/>
      <c r="N138" s="1864"/>
      <c r="O138" s="1864"/>
      <c r="P138" s="1864"/>
      <c r="Q138" s="1864"/>
      <c r="R138" s="1864"/>
      <c r="S138" s="1864"/>
      <c r="T138" s="1864"/>
      <c r="U138" s="1864"/>
      <c r="V138" s="1865"/>
      <c r="W138" s="29"/>
      <c r="X138" s="2"/>
      <c r="Y138" s="2"/>
      <c r="Z138" s="2"/>
      <c r="AA138" s="2"/>
      <c r="AB138" s="2"/>
    </row>
    <row r="139" spans="1:28" s="76" customFormat="1" ht="7.5" customHeight="1">
      <c r="A139" s="71"/>
      <c r="B139" s="1866"/>
      <c r="C139" s="1867"/>
      <c r="D139" s="1867"/>
      <c r="E139" s="1867"/>
      <c r="F139" s="1867"/>
      <c r="G139" s="1867"/>
      <c r="H139" s="1867"/>
      <c r="I139" s="1867"/>
      <c r="J139" s="1867"/>
      <c r="K139" s="1867"/>
      <c r="L139" s="1867"/>
      <c r="M139" s="1867"/>
      <c r="N139" s="1867"/>
      <c r="O139" s="1867"/>
      <c r="P139" s="1867"/>
      <c r="Q139" s="1867"/>
      <c r="R139" s="1867"/>
      <c r="S139" s="1867"/>
      <c r="T139" s="1867"/>
      <c r="U139" s="1867"/>
      <c r="V139" s="1868"/>
      <c r="W139" s="29"/>
      <c r="X139" s="2"/>
      <c r="Y139" s="2"/>
      <c r="Z139" s="2"/>
      <c r="AA139" s="2"/>
      <c r="AB139" s="2"/>
    </row>
    <row r="140" spans="1:28" s="76" customFormat="1" ht="5.0999999999999996" customHeight="1">
      <c r="A140" s="71"/>
      <c r="B140" s="72"/>
      <c r="C140" s="72"/>
      <c r="D140" s="72"/>
      <c r="E140" s="72"/>
      <c r="F140" s="72"/>
      <c r="G140" s="72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8"/>
      <c r="W140" s="29"/>
      <c r="X140" s="2"/>
      <c r="Y140" s="2"/>
      <c r="Z140" s="2"/>
      <c r="AA140" s="2"/>
      <c r="AB140" s="2"/>
    </row>
    <row r="141" spans="1:28" s="76" customFormat="1" ht="15.6" customHeight="1">
      <c r="A141" s="71"/>
      <c r="B141" s="79" t="s">
        <v>47</v>
      </c>
      <c r="C141" s="80"/>
      <c r="D141" s="80"/>
      <c r="E141" s="81"/>
      <c r="F141" s="82"/>
      <c r="G141" s="82"/>
      <c r="H141" s="83"/>
      <c r="I141" s="84"/>
      <c r="J141" s="84"/>
      <c r="K141" s="85"/>
      <c r="L141" s="86" t="s">
        <v>48</v>
      </c>
      <c r="M141" s="83" t="e">
        <f>+M90</f>
        <v>#REF!</v>
      </c>
      <c r="N141" s="82"/>
      <c r="O141" s="84"/>
      <c r="P141" s="83"/>
      <c r="Q141" s="84"/>
      <c r="R141" s="84"/>
      <c r="S141" s="83"/>
      <c r="T141" s="84"/>
      <c r="U141" s="84"/>
      <c r="V141" s="87" t="s">
        <v>49</v>
      </c>
      <c r="W141" s="29"/>
      <c r="X141" s="2"/>
      <c r="Y141" s="2"/>
      <c r="Z141" s="2"/>
      <c r="AA141" s="2"/>
      <c r="AB141" s="2"/>
    </row>
    <row r="142" spans="1:28" s="76" customFormat="1" ht="15.6" customHeight="1">
      <c r="A142" s="71"/>
      <c r="B142" s="88"/>
      <c r="C142" s="89"/>
      <c r="D142" s="89"/>
      <c r="E142" s="96"/>
      <c r="F142" s="90"/>
      <c r="G142" s="90"/>
      <c r="H142" s="91"/>
      <c r="I142" s="92"/>
      <c r="J142" s="92"/>
      <c r="K142" s="93"/>
      <c r="L142" s="94" t="s">
        <v>50</v>
      </c>
      <c r="M142" s="91" t="e">
        <f t="shared" ref="M142:M145" si="15">+M91</f>
        <v>#REF!</v>
      </c>
      <c r="N142" s="90"/>
      <c r="O142" s="92"/>
      <c r="P142" s="91"/>
      <c r="Q142" s="92"/>
      <c r="R142" s="92"/>
      <c r="S142" s="91"/>
      <c r="T142" s="92"/>
      <c r="U142" s="92"/>
      <c r="V142" s="95"/>
      <c r="W142" s="29"/>
      <c r="X142" s="2"/>
      <c r="Y142" s="2"/>
      <c r="Z142" s="2"/>
      <c r="AA142" s="2"/>
      <c r="AB142" s="2"/>
    </row>
    <row r="143" spans="1:28" s="76" customFormat="1" ht="15.6" customHeight="1">
      <c r="A143" s="71"/>
      <c r="B143" s="88"/>
      <c r="C143" s="89"/>
      <c r="D143" s="89"/>
      <c r="E143" s="96"/>
      <c r="F143" s="90"/>
      <c r="G143" s="90"/>
      <c r="H143" s="91"/>
      <c r="I143" s="92"/>
      <c r="J143" s="92"/>
      <c r="K143" s="93"/>
      <c r="L143" s="94" t="s">
        <v>51</v>
      </c>
      <c r="M143" s="91" t="e">
        <f t="shared" si="15"/>
        <v>#REF!</v>
      </c>
      <c r="N143" s="90"/>
      <c r="O143" s="92"/>
      <c r="P143" s="91"/>
      <c r="Q143" s="92"/>
      <c r="R143" s="92"/>
      <c r="S143" s="91"/>
      <c r="T143" s="92"/>
      <c r="U143" s="92"/>
      <c r="V143" s="1871" t="s">
        <v>52</v>
      </c>
      <c r="W143" s="29"/>
      <c r="X143" s="2"/>
      <c r="Y143" s="2"/>
      <c r="Z143" s="2"/>
      <c r="AA143" s="2"/>
      <c r="AB143" s="2"/>
    </row>
    <row r="144" spans="1:28" s="76" customFormat="1" ht="15.6" customHeight="1">
      <c r="A144" s="71"/>
      <c r="B144" s="88"/>
      <c r="C144" s="89"/>
      <c r="D144" s="89"/>
      <c r="E144" s="96"/>
      <c r="F144" s="90"/>
      <c r="G144" s="90"/>
      <c r="H144" s="91"/>
      <c r="I144" s="92"/>
      <c r="J144" s="92"/>
      <c r="K144" s="93"/>
      <c r="L144" s="94" t="s">
        <v>53</v>
      </c>
      <c r="M144" s="91" t="e">
        <f t="shared" si="15"/>
        <v>#REF!</v>
      </c>
      <c r="N144" s="90"/>
      <c r="O144" s="92"/>
      <c r="P144" s="91"/>
      <c r="Q144" s="92"/>
      <c r="R144" s="92"/>
      <c r="S144" s="91"/>
      <c r="T144" s="92"/>
      <c r="U144" s="92"/>
      <c r="V144" s="1872"/>
      <c r="W144" s="29"/>
      <c r="X144" s="2"/>
      <c r="Y144" s="2"/>
      <c r="Z144" s="2"/>
      <c r="AA144" s="2"/>
      <c r="AB144" s="2"/>
    </row>
    <row r="145" spans="1:28" s="76" customFormat="1" ht="15.6" customHeight="1">
      <c r="A145" s="71"/>
      <c r="B145" s="97"/>
      <c r="C145" s="73"/>
      <c r="D145" s="73"/>
      <c r="E145" s="73"/>
      <c r="F145" s="73"/>
      <c r="G145" s="73"/>
      <c r="H145" s="73"/>
      <c r="I145" s="98" t="s">
        <v>54</v>
      </c>
      <c r="J145" s="99">
        <f ca="1">TODAY()</f>
        <v>46063</v>
      </c>
      <c r="K145" s="100"/>
      <c r="L145" s="101" t="s">
        <v>55</v>
      </c>
      <c r="M145" s="74" t="e">
        <f t="shared" si="15"/>
        <v>#REF!</v>
      </c>
      <c r="N145" s="73"/>
      <c r="O145" s="74"/>
      <c r="P145" s="74"/>
      <c r="Q145" s="74"/>
      <c r="R145" s="74"/>
      <c r="S145" s="74"/>
      <c r="T145" s="74"/>
      <c r="U145" s="74"/>
      <c r="V145" s="1873"/>
      <c r="W145" s="29"/>
      <c r="X145" s="2"/>
      <c r="Y145" s="2"/>
      <c r="Z145" s="2"/>
      <c r="AA145" s="2"/>
      <c r="AB145" s="2"/>
    </row>
    <row r="146" spans="1:28" s="106" customFormat="1" ht="8.1" customHeight="1">
      <c r="A146" s="102"/>
      <c r="B146" s="103"/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4"/>
      <c r="X146" s="105"/>
      <c r="Y146" s="105"/>
      <c r="Z146" s="105"/>
      <c r="AA146" s="105"/>
      <c r="AB146" s="105"/>
    </row>
    <row r="147" spans="1:28" ht="8.1" customHeight="1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5"/>
    </row>
    <row r="148" spans="1:28" s="2" customFormat="1" ht="22.5" customHeight="1">
      <c r="A148" s="6"/>
      <c r="B148" s="7"/>
      <c r="C148" s="1856" t="s">
        <v>4</v>
      </c>
      <c r="D148" s="1857"/>
      <c r="E148" s="1858" t="s">
        <v>5</v>
      </c>
      <c r="F148" s="8" t="s">
        <v>6</v>
      </c>
      <c r="G148" s="8"/>
      <c r="H148" s="8"/>
      <c r="I148" s="9"/>
      <c r="J148" s="1532" t="s">
        <v>7</v>
      </c>
      <c r="K148" s="1532" t="s">
        <v>8</v>
      </c>
      <c r="L148" s="1532" t="s">
        <v>9</v>
      </c>
      <c r="M148" s="1532" t="s">
        <v>9</v>
      </c>
      <c r="N148" s="1532" t="s">
        <v>9</v>
      </c>
      <c r="O148" s="1532"/>
      <c r="P148" s="10" t="s">
        <v>10</v>
      </c>
      <c r="Q148" s="9"/>
      <c r="R148" s="1532"/>
      <c r="S148" s="11" t="s">
        <v>11</v>
      </c>
      <c r="T148" s="12"/>
      <c r="U148" s="12"/>
      <c r="V148" s="1532" t="s">
        <v>12</v>
      </c>
      <c r="W148" s="14"/>
    </row>
    <row r="149" spans="1:28" s="2" customFormat="1" ht="22.5" customHeight="1">
      <c r="A149" s="6"/>
      <c r="B149" s="15" t="s">
        <v>13</v>
      </c>
      <c r="C149" s="1858" t="s">
        <v>14</v>
      </c>
      <c r="D149" s="16" t="s">
        <v>15</v>
      </c>
      <c r="E149" s="1859"/>
      <c r="F149" s="12" t="s">
        <v>16</v>
      </c>
      <c r="G149" s="13"/>
      <c r="H149" s="11" t="s">
        <v>17</v>
      </c>
      <c r="I149" s="13"/>
      <c r="J149" s="1533" t="s">
        <v>18</v>
      </c>
      <c r="K149" s="1533" t="s">
        <v>19</v>
      </c>
      <c r="L149" s="17" t="s">
        <v>20</v>
      </c>
      <c r="M149" s="1533" t="s">
        <v>56</v>
      </c>
      <c r="N149" s="1533" t="s">
        <v>0</v>
      </c>
      <c r="O149" s="1533" t="s">
        <v>22</v>
      </c>
      <c r="P149" s="18" t="s">
        <v>23</v>
      </c>
      <c r="Q149" s="19"/>
      <c r="R149" s="1533" t="s">
        <v>24</v>
      </c>
      <c r="S149" s="1532" t="s">
        <v>25</v>
      </c>
      <c r="T149" s="1532" t="s">
        <v>26</v>
      </c>
      <c r="U149" s="1532" t="s">
        <v>27</v>
      </c>
      <c r="V149" s="1533" t="s">
        <v>29</v>
      </c>
      <c r="W149" s="14"/>
    </row>
    <row r="150" spans="1:28" s="2" customFormat="1" ht="22.5" customHeight="1">
      <c r="A150" s="6"/>
      <c r="B150" s="15" t="s">
        <v>30</v>
      </c>
      <c r="C150" s="1859"/>
      <c r="D150" s="16" t="s">
        <v>31</v>
      </c>
      <c r="E150" s="1859"/>
      <c r="F150" s="20" t="s">
        <v>32</v>
      </c>
      <c r="G150" s="1532" t="s">
        <v>33</v>
      </c>
      <c r="H150" s="1532" t="s">
        <v>32</v>
      </c>
      <c r="I150" s="1532" t="s">
        <v>33</v>
      </c>
      <c r="J150" s="1533" t="s">
        <v>34</v>
      </c>
      <c r="K150" s="1533" t="s">
        <v>34</v>
      </c>
      <c r="L150" s="1533" t="s">
        <v>35</v>
      </c>
      <c r="M150" s="1533" t="s">
        <v>35</v>
      </c>
      <c r="N150" s="1533" t="s">
        <v>35</v>
      </c>
      <c r="O150" s="1533" t="s">
        <v>37</v>
      </c>
      <c r="P150" s="18" t="s">
        <v>38</v>
      </c>
      <c r="Q150" s="19"/>
      <c r="R150" s="1533" t="s">
        <v>39</v>
      </c>
      <c r="S150" s="1533"/>
      <c r="T150" s="1533" t="s">
        <v>40</v>
      </c>
      <c r="U150" s="1533" t="s">
        <v>41</v>
      </c>
      <c r="V150" s="1533" t="s">
        <v>42</v>
      </c>
      <c r="W150" s="14"/>
    </row>
    <row r="151" spans="1:28" s="2" customFormat="1" ht="18" customHeight="1">
      <c r="A151" s="6"/>
      <c r="B151" s="1791" t="str">
        <f>+B100</f>
        <v xml:space="preserve">TELA ELETROSOLDADA                                                                                                                                                         </v>
      </c>
      <c r="C151" s="21" t="e">
        <v>#REF!</v>
      </c>
      <c r="D151" s="22" t="e">
        <v>#REF!</v>
      </c>
      <c r="E151" s="21" t="e">
        <f>IF(F151="","","Faixa Adicional LD")</f>
        <v>#REF!</v>
      </c>
      <c r="F151" s="22" t="e">
        <v>#REF!</v>
      </c>
      <c r="G151" s="23" t="e">
        <v>#REF!</v>
      </c>
      <c r="H151" s="22" t="e">
        <v>#REF!</v>
      </c>
      <c r="I151" s="23" t="e">
        <v>#REF!</v>
      </c>
      <c r="J151" s="24" t="e">
        <f>IF(F151="","",((H151-F151)*20)+I151-G151)</f>
        <v>#REF!</v>
      </c>
      <c r="K151" s="23" t="e">
        <v>#REF!</v>
      </c>
      <c r="L151" s="24"/>
      <c r="M151" s="24"/>
      <c r="N151" s="25" t="e">
        <f>IF(F151="","",(J151*K151)+M151+L151)</f>
        <v>#REF!</v>
      </c>
      <c r="O151" s="25" t="e">
        <f>IF(F151="","",N151*#REF!/100)</f>
        <v>#REF!</v>
      </c>
      <c r="P151" s="26" t="e">
        <v>#REF!</v>
      </c>
      <c r="Q151" s="27" t="e">
        <f t="shared" ref="Q151:Q185" si="16">IF(F151="","","t/m3")</f>
        <v>#REF!</v>
      </c>
      <c r="R151" s="25" t="e">
        <f t="shared" ref="R151:R185" si="17">IF(F151="","",O151*P151)</f>
        <v>#REF!</v>
      </c>
      <c r="S151" s="28" t="e">
        <v>#REF!</v>
      </c>
      <c r="T151" s="28" t="e">
        <f t="shared" ref="T151:T185" si="18">IF(F151="","",IF(D151&gt;H151,((D151-H151)*0.02),IF(D151&lt;F151,((F151-D151)*0.02),IF(F151="","",0))))</f>
        <v>#REF!</v>
      </c>
      <c r="U151" s="28" t="e">
        <f t="shared" ref="U151:U185" si="19">IF(F151="","",IF(D151&gt;H151,((((H151-F151)*20)+I151-G151)/2000),IF(D151&gt;F151,((((D151-F151)*0.02)^2)+(((H151-D151)*0.02)^2))/(2*((H151-F151)*0.02)),((((H151-F151)*20)+I151-G151)/2000))))</f>
        <v>#REF!</v>
      </c>
      <c r="V151" s="25" t="e">
        <f>IF(F151="","",O151*#REF!)</f>
        <v>#REF!</v>
      </c>
      <c r="W151" s="29"/>
    </row>
    <row r="152" spans="1:28" s="2" customFormat="1" ht="18" customHeight="1">
      <c r="A152" s="6"/>
      <c r="B152" s="1792"/>
      <c r="C152" s="38" t="e">
        <v>#REF!</v>
      </c>
      <c r="D152" s="39" t="e">
        <v>#REF!</v>
      </c>
      <c r="E152" s="38" t="e">
        <f t="shared" ref="E152:E185" si="20">IF(F152="","","Faixa Adicional LD")</f>
        <v>#REF!</v>
      </c>
      <c r="F152" s="39" t="e">
        <v>#REF!</v>
      </c>
      <c r="G152" s="40" t="e">
        <v>#REF!</v>
      </c>
      <c r="H152" s="39" t="e">
        <v>#REF!</v>
      </c>
      <c r="I152" s="40" t="e">
        <v>#REF!</v>
      </c>
      <c r="J152" s="41" t="e">
        <f t="shared" ref="J152:J185" si="21">IF(F152="","",((H152-F152)*20)+I152-G152)</f>
        <v>#REF!</v>
      </c>
      <c r="K152" s="40" t="e">
        <v>#REF!</v>
      </c>
      <c r="L152" s="41"/>
      <c r="M152" s="41"/>
      <c r="N152" s="42" t="e">
        <f t="shared" ref="N152:N185" si="22">IF(F152="","",(J152*K152)+M152+L152)</f>
        <v>#REF!</v>
      </c>
      <c r="O152" s="42" t="e">
        <f>IF(F152="","",N152*#REF!/100)</f>
        <v>#REF!</v>
      </c>
      <c r="P152" s="44" t="e">
        <v>#REF!</v>
      </c>
      <c r="Q152" s="45" t="e">
        <f t="shared" si="16"/>
        <v>#REF!</v>
      </c>
      <c r="R152" s="42" t="e">
        <f t="shared" si="17"/>
        <v>#REF!</v>
      </c>
      <c r="S152" s="46" t="e">
        <v>#REF!</v>
      </c>
      <c r="T152" s="46" t="e">
        <f t="shared" si="18"/>
        <v>#REF!</v>
      </c>
      <c r="U152" s="46" t="e">
        <f t="shared" si="19"/>
        <v>#REF!</v>
      </c>
      <c r="V152" s="42" t="e">
        <f>IF(F152="","",O152*#REF!)</f>
        <v>#REF!</v>
      </c>
      <c r="W152" s="29"/>
    </row>
    <row r="153" spans="1:28" s="2" customFormat="1" ht="18" customHeight="1">
      <c r="A153" s="6"/>
      <c r="B153" s="1837">
        <f>+B102</f>
        <v>0</v>
      </c>
      <c r="C153" s="30" t="e">
        <v>#REF!</v>
      </c>
      <c r="D153" s="31" t="e">
        <v>#REF!</v>
      </c>
      <c r="E153" s="30" t="e">
        <f t="shared" si="20"/>
        <v>#REF!</v>
      </c>
      <c r="F153" s="31" t="e">
        <v>#REF!</v>
      </c>
      <c r="G153" s="32" t="e">
        <v>#REF!</v>
      </c>
      <c r="H153" s="31" t="e">
        <v>#REF!</v>
      </c>
      <c r="I153" s="32" t="e">
        <v>#REF!</v>
      </c>
      <c r="J153" s="33" t="e">
        <f t="shared" si="21"/>
        <v>#REF!</v>
      </c>
      <c r="K153" s="32" t="e">
        <v>#REF!</v>
      </c>
      <c r="L153" s="33"/>
      <c r="M153" s="33"/>
      <c r="N153" s="34" t="e">
        <f t="shared" si="22"/>
        <v>#REF!</v>
      </c>
      <c r="O153" s="34" t="e">
        <f>IF(F153="","",N153*#REF!/100)</f>
        <v>#REF!</v>
      </c>
      <c r="P153" s="35" t="e">
        <v>#REF!</v>
      </c>
      <c r="Q153" s="36" t="e">
        <f t="shared" si="16"/>
        <v>#REF!</v>
      </c>
      <c r="R153" s="34" t="e">
        <f t="shared" si="17"/>
        <v>#REF!</v>
      </c>
      <c r="S153" s="37" t="e">
        <v>#REF!</v>
      </c>
      <c r="T153" s="37" t="e">
        <f t="shared" si="18"/>
        <v>#REF!</v>
      </c>
      <c r="U153" s="37" t="e">
        <f t="shared" si="19"/>
        <v>#REF!</v>
      </c>
      <c r="V153" s="34" t="e">
        <f>IF(F153="","",O153*#REF!)</f>
        <v>#REF!</v>
      </c>
      <c r="W153" s="29"/>
    </row>
    <row r="154" spans="1:28" s="2" customFormat="1" ht="18" customHeight="1">
      <c r="A154" s="6"/>
      <c r="B154" s="1837"/>
      <c r="C154" s="38" t="e">
        <v>#REF!</v>
      </c>
      <c r="D154" s="39" t="e">
        <v>#REF!</v>
      </c>
      <c r="E154" s="38" t="e">
        <f t="shared" si="20"/>
        <v>#REF!</v>
      </c>
      <c r="F154" s="39" t="e">
        <v>#REF!</v>
      </c>
      <c r="G154" s="40" t="e">
        <v>#REF!</v>
      </c>
      <c r="H154" s="39" t="e">
        <v>#REF!</v>
      </c>
      <c r="I154" s="40" t="e">
        <v>#REF!</v>
      </c>
      <c r="J154" s="41" t="e">
        <f t="shared" si="21"/>
        <v>#REF!</v>
      </c>
      <c r="K154" s="40" t="e">
        <v>#REF!</v>
      </c>
      <c r="L154" s="41"/>
      <c r="M154" s="41"/>
      <c r="N154" s="42" t="e">
        <f t="shared" si="22"/>
        <v>#REF!</v>
      </c>
      <c r="O154" s="42" t="e">
        <f>IF(F154="","",N154*#REF!/100)</f>
        <v>#REF!</v>
      </c>
      <c r="P154" s="44" t="e">
        <v>#REF!</v>
      </c>
      <c r="Q154" s="45" t="e">
        <f t="shared" si="16"/>
        <v>#REF!</v>
      </c>
      <c r="R154" s="42" t="e">
        <f t="shared" si="17"/>
        <v>#REF!</v>
      </c>
      <c r="S154" s="46" t="e">
        <v>#REF!</v>
      </c>
      <c r="T154" s="46" t="e">
        <f t="shared" si="18"/>
        <v>#REF!</v>
      </c>
      <c r="U154" s="46" t="e">
        <f t="shared" si="19"/>
        <v>#REF!</v>
      </c>
      <c r="V154" s="42" t="e">
        <f>IF(F154="","",O154*#REF!)</f>
        <v>#REF!</v>
      </c>
      <c r="W154" s="29"/>
    </row>
    <row r="155" spans="1:28" s="2" customFormat="1" ht="18" customHeight="1">
      <c r="A155" s="6"/>
      <c r="B155" s="1837"/>
      <c r="C155" s="30" t="e">
        <v>#REF!</v>
      </c>
      <c r="D155" s="31" t="e">
        <v>#REF!</v>
      </c>
      <c r="E155" s="30" t="e">
        <f t="shared" si="20"/>
        <v>#REF!</v>
      </c>
      <c r="F155" s="31" t="e">
        <v>#REF!</v>
      </c>
      <c r="G155" s="32" t="e">
        <v>#REF!</v>
      </c>
      <c r="H155" s="31" t="e">
        <v>#REF!</v>
      </c>
      <c r="I155" s="32" t="e">
        <v>#REF!</v>
      </c>
      <c r="J155" s="33" t="e">
        <f t="shared" si="21"/>
        <v>#REF!</v>
      </c>
      <c r="K155" s="32" t="e">
        <v>#REF!</v>
      </c>
      <c r="L155" s="33"/>
      <c r="M155" s="33"/>
      <c r="N155" s="34" t="e">
        <f t="shared" si="22"/>
        <v>#REF!</v>
      </c>
      <c r="O155" s="34" t="e">
        <f>IF(F155="","",N155*#REF!/100)</f>
        <v>#REF!</v>
      </c>
      <c r="P155" s="35" t="e">
        <v>#REF!</v>
      </c>
      <c r="Q155" s="36" t="e">
        <f t="shared" si="16"/>
        <v>#REF!</v>
      </c>
      <c r="R155" s="34" t="e">
        <f t="shared" si="17"/>
        <v>#REF!</v>
      </c>
      <c r="S155" s="37" t="e">
        <v>#REF!</v>
      </c>
      <c r="T155" s="37" t="e">
        <f t="shared" si="18"/>
        <v>#REF!</v>
      </c>
      <c r="U155" s="37" t="e">
        <f t="shared" si="19"/>
        <v>#REF!</v>
      </c>
      <c r="V155" s="34" t="e">
        <f>IF(F155="","",O155*#REF!)</f>
        <v>#REF!</v>
      </c>
      <c r="W155" s="29"/>
    </row>
    <row r="156" spans="1:28" s="2" customFormat="1" ht="18" customHeight="1">
      <c r="A156" s="6"/>
      <c r="B156" s="47"/>
      <c r="C156" s="38" t="e">
        <v>#REF!</v>
      </c>
      <c r="D156" s="39" t="e">
        <v>#REF!</v>
      </c>
      <c r="E156" s="38" t="e">
        <f t="shared" si="20"/>
        <v>#REF!</v>
      </c>
      <c r="F156" s="39" t="e">
        <v>#REF!</v>
      </c>
      <c r="G156" s="40" t="e">
        <v>#REF!</v>
      </c>
      <c r="H156" s="39" t="e">
        <v>#REF!</v>
      </c>
      <c r="I156" s="40" t="e">
        <v>#REF!</v>
      </c>
      <c r="J156" s="41" t="e">
        <f t="shared" si="21"/>
        <v>#REF!</v>
      </c>
      <c r="K156" s="40" t="e">
        <v>#REF!</v>
      </c>
      <c r="L156" s="41"/>
      <c r="M156" s="41"/>
      <c r="N156" s="42" t="e">
        <f t="shared" si="22"/>
        <v>#REF!</v>
      </c>
      <c r="O156" s="42" t="e">
        <f>IF(F156="","",N156*#REF!/100)</f>
        <v>#REF!</v>
      </c>
      <c r="P156" s="44" t="e">
        <v>#REF!</v>
      </c>
      <c r="Q156" s="45" t="e">
        <f t="shared" si="16"/>
        <v>#REF!</v>
      </c>
      <c r="R156" s="42" t="e">
        <f t="shared" si="17"/>
        <v>#REF!</v>
      </c>
      <c r="S156" s="46" t="e">
        <v>#REF!</v>
      </c>
      <c r="T156" s="46" t="e">
        <f t="shared" si="18"/>
        <v>#REF!</v>
      </c>
      <c r="U156" s="46" t="e">
        <f t="shared" si="19"/>
        <v>#REF!</v>
      </c>
      <c r="V156" s="42" t="e">
        <f>IF(F156="","",O156*#REF!)</f>
        <v>#REF!</v>
      </c>
      <c r="W156" s="29"/>
    </row>
    <row r="157" spans="1:28" s="2" customFormat="1" ht="18" customHeight="1">
      <c r="A157" s="6"/>
      <c r="B157" s="47"/>
      <c r="C157" s="30" t="e">
        <v>#REF!</v>
      </c>
      <c r="D157" s="31" t="e">
        <v>#REF!</v>
      </c>
      <c r="E157" s="30" t="e">
        <f t="shared" si="20"/>
        <v>#REF!</v>
      </c>
      <c r="F157" s="31" t="e">
        <v>#REF!</v>
      </c>
      <c r="G157" s="32" t="e">
        <v>#REF!</v>
      </c>
      <c r="H157" s="31" t="e">
        <v>#REF!</v>
      </c>
      <c r="I157" s="32" t="e">
        <v>#REF!</v>
      </c>
      <c r="J157" s="33" t="e">
        <f t="shared" si="21"/>
        <v>#REF!</v>
      </c>
      <c r="K157" s="32" t="e">
        <v>#REF!</v>
      </c>
      <c r="L157" s="33"/>
      <c r="M157" s="33"/>
      <c r="N157" s="34" t="e">
        <f t="shared" si="22"/>
        <v>#REF!</v>
      </c>
      <c r="O157" s="34" t="e">
        <f>IF(F157="","",N157*#REF!/100)</f>
        <v>#REF!</v>
      </c>
      <c r="P157" s="35" t="e">
        <v>#REF!</v>
      </c>
      <c r="Q157" s="36" t="e">
        <f t="shared" si="16"/>
        <v>#REF!</v>
      </c>
      <c r="R157" s="34" t="e">
        <f t="shared" si="17"/>
        <v>#REF!</v>
      </c>
      <c r="S157" s="37" t="e">
        <v>#REF!</v>
      </c>
      <c r="T157" s="37" t="e">
        <f t="shared" si="18"/>
        <v>#REF!</v>
      </c>
      <c r="U157" s="37" t="e">
        <f t="shared" si="19"/>
        <v>#REF!</v>
      </c>
      <c r="V157" s="34" t="e">
        <f>IF(F157="","",O157*#REF!)</f>
        <v>#REF!</v>
      </c>
      <c r="W157" s="29"/>
    </row>
    <row r="158" spans="1:28" s="2" customFormat="1" ht="18" customHeight="1">
      <c r="A158" s="6"/>
      <c r="B158" s="48"/>
      <c r="C158" s="38" t="e">
        <v>#REF!</v>
      </c>
      <c r="D158" s="39" t="e">
        <v>#REF!</v>
      </c>
      <c r="E158" s="38" t="e">
        <f t="shared" si="20"/>
        <v>#REF!</v>
      </c>
      <c r="F158" s="39" t="e">
        <v>#REF!</v>
      </c>
      <c r="G158" s="40" t="e">
        <v>#REF!</v>
      </c>
      <c r="H158" s="39" t="e">
        <v>#REF!</v>
      </c>
      <c r="I158" s="40" t="e">
        <v>#REF!</v>
      </c>
      <c r="J158" s="41" t="e">
        <f t="shared" si="21"/>
        <v>#REF!</v>
      </c>
      <c r="K158" s="40" t="e">
        <v>#REF!</v>
      </c>
      <c r="L158" s="41"/>
      <c r="M158" s="41"/>
      <c r="N158" s="42" t="e">
        <f t="shared" si="22"/>
        <v>#REF!</v>
      </c>
      <c r="O158" s="42" t="e">
        <f>IF(F158="","",N158*#REF!/100)</f>
        <v>#REF!</v>
      </c>
      <c r="P158" s="44" t="e">
        <v>#REF!</v>
      </c>
      <c r="Q158" s="45" t="e">
        <f t="shared" si="16"/>
        <v>#REF!</v>
      </c>
      <c r="R158" s="42" t="e">
        <f t="shared" si="17"/>
        <v>#REF!</v>
      </c>
      <c r="S158" s="46" t="e">
        <v>#REF!</v>
      </c>
      <c r="T158" s="46" t="e">
        <f t="shared" si="18"/>
        <v>#REF!</v>
      </c>
      <c r="U158" s="46" t="e">
        <f t="shared" si="19"/>
        <v>#REF!</v>
      </c>
      <c r="V158" s="42" t="e">
        <f>IF(F158="","",O158*#REF!)</f>
        <v>#REF!</v>
      </c>
      <c r="W158" s="29"/>
    </row>
    <row r="159" spans="1:28" s="2" customFormat="1" ht="18" customHeight="1">
      <c r="A159" s="6"/>
      <c r="B159" s="48"/>
      <c r="C159" s="30" t="e">
        <v>#REF!</v>
      </c>
      <c r="D159" s="31" t="e">
        <v>#REF!</v>
      </c>
      <c r="E159" s="30" t="e">
        <f t="shared" si="20"/>
        <v>#REF!</v>
      </c>
      <c r="F159" s="31" t="e">
        <v>#REF!</v>
      </c>
      <c r="G159" s="32" t="e">
        <v>#REF!</v>
      </c>
      <c r="H159" s="31" t="e">
        <v>#REF!</v>
      </c>
      <c r="I159" s="32" t="e">
        <v>#REF!</v>
      </c>
      <c r="J159" s="33" t="e">
        <f t="shared" si="21"/>
        <v>#REF!</v>
      </c>
      <c r="K159" s="32" t="e">
        <v>#REF!</v>
      </c>
      <c r="L159" s="33"/>
      <c r="M159" s="33"/>
      <c r="N159" s="34" t="e">
        <f t="shared" si="22"/>
        <v>#REF!</v>
      </c>
      <c r="O159" s="34" t="e">
        <f>IF(F159="","",N159*#REF!/100)</f>
        <v>#REF!</v>
      </c>
      <c r="P159" s="35" t="e">
        <v>#REF!</v>
      </c>
      <c r="Q159" s="36" t="e">
        <f t="shared" si="16"/>
        <v>#REF!</v>
      </c>
      <c r="R159" s="34" t="e">
        <f t="shared" si="17"/>
        <v>#REF!</v>
      </c>
      <c r="S159" s="37" t="e">
        <v>#REF!</v>
      </c>
      <c r="T159" s="37" t="e">
        <f t="shared" si="18"/>
        <v>#REF!</v>
      </c>
      <c r="U159" s="37" t="e">
        <f t="shared" si="19"/>
        <v>#REF!</v>
      </c>
      <c r="V159" s="34" t="e">
        <f>IF(F159="","",O159*#REF!)</f>
        <v>#REF!</v>
      </c>
      <c r="W159" s="29"/>
    </row>
    <row r="160" spans="1:28" s="2" customFormat="1" ht="18" customHeight="1">
      <c r="A160" s="6"/>
      <c r="B160" s="48"/>
      <c r="C160" s="38" t="e">
        <v>#REF!</v>
      </c>
      <c r="D160" s="39" t="e">
        <v>#REF!</v>
      </c>
      <c r="E160" s="38" t="e">
        <f t="shared" si="20"/>
        <v>#REF!</v>
      </c>
      <c r="F160" s="39" t="e">
        <v>#REF!</v>
      </c>
      <c r="G160" s="40" t="e">
        <v>#REF!</v>
      </c>
      <c r="H160" s="39" t="e">
        <v>#REF!</v>
      </c>
      <c r="I160" s="40" t="e">
        <v>#REF!</v>
      </c>
      <c r="J160" s="41" t="e">
        <f t="shared" si="21"/>
        <v>#REF!</v>
      </c>
      <c r="K160" s="40" t="e">
        <v>#REF!</v>
      </c>
      <c r="L160" s="41"/>
      <c r="M160" s="41"/>
      <c r="N160" s="42" t="e">
        <f t="shared" si="22"/>
        <v>#REF!</v>
      </c>
      <c r="O160" s="42" t="e">
        <f>IF(F160="","",N160*#REF!/100)</f>
        <v>#REF!</v>
      </c>
      <c r="P160" s="44" t="e">
        <v>#REF!</v>
      </c>
      <c r="Q160" s="45" t="e">
        <f t="shared" si="16"/>
        <v>#REF!</v>
      </c>
      <c r="R160" s="42" t="e">
        <f t="shared" si="17"/>
        <v>#REF!</v>
      </c>
      <c r="S160" s="46" t="e">
        <v>#REF!</v>
      </c>
      <c r="T160" s="46" t="e">
        <f t="shared" si="18"/>
        <v>#REF!</v>
      </c>
      <c r="U160" s="46" t="e">
        <f t="shared" si="19"/>
        <v>#REF!</v>
      </c>
      <c r="V160" s="42" t="e">
        <f>IF(F160="","",O160*#REF!)</f>
        <v>#REF!</v>
      </c>
      <c r="W160" s="29"/>
    </row>
    <row r="161" spans="1:23" s="2" customFormat="1" ht="18" customHeight="1">
      <c r="A161" s="6"/>
      <c r="B161" s="48"/>
      <c r="C161" s="30" t="e">
        <v>#REF!</v>
      </c>
      <c r="D161" s="31" t="e">
        <v>#REF!</v>
      </c>
      <c r="E161" s="30" t="e">
        <f t="shared" si="20"/>
        <v>#REF!</v>
      </c>
      <c r="F161" s="31" t="e">
        <v>#REF!</v>
      </c>
      <c r="G161" s="32" t="e">
        <v>#REF!</v>
      </c>
      <c r="H161" s="31" t="e">
        <v>#REF!</v>
      </c>
      <c r="I161" s="32" t="e">
        <v>#REF!</v>
      </c>
      <c r="J161" s="33" t="e">
        <f t="shared" si="21"/>
        <v>#REF!</v>
      </c>
      <c r="K161" s="32" t="e">
        <v>#REF!</v>
      </c>
      <c r="L161" s="33"/>
      <c r="M161" s="33"/>
      <c r="N161" s="34" t="e">
        <f t="shared" si="22"/>
        <v>#REF!</v>
      </c>
      <c r="O161" s="34" t="e">
        <f>IF(F161="","",N161*#REF!/100)</f>
        <v>#REF!</v>
      </c>
      <c r="P161" s="35" t="e">
        <v>#REF!</v>
      </c>
      <c r="Q161" s="36" t="e">
        <f t="shared" si="16"/>
        <v>#REF!</v>
      </c>
      <c r="R161" s="34" t="e">
        <f t="shared" si="17"/>
        <v>#REF!</v>
      </c>
      <c r="S161" s="37" t="e">
        <v>#REF!</v>
      </c>
      <c r="T161" s="37" t="e">
        <f t="shared" si="18"/>
        <v>#REF!</v>
      </c>
      <c r="U161" s="37" t="e">
        <f t="shared" si="19"/>
        <v>#REF!</v>
      </c>
      <c r="V161" s="34" t="e">
        <f>IF(F161="","",O161*#REF!)</f>
        <v>#REF!</v>
      </c>
      <c r="W161" s="29"/>
    </row>
    <row r="162" spans="1:23" s="2" customFormat="1" ht="18" customHeight="1">
      <c r="A162" s="6"/>
      <c r="B162" s="48"/>
      <c r="C162" s="38" t="e">
        <v>#REF!</v>
      </c>
      <c r="D162" s="39" t="e">
        <v>#REF!</v>
      </c>
      <c r="E162" s="38" t="e">
        <f t="shared" si="20"/>
        <v>#REF!</v>
      </c>
      <c r="F162" s="39" t="e">
        <v>#REF!</v>
      </c>
      <c r="G162" s="40" t="e">
        <v>#REF!</v>
      </c>
      <c r="H162" s="39" t="e">
        <v>#REF!</v>
      </c>
      <c r="I162" s="40" t="e">
        <v>#REF!</v>
      </c>
      <c r="J162" s="41" t="e">
        <f t="shared" si="21"/>
        <v>#REF!</v>
      </c>
      <c r="K162" s="40" t="e">
        <v>#REF!</v>
      </c>
      <c r="L162" s="41"/>
      <c r="M162" s="41"/>
      <c r="N162" s="42" t="e">
        <f t="shared" si="22"/>
        <v>#REF!</v>
      </c>
      <c r="O162" s="42" t="e">
        <f>IF(F162="","",N162*#REF!/100)</f>
        <v>#REF!</v>
      </c>
      <c r="P162" s="44" t="e">
        <v>#REF!</v>
      </c>
      <c r="Q162" s="45" t="e">
        <f t="shared" si="16"/>
        <v>#REF!</v>
      </c>
      <c r="R162" s="42" t="e">
        <f t="shared" si="17"/>
        <v>#REF!</v>
      </c>
      <c r="S162" s="46" t="e">
        <v>#REF!</v>
      </c>
      <c r="T162" s="46" t="e">
        <f t="shared" si="18"/>
        <v>#REF!</v>
      </c>
      <c r="U162" s="46" t="e">
        <f t="shared" si="19"/>
        <v>#REF!</v>
      </c>
      <c r="V162" s="42" t="e">
        <f>IF(F162="","",O162*#REF!)</f>
        <v>#REF!</v>
      </c>
      <c r="W162" s="29"/>
    </row>
    <row r="163" spans="1:23" s="2" customFormat="1" ht="18" customHeight="1">
      <c r="A163" s="6"/>
      <c r="B163" s="48"/>
      <c r="C163" s="30" t="e">
        <v>#REF!</v>
      </c>
      <c r="D163" s="31" t="e">
        <v>#REF!</v>
      </c>
      <c r="E163" s="30" t="e">
        <f t="shared" si="20"/>
        <v>#REF!</v>
      </c>
      <c r="F163" s="31" t="e">
        <v>#REF!</v>
      </c>
      <c r="G163" s="32" t="e">
        <v>#REF!</v>
      </c>
      <c r="H163" s="31" t="e">
        <v>#REF!</v>
      </c>
      <c r="I163" s="32" t="e">
        <v>#REF!</v>
      </c>
      <c r="J163" s="33" t="e">
        <f t="shared" si="21"/>
        <v>#REF!</v>
      </c>
      <c r="K163" s="32" t="e">
        <v>#REF!</v>
      </c>
      <c r="L163" s="33"/>
      <c r="M163" s="33"/>
      <c r="N163" s="34" t="e">
        <f t="shared" si="22"/>
        <v>#REF!</v>
      </c>
      <c r="O163" s="34" t="e">
        <f>IF(F163="","",N163*#REF!/100)</f>
        <v>#REF!</v>
      </c>
      <c r="P163" s="35" t="e">
        <v>#REF!</v>
      </c>
      <c r="Q163" s="36" t="e">
        <f t="shared" si="16"/>
        <v>#REF!</v>
      </c>
      <c r="R163" s="34" t="e">
        <f t="shared" si="17"/>
        <v>#REF!</v>
      </c>
      <c r="S163" s="37" t="e">
        <v>#REF!</v>
      </c>
      <c r="T163" s="37" t="e">
        <f t="shared" si="18"/>
        <v>#REF!</v>
      </c>
      <c r="U163" s="37" t="e">
        <f t="shared" si="19"/>
        <v>#REF!</v>
      </c>
      <c r="V163" s="34" t="e">
        <f>IF(F163="","",O163*#REF!)</f>
        <v>#REF!</v>
      </c>
      <c r="W163" s="29"/>
    </row>
    <row r="164" spans="1:23" s="2" customFormat="1" ht="18" customHeight="1">
      <c r="A164" s="6"/>
      <c r="B164" s="48"/>
      <c r="C164" s="38" t="e">
        <v>#REF!</v>
      </c>
      <c r="D164" s="39" t="e">
        <v>#REF!</v>
      </c>
      <c r="E164" s="38" t="e">
        <f t="shared" si="20"/>
        <v>#REF!</v>
      </c>
      <c r="F164" s="39" t="e">
        <v>#REF!</v>
      </c>
      <c r="G164" s="40" t="e">
        <v>#REF!</v>
      </c>
      <c r="H164" s="39" t="e">
        <v>#REF!</v>
      </c>
      <c r="I164" s="40" t="e">
        <v>#REF!</v>
      </c>
      <c r="J164" s="41" t="e">
        <f t="shared" si="21"/>
        <v>#REF!</v>
      </c>
      <c r="K164" s="40" t="e">
        <v>#REF!</v>
      </c>
      <c r="L164" s="41"/>
      <c r="M164" s="41"/>
      <c r="N164" s="42" t="e">
        <f t="shared" si="22"/>
        <v>#REF!</v>
      </c>
      <c r="O164" s="42" t="e">
        <f>IF(F164="","",N164*#REF!/100)</f>
        <v>#REF!</v>
      </c>
      <c r="P164" s="44" t="e">
        <v>#REF!</v>
      </c>
      <c r="Q164" s="45" t="e">
        <f t="shared" si="16"/>
        <v>#REF!</v>
      </c>
      <c r="R164" s="42" t="e">
        <f t="shared" si="17"/>
        <v>#REF!</v>
      </c>
      <c r="S164" s="46" t="e">
        <v>#REF!</v>
      </c>
      <c r="T164" s="46" t="e">
        <f t="shared" si="18"/>
        <v>#REF!</v>
      </c>
      <c r="U164" s="46" t="e">
        <f t="shared" si="19"/>
        <v>#REF!</v>
      </c>
      <c r="V164" s="42" t="e">
        <f>IF(F164="","",O164*#REF!)</f>
        <v>#REF!</v>
      </c>
      <c r="W164" s="29"/>
    </row>
    <row r="165" spans="1:23" s="2" customFormat="1" ht="18" customHeight="1">
      <c r="A165" s="6"/>
      <c r="B165" s="48"/>
      <c r="C165" s="30" t="e">
        <v>#REF!</v>
      </c>
      <c r="D165" s="31" t="e">
        <v>#REF!</v>
      </c>
      <c r="E165" s="30" t="e">
        <f t="shared" si="20"/>
        <v>#REF!</v>
      </c>
      <c r="F165" s="31" t="e">
        <v>#REF!</v>
      </c>
      <c r="G165" s="32" t="e">
        <v>#REF!</v>
      </c>
      <c r="H165" s="31" t="e">
        <v>#REF!</v>
      </c>
      <c r="I165" s="32" t="e">
        <v>#REF!</v>
      </c>
      <c r="J165" s="33" t="e">
        <f t="shared" si="21"/>
        <v>#REF!</v>
      </c>
      <c r="K165" s="32" t="e">
        <v>#REF!</v>
      </c>
      <c r="L165" s="33"/>
      <c r="M165" s="33"/>
      <c r="N165" s="34" t="e">
        <f t="shared" si="22"/>
        <v>#REF!</v>
      </c>
      <c r="O165" s="34" t="e">
        <f>IF(F165="","",N165*#REF!/100)</f>
        <v>#REF!</v>
      </c>
      <c r="P165" s="35" t="e">
        <v>#REF!</v>
      </c>
      <c r="Q165" s="36" t="e">
        <f t="shared" si="16"/>
        <v>#REF!</v>
      </c>
      <c r="R165" s="34" t="e">
        <f t="shared" si="17"/>
        <v>#REF!</v>
      </c>
      <c r="S165" s="37" t="e">
        <v>#REF!</v>
      </c>
      <c r="T165" s="37" t="e">
        <f t="shared" si="18"/>
        <v>#REF!</v>
      </c>
      <c r="U165" s="37" t="e">
        <f t="shared" si="19"/>
        <v>#REF!</v>
      </c>
      <c r="V165" s="34" t="e">
        <f>IF(F165="","",O165*#REF!)</f>
        <v>#REF!</v>
      </c>
      <c r="W165" s="29"/>
    </row>
    <row r="166" spans="1:23" s="2" customFormat="1" ht="18" customHeight="1">
      <c r="A166" s="6"/>
      <c r="B166" s="48"/>
      <c r="C166" s="38" t="e">
        <v>#REF!</v>
      </c>
      <c r="D166" s="39" t="e">
        <v>#REF!</v>
      </c>
      <c r="E166" s="38" t="e">
        <f t="shared" si="20"/>
        <v>#REF!</v>
      </c>
      <c r="F166" s="39" t="e">
        <v>#REF!</v>
      </c>
      <c r="G166" s="40" t="e">
        <v>#REF!</v>
      </c>
      <c r="H166" s="39" t="e">
        <v>#REF!</v>
      </c>
      <c r="I166" s="40" t="e">
        <v>#REF!</v>
      </c>
      <c r="J166" s="41" t="e">
        <f t="shared" si="21"/>
        <v>#REF!</v>
      </c>
      <c r="K166" s="40" t="e">
        <v>#REF!</v>
      </c>
      <c r="L166" s="41"/>
      <c r="M166" s="41"/>
      <c r="N166" s="42" t="e">
        <f t="shared" si="22"/>
        <v>#REF!</v>
      </c>
      <c r="O166" s="42" t="e">
        <f>IF(F166="","",N166*#REF!/100)</f>
        <v>#REF!</v>
      </c>
      <c r="P166" s="44" t="e">
        <v>#REF!</v>
      </c>
      <c r="Q166" s="45" t="e">
        <f t="shared" si="16"/>
        <v>#REF!</v>
      </c>
      <c r="R166" s="42" t="e">
        <f t="shared" si="17"/>
        <v>#REF!</v>
      </c>
      <c r="S166" s="46" t="e">
        <v>#REF!</v>
      </c>
      <c r="T166" s="46" t="e">
        <f t="shared" si="18"/>
        <v>#REF!</v>
      </c>
      <c r="U166" s="46" t="e">
        <f t="shared" si="19"/>
        <v>#REF!</v>
      </c>
      <c r="V166" s="42" t="e">
        <f>IF(F166="","",O166*#REF!)</f>
        <v>#REF!</v>
      </c>
      <c r="W166" s="29"/>
    </row>
    <row r="167" spans="1:23" s="2" customFormat="1" ht="18" customHeight="1">
      <c r="A167" s="6"/>
      <c r="B167" s="48"/>
      <c r="C167" s="30" t="e">
        <v>#REF!</v>
      </c>
      <c r="D167" s="31" t="e">
        <v>#REF!</v>
      </c>
      <c r="E167" s="30" t="e">
        <f t="shared" si="20"/>
        <v>#REF!</v>
      </c>
      <c r="F167" s="31" t="e">
        <v>#REF!</v>
      </c>
      <c r="G167" s="32" t="e">
        <v>#REF!</v>
      </c>
      <c r="H167" s="31" t="e">
        <v>#REF!</v>
      </c>
      <c r="I167" s="32" t="e">
        <v>#REF!</v>
      </c>
      <c r="J167" s="33" t="e">
        <f t="shared" si="21"/>
        <v>#REF!</v>
      </c>
      <c r="K167" s="32" t="e">
        <v>#REF!</v>
      </c>
      <c r="L167" s="33"/>
      <c r="M167" s="33"/>
      <c r="N167" s="34" t="e">
        <f t="shared" si="22"/>
        <v>#REF!</v>
      </c>
      <c r="O167" s="34" t="e">
        <f>IF(F167="","",N167*#REF!/100)</f>
        <v>#REF!</v>
      </c>
      <c r="P167" s="35" t="e">
        <v>#REF!</v>
      </c>
      <c r="Q167" s="36" t="e">
        <f t="shared" si="16"/>
        <v>#REF!</v>
      </c>
      <c r="R167" s="34" t="e">
        <f t="shared" si="17"/>
        <v>#REF!</v>
      </c>
      <c r="S167" s="37" t="e">
        <v>#REF!</v>
      </c>
      <c r="T167" s="37" t="e">
        <f t="shared" si="18"/>
        <v>#REF!</v>
      </c>
      <c r="U167" s="37" t="e">
        <f t="shared" si="19"/>
        <v>#REF!</v>
      </c>
      <c r="V167" s="34" t="e">
        <f>IF(F167="","",O167*#REF!)</f>
        <v>#REF!</v>
      </c>
      <c r="W167" s="29"/>
    </row>
    <row r="168" spans="1:23" s="2" customFormat="1" ht="18" customHeight="1">
      <c r="A168" s="6"/>
      <c r="B168" s="48"/>
      <c r="C168" s="38" t="e">
        <v>#REF!</v>
      </c>
      <c r="D168" s="39" t="e">
        <v>#REF!</v>
      </c>
      <c r="E168" s="38" t="e">
        <f t="shared" si="20"/>
        <v>#REF!</v>
      </c>
      <c r="F168" s="39" t="e">
        <v>#REF!</v>
      </c>
      <c r="G168" s="40" t="e">
        <v>#REF!</v>
      </c>
      <c r="H168" s="39" t="e">
        <v>#REF!</v>
      </c>
      <c r="I168" s="40" t="e">
        <v>#REF!</v>
      </c>
      <c r="J168" s="41" t="e">
        <f t="shared" si="21"/>
        <v>#REF!</v>
      </c>
      <c r="K168" s="40" t="e">
        <v>#REF!</v>
      </c>
      <c r="L168" s="41"/>
      <c r="M168" s="41"/>
      <c r="N168" s="42" t="e">
        <f t="shared" si="22"/>
        <v>#REF!</v>
      </c>
      <c r="O168" s="42" t="e">
        <f>IF(F168="","",N168*#REF!/100)</f>
        <v>#REF!</v>
      </c>
      <c r="P168" s="44" t="e">
        <v>#REF!</v>
      </c>
      <c r="Q168" s="45" t="e">
        <f t="shared" si="16"/>
        <v>#REF!</v>
      </c>
      <c r="R168" s="42" t="e">
        <f t="shared" si="17"/>
        <v>#REF!</v>
      </c>
      <c r="S168" s="46" t="e">
        <v>#REF!</v>
      </c>
      <c r="T168" s="46" t="e">
        <f t="shared" si="18"/>
        <v>#REF!</v>
      </c>
      <c r="U168" s="46" t="e">
        <f t="shared" si="19"/>
        <v>#REF!</v>
      </c>
      <c r="V168" s="42" t="e">
        <f>IF(F168="","",O168*#REF!)</f>
        <v>#REF!</v>
      </c>
      <c r="W168" s="29"/>
    </row>
    <row r="169" spans="1:23" s="2" customFormat="1" ht="18" customHeight="1">
      <c r="A169" s="6"/>
      <c r="B169" s="48"/>
      <c r="C169" s="30" t="e">
        <v>#REF!</v>
      </c>
      <c r="D169" s="31" t="e">
        <v>#REF!</v>
      </c>
      <c r="E169" s="30" t="e">
        <f t="shared" si="20"/>
        <v>#REF!</v>
      </c>
      <c r="F169" s="31" t="e">
        <v>#REF!</v>
      </c>
      <c r="G169" s="32" t="e">
        <v>#REF!</v>
      </c>
      <c r="H169" s="31" t="e">
        <v>#REF!</v>
      </c>
      <c r="I169" s="32" t="e">
        <v>#REF!</v>
      </c>
      <c r="J169" s="33" t="e">
        <f t="shared" si="21"/>
        <v>#REF!</v>
      </c>
      <c r="K169" s="32" t="e">
        <v>#REF!</v>
      </c>
      <c r="L169" s="33"/>
      <c r="M169" s="33"/>
      <c r="N169" s="34" t="e">
        <f t="shared" si="22"/>
        <v>#REF!</v>
      </c>
      <c r="O169" s="34" t="e">
        <f>IF(F169="","",N169*#REF!/100)</f>
        <v>#REF!</v>
      </c>
      <c r="P169" s="35" t="e">
        <v>#REF!</v>
      </c>
      <c r="Q169" s="36" t="e">
        <f t="shared" si="16"/>
        <v>#REF!</v>
      </c>
      <c r="R169" s="34" t="e">
        <f t="shared" si="17"/>
        <v>#REF!</v>
      </c>
      <c r="S169" s="37" t="e">
        <v>#REF!</v>
      </c>
      <c r="T169" s="37" t="e">
        <f t="shared" si="18"/>
        <v>#REF!</v>
      </c>
      <c r="U169" s="37" t="e">
        <f t="shared" si="19"/>
        <v>#REF!</v>
      </c>
      <c r="V169" s="34" t="e">
        <f>IF(F169="","",O169*#REF!)</f>
        <v>#REF!</v>
      </c>
      <c r="W169" s="29"/>
    </row>
    <row r="170" spans="1:23" s="2" customFormat="1" ht="18" customHeight="1">
      <c r="A170" s="6"/>
      <c r="B170" s="48"/>
      <c r="C170" s="38" t="e">
        <v>#REF!</v>
      </c>
      <c r="D170" s="39" t="e">
        <v>#REF!</v>
      </c>
      <c r="E170" s="38" t="e">
        <f t="shared" si="20"/>
        <v>#REF!</v>
      </c>
      <c r="F170" s="39" t="e">
        <v>#REF!</v>
      </c>
      <c r="G170" s="40" t="e">
        <v>#REF!</v>
      </c>
      <c r="H170" s="39" t="e">
        <v>#REF!</v>
      </c>
      <c r="I170" s="40" t="e">
        <v>#REF!</v>
      </c>
      <c r="J170" s="41" t="e">
        <f t="shared" si="21"/>
        <v>#REF!</v>
      </c>
      <c r="K170" s="40" t="e">
        <v>#REF!</v>
      </c>
      <c r="L170" s="41"/>
      <c r="M170" s="41"/>
      <c r="N170" s="42" t="e">
        <f t="shared" si="22"/>
        <v>#REF!</v>
      </c>
      <c r="O170" s="42" t="e">
        <f>IF(F170="","",N170*#REF!/100)</f>
        <v>#REF!</v>
      </c>
      <c r="P170" s="44" t="e">
        <v>#REF!</v>
      </c>
      <c r="Q170" s="45" t="e">
        <f t="shared" si="16"/>
        <v>#REF!</v>
      </c>
      <c r="R170" s="42" t="e">
        <f t="shared" si="17"/>
        <v>#REF!</v>
      </c>
      <c r="S170" s="46" t="e">
        <v>#REF!</v>
      </c>
      <c r="T170" s="46" t="e">
        <f t="shared" si="18"/>
        <v>#REF!</v>
      </c>
      <c r="U170" s="46" t="e">
        <f t="shared" si="19"/>
        <v>#REF!</v>
      </c>
      <c r="V170" s="42" t="e">
        <f>IF(F170="","",O170*#REF!)</f>
        <v>#REF!</v>
      </c>
      <c r="W170" s="29"/>
    </row>
    <row r="171" spans="1:23" s="2" customFormat="1" ht="18" customHeight="1">
      <c r="A171" s="6"/>
      <c r="B171" s="48"/>
      <c r="C171" s="30" t="e">
        <v>#REF!</v>
      </c>
      <c r="D171" s="31" t="e">
        <v>#REF!</v>
      </c>
      <c r="E171" s="30" t="e">
        <f t="shared" si="20"/>
        <v>#REF!</v>
      </c>
      <c r="F171" s="31" t="e">
        <v>#REF!</v>
      </c>
      <c r="G171" s="32" t="e">
        <v>#REF!</v>
      </c>
      <c r="H171" s="31" t="e">
        <v>#REF!</v>
      </c>
      <c r="I171" s="32" t="e">
        <v>#REF!</v>
      </c>
      <c r="J171" s="33" t="e">
        <f t="shared" si="21"/>
        <v>#REF!</v>
      </c>
      <c r="K171" s="32" t="e">
        <v>#REF!</v>
      </c>
      <c r="L171" s="33"/>
      <c r="M171" s="33"/>
      <c r="N171" s="34" t="e">
        <f t="shared" si="22"/>
        <v>#REF!</v>
      </c>
      <c r="O171" s="34" t="e">
        <f>IF(F171="","",N171*#REF!/100)</f>
        <v>#REF!</v>
      </c>
      <c r="P171" s="35" t="e">
        <v>#REF!</v>
      </c>
      <c r="Q171" s="36" t="e">
        <f t="shared" si="16"/>
        <v>#REF!</v>
      </c>
      <c r="R171" s="34" t="e">
        <f t="shared" si="17"/>
        <v>#REF!</v>
      </c>
      <c r="S171" s="37" t="e">
        <v>#REF!</v>
      </c>
      <c r="T171" s="37" t="e">
        <f t="shared" si="18"/>
        <v>#REF!</v>
      </c>
      <c r="U171" s="37" t="e">
        <f t="shared" si="19"/>
        <v>#REF!</v>
      </c>
      <c r="V171" s="34" t="e">
        <f>IF(F171="","",O171*#REF!)</f>
        <v>#REF!</v>
      </c>
      <c r="W171" s="29"/>
    </row>
    <row r="172" spans="1:23" s="2" customFormat="1" ht="18" customHeight="1">
      <c r="A172" s="6"/>
      <c r="B172" s="48"/>
      <c r="C172" s="38" t="e">
        <v>#REF!</v>
      </c>
      <c r="D172" s="39" t="e">
        <v>#REF!</v>
      </c>
      <c r="E172" s="38" t="e">
        <f t="shared" si="20"/>
        <v>#REF!</v>
      </c>
      <c r="F172" s="39" t="e">
        <v>#REF!</v>
      </c>
      <c r="G172" s="40" t="e">
        <v>#REF!</v>
      </c>
      <c r="H172" s="39" t="e">
        <v>#REF!</v>
      </c>
      <c r="I172" s="40" t="e">
        <v>#REF!</v>
      </c>
      <c r="J172" s="41" t="e">
        <f t="shared" si="21"/>
        <v>#REF!</v>
      </c>
      <c r="K172" s="40" t="e">
        <v>#REF!</v>
      </c>
      <c r="L172" s="41"/>
      <c r="M172" s="41"/>
      <c r="N172" s="42" t="e">
        <f t="shared" si="22"/>
        <v>#REF!</v>
      </c>
      <c r="O172" s="42" t="e">
        <f>IF(F172="","",N172*#REF!/100)</f>
        <v>#REF!</v>
      </c>
      <c r="P172" s="44" t="e">
        <v>#REF!</v>
      </c>
      <c r="Q172" s="45" t="e">
        <f t="shared" si="16"/>
        <v>#REF!</v>
      </c>
      <c r="R172" s="42" t="e">
        <f t="shared" si="17"/>
        <v>#REF!</v>
      </c>
      <c r="S172" s="46" t="e">
        <v>#REF!</v>
      </c>
      <c r="T172" s="46" t="e">
        <f t="shared" si="18"/>
        <v>#REF!</v>
      </c>
      <c r="U172" s="46" t="e">
        <f t="shared" si="19"/>
        <v>#REF!</v>
      </c>
      <c r="V172" s="42" t="e">
        <f>IF(F172="","",O172*#REF!)</f>
        <v>#REF!</v>
      </c>
      <c r="W172" s="29"/>
    </row>
    <row r="173" spans="1:23" s="2" customFormat="1" ht="18" customHeight="1">
      <c r="A173" s="6"/>
      <c r="B173" s="48"/>
      <c r="C173" s="30" t="e">
        <v>#REF!</v>
      </c>
      <c r="D173" s="31" t="e">
        <v>#REF!</v>
      </c>
      <c r="E173" s="30" t="e">
        <f t="shared" si="20"/>
        <v>#REF!</v>
      </c>
      <c r="F173" s="31" t="e">
        <v>#REF!</v>
      </c>
      <c r="G173" s="32" t="e">
        <v>#REF!</v>
      </c>
      <c r="H173" s="31" t="e">
        <v>#REF!</v>
      </c>
      <c r="I173" s="32" t="e">
        <v>#REF!</v>
      </c>
      <c r="J173" s="33" t="e">
        <f t="shared" si="21"/>
        <v>#REF!</v>
      </c>
      <c r="K173" s="32" t="e">
        <v>#REF!</v>
      </c>
      <c r="L173" s="33"/>
      <c r="M173" s="33"/>
      <c r="N173" s="34" t="e">
        <f t="shared" si="22"/>
        <v>#REF!</v>
      </c>
      <c r="O173" s="34" t="e">
        <f>IF(F173="","",N173*#REF!/100)</f>
        <v>#REF!</v>
      </c>
      <c r="P173" s="35" t="e">
        <v>#REF!</v>
      </c>
      <c r="Q173" s="36" t="e">
        <f t="shared" si="16"/>
        <v>#REF!</v>
      </c>
      <c r="R173" s="34" t="e">
        <f t="shared" si="17"/>
        <v>#REF!</v>
      </c>
      <c r="S173" s="37" t="e">
        <v>#REF!</v>
      </c>
      <c r="T173" s="37" t="e">
        <f t="shared" si="18"/>
        <v>#REF!</v>
      </c>
      <c r="U173" s="37" t="e">
        <f t="shared" si="19"/>
        <v>#REF!</v>
      </c>
      <c r="V173" s="34" t="e">
        <f>IF(F173="","",O173*#REF!)</f>
        <v>#REF!</v>
      </c>
      <c r="W173" s="29"/>
    </row>
    <row r="174" spans="1:23" s="2" customFormat="1" ht="18" customHeight="1">
      <c r="A174" s="6"/>
      <c r="B174" s="48"/>
      <c r="C174" s="38" t="e">
        <v>#REF!</v>
      </c>
      <c r="D174" s="39" t="e">
        <v>#REF!</v>
      </c>
      <c r="E174" s="38" t="e">
        <f t="shared" si="20"/>
        <v>#REF!</v>
      </c>
      <c r="F174" s="39" t="e">
        <v>#REF!</v>
      </c>
      <c r="G174" s="40" t="e">
        <v>#REF!</v>
      </c>
      <c r="H174" s="39" t="e">
        <v>#REF!</v>
      </c>
      <c r="I174" s="40" t="e">
        <v>#REF!</v>
      </c>
      <c r="J174" s="41" t="e">
        <f t="shared" si="21"/>
        <v>#REF!</v>
      </c>
      <c r="K174" s="40" t="e">
        <v>#REF!</v>
      </c>
      <c r="L174" s="41"/>
      <c r="M174" s="41"/>
      <c r="N174" s="42" t="e">
        <f t="shared" si="22"/>
        <v>#REF!</v>
      </c>
      <c r="O174" s="42" t="e">
        <f>IF(F174="","",N174*#REF!/100)</f>
        <v>#REF!</v>
      </c>
      <c r="P174" s="44" t="e">
        <v>#REF!</v>
      </c>
      <c r="Q174" s="45" t="e">
        <f t="shared" si="16"/>
        <v>#REF!</v>
      </c>
      <c r="R174" s="42" t="e">
        <f t="shared" si="17"/>
        <v>#REF!</v>
      </c>
      <c r="S174" s="46" t="e">
        <v>#REF!</v>
      </c>
      <c r="T174" s="46" t="e">
        <f t="shared" si="18"/>
        <v>#REF!</v>
      </c>
      <c r="U174" s="46" t="e">
        <f t="shared" si="19"/>
        <v>#REF!</v>
      </c>
      <c r="V174" s="42" t="e">
        <f>IF(F174="","",O174*#REF!)</f>
        <v>#REF!</v>
      </c>
      <c r="W174" s="29"/>
    </row>
    <row r="175" spans="1:23" s="2" customFormat="1" ht="18" customHeight="1">
      <c r="A175" s="6"/>
      <c r="B175" s="48"/>
      <c r="C175" s="30" t="e">
        <v>#REF!</v>
      </c>
      <c r="D175" s="31" t="e">
        <v>#REF!</v>
      </c>
      <c r="E175" s="30" t="e">
        <f t="shared" si="20"/>
        <v>#REF!</v>
      </c>
      <c r="F175" s="31" t="e">
        <v>#REF!</v>
      </c>
      <c r="G175" s="32" t="e">
        <v>#REF!</v>
      </c>
      <c r="H175" s="31" t="e">
        <v>#REF!</v>
      </c>
      <c r="I175" s="32" t="e">
        <v>#REF!</v>
      </c>
      <c r="J175" s="33" t="e">
        <f t="shared" si="21"/>
        <v>#REF!</v>
      </c>
      <c r="K175" s="32" t="e">
        <v>#REF!</v>
      </c>
      <c r="L175" s="33"/>
      <c r="M175" s="33"/>
      <c r="N175" s="34" t="e">
        <f t="shared" si="22"/>
        <v>#REF!</v>
      </c>
      <c r="O175" s="34" t="e">
        <f>IF(F175="","",N175*#REF!/100)</f>
        <v>#REF!</v>
      </c>
      <c r="P175" s="35" t="e">
        <v>#REF!</v>
      </c>
      <c r="Q175" s="36" t="e">
        <f t="shared" si="16"/>
        <v>#REF!</v>
      </c>
      <c r="R175" s="34" t="e">
        <f t="shared" si="17"/>
        <v>#REF!</v>
      </c>
      <c r="S175" s="37" t="e">
        <v>#REF!</v>
      </c>
      <c r="T175" s="37" t="e">
        <f t="shared" si="18"/>
        <v>#REF!</v>
      </c>
      <c r="U175" s="37" t="e">
        <f t="shared" si="19"/>
        <v>#REF!</v>
      </c>
      <c r="V175" s="34" t="e">
        <f>IF(F175="","",O175*#REF!)</f>
        <v>#REF!</v>
      </c>
      <c r="W175" s="29"/>
    </row>
    <row r="176" spans="1:23" s="2" customFormat="1" ht="18" customHeight="1">
      <c r="A176" s="6"/>
      <c r="B176" s="48"/>
      <c r="C176" s="38" t="e">
        <v>#REF!</v>
      </c>
      <c r="D176" s="39" t="e">
        <v>#REF!</v>
      </c>
      <c r="E176" s="38" t="e">
        <f t="shared" si="20"/>
        <v>#REF!</v>
      </c>
      <c r="F176" s="39" t="e">
        <v>#REF!</v>
      </c>
      <c r="G176" s="40" t="e">
        <v>#REF!</v>
      </c>
      <c r="H176" s="39" t="e">
        <v>#REF!</v>
      </c>
      <c r="I176" s="40" t="e">
        <v>#REF!</v>
      </c>
      <c r="J176" s="41" t="e">
        <f t="shared" si="21"/>
        <v>#REF!</v>
      </c>
      <c r="K176" s="40" t="e">
        <v>#REF!</v>
      </c>
      <c r="L176" s="41"/>
      <c r="M176" s="41"/>
      <c r="N176" s="42" t="e">
        <f t="shared" si="22"/>
        <v>#REF!</v>
      </c>
      <c r="O176" s="42" t="e">
        <f>IF(F176="","",N176*#REF!/100)</f>
        <v>#REF!</v>
      </c>
      <c r="P176" s="44" t="e">
        <v>#REF!</v>
      </c>
      <c r="Q176" s="45" t="e">
        <f t="shared" si="16"/>
        <v>#REF!</v>
      </c>
      <c r="R176" s="42" t="e">
        <f t="shared" si="17"/>
        <v>#REF!</v>
      </c>
      <c r="S176" s="46" t="e">
        <v>#REF!</v>
      </c>
      <c r="T176" s="46" t="e">
        <f t="shared" si="18"/>
        <v>#REF!</v>
      </c>
      <c r="U176" s="46" t="e">
        <f t="shared" si="19"/>
        <v>#REF!</v>
      </c>
      <c r="V176" s="42" t="e">
        <f>IF(F176="","",O176*#REF!)</f>
        <v>#REF!</v>
      </c>
      <c r="W176" s="29"/>
    </row>
    <row r="177" spans="1:28" s="2" customFormat="1" ht="18" customHeight="1">
      <c r="A177" s="6"/>
      <c r="B177" s="48"/>
      <c r="C177" s="30" t="e">
        <v>#REF!</v>
      </c>
      <c r="D177" s="31" t="e">
        <v>#REF!</v>
      </c>
      <c r="E177" s="30" t="e">
        <f t="shared" si="20"/>
        <v>#REF!</v>
      </c>
      <c r="F177" s="31" t="e">
        <v>#REF!</v>
      </c>
      <c r="G177" s="32" t="e">
        <v>#REF!</v>
      </c>
      <c r="H177" s="31" t="e">
        <v>#REF!</v>
      </c>
      <c r="I177" s="32" t="e">
        <v>#REF!</v>
      </c>
      <c r="J177" s="33" t="e">
        <f t="shared" si="21"/>
        <v>#REF!</v>
      </c>
      <c r="K177" s="32" t="e">
        <v>#REF!</v>
      </c>
      <c r="L177" s="33"/>
      <c r="M177" s="33"/>
      <c r="N177" s="34" t="e">
        <f t="shared" si="22"/>
        <v>#REF!</v>
      </c>
      <c r="O177" s="34" t="e">
        <f>IF(F177="","",N177*#REF!/100)</f>
        <v>#REF!</v>
      </c>
      <c r="P177" s="35" t="e">
        <v>#REF!</v>
      </c>
      <c r="Q177" s="36" t="e">
        <f t="shared" si="16"/>
        <v>#REF!</v>
      </c>
      <c r="R177" s="34" t="e">
        <f t="shared" si="17"/>
        <v>#REF!</v>
      </c>
      <c r="S177" s="37" t="e">
        <v>#REF!</v>
      </c>
      <c r="T177" s="37" t="e">
        <f t="shared" si="18"/>
        <v>#REF!</v>
      </c>
      <c r="U177" s="37" t="e">
        <f t="shared" si="19"/>
        <v>#REF!</v>
      </c>
      <c r="V177" s="34" t="e">
        <f>IF(F177="","",O177*#REF!)</f>
        <v>#REF!</v>
      </c>
      <c r="W177" s="29"/>
    </row>
    <row r="178" spans="1:28" s="2" customFormat="1" ht="18" customHeight="1">
      <c r="A178" s="6"/>
      <c r="B178" s="48"/>
      <c r="C178" s="38" t="e">
        <v>#REF!</v>
      </c>
      <c r="D178" s="39" t="e">
        <v>#REF!</v>
      </c>
      <c r="E178" s="38" t="e">
        <f t="shared" si="20"/>
        <v>#REF!</v>
      </c>
      <c r="F178" s="39" t="e">
        <v>#REF!</v>
      </c>
      <c r="G178" s="40" t="e">
        <v>#REF!</v>
      </c>
      <c r="H178" s="39" t="e">
        <v>#REF!</v>
      </c>
      <c r="I178" s="40" t="e">
        <v>#REF!</v>
      </c>
      <c r="J178" s="41" t="e">
        <f t="shared" si="21"/>
        <v>#REF!</v>
      </c>
      <c r="K178" s="40" t="e">
        <v>#REF!</v>
      </c>
      <c r="L178" s="41"/>
      <c r="M178" s="41"/>
      <c r="N178" s="42" t="e">
        <f t="shared" si="22"/>
        <v>#REF!</v>
      </c>
      <c r="O178" s="42" t="e">
        <f>IF(F178="","",N178*#REF!/100)</f>
        <v>#REF!</v>
      </c>
      <c r="P178" s="44" t="e">
        <v>#REF!</v>
      </c>
      <c r="Q178" s="45" t="e">
        <f t="shared" si="16"/>
        <v>#REF!</v>
      </c>
      <c r="R178" s="42" t="e">
        <f t="shared" si="17"/>
        <v>#REF!</v>
      </c>
      <c r="S178" s="46" t="e">
        <v>#REF!</v>
      </c>
      <c r="T178" s="46" t="e">
        <f t="shared" si="18"/>
        <v>#REF!</v>
      </c>
      <c r="U178" s="46" t="e">
        <f t="shared" si="19"/>
        <v>#REF!</v>
      </c>
      <c r="V178" s="42" t="e">
        <f>IF(F178="","",O178*#REF!)</f>
        <v>#REF!</v>
      </c>
      <c r="W178" s="29"/>
    </row>
    <row r="179" spans="1:28" s="2" customFormat="1" ht="18" customHeight="1">
      <c r="A179" s="6"/>
      <c r="B179" s="48"/>
      <c r="C179" s="30" t="e">
        <v>#REF!</v>
      </c>
      <c r="D179" s="31" t="e">
        <v>#REF!</v>
      </c>
      <c r="E179" s="30" t="e">
        <f t="shared" si="20"/>
        <v>#REF!</v>
      </c>
      <c r="F179" s="31" t="e">
        <v>#REF!</v>
      </c>
      <c r="G179" s="32" t="e">
        <v>#REF!</v>
      </c>
      <c r="H179" s="31" t="e">
        <v>#REF!</v>
      </c>
      <c r="I179" s="32" t="e">
        <v>#REF!</v>
      </c>
      <c r="J179" s="33" t="e">
        <f t="shared" si="21"/>
        <v>#REF!</v>
      </c>
      <c r="K179" s="32" t="e">
        <v>#REF!</v>
      </c>
      <c r="L179" s="33"/>
      <c r="M179" s="33"/>
      <c r="N179" s="34" t="e">
        <f t="shared" si="22"/>
        <v>#REF!</v>
      </c>
      <c r="O179" s="34" t="e">
        <f>IF(F179="","",N179*#REF!/100)</f>
        <v>#REF!</v>
      </c>
      <c r="P179" s="35" t="e">
        <v>#REF!</v>
      </c>
      <c r="Q179" s="36" t="e">
        <f t="shared" si="16"/>
        <v>#REF!</v>
      </c>
      <c r="R179" s="34" t="e">
        <f t="shared" si="17"/>
        <v>#REF!</v>
      </c>
      <c r="S179" s="37" t="e">
        <v>#REF!</v>
      </c>
      <c r="T179" s="37" t="e">
        <f t="shared" si="18"/>
        <v>#REF!</v>
      </c>
      <c r="U179" s="37" t="e">
        <f t="shared" si="19"/>
        <v>#REF!</v>
      </c>
      <c r="V179" s="34" t="e">
        <f>IF(F179="","",O179*#REF!)</f>
        <v>#REF!</v>
      </c>
      <c r="W179" s="29"/>
    </row>
    <row r="180" spans="1:28" s="2" customFormat="1" ht="18" customHeight="1">
      <c r="A180" s="6"/>
      <c r="B180" s="48"/>
      <c r="C180" s="38" t="e">
        <v>#REF!</v>
      </c>
      <c r="D180" s="39" t="e">
        <v>#REF!</v>
      </c>
      <c r="E180" s="38" t="e">
        <f t="shared" si="20"/>
        <v>#REF!</v>
      </c>
      <c r="F180" s="39" t="e">
        <v>#REF!</v>
      </c>
      <c r="G180" s="40" t="e">
        <v>#REF!</v>
      </c>
      <c r="H180" s="39" t="e">
        <v>#REF!</v>
      </c>
      <c r="I180" s="40" t="e">
        <v>#REF!</v>
      </c>
      <c r="J180" s="41" t="e">
        <f t="shared" si="21"/>
        <v>#REF!</v>
      </c>
      <c r="K180" s="40" t="e">
        <v>#REF!</v>
      </c>
      <c r="L180" s="41"/>
      <c r="M180" s="41"/>
      <c r="N180" s="42" t="e">
        <f t="shared" si="22"/>
        <v>#REF!</v>
      </c>
      <c r="O180" s="42" t="e">
        <f>IF(F180="","",N180*#REF!/100)</f>
        <v>#REF!</v>
      </c>
      <c r="P180" s="44" t="e">
        <v>#REF!</v>
      </c>
      <c r="Q180" s="45" t="e">
        <f t="shared" si="16"/>
        <v>#REF!</v>
      </c>
      <c r="R180" s="42" t="e">
        <f t="shared" si="17"/>
        <v>#REF!</v>
      </c>
      <c r="S180" s="46" t="e">
        <v>#REF!</v>
      </c>
      <c r="T180" s="46" t="e">
        <f t="shared" si="18"/>
        <v>#REF!</v>
      </c>
      <c r="U180" s="46" t="e">
        <f t="shared" si="19"/>
        <v>#REF!</v>
      </c>
      <c r="V180" s="42" t="e">
        <f>IF(F180="","",O180*#REF!)</f>
        <v>#REF!</v>
      </c>
      <c r="W180" s="29"/>
    </row>
    <row r="181" spans="1:28" s="2" customFormat="1" ht="18" customHeight="1">
      <c r="A181" s="6"/>
      <c r="B181" s="48"/>
      <c r="C181" s="30" t="e">
        <v>#REF!</v>
      </c>
      <c r="D181" s="31" t="e">
        <v>#REF!</v>
      </c>
      <c r="E181" s="30" t="e">
        <f t="shared" si="20"/>
        <v>#REF!</v>
      </c>
      <c r="F181" s="31" t="e">
        <v>#REF!</v>
      </c>
      <c r="G181" s="32" t="e">
        <v>#REF!</v>
      </c>
      <c r="H181" s="31" t="e">
        <v>#REF!</v>
      </c>
      <c r="I181" s="32" t="e">
        <v>#REF!</v>
      </c>
      <c r="J181" s="33" t="e">
        <f t="shared" si="21"/>
        <v>#REF!</v>
      </c>
      <c r="K181" s="32" t="e">
        <v>#REF!</v>
      </c>
      <c r="L181" s="33"/>
      <c r="M181" s="33"/>
      <c r="N181" s="34" t="e">
        <f t="shared" si="22"/>
        <v>#REF!</v>
      </c>
      <c r="O181" s="34" t="e">
        <f>IF(F181="","",N181*#REF!/100)</f>
        <v>#REF!</v>
      </c>
      <c r="P181" s="35" t="e">
        <v>#REF!</v>
      </c>
      <c r="Q181" s="36" t="e">
        <f t="shared" si="16"/>
        <v>#REF!</v>
      </c>
      <c r="R181" s="34" t="e">
        <f t="shared" si="17"/>
        <v>#REF!</v>
      </c>
      <c r="S181" s="37" t="e">
        <v>#REF!</v>
      </c>
      <c r="T181" s="37" t="e">
        <f t="shared" si="18"/>
        <v>#REF!</v>
      </c>
      <c r="U181" s="37" t="e">
        <f t="shared" si="19"/>
        <v>#REF!</v>
      </c>
      <c r="V181" s="34" t="e">
        <f>IF(F181="","",O181*#REF!)</f>
        <v>#REF!</v>
      </c>
      <c r="W181" s="29"/>
    </row>
    <row r="182" spans="1:28" s="2" customFormat="1" ht="18" customHeight="1">
      <c r="A182" s="6"/>
      <c r="B182" s="48"/>
      <c r="C182" s="38" t="e">
        <v>#REF!</v>
      </c>
      <c r="D182" s="39" t="e">
        <v>#REF!</v>
      </c>
      <c r="E182" s="38" t="e">
        <f t="shared" si="20"/>
        <v>#REF!</v>
      </c>
      <c r="F182" s="39" t="e">
        <v>#REF!</v>
      </c>
      <c r="G182" s="40" t="e">
        <v>#REF!</v>
      </c>
      <c r="H182" s="39" t="e">
        <v>#REF!</v>
      </c>
      <c r="I182" s="40" t="e">
        <v>#REF!</v>
      </c>
      <c r="J182" s="41" t="e">
        <f t="shared" si="21"/>
        <v>#REF!</v>
      </c>
      <c r="K182" s="40" t="e">
        <v>#REF!</v>
      </c>
      <c r="L182" s="41"/>
      <c r="M182" s="41"/>
      <c r="N182" s="42" t="e">
        <f t="shared" si="22"/>
        <v>#REF!</v>
      </c>
      <c r="O182" s="42" t="e">
        <f>IF(F182="","",N182*#REF!/100)</f>
        <v>#REF!</v>
      </c>
      <c r="P182" s="44" t="e">
        <v>#REF!</v>
      </c>
      <c r="Q182" s="45" t="e">
        <f t="shared" si="16"/>
        <v>#REF!</v>
      </c>
      <c r="R182" s="42" t="e">
        <f t="shared" si="17"/>
        <v>#REF!</v>
      </c>
      <c r="S182" s="46" t="e">
        <v>#REF!</v>
      </c>
      <c r="T182" s="46" t="e">
        <f t="shared" si="18"/>
        <v>#REF!</v>
      </c>
      <c r="U182" s="46" t="e">
        <f t="shared" si="19"/>
        <v>#REF!</v>
      </c>
      <c r="V182" s="42" t="e">
        <f>IF(F182="","",O182*#REF!)</f>
        <v>#REF!</v>
      </c>
      <c r="W182" s="29"/>
    </row>
    <row r="183" spans="1:28" s="2" customFormat="1" ht="18" customHeight="1">
      <c r="A183" s="6"/>
      <c r="B183" s="48"/>
      <c r="C183" s="30" t="e">
        <v>#REF!</v>
      </c>
      <c r="D183" s="31" t="e">
        <v>#REF!</v>
      </c>
      <c r="E183" s="30" t="e">
        <f t="shared" si="20"/>
        <v>#REF!</v>
      </c>
      <c r="F183" s="31" t="e">
        <v>#REF!</v>
      </c>
      <c r="G183" s="32" t="e">
        <v>#REF!</v>
      </c>
      <c r="H183" s="31" t="e">
        <v>#REF!</v>
      </c>
      <c r="I183" s="32" t="e">
        <v>#REF!</v>
      </c>
      <c r="J183" s="33" t="e">
        <f t="shared" si="21"/>
        <v>#REF!</v>
      </c>
      <c r="K183" s="32" t="e">
        <v>#REF!</v>
      </c>
      <c r="L183" s="33"/>
      <c r="M183" s="33"/>
      <c r="N183" s="34" t="e">
        <f t="shared" si="22"/>
        <v>#REF!</v>
      </c>
      <c r="O183" s="34" t="e">
        <f>IF(F183="","",N183*#REF!/100)</f>
        <v>#REF!</v>
      </c>
      <c r="P183" s="35" t="e">
        <v>#REF!</v>
      </c>
      <c r="Q183" s="36" t="e">
        <f t="shared" si="16"/>
        <v>#REF!</v>
      </c>
      <c r="R183" s="34" t="e">
        <f t="shared" si="17"/>
        <v>#REF!</v>
      </c>
      <c r="S183" s="37" t="e">
        <v>#REF!</v>
      </c>
      <c r="T183" s="37" t="e">
        <f t="shared" si="18"/>
        <v>#REF!</v>
      </c>
      <c r="U183" s="37" t="e">
        <f t="shared" si="19"/>
        <v>#REF!</v>
      </c>
      <c r="V183" s="34" t="e">
        <f>IF(F183="","",O183*#REF!)</f>
        <v>#REF!</v>
      </c>
      <c r="W183" s="29"/>
    </row>
    <row r="184" spans="1:28" s="2" customFormat="1" ht="18" customHeight="1">
      <c r="A184" s="6"/>
      <c r="B184" s="48"/>
      <c r="C184" s="38" t="e">
        <v>#REF!</v>
      </c>
      <c r="D184" s="39" t="e">
        <v>#REF!</v>
      </c>
      <c r="E184" s="38" t="e">
        <f t="shared" si="20"/>
        <v>#REF!</v>
      </c>
      <c r="F184" s="39" t="e">
        <v>#REF!</v>
      </c>
      <c r="G184" s="40" t="e">
        <v>#REF!</v>
      </c>
      <c r="H184" s="39" t="e">
        <v>#REF!</v>
      </c>
      <c r="I184" s="40" t="e">
        <v>#REF!</v>
      </c>
      <c r="J184" s="41" t="e">
        <f t="shared" si="21"/>
        <v>#REF!</v>
      </c>
      <c r="K184" s="40" t="e">
        <v>#REF!</v>
      </c>
      <c r="L184" s="41"/>
      <c r="M184" s="41"/>
      <c r="N184" s="42" t="e">
        <f t="shared" si="22"/>
        <v>#REF!</v>
      </c>
      <c r="O184" s="42" t="e">
        <f>IF(F184="","",N184*#REF!/100)</f>
        <v>#REF!</v>
      </c>
      <c r="P184" s="44" t="e">
        <v>#REF!</v>
      </c>
      <c r="Q184" s="45" t="e">
        <f t="shared" si="16"/>
        <v>#REF!</v>
      </c>
      <c r="R184" s="42" t="e">
        <f t="shared" si="17"/>
        <v>#REF!</v>
      </c>
      <c r="S184" s="46" t="e">
        <v>#REF!</v>
      </c>
      <c r="T184" s="46" t="e">
        <f t="shared" si="18"/>
        <v>#REF!</v>
      </c>
      <c r="U184" s="46" t="e">
        <f t="shared" si="19"/>
        <v>#REF!</v>
      </c>
      <c r="V184" s="42" t="e">
        <f>IF(F184="","",O184*#REF!)</f>
        <v>#REF!</v>
      </c>
      <c r="W184" s="29"/>
    </row>
    <row r="185" spans="1:28" s="2" customFormat="1" ht="18" customHeight="1">
      <c r="A185" s="6"/>
      <c r="B185" s="48"/>
      <c r="C185" s="49" t="e">
        <v>#REF!</v>
      </c>
      <c r="D185" s="50" t="e">
        <v>#REF!</v>
      </c>
      <c r="E185" s="49" t="e">
        <f t="shared" si="20"/>
        <v>#REF!</v>
      </c>
      <c r="F185" s="50" t="e">
        <v>#REF!</v>
      </c>
      <c r="G185" s="51" t="e">
        <v>#REF!</v>
      </c>
      <c r="H185" s="50" t="e">
        <v>#REF!</v>
      </c>
      <c r="I185" s="51" t="e">
        <v>#REF!</v>
      </c>
      <c r="J185" s="52" t="e">
        <f t="shared" si="21"/>
        <v>#REF!</v>
      </c>
      <c r="K185" s="51" t="e">
        <v>#REF!</v>
      </c>
      <c r="L185" s="33"/>
      <c r="M185" s="33"/>
      <c r="N185" s="53" t="e">
        <f t="shared" si="22"/>
        <v>#REF!</v>
      </c>
      <c r="O185" s="53" t="e">
        <f>IF(F185="","",N185*#REF!/100)</f>
        <v>#REF!</v>
      </c>
      <c r="P185" s="54" t="e">
        <v>#REF!</v>
      </c>
      <c r="Q185" s="55" t="e">
        <f t="shared" si="16"/>
        <v>#REF!</v>
      </c>
      <c r="R185" s="53" t="e">
        <f t="shared" si="17"/>
        <v>#REF!</v>
      </c>
      <c r="S185" s="56" t="e">
        <v>#REF!</v>
      </c>
      <c r="T185" s="56" t="e">
        <f t="shared" si="18"/>
        <v>#REF!</v>
      </c>
      <c r="U185" s="56" t="e">
        <f t="shared" si="19"/>
        <v>#REF!</v>
      </c>
      <c r="V185" s="53" t="e">
        <f>IF(F185="","",O185*#REF!)</f>
        <v>#REF!</v>
      </c>
      <c r="W185" s="29"/>
    </row>
    <row r="186" spans="1:28" s="2" customFormat="1" ht="18" customHeight="1">
      <c r="A186" s="6"/>
      <c r="B186" s="48"/>
      <c r="C186" s="1793"/>
      <c r="D186" s="1793"/>
      <c r="E186" s="1793"/>
      <c r="F186" s="1793"/>
      <c r="G186" s="1793"/>
      <c r="H186" s="1793"/>
      <c r="I186" s="1794"/>
      <c r="J186" s="57" t="e">
        <f>SUM(J151:J185)</f>
        <v>#REF!</v>
      </c>
      <c r="K186" s="58"/>
      <c r="L186" s="57"/>
      <c r="M186" s="57"/>
      <c r="N186" s="57" t="e">
        <f>SUM(N151:N185)</f>
        <v>#REF!</v>
      </c>
      <c r="O186" s="57" t="e">
        <f>SUM(O151:O185)</f>
        <v>#REF!</v>
      </c>
      <c r="P186" s="1530"/>
      <c r="Q186" s="1531"/>
      <c r="R186" s="60" t="e">
        <f>SUM(R151:R185)</f>
        <v>#REF!</v>
      </c>
      <c r="S186" s="61" t="s">
        <v>44</v>
      </c>
      <c r="T186" s="62"/>
      <c r="U186" s="63" t="e">
        <f>V186/O186</f>
        <v>#REF!</v>
      </c>
      <c r="V186" s="65" t="e">
        <f>SUM(V151:V185)</f>
        <v>#REF!</v>
      </c>
      <c r="W186" s="29"/>
    </row>
    <row r="187" spans="1:28" s="2" customFormat="1" ht="18" customHeight="1">
      <c r="A187" s="6"/>
      <c r="B187" s="66"/>
      <c r="C187" s="1869" t="e">
        <f>+C136</f>
        <v>#REF!</v>
      </c>
      <c r="D187" s="1870"/>
      <c r="E187" s="1870"/>
      <c r="F187" s="1870"/>
      <c r="G187" s="1870"/>
      <c r="H187" s="1870"/>
      <c r="I187" s="1870"/>
      <c r="J187" s="1870"/>
      <c r="K187" s="1870"/>
      <c r="L187" s="1870"/>
      <c r="M187" s="1870"/>
      <c r="N187" s="1870"/>
      <c r="O187" s="67" t="e">
        <f>R187/1.02</f>
        <v>#REF!</v>
      </c>
      <c r="P187" s="68" t="e">
        <f>+P136</f>
        <v>#REF!</v>
      </c>
      <c r="Q187" s="69" t="s">
        <v>46</v>
      </c>
      <c r="R187" s="70" t="e">
        <f>+P187*R186/1000</f>
        <v>#REF!</v>
      </c>
      <c r="S187" s="1860"/>
      <c r="T187" s="1861"/>
      <c r="U187" s="1861"/>
      <c r="V187" s="1862"/>
      <c r="W187" s="29"/>
    </row>
    <row r="188" spans="1:28" s="76" customFormat="1" ht="6" customHeight="1">
      <c r="A188" s="71"/>
      <c r="B188" s="72"/>
      <c r="C188" s="73"/>
      <c r="D188" s="73"/>
      <c r="E188" s="73"/>
      <c r="F188" s="73"/>
      <c r="G188" s="73"/>
      <c r="H188" s="73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5"/>
      <c r="W188" s="29"/>
      <c r="X188" s="2"/>
      <c r="Y188" s="2"/>
      <c r="Z188" s="2"/>
      <c r="AA188" s="2"/>
      <c r="AB188" s="2"/>
    </row>
    <row r="189" spans="1:28" s="76" customFormat="1" ht="7.5" customHeight="1">
      <c r="A189" s="71"/>
      <c r="B189" s="1863" t="s">
        <v>59</v>
      </c>
      <c r="C189" s="1864"/>
      <c r="D189" s="1864"/>
      <c r="E189" s="1864"/>
      <c r="F189" s="1864"/>
      <c r="G189" s="1864"/>
      <c r="H189" s="1864"/>
      <c r="I189" s="1864"/>
      <c r="J189" s="1864"/>
      <c r="K189" s="1864"/>
      <c r="L189" s="1864"/>
      <c r="M189" s="1864"/>
      <c r="N189" s="1864"/>
      <c r="O189" s="1864"/>
      <c r="P189" s="1864"/>
      <c r="Q189" s="1864"/>
      <c r="R189" s="1864"/>
      <c r="S189" s="1864"/>
      <c r="T189" s="1864"/>
      <c r="U189" s="1864"/>
      <c r="V189" s="1865"/>
      <c r="W189" s="29"/>
      <c r="X189" s="2"/>
      <c r="Y189" s="2"/>
      <c r="Z189" s="2"/>
      <c r="AA189" s="2"/>
      <c r="AB189" s="2"/>
    </row>
    <row r="190" spans="1:28" s="76" customFormat="1" ht="7.5" customHeight="1">
      <c r="A190" s="71"/>
      <c r="B190" s="1866"/>
      <c r="C190" s="1867"/>
      <c r="D190" s="1867"/>
      <c r="E190" s="1867"/>
      <c r="F190" s="1867"/>
      <c r="G190" s="1867"/>
      <c r="H190" s="1867"/>
      <c r="I190" s="1867"/>
      <c r="J190" s="1867"/>
      <c r="K190" s="1867"/>
      <c r="L190" s="1867"/>
      <c r="M190" s="1867"/>
      <c r="N190" s="1867"/>
      <c r="O190" s="1867"/>
      <c r="P190" s="1867"/>
      <c r="Q190" s="1867"/>
      <c r="R190" s="1867"/>
      <c r="S190" s="1867"/>
      <c r="T190" s="1867"/>
      <c r="U190" s="1867"/>
      <c r="V190" s="1868"/>
      <c r="W190" s="29"/>
      <c r="X190" s="2"/>
      <c r="Y190" s="2"/>
      <c r="Z190" s="2"/>
      <c r="AA190" s="2"/>
      <c r="AB190" s="2"/>
    </row>
    <row r="191" spans="1:28" s="76" customFormat="1" ht="5.0999999999999996" customHeight="1">
      <c r="A191" s="71"/>
      <c r="B191" s="72"/>
      <c r="C191" s="72"/>
      <c r="D191" s="72"/>
      <c r="E191" s="72"/>
      <c r="F191" s="72"/>
      <c r="G191" s="72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8"/>
      <c r="W191" s="29"/>
      <c r="X191" s="2"/>
      <c r="Y191" s="2"/>
      <c r="Z191" s="2"/>
      <c r="AA191" s="2"/>
      <c r="AB191" s="2"/>
    </row>
    <row r="192" spans="1:28" s="76" customFormat="1" ht="15.6" customHeight="1">
      <c r="A192" s="71"/>
      <c r="B192" s="79" t="s">
        <v>47</v>
      </c>
      <c r="C192" s="80"/>
      <c r="D192" s="80"/>
      <c r="E192" s="81"/>
      <c r="F192" s="82"/>
      <c r="G192" s="82"/>
      <c r="H192" s="83"/>
      <c r="I192" s="84"/>
      <c r="J192" s="84"/>
      <c r="K192" s="85"/>
      <c r="L192" s="86" t="s">
        <v>48</v>
      </c>
      <c r="M192" s="83" t="e">
        <f>+M141</f>
        <v>#REF!</v>
      </c>
      <c r="N192" s="82"/>
      <c r="O192" s="84"/>
      <c r="P192" s="83"/>
      <c r="Q192" s="84"/>
      <c r="R192" s="84"/>
      <c r="S192" s="83"/>
      <c r="T192" s="84"/>
      <c r="U192" s="84"/>
      <c r="V192" s="87" t="s">
        <v>49</v>
      </c>
      <c r="W192" s="29"/>
      <c r="X192" s="2"/>
      <c r="Y192" s="2"/>
      <c r="Z192" s="2"/>
      <c r="AA192" s="2"/>
      <c r="AB192" s="2"/>
    </row>
    <row r="193" spans="1:28" s="76" customFormat="1" ht="15.6" customHeight="1">
      <c r="A193" s="71"/>
      <c r="B193" s="88"/>
      <c r="C193" s="89"/>
      <c r="D193" s="89"/>
      <c r="E193" s="96"/>
      <c r="F193" s="90"/>
      <c r="G193" s="90"/>
      <c r="H193" s="91"/>
      <c r="I193" s="92"/>
      <c r="J193" s="92"/>
      <c r="K193" s="93"/>
      <c r="L193" s="94" t="s">
        <v>50</v>
      </c>
      <c r="M193" s="91" t="e">
        <f t="shared" ref="M193:M196" si="23">+M142</f>
        <v>#REF!</v>
      </c>
      <c r="N193" s="90"/>
      <c r="O193" s="92"/>
      <c r="P193" s="91"/>
      <c r="Q193" s="92"/>
      <c r="R193" s="92"/>
      <c r="S193" s="91"/>
      <c r="T193" s="92"/>
      <c r="U193" s="92"/>
      <c r="V193" s="95"/>
      <c r="W193" s="29"/>
      <c r="X193" s="2"/>
      <c r="Y193" s="2"/>
      <c r="Z193" s="2"/>
      <c r="AA193" s="2"/>
      <c r="AB193" s="2"/>
    </row>
    <row r="194" spans="1:28" s="76" customFormat="1" ht="15.6" customHeight="1">
      <c r="A194" s="71"/>
      <c r="B194" s="88"/>
      <c r="C194" s="89"/>
      <c r="D194" s="89"/>
      <c r="E194" s="96"/>
      <c r="F194" s="90"/>
      <c r="G194" s="90"/>
      <c r="H194" s="91"/>
      <c r="I194" s="92"/>
      <c r="J194" s="92"/>
      <c r="K194" s="93"/>
      <c r="L194" s="94" t="s">
        <v>51</v>
      </c>
      <c r="M194" s="91" t="e">
        <f t="shared" si="23"/>
        <v>#REF!</v>
      </c>
      <c r="N194" s="90"/>
      <c r="O194" s="92"/>
      <c r="P194" s="91"/>
      <c r="Q194" s="92"/>
      <c r="R194" s="92"/>
      <c r="S194" s="91"/>
      <c r="T194" s="92"/>
      <c r="U194" s="92"/>
      <c r="V194" s="1871" t="s">
        <v>52</v>
      </c>
      <c r="W194" s="29"/>
      <c r="X194" s="2"/>
      <c r="Y194" s="2"/>
      <c r="Z194" s="2"/>
      <c r="AA194" s="2"/>
      <c r="AB194" s="2"/>
    </row>
    <row r="195" spans="1:28" s="76" customFormat="1" ht="15.6" customHeight="1">
      <c r="A195" s="71"/>
      <c r="B195" s="88"/>
      <c r="C195" s="89"/>
      <c r="D195" s="89"/>
      <c r="E195" s="96"/>
      <c r="F195" s="90"/>
      <c r="G195" s="90"/>
      <c r="H195" s="91"/>
      <c r="I195" s="92"/>
      <c r="J195" s="92"/>
      <c r="K195" s="93"/>
      <c r="L195" s="94" t="s">
        <v>53</v>
      </c>
      <c r="M195" s="91" t="e">
        <f t="shared" si="23"/>
        <v>#REF!</v>
      </c>
      <c r="N195" s="90"/>
      <c r="O195" s="92"/>
      <c r="P195" s="91"/>
      <c r="Q195" s="92"/>
      <c r="R195" s="92"/>
      <c r="S195" s="91"/>
      <c r="T195" s="92"/>
      <c r="U195" s="92"/>
      <c r="V195" s="1872"/>
      <c r="W195" s="29"/>
      <c r="X195" s="2"/>
      <c r="Y195" s="2"/>
      <c r="Z195" s="2"/>
      <c r="AA195" s="2"/>
      <c r="AB195" s="2"/>
    </row>
    <row r="196" spans="1:28" s="76" customFormat="1" ht="15.6" customHeight="1">
      <c r="A196" s="71"/>
      <c r="B196" s="97"/>
      <c r="C196" s="73"/>
      <c r="D196" s="73"/>
      <c r="E196" s="73"/>
      <c r="F196" s="73"/>
      <c r="G196" s="73"/>
      <c r="H196" s="73"/>
      <c r="I196" s="98" t="s">
        <v>54</v>
      </c>
      <c r="J196" s="99">
        <f ca="1">TODAY()</f>
        <v>46063</v>
      </c>
      <c r="K196" s="100"/>
      <c r="L196" s="101" t="s">
        <v>55</v>
      </c>
      <c r="M196" s="74" t="e">
        <f t="shared" si="23"/>
        <v>#REF!</v>
      </c>
      <c r="N196" s="73"/>
      <c r="O196" s="74"/>
      <c r="P196" s="74"/>
      <c r="Q196" s="74"/>
      <c r="R196" s="74"/>
      <c r="S196" s="74"/>
      <c r="T196" s="74"/>
      <c r="U196" s="74"/>
      <c r="V196" s="1873"/>
      <c r="W196" s="29"/>
      <c r="X196" s="2"/>
      <c r="Y196" s="2"/>
      <c r="Z196" s="2"/>
      <c r="AA196" s="2"/>
      <c r="AB196" s="2"/>
    </row>
    <row r="197" spans="1:28" s="106" customFormat="1" ht="8.1" customHeight="1">
      <c r="A197" s="102"/>
      <c r="B197" s="103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4"/>
      <c r="X197" s="105"/>
      <c r="Y197" s="105"/>
      <c r="Z197" s="105"/>
      <c r="AA197" s="105"/>
      <c r="AB197" s="105"/>
    </row>
    <row r="198" spans="1:28" ht="8.1" customHeight="1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5"/>
    </row>
    <row r="199" spans="1:28" s="2" customFormat="1" ht="22.5" customHeight="1">
      <c r="A199" s="6"/>
      <c r="B199" s="7"/>
      <c r="C199" s="1856" t="s">
        <v>4</v>
      </c>
      <c r="D199" s="1857"/>
      <c r="E199" s="1858" t="s">
        <v>5</v>
      </c>
      <c r="F199" s="8" t="s">
        <v>6</v>
      </c>
      <c r="G199" s="8"/>
      <c r="H199" s="8"/>
      <c r="I199" s="9"/>
      <c r="J199" s="1532" t="s">
        <v>7</v>
      </c>
      <c r="K199" s="1532" t="s">
        <v>8</v>
      </c>
      <c r="L199" s="1532" t="s">
        <v>9</v>
      </c>
      <c r="M199" s="1532" t="s">
        <v>9</v>
      </c>
      <c r="N199" s="1532" t="s">
        <v>9</v>
      </c>
      <c r="O199" s="1532"/>
      <c r="P199" s="10" t="s">
        <v>10</v>
      </c>
      <c r="Q199" s="9"/>
      <c r="R199" s="1532"/>
      <c r="S199" s="11" t="s">
        <v>11</v>
      </c>
      <c r="T199" s="12"/>
      <c r="U199" s="12"/>
      <c r="V199" s="1532" t="s">
        <v>12</v>
      </c>
      <c r="W199" s="14"/>
    </row>
    <row r="200" spans="1:28" s="2" customFormat="1" ht="22.5" customHeight="1">
      <c r="A200" s="6"/>
      <c r="B200" s="15" t="s">
        <v>13</v>
      </c>
      <c r="C200" s="1858" t="s">
        <v>14</v>
      </c>
      <c r="D200" s="16" t="s">
        <v>15</v>
      </c>
      <c r="E200" s="1859"/>
      <c r="F200" s="12" t="s">
        <v>16</v>
      </c>
      <c r="G200" s="13"/>
      <c r="H200" s="11" t="s">
        <v>17</v>
      </c>
      <c r="I200" s="13"/>
      <c r="J200" s="1533" t="s">
        <v>18</v>
      </c>
      <c r="K200" s="1533" t="s">
        <v>19</v>
      </c>
      <c r="L200" s="17" t="s">
        <v>20</v>
      </c>
      <c r="M200" s="1533" t="s">
        <v>56</v>
      </c>
      <c r="N200" s="1533" t="s">
        <v>0</v>
      </c>
      <c r="O200" s="1533" t="s">
        <v>22</v>
      </c>
      <c r="P200" s="18" t="s">
        <v>23</v>
      </c>
      <c r="Q200" s="19"/>
      <c r="R200" s="1533" t="s">
        <v>24</v>
      </c>
      <c r="S200" s="1532" t="s">
        <v>25</v>
      </c>
      <c r="T200" s="1532" t="s">
        <v>26</v>
      </c>
      <c r="U200" s="1532" t="s">
        <v>27</v>
      </c>
      <c r="V200" s="1533" t="s">
        <v>29</v>
      </c>
      <c r="W200" s="14"/>
    </row>
    <row r="201" spans="1:28" s="2" customFormat="1" ht="22.5" customHeight="1">
      <c r="A201" s="6"/>
      <c r="B201" s="15" t="s">
        <v>30</v>
      </c>
      <c r="C201" s="1859"/>
      <c r="D201" s="16" t="s">
        <v>31</v>
      </c>
      <c r="E201" s="1859"/>
      <c r="F201" s="20" t="s">
        <v>32</v>
      </c>
      <c r="G201" s="1532" t="s">
        <v>33</v>
      </c>
      <c r="H201" s="1532" t="s">
        <v>32</v>
      </c>
      <c r="I201" s="1532" t="s">
        <v>33</v>
      </c>
      <c r="J201" s="1533" t="s">
        <v>34</v>
      </c>
      <c r="K201" s="1533" t="s">
        <v>34</v>
      </c>
      <c r="L201" s="1533" t="s">
        <v>35</v>
      </c>
      <c r="M201" s="1533" t="s">
        <v>35</v>
      </c>
      <c r="N201" s="1533" t="s">
        <v>35</v>
      </c>
      <c r="O201" s="1533" t="s">
        <v>37</v>
      </c>
      <c r="P201" s="18" t="s">
        <v>38</v>
      </c>
      <c r="Q201" s="19"/>
      <c r="R201" s="1533" t="s">
        <v>39</v>
      </c>
      <c r="S201" s="1533"/>
      <c r="T201" s="1533" t="s">
        <v>40</v>
      </c>
      <c r="U201" s="1533" t="s">
        <v>41</v>
      </c>
      <c r="V201" s="1533" t="s">
        <v>42</v>
      </c>
      <c r="W201" s="14"/>
    </row>
    <row r="202" spans="1:28" s="2" customFormat="1" ht="18" customHeight="1">
      <c r="A202" s="6"/>
      <c r="B202" s="1791" t="str">
        <f>+B151</f>
        <v xml:space="preserve">TELA ELETROSOLDADA                                                                                                                                                         </v>
      </c>
      <c r="C202" s="21" t="e">
        <v>#REF!</v>
      </c>
      <c r="D202" s="22" t="e">
        <v>#REF!</v>
      </c>
      <c r="E202" s="21" t="e">
        <f>IF(F202="","","Faixa Adicional LE")</f>
        <v>#REF!</v>
      </c>
      <c r="F202" s="22" t="e">
        <v>#REF!</v>
      </c>
      <c r="G202" s="23" t="e">
        <v>#REF!</v>
      </c>
      <c r="H202" s="22" t="e">
        <v>#REF!</v>
      </c>
      <c r="I202" s="23" t="e">
        <v>#REF!</v>
      </c>
      <c r="J202" s="24" t="e">
        <f>IF(F202="","",((H202-F202)*20)+I202-G202)</f>
        <v>#REF!</v>
      </c>
      <c r="K202" s="23" t="e">
        <v>#REF!</v>
      </c>
      <c r="L202" s="24"/>
      <c r="M202" s="24"/>
      <c r="N202" s="25" t="e">
        <f>IF(F202="","",(J202*K202)+M202+L202)</f>
        <v>#REF!</v>
      </c>
      <c r="O202" s="25" t="e">
        <f>IF(F202="","",N202*#REF!/100)</f>
        <v>#REF!</v>
      </c>
      <c r="P202" s="26" t="e">
        <v>#REF!</v>
      </c>
      <c r="Q202" s="27" t="e">
        <f t="shared" ref="Q202:Q236" si="24">IF(F202="","","t/m3")</f>
        <v>#REF!</v>
      </c>
      <c r="R202" s="25" t="e">
        <f t="shared" ref="R202:R236" si="25">IF(F202="","",O202*P202)</f>
        <v>#REF!</v>
      </c>
      <c r="S202" s="28" t="e">
        <v>#REF!</v>
      </c>
      <c r="T202" s="28" t="e">
        <f t="shared" ref="T202:T236" si="26">IF(F202="","",IF(D202&gt;H202,((D202-H202)*0.02),IF(D202&lt;F202,((F202-D202)*0.02),IF(F202="","",0))))</f>
        <v>#REF!</v>
      </c>
      <c r="U202" s="28" t="e">
        <f t="shared" ref="U202:U236" si="27">IF(F202="","",IF(D202&gt;H202,((((H202-F202)*20)+I202-G202)/2000),IF(D202&gt;F202,((((D202-F202)*0.02)^2)+(((H202-D202)*0.02)^2))/(2*((H202-F202)*0.02)),((((H202-F202)*20)+I202-G202)/2000))))</f>
        <v>#REF!</v>
      </c>
      <c r="V202" s="25" t="e">
        <f>IF(F202="","",O202*#REF!)</f>
        <v>#REF!</v>
      </c>
      <c r="W202" s="29"/>
    </row>
    <row r="203" spans="1:28" s="2" customFormat="1" ht="18" customHeight="1">
      <c r="A203" s="6"/>
      <c r="B203" s="1792"/>
      <c r="C203" s="38" t="e">
        <v>#REF!</v>
      </c>
      <c r="D203" s="39" t="e">
        <v>#REF!</v>
      </c>
      <c r="E203" s="38" t="e">
        <f t="shared" ref="E203:E236" si="28">IF(F203="","","Faixa Adicional LE")</f>
        <v>#REF!</v>
      </c>
      <c r="F203" s="39" t="e">
        <v>#REF!</v>
      </c>
      <c r="G203" s="40" t="e">
        <v>#REF!</v>
      </c>
      <c r="H203" s="39" t="e">
        <v>#REF!</v>
      </c>
      <c r="I203" s="40" t="e">
        <v>#REF!</v>
      </c>
      <c r="J203" s="41" t="e">
        <f t="shared" ref="J203:J236" si="29">IF(F203="","",((H203-F203)*20)+I203-G203)</f>
        <v>#REF!</v>
      </c>
      <c r="K203" s="40" t="e">
        <v>#REF!</v>
      </c>
      <c r="L203" s="41"/>
      <c r="M203" s="41"/>
      <c r="N203" s="42" t="e">
        <f t="shared" ref="N203:N236" si="30">IF(F203="","",(J203*K203)+M203+L203)</f>
        <v>#REF!</v>
      </c>
      <c r="O203" s="42" t="e">
        <f>IF(F203="","",N203*#REF!/100)</f>
        <v>#REF!</v>
      </c>
      <c r="P203" s="44" t="e">
        <v>#REF!</v>
      </c>
      <c r="Q203" s="45" t="e">
        <f t="shared" si="24"/>
        <v>#REF!</v>
      </c>
      <c r="R203" s="42" t="e">
        <f t="shared" si="25"/>
        <v>#REF!</v>
      </c>
      <c r="S203" s="46" t="e">
        <v>#REF!</v>
      </c>
      <c r="T203" s="46" t="e">
        <f t="shared" si="26"/>
        <v>#REF!</v>
      </c>
      <c r="U203" s="46" t="e">
        <f t="shared" si="27"/>
        <v>#REF!</v>
      </c>
      <c r="V203" s="42" t="e">
        <f>IF(F203="","",O203*#REF!)</f>
        <v>#REF!</v>
      </c>
      <c r="W203" s="29"/>
    </row>
    <row r="204" spans="1:28" s="2" customFormat="1" ht="18" customHeight="1">
      <c r="A204" s="6"/>
      <c r="B204" s="1837">
        <f>+B153</f>
        <v>0</v>
      </c>
      <c r="C204" s="30" t="e">
        <v>#REF!</v>
      </c>
      <c r="D204" s="31" t="e">
        <v>#REF!</v>
      </c>
      <c r="E204" s="30" t="e">
        <f t="shared" si="28"/>
        <v>#REF!</v>
      </c>
      <c r="F204" s="31" t="e">
        <v>#REF!</v>
      </c>
      <c r="G204" s="32" t="e">
        <v>#REF!</v>
      </c>
      <c r="H204" s="31" t="e">
        <v>#REF!</v>
      </c>
      <c r="I204" s="32" t="e">
        <v>#REF!</v>
      </c>
      <c r="J204" s="33" t="e">
        <f t="shared" si="29"/>
        <v>#REF!</v>
      </c>
      <c r="K204" s="32" t="e">
        <v>#REF!</v>
      </c>
      <c r="L204" s="33"/>
      <c r="M204" s="33"/>
      <c r="N204" s="34" t="e">
        <f t="shared" si="30"/>
        <v>#REF!</v>
      </c>
      <c r="O204" s="34" t="e">
        <f>IF(F204="","",N204*#REF!/100)</f>
        <v>#REF!</v>
      </c>
      <c r="P204" s="35" t="e">
        <v>#REF!</v>
      </c>
      <c r="Q204" s="36" t="e">
        <f t="shared" si="24"/>
        <v>#REF!</v>
      </c>
      <c r="R204" s="34" t="e">
        <f t="shared" si="25"/>
        <v>#REF!</v>
      </c>
      <c r="S204" s="37" t="e">
        <v>#REF!</v>
      </c>
      <c r="T204" s="37" t="e">
        <f t="shared" si="26"/>
        <v>#REF!</v>
      </c>
      <c r="U204" s="37" t="e">
        <f t="shared" si="27"/>
        <v>#REF!</v>
      </c>
      <c r="V204" s="34" t="e">
        <f>IF(F204="","",O204*#REF!)</f>
        <v>#REF!</v>
      </c>
      <c r="W204" s="29"/>
    </row>
    <row r="205" spans="1:28" s="2" customFormat="1" ht="18" customHeight="1">
      <c r="A205" s="6"/>
      <c r="B205" s="1837"/>
      <c r="C205" s="38" t="s">
        <v>67</v>
      </c>
      <c r="D205" s="39" t="s">
        <v>67</v>
      </c>
      <c r="E205" s="38" t="str">
        <f t="shared" si="28"/>
        <v/>
      </c>
      <c r="F205" s="39"/>
      <c r="G205" s="40"/>
      <c r="H205" s="39"/>
      <c r="I205" s="40"/>
      <c r="J205" s="41"/>
      <c r="K205" s="40" t="s">
        <v>67</v>
      </c>
      <c r="L205" s="41"/>
      <c r="M205" s="41"/>
      <c r="N205" s="42" t="str">
        <f t="shared" si="30"/>
        <v/>
      </c>
      <c r="O205" s="42" t="str">
        <f>IF(F205="","",N205*#REF!/100)</f>
        <v/>
      </c>
      <c r="P205" s="44" t="s">
        <v>67</v>
      </c>
      <c r="Q205" s="45" t="str">
        <f t="shared" si="24"/>
        <v/>
      </c>
      <c r="R205" s="42" t="str">
        <f t="shared" si="25"/>
        <v/>
      </c>
      <c r="S205" s="46" t="s">
        <v>67</v>
      </c>
      <c r="T205" s="46" t="str">
        <f t="shared" si="26"/>
        <v/>
      </c>
      <c r="U205" s="46" t="str">
        <f t="shared" si="27"/>
        <v/>
      </c>
      <c r="V205" s="42" t="str">
        <f>IF(F205="","",O205*#REF!)</f>
        <v/>
      </c>
      <c r="W205" s="29"/>
    </row>
    <row r="206" spans="1:28" s="2" customFormat="1" ht="18" customHeight="1">
      <c r="A206" s="6"/>
      <c r="B206" s="1837"/>
      <c r="C206" s="30" t="e">
        <v>#REF!</v>
      </c>
      <c r="D206" s="31" t="e">
        <v>#REF!</v>
      </c>
      <c r="E206" s="30" t="e">
        <f t="shared" si="28"/>
        <v>#REF!</v>
      </c>
      <c r="F206" s="31" t="e">
        <v>#REF!</v>
      </c>
      <c r="G206" s="32" t="e">
        <v>#REF!</v>
      </c>
      <c r="H206" s="31" t="e">
        <v>#REF!</v>
      </c>
      <c r="I206" s="32" t="e">
        <v>#REF!</v>
      </c>
      <c r="J206" s="33" t="e">
        <f t="shared" si="29"/>
        <v>#REF!</v>
      </c>
      <c r="K206" s="32" t="e">
        <v>#REF!</v>
      </c>
      <c r="L206" s="33"/>
      <c r="M206" s="33"/>
      <c r="N206" s="34" t="e">
        <f t="shared" si="30"/>
        <v>#REF!</v>
      </c>
      <c r="O206" s="34" t="e">
        <f>IF(F206="","",N206*#REF!/100)</f>
        <v>#REF!</v>
      </c>
      <c r="P206" s="35" t="e">
        <v>#REF!</v>
      </c>
      <c r="Q206" s="36" t="e">
        <f t="shared" si="24"/>
        <v>#REF!</v>
      </c>
      <c r="R206" s="34" t="e">
        <f t="shared" si="25"/>
        <v>#REF!</v>
      </c>
      <c r="S206" s="37" t="e">
        <v>#REF!</v>
      </c>
      <c r="T206" s="37" t="e">
        <f t="shared" si="26"/>
        <v>#REF!</v>
      </c>
      <c r="U206" s="37" t="e">
        <f t="shared" si="27"/>
        <v>#REF!</v>
      </c>
      <c r="V206" s="34" t="e">
        <f>IF(F206="","",O206*#REF!)</f>
        <v>#REF!</v>
      </c>
      <c r="W206" s="29"/>
    </row>
    <row r="207" spans="1:28" s="2" customFormat="1" ht="18" customHeight="1">
      <c r="A207" s="6"/>
      <c r="B207" s="47"/>
      <c r="C207" s="38" t="e">
        <v>#REF!</v>
      </c>
      <c r="D207" s="39" t="e">
        <v>#REF!</v>
      </c>
      <c r="E207" s="38" t="e">
        <f t="shared" si="28"/>
        <v>#REF!</v>
      </c>
      <c r="F207" s="39" t="e">
        <v>#REF!</v>
      </c>
      <c r="G207" s="40" t="e">
        <v>#REF!</v>
      </c>
      <c r="H207" s="39" t="e">
        <v>#REF!</v>
      </c>
      <c r="I207" s="40" t="e">
        <v>#REF!</v>
      </c>
      <c r="J207" s="41" t="e">
        <f t="shared" si="29"/>
        <v>#REF!</v>
      </c>
      <c r="K207" s="40" t="e">
        <v>#REF!</v>
      </c>
      <c r="L207" s="41"/>
      <c r="M207" s="41"/>
      <c r="N207" s="42" t="e">
        <f t="shared" si="30"/>
        <v>#REF!</v>
      </c>
      <c r="O207" s="42" t="e">
        <f>IF(F207="","",N207*#REF!/100)</f>
        <v>#REF!</v>
      </c>
      <c r="P207" s="44" t="e">
        <v>#REF!</v>
      </c>
      <c r="Q207" s="45" t="e">
        <f t="shared" si="24"/>
        <v>#REF!</v>
      </c>
      <c r="R207" s="42" t="e">
        <f t="shared" si="25"/>
        <v>#REF!</v>
      </c>
      <c r="S207" s="46" t="e">
        <v>#REF!</v>
      </c>
      <c r="T207" s="46" t="e">
        <f t="shared" si="26"/>
        <v>#REF!</v>
      </c>
      <c r="U207" s="46" t="e">
        <f t="shared" si="27"/>
        <v>#REF!</v>
      </c>
      <c r="V207" s="42" t="e">
        <f>IF(F207="","",O207*#REF!)</f>
        <v>#REF!</v>
      </c>
      <c r="W207" s="29"/>
    </row>
    <row r="208" spans="1:28" s="2" customFormat="1" ht="18" customHeight="1">
      <c r="A208" s="6"/>
      <c r="B208" s="47"/>
      <c r="C208" s="30" t="e">
        <v>#REF!</v>
      </c>
      <c r="D208" s="31" t="e">
        <v>#REF!</v>
      </c>
      <c r="E208" s="30" t="e">
        <f t="shared" si="28"/>
        <v>#REF!</v>
      </c>
      <c r="F208" s="31" t="e">
        <v>#REF!</v>
      </c>
      <c r="G208" s="32" t="e">
        <v>#REF!</v>
      </c>
      <c r="H208" s="31" t="e">
        <v>#REF!</v>
      </c>
      <c r="I208" s="32" t="e">
        <v>#REF!</v>
      </c>
      <c r="J208" s="33" t="e">
        <f t="shared" si="29"/>
        <v>#REF!</v>
      </c>
      <c r="K208" s="32" t="e">
        <v>#REF!</v>
      </c>
      <c r="L208" s="33"/>
      <c r="M208" s="33"/>
      <c r="N208" s="34" t="e">
        <f t="shared" si="30"/>
        <v>#REF!</v>
      </c>
      <c r="O208" s="34" t="e">
        <f>IF(F208="","",N208*#REF!/100)</f>
        <v>#REF!</v>
      </c>
      <c r="P208" s="35" t="e">
        <v>#REF!</v>
      </c>
      <c r="Q208" s="36" t="e">
        <f t="shared" si="24"/>
        <v>#REF!</v>
      </c>
      <c r="R208" s="34" t="e">
        <f t="shared" si="25"/>
        <v>#REF!</v>
      </c>
      <c r="S208" s="37" t="e">
        <v>#REF!</v>
      </c>
      <c r="T208" s="37" t="e">
        <f t="shared" si="26"/>
        <v>#REF!</v>
      </c>
      <c r="U208" s="37" t="e">
        <f t="shared" si="27"/>
        <v>#REF!</v>
      </c>
      <c r="V208" s="34" t="e">
        <f>IF(F208="","",O208*#REF!)</f>
        <v>#REF!</v>
      </c>
      <c r="W208" s="29"/>
    </row>
    <row r="209" spans="1:23" s="2" customFormat="1" ht="18" customHeight="1">
      <c r="A209" s="6"/>
      <c r="B209" s="48"/>
      <c r="C209" s="38" t="e">
        <v>#REF!</v>
      </c>
      <c r="D209" s="39" t="e">
        <v>#REF!</v>
      </c>
      <c r="E209" s="38" t="e">
        <f t="shared" si="28"/>
        <v>#REF!</v>
      </c>
      <c r="F209" s="39" t="e">
        <v>#REF!</v>
      </c>
      <c r="G209" s="40" t="e">
        <v>#REF!</v>
      </c>
      <c r="H209" s="39" t="e">
        <v>#REF!</v>
      </c>
      <c r="I209" s="40" t="e">
        <v>#REF!</v>
      </c>
      <c r="J209" s="41" t="e">
        <f t="shared" si="29"/>
        <v>#REF!</v>
      </c>
      <c r="K209" s="40" t="e">
        <v>#REF!</v>
      </c>
      <c r="L209" s="41"/>
      <c r="M209" s="41"/>
      <c r="N209" s="42" t="e">
        <f t="shared" si="30"/>
        <v>#REF!</v>
      </c>
      <c r="O209" s="42" t="e">
        <f>IF(F209="","",N209*#REF!/100)</f>
        <v>#REF!</v>
      </c>
      <c r="P209" s="44" t="e">
        <v>#REF!</v>
      </c>
      <c r="Q209" s="45" t="e">
        <f t="shared" si="24"/>
        <v>#REF!</v>
      </c>
      <c r="R209" s="42" t="e">
        <f t="shared" si="25"/>
        <v>#REF!</v>
      </c>
      <c r="S209" s="46" t="e">
        <v>#REF!</v>
      </c>
      <c r="T209" s="46" t="e">
        <f t="shared" si="26"/>
        <v>#REF!</v>
      </c>
      <c r="U209" s="46" t="e">
        <f t="shared" si="27"/>
        <v>#REF!</v>
      </c>
      <c r="V209" s="42" t="e">
        <f>IF(F209="","",O209*#REF!)</f>
        <v>#REF!</v>
      </c>
      <c r="W209" s="29"/>
    </row>
    <row r="210" spans="1:23" s="2" customFormat="1" ht="18" customHeight="1">
      <c r="A210" s="6"/>
      <c r="B210" s="48"/>
      <c r="C210" s="30" t="e">
        <v>#REF!</v>
      </c>
      <c r="D210" s="31" t="e">
        <v>#REF!</v>
      </c>
      <c r="E210" s="30" t="e">
        <f t="shared" si="28"/>
        <v>#REF!</v>
      </c>
      <c r="F210" s="31" t="e">
        <v>#REF!</v>
      </c>
      <c r="G210" s="32" t="e">
        <v>#REF!</v>
      </c>
      <c r="H210" s="31" t="e">
        <v>#REF!</v>
      </c>
      <c r="I210" s="32" t="e">
        <v>#REF!</v>
      </c>
      <c r="J210" s="33" t="e">
        <f t="shared" si="29"/>
        <v>#REF!</v>
      </c>
      <c r="K210" s="32" t="e">
        <v>#REF!</v>
      </c>
      <c r="L210" s="33"/>
      <c r="M210" s="33"/>
      <c r="N210" s="34" t="e">
        <f t="shared" si="30"/>
        <v>#REF!</v>
      </c>
      <c r="O210" s="34" t="e">
        <f>IF(F210="","",N210*#REF!/100)</f>
        <v>#REF!</v>
      </c>
      <c r="P210" s="35" t="e">
        <v>#REF!</v>
      </c>
      <c r="Q210" s="36" t="e">
        <f t="shared" si="24"/>
        <v>#REF!</v>
      </c>
      <c r="R210" s="34" t="e">
        <f t="shared" si="25"/>
        <v>#REF!</v>
      </c>
      <c r="S210" s="37" t="e">
        <v>#REF!</v>
      </c>
      <c r="T210" s="37" t="e">
        <f t="shared" si="26"/>
        <v>#REF!</v>
      </c>
      <c r="U210" s="37" t="e">
        <f t="shared" si="27"/>
        <v>#REF!</v>
      </c>
      <c r="V210" s="34" t="e">
        <f>IF(F210="","",O210*#REF!)</f>
        <v>#REF!</v>
      </c>
      <c r="W210" s="29"/>
    </row>
    <row r="211" spans="1:23" s="2" customFormat="1" ht="18" customHeight="1">
      <c r="A211" s="6"/>
      <c r="B211" s="48"/>
      <c r="C211" s="38" t="e">
        <v>#REF!</v>
      </c>
      <c r="D211" s="39" t="e">
        <v>#REF!</v>
      </c>
      <c r="E211" s="38" t="e">
        <f t="shared" si="28"/>
        <v>#REF!</v>
      </c>
      <c r="F211" s="39" t="e">
        <v>#REF!</v>
      </c>
      <c r="G211" s="40" t="e">
        <v>#REF!</v>
      </c>
      <c r="H211" s="39" t="e">
        <v>#REF!</v>
      </c>
      <c r="I211" s="40" t="e">
        <v>#REF!</v>
      </c>
      <c r="J211" s="41" t="e">
        <f t="shared" si="29"/>
        <v>#REF!</v>
      </c>
      <c r="K211" s="40" t="e">
        <v>#REF!</v>
      </c>
      <c r="L211" s="41"/>
      <c r="M211" s="41"/>
      <c r="N211" s="42" t="e">
        <f t="shared" si="30"/>
        <v>#REF!</v>
      </c>
      <c r="O211" s="42" t="e">
        <f>IF(F211="","",N211*#REF!/100)</f>
        <v>#REF!</v>
      </c>
      <c r="P211" s="44" t="e">
        <v>#REF!</v>
      </c>
      <c r="Q211" s="45" t="e">
        <f t="shared" si="24"/>
        <v>#REF!</v>
      </c>
      <c r="R211" s="42" t="e">
        <f t="shared" si="25"/>
        <v>#REF!</v>
      </c>
      <c r="S211" s="46" t="e">
        <v>#REF!</v>
      </c>
      <c r="T211" s="46" t="e">
        <f t="shared" si="26"/>
        <v>#REF!</v>
      </c>
      <c r="U211" s="46" t="e">
        <f t="shared" si="27"/>
        <v>#REF!</v>
      </c>
      <c r="V211" s="42" t="e">
        <f>IF(F211="","",O211*#REF!)</f>
        <v>#REF!</v>
      </c>
      <c r="W211" s="29"/>
    </row>
    <row r="212" spans="1:23" s="2" customFormat="1" ht="18" customHeight="1">
      <c r="A212" s="6"/>
      <c r="B212" s="48"/>
      <c r="C212" s="30" t="e">
        <v>#REF!</v>
      </c>
      <c r="D212" s="31" t="e">
        <v>#REF!</v>
      </c>
      <c r="E212" s="30" t="e">
        <f t="shared" si="28"/>
        <v>#REF!</v>
      </c>
      <c r="F212" s="31" t="e">
        <v>#REF!</v>
      </c>
      <c r="G212" s="32" t="e">
        <v>#REF!</v>
      </c>
      <c r="H212" s="31" t="e">
        <v>#REF!</v>
      </c>
      <c r="I212" s="32" t="e">
        <v>#REF!</v>
      </c>
      <c r="J212" s="33" t="e">
        <f t="shared" si="29"/>
        <v>#REF!</v>
      </c>
      <c r="K212" s="32" t="e">
        <v>#REF!</v>
      </c>
      <c r="L212" s="33"/>
      <c r="M212" s="33"/>
      <c r="N212" s="34" t="e">
        <f t="shared" si="30"/>
        <v>#REF!</v>
      </c>
      <c r="O212" s="34" t="e">
        <f>IF(F212="","",N212*#REF!/100)</f>
        <v>#REF!</v>
      </c>
      <c r="P212" s="35" t="e">
        <v>#REF!</v>
      </c>
      <c r="Q212" s="36" t="e">
        <f t="shared" si="24"/>
        <v>#REF!</v>
      </c>
      <c r="R212" s="34" t="e">
        <f t="shared" si="25"/>
        <v>#REF!</v>
      </c>
      <c r="S212" s="37" t="e">
        <v>#REF!</v>
      </c>
      <c r="T212" s="37" t="e">
        <f t="shared" si="26"/>
        <v>#REF!</v>
      </c>
      <c r="U212" s="37" t="e">
        <f t="shared" si="27"/>
        <v>#REF!</v>
      </c>
      <c r="V212" s="34" t="e">
        <f>IF(F212="","",O212*#REF!)</f>
        <v>#REF!</v>
      </c>
      <c r="W212" s="29"/>
    </row>
    <row r="213" spans="1:23" s="2" customFormat="1" ht="18" customHeight="1">
      <c r="A213" s="6"/>
      <c r="B213" s="48"/>
      <c r="C213" s="38" t="e">
        <v>#REF!</v>
      </c>
      <c r="D213" s="39" t="e">
        <v>#REF!</v>
      </c>
      <c r="E213" s="38" t="e">
        <f t="shared" si="28"/>
        <v>#REF!</v>
      </c>
      <c r="F213" s="39" t="e">
        <v>#REF!</v>
      </c>
      <c r="G213" s="40" t="e">
        <v>#REF!</v>
      </c>
      <c r="H213" s="39" t="e">
        <v>#REF!</v>
      </c>
      <c r="I213" s="40" t="e">
        <v>#REF!</v>
      </c>
      <c r="J213" s="41" t="e">
        <f t="shared" si="29"/>
        <v>#REF!</v>
      </c>
      <c r="K213" s="40" t="e">
        <v>#REF!</v>
      </c>
      <c r="L213" s="41"/>
      <c r="M213" s="41"/>
      <c r="N213" s="42" t="e">
        <f t="shared" si="30"/>
        <v>#REF!</v>
      </c>
      <c r="O213" s="42" t="e">
        <f>IF(F213="","",N213*#REF!/100)</f>
        <v>#REF!</v>
      </c>
      <c r="P213" s="44" t="e">
        <v>#REF!</v>
      </c>
      <c r="Q213" s="45" t="e">
        <f t="shared" si="24"/>
        <v>#REF!</v>
      </c>
      <c r="R213" s="42" t="e">
        <f t="shared" si="25"/>
        <v>#REF!</v>
      </c>
      <c r="S213" s="46" t="e">
        <v>#REF!</v>
      </c>
      <c r="T213" s="46" t="e">
        <f t="shared" si="26"/>
        <v>#REF!</v>
      </c>
      <c r="U213" s="46" t="e">
        <f t="shared" si="27"/>
        <v>#REF!</v>
      </c>
      <c r="V213" s="42" t="e">
        <f>IF(F213="","",O213*#REF!)</f>
        <v>#REF!</v>
      </c>
      <c r="W213" s="29"/>
    </row>
    <row r="214" spans="1:23" s="2" customFormat="1" ht="18" customHeight="1">
      <c r="A214" s="6"/>
      <c r="B214" s="48"/>
      <c r="C214" s="30" t="e">
        <v>#REF!</v>
      </c>
      <c r="D214" s="31" t="e">
        <v>#REF!</v>
      </c>
      <c r="E214" s="30" t="e">
        <f t="shared" si="28"/>
        <v>#REF!</v>
      </c>
      <c r="F214" s="31" t="e">
        <v>#REF!</v>
      </c>
      <c r="G214" s="32" t="e">
        <v>#REF!</v>
      </c>
      <c r="H214" s="31" t="e">
        <v>#REF!</v>
      </c>
      <c r="I214" s="32" t="e">
        <v>#REF!</v>
      </c>
      <c r="J214" s="33" t="e">
        <f t="shared" si="29"/>
        <v>#REF!</v>
      </c>
      <c r="K214" s="32" t="e">
        <v>#REF!</v>
      </c>
      <c r="L214" s="33"/>
      <c r="M214" s="33"/>
      <c r="N214" s="34" t="e">
        <f t="shared" si="30"/>
        <v>#REF!</v>
      </c>
      <c r="O214" s="34" t="e">
        <f>IF(F214="","",N214*#REF!/100)</f>
        <v>#REF!</v>
      </c>
      <c r="P214" s="35" t="e">
        <v>#REF!</v>
      </c>
      <c r="Q214" s="36" t="e">
        <f t="shared" si="24"/>
        <v>#REF!</v>
      </c>
      <c r="R214" s="34" t="e">
        <f t="shared" si="25"/>
        <v>#REF!</v>
      </c>
      <c r="S214" s="37" t="e">
        <v>#REF!</v>
      </c>
      <c r="T214" s="37" t="e">
        <f t="shared" si="26"/>
        <v>#REF!</v>
      </c>
      <c r="U214" s="37" t="e">
        <f t="shared" si="27"/>
        <v>#REF!</v>
      </c>
      <c r="V214" s="34" t="e">
        <f>IF(F214="","",O214*#REF!)</f>
        <v>#REF!</v>
      </c>
      <c r="W214" s="29"/>
    </row>
    <row r="215" spans="1:23" s="2" customFormat="1" ht="18" customHeight="1">
      <c r="A215" s="6"/>
      <c r="B215" s="48"/>
      <c r="C215" s="38" t="e">
        <v>#REF!</v>
      </c>
      <c r="D215" s="39" t="e">
        <v>#REF!</v>
      </c>
      <c r="E215" s="38" t="e">
        <f t="shared" si="28"/>
        <v>#REF!</v>
      </c>
      <c r="F215" s="39" t="e">
        <v>#REF!</v>
      </c>
      <c r="G215" s="40" t="e">
        <v>#REF!</v>
      </c>
      <c r="H215" s="39" t="e">
        <v>#REF!</v>
      </c>
      <c r="I215" s="40" t="e">
        <v>#REF!</v>
      </c>
      <c r="J215" s="41" t="e">
        <f t="shared" si="29"/>
        <v>#REF!</v>
      </c>
      <c r="K215" s="40" t="e">
        <v>#REF!</v>
      </c>
      <c r="L215" s="41"/>
      <c r="M215" s="41"/>
      <c r="N215" s="42" t="e">
        <f t="shared" si="30"/>
        <v>#REF!</v>
      </c>
      <c r="O215" s="42" t="e">
        <f>IF(F215="","",N215*#REF!/100)</f>
        <v>#REF!</v>
      </c>
      <c r="P215" s="44" t="e">
        <v>#REF!</v>
      </c>
      <c r="Q215" s="45" t="e">
        <f t="shared" si="24"/>
        <v>#REF!</v>
      </c>
      <c r="R215" s="42" t="e">
        <f t="shared" si="25"/>
        <v>#REF!</v>
      </c>
      <c r="S215" s="46" t="e">
        <v>#REF!</v>
      </c>
      <c r="T215" s="46" t="e">
        <f t="shared" si="26"/>
        <v>#REF!</v>
      </c>
      <c r="U215" s="46" t="e">
        <f t="shared" si="27"/>
        <v>#REF!</v>
      </c>
      <c r="V215" s="42" t="e">
        <f>IF(F215="","",O215*#REF!)</f>
        <v>#REF!</v>
      </c>
      <c r="W215" s="29"/>
    </row>
    <row r="216" spans="1:23" s="2" customFormat="1" ht="18" customHeight="1">
      <c r="A216" s="6"/>
      <c r="B216" s="48"/>
      <c r="C216" s="30" t="e">
        <v>#REF!</v>
      </c>
      <c r="D216" s="31" t="e">
        <v>#REF!</v>
      </c>
      <c r="E216" s="30" t="e">
        <f t="shared" si="28"/>
        <v>#REF!</v>
      </c>
      <c r="F216" s="31" t="e">
        <v>#REF!</v>
      </c>
      <c r="G216" s="32" t="e">
        <v>#REF!</v>
      </c>
      <c r="H216" s="31" t="e">
        <v>#REF!</v>
      </c>
      <c r="I216" s="32" t="e">
        <v>#REF!</v>
      </c>
      <c r="J216" s="33" t="e">
        <f t="shared" si="29"/>
        <v>#REF!</v>
      </c>
      <c r="K216" s="32" t="e">
        <v>#REF!</v>
      </c>
      <c r="L216" s="33"/>
      <c r="M216" s="33"/>
      <c r="N216" s="34" t="e">
        <f t="shared" si="30"/>
        <v>#REF!</v>
      </c>
      <c r="O216" s="34" t="e">
        <f>IF(F216="","",N216*#REF!/100)</f>
        <v>#REF!</v>
      </c>
      <c r="P216" s="35" t="e">
        <v>#REF!</v>
      </c>
      <c r="Q216" s="36" t="e">
        <f t="shared" si="24"/>
        <v>#REF!</v>
      </c>
      <c r="R216" s="34" t="e">
        <f t="shared" si="25"/>
        <v>#REF!</v>
      </c>
      <c r="S216" s="37" t="e">
        <v>#REF!</v>
      </c>
      <c r="T216" s="37" t="e">
        <f t="shared" si="26"/>
        <v>#REF!</v>
      </c>
      <c r="U216" s="37" t="e">
        <f t="shared" si="27"/>
        <v>#REF!</v>
      </c>
      <c r="V216" s="34" t="e">
        <f>IF(F216="","",O216*#REF!)</f>
        <v>#REF!</v>
      </c>
      <c r="W216" s="29"/>
    </row>
    <row r="217" spans="1:23" s="2" customFormat="1" ht="18" customHeight="1">
      <c r="A217" s="6"/>
      <c r="B217" s="48"/>
      <c r="C217" s="38" t="e">
        <v>#REF!</v>
      </c>
      <c r="D217" s="39" t="e">
        <v>#REF!</v>
      </c>
      <c r="E217" s="38" t="e">
        <f t="shared" si="28"/>
        <v>#REF!</v>
      </c>
      <c r="F217" s="39" t="e">
        <v>#REF!</v>
      </c>
      <c r="G217" s="40" t="e">
        <v>#REF!</v>
      </c>
      <c r="H217" s="39" t="e">
        <v>#REF!</v>
      </c>
      <c r="I217" s="40" t="e">
        <v>#REF!</v>
      </c>
      <c r="J217" s="41" t="e">
        <f t="shared" si="29"/>
        <v>#REF!</v>
      </c>
      <c r="K217" s="40" t="e">
        <v>#REF!</v>
      </c>
      <c r="L217" s="41"/>
      <c r="M217" s="41"/>
      <c r="N217" s="42" t="e">
        <f t="shared" si="30"/>
        <v>#REF!</v>
      </c>
      <c r="O217" s="42" t="e">
        <f>IF(F217="","",N217*#REF!/100)</f>
        <v>#REF!</v>
      </c>
      <c r="P217" s="44" t="e">
        <v>#REF!</v>
      </c>
      <c r="Q217" s="45" t="e">
        <f t="shared" si="24"/>
        <v>#REF!</v>
      </c>
      <c r="R217" s="42" t="e">
        <f t="shared" si="25"/>
        <v>#REF!</v>
      </c>
      <c r="S217" s="46" t="e">
        <v>#REF!</v>
      </c>
      <c r="T217" s="46" t="e">
        <f t="shared" si="26"/>
        <v>#REF!</v>
      </c>
      <c r="U217" s="46" t="e">
        <f t="shared" si="27"/>
        <v>#REF!</v>
      </c>
      <c r="V217" s="42" t="e">
        <f>IF(F217="","",O217*#REF!)</f>
        <v>#REF!</v>
      </c>
      <c r="W217" s="29"/>
    </row>
    <row r="218" spans="1:23" s="2" customFormat="1" ht="18" customHeight="1">
      <c r="A218" s="6"/>
      <c r="B218" s="48"/>
      <c r="C218" s="30" t="e">
        <v>#REF!</v>
      </c>
      <c r="D218" s="31" t="e">
        <v>#REF!</v>
      </c>
      <c r="E218" s="30" t="e">
        <f t="shared" si="28"/>
        <v>#REF!</v>
      </c>
      <c r="F218" s="31" t="e">
        <v>#REF!</v>
      </c>
      <c r="G218" s="32" t="e">
        <v>#REF!</v>
      </c>
      <c r="H218" s="31" t="e">
        <v>#REF!</v>
      </c>
      <c r="I218" s="32" t="e">
        <v>#REF!</v>
      </c>
      <c r="J218" s="33" t="e">
        <f t="shared" si="29"/>
        <v>#REF!</v>
      </c>
      <c r="K218" s="32" t="e">
        <v>#REF!</v>
      </c>
      <c r="L218" s="33"/>
      <c r="M218" s="33"/>
      <c r="N218" s="34" t="e">
        <f t="shared" si="30"/>
        <v>#REF!</v>
      </c>
      <c r="O218" s="34" t="e">
        <f>IF(F218="","",N218*#REF!/100)</f>
        <v>#REF!</v>
      </c>
      <c r="P218" s="35" t="e">
        <v>#REF!</v>
      </c>
      <c r="Q218" s="36" t="e">
        <f t="shared" si="24"/>
        <v>#REF!</v>
      </c>
      <c r="R218" s="34" t="e">
        <f t="shared" si="25"/>
        <v>#REF!</v>
      </c>
      <c r="S218" s="37" t="e">
        <v>#REF!</v>
      </c>
      <c r="T218" s="37" t="e">
        <f t="shared" si="26"/>
        <v>#REF!</v>
      </c>
      <c r="U218" s="37" t="e">
        <f t="shared" si="27"/>
        <v>#REF!</v>
      </c>
      <c r="V218" s="34" t="e">
        <f>IF(F218="","",O218*#REF!)</f>
        <v>#REF!</v>
      </c>
      <c r="W218" s="29"/>
    </row>
    <row r="219" spans="1:23" s="2" customFormat="1" ht="18" customHeight="1">
      <c r="A219" s="6"/>
      <c r="B219" s="48"/>
      <c r="C219" s="38" t="e">
        <v>#REF!</v>
      </c>
      <c r="D219" s="39" t="e">
        <v>#REF!</v>
      </c>
      <c r="E219" s="38" t="e">
        <f t="shared" si="28"/>
        <v>#REF!</v>
      </c>
      <c r="F219" s="39" t="e">
        <v>#REF!</v>
      </c>
      <c r="G219" s="40" t="e">
        <v>#REF!</v>
      </c>
      <c r="H219" s="39" t="e">
        <v>#REF!</v>
      </c>
      <c r="I219" s="40" t="e">
        <v>#REF!</v>
      </c>
      <c r="J219" s="41" t="e">
        <f t="shared" si="29"/>
        <v>#REF!</v>
      </c>
      <c r="K219" s="40" t="e">
        <v>#REF!</v>
      </c>
      <c r="L219" s="41"/>
      <c r="M219" s="41"/>
      <c r="N219" s="42" t="e">
        <f t="shared" si="30"/>
        <v>#REF!</v>
      </c>
      <c r="O219" s="42" t="e">
        <f>IF(F219="","",N219*#REF!/100)</f>
        <v>#REF!</v>
      </c>
      <c r="P219" s="44" t="e">
        <v>#REF!</v>
      </c>
      <c r="Q219" s="45" t="e">
        <f t="shared" si="24"/>
        <v>#REF!</v>
      </c>
      <c r="R219" s="42" t="e">
        <f t="shared" si="25"/>
        <v>#REF!</v>
      </c>
      <c r="S219" s="46" t="e">
        <v>#REF!</v>
      </c>
      <c r="T219" s="46" t="e">
        <f t="shared" si="26"/>
        <v>#REF!</v>
      </c>
      <c r="U219" s="46" t="e">
        <f t="shared" si="27"/>
        <v>#REF!</v>
      </c>
      <c r="V219" s="42" t="e">
        <f>IF(F219="","",O219*#REF!)</f>
        <v>#REF!</v>
      </c>
      <c r="W219" s="29"/>
    </row>
    <row r="220" spans="1:23" s="2" customFormat="1" ht="18" customHeight="1">
      <c r="A220" s="6"/>
      <c r="B220" s="48"/>
      <c r="C220" s="30" t="e">
        <v>#REF!</v>
      </c>
      <c r="D220" s="31" t="e">
        <v>#REF!</v>
      </c>
      <c r="E220" s="30" t="e">
        <f t="shared" si="28"/>
        <v>#REF!</v>
      </c>
      <c r="F220" s="31" t="e">
        <v>#REF!</v>
      </c>
      <c r="G220" s="32" t="e">
        <v>#REF!</v>
      </c>
      <c r="H220" s="31" t="e">
        <v>#REF!</v>
      </c>
      <c r="I220" s="32" t="e">
        <v>#REF!</v>
      </c>
      <c r="J220" s="33" t="e">
        <f t="shared" si="29"/>
        <v>#REF!</v>
      </c>
      <c r="K220" s="32" t="e">
        <v>#REF!</v>
      </c>
      <c r="L220" s="33"/>
      <c r="M220" s="33"/>
      <c r="N220" s="34" t="e">
        <f t="shared" si="30"/>
        <v>#REF!</v>
      </c>
      <c r="O220" s="34" t="e">
        <f>IF(F220="","",N220*#REF!/100)</f>
        <v>#REF!</v>
      </c>
      <c r="P220" s="35" t="e">
        <v>#REF!</v>
      </c>
      <c r="Q220" s="36" t="e">
        <f t="shared" si="24"/>
        <v>#REF!</v>
      </c>
      <c r="R220" s="34" t="e">
        <f t="shared" si="25"/>
        <v>#REF!</v>
      </c>
      <c r="S220" s="37" t="e">
        <v>#REF!</v>
      </c>
      <c r="T220" s="37" t="e">
        <f t="shared" si="26"/>
        <v>#REF!</v>
      </c>
      <c r="U220" s="37" t="e">
        <f t="shared" si="27"/>
        <v>#REF!</v>
      </c>
      <c r="V220" s="34" t="e">
        <f>IF(F220="","",O220*#REF!)</f>
        <v>#REF!</v>
      </c>
      <c r="W220" s="29"/>
    </row>
    <row r="221" spans="1:23" s="2" customFormat="1" ht="18" customHeight="1">
      <c r="A221" s="6"/>
      <c r="B221" s="48"/>
      <c r="C221" s="38" t="e">
        <v>#REF!</v>
      </c>
      <c r="D221" s="39" t="e">
        <v>#REF!</v>
      </c>
      <c r="E221" s="38" t="e">
        <f t="shared" si="28"/>
        <v>#REF!</v>
      </c>
      <c r="F221" s="39" t="e">
        <v>#REF!</v>
      </c>
      <c r="G221" s="40" t="e">
        <v>#REF!</v>
      </c>
      <c r="H221" s="39" t="e">
        <v>#REF!</v>
      </c>
      <c r="I221" s="40" t="e">
        <v>#REF!</v>
      </c>
      <c r="J221" s="41" t="e">
        <f t="shared" si="29"/>
        <v>#REF!</v>
      </c>
      <c r="K221" s="40" t="e">
        <v>#REF!</v>
      </c>
      <c r="L221" s="41"/>
      <c r="M221" s="41"/>
      <c r="N221" s="42" t="e">
        <f t="shared" si="30"/>
        <v>#REF!</v>
      </c>
      <c r="O221" s="42" t="e">
        <f>IF(F221="","",N221*#REF!/100)</f>
        <v>#REF!</v>
      </c>
      <c r="P221" s="44" t="e">
        <v>#REF!</v>
      </c>
      <c r="Q221" s="45" t="e">
        <f t="shared" si="24"/>
        <v>#REF!</v>
      </c>
      <c r="R221" s="42" t="e">
        <f t="shared" si="25"/>
        <v>#REF!</v>
      </c>
      <c r="S221" s="46" t="e">
        <v>#REF!</v>
      </c>
      <c r="T221" s="46" t="e">
        <f t="shared" si="26"/>
        <v>#REF!</v>
      </c>
      <c r="U221" s="46" t="e">
        <f t="shared" si="27"/>
        <v>#REF!</v>
      </c>
      <c r="V221" s="42" t="e">
        <f>IF(F221="","",O221*#REF!)</f>
        <v>#REF!</v>
      </c>
      <c r="W221" s="29"/>
    </row>
    <row r="222" spans="1:23" s="2" customFormat="1" ht="18" customHeight="1">
      <c r="A222" s="6"/>
      <c r="B222" s="48"/>
      <c r="C222" s="30" t="e">
        <v>#REF!</v>
      </c>
      <c r="D222" s="31" t="e">
        <v>#REF!</v>
      </c>
      <c r="E222" s="30" t="e">
        <f t="shared" si="28"/>
        <v>#REF!</v>
      </c>
      <c r="F222" s="31" t="e">
        <v>#REF!</v>
      </c>
      <c r="G222" s="32" t="e">
        <v>#REF!</v>
      </c>
      <c r="H222" s="31" t="e">
        <v>#REF!</v>
      </c>
      <c r="I222" s="32" t="e">
        <v>#REF!</v>
      </c>
      <c r="J222" s="33" t="e">
        <f t="shared" si="29"/>
        <v>#REF!</v>
      </c>
      <c r="K222" s="32" t="e">
        <v>#REF!</v>
      </c>
      <c r="L222" s="33"/>
      <c r="M222" s="33"/>
      <c r="N222" s="34" t="e">
        <f t="shared" si="30"/>
        <v>#REF!</v>
      </c>
      <c r="O222" s="34" t="e">
        <f>IF(F222="","",N222*#REF!/100)</f>
        <v>#REF!</v>
      </c>
      <c r="P222" s="35" t="e">
        <v>#REF!</v>
      </c>
      <c r="Q222" s="36" t="e">
        <f t="shared" si="24"/>
        <v>#REF!</v>
      </c>
      <c r="R222" s="34" t="e">
        <f t="shared" si="25"/>
        <v>#REF!</v>
      </c>
      <c r="S222" s="37" t="e">
        <v>#REF!</v>
      </c>
      <c r="T222" s="37" t="e">
        <f t="shared" si="26"/>
        <v>#REF!</v>
      </c>
      <c r="U222" s="37" t="e">
        <f t="shared" si="27"/>
        <v>#REF!</v>
      </c>
      <c r="V222" s="34" t="e">
        <f>IF(F222="","",O222*#REF!)</f>
        <v>#REF!</v>
      </c>
      <c r="W222" s="29"/>
    </row>
    <row r="223" spans="1:23" s="2" customFormat="1" ht="18" customHeight="1">
      <c r="A223" s="6"/>
      <c r="B223" s="48"/>
      <c r="C223" s="38" t="e">
        <v>#REF!</v>
      </c>
      <c r="D223" s="39" t="e">
        <v>#REF!</v>
      </c>
      <c r="E223" s="38" t="e">
        <f t="shared" si="28"/>
        <v>#REF!</v>
      </c>
      <c r="F223" s="39" t="e">
        <v>#REF!</v>
      </c>
      <c r="G223" s="40" t="e">
        <v>#REF!</v>
      </c>
      <c r="H223" s="39" t="e">
        <v>#REF!</v>
      </c>
      <c r="I223" s="40" t="e">
        <v>#REF!</v>
      </c>
      <c r="J223" s="41" t="e">
        <f t="shared" si="29"/>
        <v>#REF!</v>
      </c>
      <c r="K223" s="40" t="e">
        <v>#REF!</v>
      </c>
      <c r="L223" s="41"/>
      <c r="M223" s="41"/>
      <c r="N223" s="42" t="e">
        <f t="shared" si="30"/>
        <v>#REF!</v>
      </c>
      <c r="O223" s="42" t="e">
        <f>IF(F223="","",N223*#REF!/100)</f>
        <v>#REF!</v>
      </c>
      <c r="P223" s="44" t="e">
        <v>#REF!</v>
      </c>
      <c r="Q223" s="45" t="e">
        <f t="shared" si="24"/>
        <v>#REF!</v>
      </c>
      <c r="R223" s="42" t="e">
        <f t="shared" si="25"/>
        <v>#REF!</v>
      </c>
      <c r="S223" s="46" t="e">
        <v>#REF!</v>
      </c>
      <c r="T223" s="46" t="e">
        <f t="shared" si="26"/>
        <v>#REF!</v>
      </c>
      <c r="U223" s="46" t="e">
        <f t="shared" si="27"/>
        <v>#REF!</v>
      </c>
      <c r="V223" s="42" t="e">
        <f>IF(F223="","",O223*#REF!)</f>
        <v>#REF!</v>
      </c>
      <c r="W223" s="29"/>
    </row>
    <row r="224" spans="1:23" s="2" customFormat="1" ht="18" customHeight="1">
      <c r="A224" s="6"/>
      <c r="B224" s="48"/>
      <c r="C224" s="30" t="e">
        <v>#REF!</v>
      </c>
      <c r="D224" s="31" t="e">
        <v>#REF!</v>
      </c>
      <c r="E224" s="30" t="e">
        <f t="shared" si="28"/>
        <v>#REF!</v>
      </c>
      <c r="F224" s="31" t="e">
        <v>#REF!</v>
      </c>
      <c r="G224" s="32" t="e">
        <v>#REF!</v>
      </c>
      <c r="H224" s="31" t="e">
        <v>#REF!</v>
      </c>
      <c r="I224" s="32" t="e">
        <v>#REF!</v>
      </c>
      <c r="J224" s="33" t="e">
        <f t="shared" si="29"/>
        <v>#REF!</v>
      </c>
      <c r="K224" s="32" t="e">
        <v>#REF!</v>
      </c>
      <c r="L224" s="33"/>
      <c r="M224" s="33"/>
      <c r="N224" s="34" t="e">
        <f t="shared" si="30"/>
        <v>#REF!</v>
      </c>
      <c r="O224" s="34" t="e">
        <f>IF(F224="","",N224*#REF!/100)</f>
        <v>#REF!</v>
      </c>
      <c r="P224" s="35" t="e">
        <v>#REF!</v>
      </c>
      <c r="Q224" s="36" t="e">
        <f t="shared" si="24"/>
        <v>#REF!</v>
      </c>
      <c r="R224" s="34" t="e">
        <f t="shared" si="25"/>
        <v>#REF!</v>
      </c>
      <c r="S224" s="37" t="e">
        <v>#REF!</v>
      </c>
      <c r="T224" s="37" t="e">
        <f t="shared" si="26"/>
        <v>#REF!</v>
      </c>
      <c r="U224" s="37" t="e">
        <f t="shared" si="27"/>
        <v>#REF!</v>
      </c>
      <c r="V224" s="34" t="e">
        <f>IF(F224="","",O224*#REF!)</f>
        <v>#REF!</v>
      </c>
      <c r="W224" s="29"/>
    </row>
    <row r="225" spans="1:28" s="2" customFormat="1" ht="18" customHeight="1">
      <c r="A225" s="6"/>
      <c r="B225" s="48"/>
      <c r="C225" s="38" t="e">
        <v>#REF!</v>
      </c>
      <c r="D225" s="39" t="e">
        <v>#REF!</v>
      </c>
      <c r="E225" s="38" t="e">
        <f t="shared" si="28"/>
        <v>#REF!</v>
      </c>
      <c r="F225" s="39" t="e">
        <v>#REF!</v>
      </c>
      <c r="G225" s="40" t="e">
        <v>#REF!</v>
      </c>
      <c r="H225" s="39" t="e">
        <v>#REF!</v>
      </c>
      <c r="I225" s="40" t="e">
        <v>#REF!</v>
      </c>
      <c r="J225" s="41" t="e">
        <f t="shared" si="29"/>
        <v>#REF!</v>
      </c>
      <c r="K225" s="40" t="e">
        <v>#REF!</v>
      </c>
      <c r="L225" s="41"/>
      <c r="M225" s="41"/>
      <c r="N225" s="42" t="e">
        <f t="shared" si="30"/>
        <v>#REF!</v>
      </c>
      <c r="O225" s="42" t="e">
        <f>IF(F225="","",N225*#REF!/100)</f>
        <v>#REF!</v>
      </c>
      <c r="P225" s="44" t="e">
        <v>#REF!</v>
      </c>
      <c r="Q225" s="45" t="e">
        <f t="shared" si="24"/>
        <v>#REF!</v>
      </c>
      <c r="R225" s="42" t="e">
        <f t="shared" si="25"/>
        <v>#REF!</v>
      </c>
      <c r="S225" s="46" t="e">
        <v>#REF!</v>
      </c>
      <c r="T225" s="46" t="e">
        <f t="shared" si="26"/>
        <v>#REF!</v>
      </c>
      <c r="U225" s="46" t="e">
        <f t="shared" si="27"/>
        <v>#REF!</v>
      </c>
      <c r="V225" s="42" t="e">
        <f>IF(F225="","",O225*#REF!)</f>
        <v>#REF!</v>
      </c>
      <c r="W225" s="29"/>
    </row>
    <row r="226" spans="1:28" s="2" customFormat="1" ht="18" customHeight="1">
      <c r="A226" s="6"/>
      <c r="B226" s="48"/>
      <c r="C226" s="30" t="e">
        <v>#REF!</v>
      </c>
      <c r="D226" s="31" t="e">
        <v>#REF!</v>
      </c>
      <c r="E226" s="30" t="e">
        <f t="shared" si="28"/>
        <v>#REF!</v>
      </c>
      <c r="F226" s="31" t="e">
        <v>#REF!</v>
      </c>
      <c r="G226" s="32" t="e">
        <v>#REF!</v>
      </c>
      <c r="H226" s="31" t="e">
        <v>#REF!</v>
      </c>
      <c r="I226" s="32" t="e">
        <v>#REF!</v>
      </c>
      <c r="J226" s="33" t="e">
        <f t="shared" si="29"/>
        <v>#REF!</v>
      </c>
      <c r="K226" s="32" t="e">
        <v>#REF!</v>
      </c>
      <c r="L226" s="33"/>
      <c r="M226" s="33"/>
      <c r="N226" s="34" t="e">
        <f t="shared" si="30"/>
        <v>#REF!</v>
      </c>
      <c r="O226" s="34" t="e">
        <f>IF(F226="","",N226*#REF!/100)</f>
        <v>#REF!</v>
      </c>
      <c r="P226" s="35" t="e">
        <v>#REF!</v>
      </c>
      <c r="Q226" s="36" t="e">
        <f t="shared" si="24"/>
        <v>#REF!</v>
      </c>
      <c r="R226" s="34" t="e">
        <f t="shared" si="25"/>
        <v>#REF!</v>
      </c>
      <c r="S226" s="37" t="e">
        <v>#REF!</v>
      </c>
      <c r="T226" s="37" t="e">
        <f t="shared" si="26"/>
        <v>#REF!</v>
      </c>
      <c r="U226" s="37" t="e">
        <f t="shared" si="27"/>
        <v>#REF!</v>
      </c>
      <c r="V226" s="34" t="e">
        <f>IF(F226="","",O226*#REF!)</f>
        <v>#REF!</v>
      </c>
      <c r="W226" s="29"/>
    </row>
    <row r="227" spans="1:28" s="2" customFormat="1" ht="18" customHeight="1">
      <c r="A227" s="6"/>
      <c r="B227" s="48"/>
      <c r="C227" s="38" t="e">
        <v>#REF!</v>
      </c>
      <c r="D227" s="39" t="e">
        <v>#REF!</v>
      </c>
      <c r="E227" s="38" t="e">
        <f t="shared" si="28"/>
        <v>#REF!</v>
      </c>
      <c r="F227" s="39" t="e">
        <v>#REF!</v>
      </c>
      <c r="G227" s="40" t="e">
        <v>#REF!</v>
      </c>
      <c r="H227" s="39" t="e">
        <v>#REF!</v>
      </c>
      <c r="I227" s="40" t="e">
        <v>#REF!</v>
      </c>
      <c r="J227" s="41" t="e">
        <f t="shared" si="29"/>
        <v>#REF!</v>
      </c>
      <c r="K227" s="40" t="e">
        <v>#REF!</v>
      </c>
      <c r="L227" s="41"/>
      <c r="M227" s="41"/>
      <c r="N227" s="42" t="e">
        <f t="shared" si="30"/>
        <v>#REF!</v>
      </c>
      <c r="O227" s="42" t="e">
        <f>IF(F227="","",N227*#REF!/100)</f>
        <v>#REF!</v>
      </c>
      <c r="P227" s="44" t="e">
        <v>#REF!</v>
      </c>
      <c r="Q227" s="45" t="e">
        <f t="shared" si="24"/>
        <v>#REF!</v>
      </c>
      <c r="R227" s="42" t="e">
        <f t="shared" si="25"/>
        <v>#REF!</v>
      </c>
      <c r="S227" s="46" t="e">
        <v>#REF!</v>
      </c>
      <c r="T227" s="46" t="e">
        <f t="shared" si="26"/>
        <v>#REF!</v>
      </c>
      <c r="U227" s="46" t="e">
        <f t="shared" si="27"/>
        <v>#REF!</v>
      </c>
      <c r="V227" s="42" t="e">
        <f>IF(F227="","",O227*#REF!)</f>
        <v>#REF!</v>
      </c>
      <c r="W227" s="29"/>
    </row>
    <row r="228" spans="1:28" s="2" customFormat="1" ht="18" customHeight="1">
      <c r="A228" s="6"/>
      <c r="B228" s="48"/>
      <c r="C228" s="30" t="e">
        <v>#REF!</v>
      </c>
      <c r="D228" s="31" t="e">
        <v>#REF!</v>
      </c>
      <c r="E228" s="30" t="e">
        <f t="shared" si="28"/>
        <v>#REF!</v>
      </c>
      <c r="F228" s="31" t="e">
        <v>#REF!</v>
      </c>
      <c r="G228" s="32" t="e">
        <v>#REF!</v>
      </c>
      <c r="H228" s="31" t="e">
        <v>#REF!</v>
      </c>
      <c r="I228" s="32" t="e">
        <v>#REF!</v>
      </c>
      <c r="J228" s="33" t="e">
        <f t="shared" si="29"/>
        <v>#REF!</v>
      </c>
      <c r="K228" s="32" t="e">
        <v>#REF!</v>
      </c>
      <c r="L228" s="33"/>
      <c r="M228" s="33"/>
      <c r="N228" s="34" t="e">
        <f t="shared" si="30"/>
        <v>#REF!</v>
      </c>
      <c r="O228" s="34" t="e">
        <f>IF(F228="","",N228*#REF!/100)</f>
        <v>#REF!</v>
      </c>
      <c r="P228" s="35" t="e">
        <v>#REF!</v>
      </c>
      <c r="Q228" s="36" t="e">
        <f t="shared" si="24"/>
        <v>#REF!</v>
      </c>
      <c r="R228" s="34" t="e">
        <f t="shared" si="25"/>
        <v>#REF!</v>
      </c>
      <c r="S228" s="37" t="e">
        <v>#REF!</v>
      </c>
      <c r="T228" s="37" t="e">
        <f t="shared" si="26"/>
        <v>#REF!</v>
      </c>
      <c r="U228" s="37" t="e">
        <f t="shared" si="27"/>
        <v>#REF!</v>
      </c>
      <c r="V228" s="34" t="e">
        <f>IF(F228="","",O228*#REF!)</f>
        <v>#REF!</v>
      </c>
      <c r="W228" s="29"/>
    </row>
    <row r="229" spans="1:28" s="2" customFormat="1" ht="18" customHeight="1">
      <c r="A229" s="6"/>
      <c r="B229" s="48"/>
      <c r="C229" s="38" t="e">
        <v>#REF!</v>
      </c>
      <c r="D229" s="39" t="e">
        <v>#REF!</v>
      </c>
      <c r="E229" s="38" t="e">
        <f t="shared" si="28"/>
        <v>#REF!</v>
      </c>
      <c r="F229" s="39" t="e">
        <v>#REF!</v>
      </c>
      <c r="G229" s="40" t="e">
        <v>#REF!</v>
      </c>
      <c r="H229" s="39" t="e">
        <v>#REF!</v>
      </c>
      <c r="I229" s="40" t="e">
        <v>#REF!</v>
      </c>
      <c r="J229" s="41" t="e">
        <f t="shared" si="29"/>
        <v>#REF!</v>
      </c>
      <c r="K229" s="40" t="e">
        <v>#REF!</v>
      </c>
      <c r="L229" s="41"/>
      <c r="M229" s="41"/>
      <c r="N229" s="42" t="e">
        <f t="shared" si="30"/>
        <v>#REF!</v>
      </c>
      <c r="O229" s="42" t="e">
        <f>IF(F229="","",N229*#REF!/100)</f>
        <v>#REF!</v>
      </c>
      <c r="P229" s="44" t="e">
        <v>#REF!</v>
      </c>
      <c r="Q229" s="45" t="e">
        <f t="shared" si="24"/>
        <v>#REF!</v>
      </c>
      <c r="R229" s="42" t="e">
        <f t="shared" si="25"/>
        <v>#REF!</v>
      </c>
      <c r="S229" s="46" t="e">
        <v>#REF!</v>
      </c>
      <c r="T229" s="46" t="e">
        <f t="shared" si="26"/>
        <v>#REF!</v>
      </c>
      <c r="U229" s="46" t="e">
        <f t="shared" si="27"/>
        <v>#REF!</v>
      </c>
      <c r="V229" s="42" t="e">
        <f>IF(F229="","",O229*#REF!)</f>
        <v>#REF!</v>
      </c>
      <c r="W229" s="29"/>
    </row>
    <row r="230" spans="1:28" s="2" customFormat="1" ht="18" customHeight="1">
      <c r="A230" s="6"/>
      <c r="B230" s="48"/>
      <c r="C230" s="30" t="e">
        <v>#REF!</v>
      </c>
      <c r="D230" s="31" t="e">
        <v>#REF!</v>
      </c>
      <c r="E230" s="30" t="e">
        <f t="shared" si="28"/>
        <v>#REF!</v>
      </c>
      <c r="F230" s="31" t="e">
        <v>#REF!</v>
      </c>
      <c r="G230" s="32" t="e">
        <v>#REF!</v>
      </c>
      <c r="H230" s="31" t="e">
        <v>#REF!</v>
      </c>
      <c r="I230" s="32" t="e">
        <v>#REF!</v>
      </c>
      <c r="J230" s="33" t="e">
        <f t="shared" si="29"/>
        <v>#REF!</v>
      </c>
      <c r="K230" s="32" t="e">
        <v>#REF!</v>
      </c>
      <c r="L230" s="33"/>
      <c r="M230" s="33"/>
      <c r="N230" s="34" t="e">
        <f t="shared" si="30"/>
        <v>#REF!</v>
      </c>
      <c r="O230" s="34" t="e">
        <f>IF(F230="","",N230*#REF!/100)</f>
        <v>#REF!</v>
      </c>
      <c r="P230" s="35" t="e">
        <v>#REF!</v>
      </c>
      <c r="Q230" s="36" t="e">
        <f t="shared" si="24"/>
        <v>#REF!</v>
      </c>
      <c r="R230" s="34" t="e">
        <f t="shared" si="25"/>
        <v>#REF!</v>
      </c>
      <c r="S230" s="37" t="e">
        <v>#REF!</v>
      </c>
      <c r="T230" s="37" t="e">
        <f t="shared" si="26"/>
        <v>#REF!</v>
      </c>
      <c r="U230" s="37" t="e">
        <f t="shared" si="27"/>
        <v>#REF!</v>
      </c>
      <c r="V230" s="34" t="e">
        <f>IF(F230="","",O230*#REF!)</f>
        <v>#REF!</v>
      </c>
      <c r="W230" s="29"/>
    </row>
    <row r="231" spans="1:28" s="2" customFormat="1" ht="18" customHeight="1">
      <c r="A231" s="6"/>
      <c r="B231" s="48"/>
      <c r="C231" s="38" t="e">
        <v>#REF!</v>
      </c>
      <c r="D231" s="39" t="e">
        <v>#REF!</v>
      </c>
      <c r="E231" s="38" t="e">
        <f t="shared" si="28"/>
        <v>#REF!</v>
      </c>
      <c r="F231" s="39" t="e">
        <v>#REF!</v>
      </c>
      <c r="G231" s="40" t="e">
        <v>#REF!</v>
      </c>
      <c r="H231" s="39" t="e">
        <v>#REF!</v>
      </c>
      <c r="I231" s="40" t="e">
        <v>#REF!</v>
      </c>
      <c r="J231" s="41" t="e">
        <f t="shared" si="29"/>
        <v>#REF!</v>
      </c>
      <c r="K231" s="40" t="e">
        <v>#REF!</v>
      </c>
      <c r="L231" s="41"/>
      <c r="M231" s="41"/>
      <c r="N231" s="42" t="e">
        <f t="shared" si="30"/>
        <v>#REF!</v>
      </c>
      <c r="O231" s="42" t="e">
        <f>IF(F231="","",N231*#REF!/100)</f>
        <v>#REF!</v>
      </c>
      <c r="P231" s="44" t="e">
        <v>#REF!</v>
      </c>
      <c r="Q231" s="45" t="e">
        <f t="shared" si="24"/>
        <v>#REF!</v>
      </c>
      <c r="R231" s="42" t="e">
        <f t="shared" si="25"/>
        <v>#REF!</v>
      </c>
      <c r="S231" s="46" t="e">
        <v>#REF!</v>
      </c>
      <c r="T231" s="46" t="e">
        <f t="shared" si="26"/>
        <v>#REF!</v>
      </c>
      <c r="U231" s="46" t="e">
        <f t="shared" si="27"/>
        <v>#REF!</v>
      </c>
      <c r="V231" s="42" t="e">
        <f>IF(F231="","",O231*#REF!)</f>
        <v>#REF!</v>
      </c>
      <c r="W231" s="29"/>
    </row>
    <row r="232" spans="1:28" s="2" customFormat="1" ht="18" customHeight="1">
      <c r="A232" s="6"/>
      <c r="B232" s="48"/>
      <c r="C232" s="30" t="e">
        <v>#REF!</v>
      </c>
      <c r="D232" s="31" t="e">
        <v>#REF!</v>
      </c>
      <c r="E232" s="30" t="e">
        <f t="shared" si="28"/>
        <v>#REF!</v>
      </c>
      <c r="F232" s="31" t="e">
        <v>#REF!</v>
      </c>
      <c r="G232" s="32" t="e">
        <v>#REF!</v>
      </c>
      <c r="H232" s="31" t="e">
        <v>#REF!</v>
      </c>
      <c r="I232" s="32" t="e">
        <v>#REF!</v>
      </c>
      <c r="J232" s="33" t="e">
        <f t="shared" si="29"/>
        <v>#REF!</v>
      </c>
      <c r="K232" s="32" t="e">
        <v>#REF!</v>
      </c>
      <c r="L232" s="33"/>
      <c r="M232" s="33"/>
      <c r="N232" s="34" t="e">
        <f t="shared" si="30"/>
        <v>#REF!</v>
      </c>
      <c r="O232" s="34" t="e">
        <f>IF(F232="","",N232*#REF!/100)</f>
        <v>#REF!</v>
      </c>
      <c r="P232" s="35" t="e">
        <v>#REF!</v>
      </c>
      <c r="Q232" s="36" t="e">
        <f t="shared" si="24"/>
        <v>#REF!</v>
      </c>
      <c r="R232" s="34" t="e">
        <f t="shared" si="25"/>
        <v>#REF!</v>
      </c>
      <c r="S232" s="37" t="e">
        <v>#REF!</v>
      </c>
      <c r="T232" s="37" t="e">
        <f t="shared" si="26"/>
        <v>#REF!</v>
      </c>
      <c r="U232" s="37" t="e">
        <f t="shared" si="27"/>
        <v>#REF!</v>
      </c>
      <c r="V232" s="34" t="e">
        <f>IF(F232="","",O232*#REF!)</f>
        <v>#REF!</v>
      </c>
      <c r="W232" s="29"/>
    </row>
    <row r="233" spans="1:28" s="2" customFormat="1" ht="18" customHeight="1">
      <c r="A233" s="6"/>
      <c r="B233" s="48"/>
      <c r="C233" s="38" t="e">
        <v>#REF!</v>
      </c>
      <c r="D233" s="39" t="e">
        <v>#REF!</v>
      </c>
      <c r="E233" s="38" t="e">
        <f t="shared" si="28"/>
        <v>#REF!</v>
      </c>
      <c r="F233" s="39" t="e">
        <v>#REF!</v>
      </c>
      <c r="G233" s="40" t="e">
        <v>#REF!</v>
      </c>
      <c r="H233" s="39" t="e">
        <v>#REF!</v>
      </c>
      <c r="I233" s="40" t="e">
        <v>#REF!</v>
      </c>
      <c r="J233" s="41" t="e">
        <f t="shared" si="29"/>
        <v>#REF!</v>
      </c>
      <c r="K233" s="40" t="e">
        <v>#REF!</v>
      </c>
      <c r="L233" s="41"/>
      <c r="M233" s="41"/>
      <c r="N233" s="42" t="e">
        <f t="shared" si="30"/>
        <v>#REF!</v>
      </c>
      <c r="O233" s="42" t="e">
        <f>IF(F233="","",N233*#REF!/100)</f>
        <v>#REF!</v>
      </c>
      <c r="P233" s="44" t="e">
        <v>#REF!</v>
      </c>
      <c r="Q233" s="45" t="e">
        <f t="shared" si="24"/>
        <v>#REF!</v>
      </c>
      <c r="R233" s="42" t="e">
        <f t="shared" si="25"/>
        <v>#REF!</v>
      </c>
      <c r="S233" s="46" t="e">
        <v>#REF!</v>
      </c>
      <c r="T233" s="46" t="e">
        <f t="shared" si="26"/>
        <v>#REF!</v>
      </c>
      <c r="U233" s="46" t="e">
        <f t="shared" si="27"/>
        <v>#REF!</v>
      </c>
      <c r="V233" s="42" t="e">
        <f>IF(F233="","",O233*#REF!)</f>
        <v>#REF!</v>
      </c>
      <c r="W233" s="29"/>
    </row>
    <row r="234" spans="1:28" s="2" customFormat="1" ht="18" customHeight="1">
      <c r="A234" s="6"/>
      <c r="B234" s="48"/>
      <c r="C234" s="30" t="e">
        <v>#REF!</v>
      </c>
      <c r="D234" s="31" t="e">
        <v>#REF!</v>
      </c>
      <c r="E234" s="30" t="e">
        <f t="shared" si="28"/>
        <v>#REF!</v>
      </c>
      <c r="F234" s="31" t="e">
        <v>#REF!</v>
      </c>
      <c r="G234" s="32" t="e">
        <v>#REF!</v>
      </c>
      <c r="H234" s="31" t="e">
        <v>#REF!</v>
      </c>
      <c r="I234" s="32" t="e">
        <v>#REF!</v>
      </c>
      <c r="J234" s="33" t="e">
        <f t="shared" si="29"/>
        <v>#REF!</v>
      </c>
      <c r="K234" s="32" t="e">
        <v>#REF!</v>
      </c>
      <c r="L234" s="33"/>
      <c r="M234" s="33"/>
      <c r="N234" s="34" t="e">
        <f t="shared" si="30"/>
        <v>#REF!</v>
      </c>
      <c r="O234" s="34" t="e">
        <f>IF(F234="","",N234*#REF!/100)</f>
        <v>#REF!</v>
      </c>
      <c r="P234" s="35" t="e">
        <v>#REF!</v>
      </c>
      <c r="Q234" s="36" t="e">
        <f t="shared" si="24"/>
        <v>#REF!</v>
      </c>
      <c r="R234" s="34" t="e">
        <f t="shared" si="25"/>
        <v>#REF!</v>
      </c>
      <c r="S234" s="37" t="e">
        <v>#REF!</v>
      </c>
      <c r="T234" s="37" t="e">
        <f t="shared" si="26"/>
        <v>#REF!</v>
      </c>
      <c r="U234" s="37" t="e">
        <f t="shared" si="27"/>
        <v>#REF!</v>
      </c>
      <c r="V234" s="34" t="e">
        <f>IF(F234="","",O234*#REF!)</f>
        <v>#REF!</v>
      </c>
      <c r="W234" s="29"/>
    </row>
    <row r="235" spans="1:28" s="2" customFormat="1" ht="18" customHeight="1">
      <c r="A235" s="6"/>
      <c r="B235" s="48"/>
      <c r="C235" s="38" t="e">
        <v>#REF!</v>
      </c>
      <c r="D235" s="39" t="e">
        <v>#REF!</v>
      </c>
      <c r="E235" s="38" t="e">
        <f t="shared" si="28"/>
        <v>#REF!</v>
      </c>
      <c r="F235" s="39" t="e">
        <v>#REF!</v>
      </c>
      <c r="G235" s="40" t="e">
        <v>#REF!</v>
      </c>
      <c r="H235" s="39" t="e">
        <v>#REF!</v>
      </c>
      <c r="I235" s="40" t="e">
        <v>#REF!</v>
      </c>
      <c r="J235" s="41" t="e">
        <f t="shared" si="29"/>
        <v>#REF!</v>
      </c>
      <c r="K235" s="40" t="e">
        <v>#REF!</v>
      </c>
      <c r="L235" s="41"/>
      <c r="M235" s="41"/>
      <c r="N235" s="42" t="e">
        <f t="shared" si="30"/>
        <v>#REF!</v>
      </c>
      <c r="O235" s="42" t="e">
        <f>IF(F235="","",N235*#REF!/100)</f>
        <v>#REF!</v>
      </c>
      <c r="P235" s="44" t="e">
        <v>#REF!</v>
      </c>
      <c r="Q235" s="45" t="e">
        <f t="shared" si="24"/>
        <v>#REF!</v>
      </c>
      <c r="R235" s="42" t="e">
        <f t="shared" si="25"/>
        <v>#REF!</v>
      </c>
      <c r="S235" s="46" t="e">
        <v>#REF!</v>
      </c>
      <c r="T235" s="46" t="e">
        <f t="shared" si="26"/>
        <v>#REF!</v>
      </c>
      <c r="U235" s="46" t="e">
        <f t="shared" si="27"/>
        <v>#REF!</v>
      </c>
      <c r="V235" s="42" t="e">
        <f>IF(F235="","",O235*#REF!)</f>
        <v>#REF!</v>
      </c>
      <c r="W235" s="29"/>
    </row>
    <row r="236" spans="1:28" s="2" customFormat="1" ht="18" customHeight="1">
      <c r="A236" s="6"/>
      <c r="B236" s="48"/>
      <c r="C236" s="49" t="e">
        <v>#REF!</v>
      </c>
      <c r="D236" s="50" t="e">
        <v>#REF!</v>
      </c>
      <c r="E236" s="49" t="e">
        <f t="shared" si="28"/>
        <v>#REF!</v>
      </c>
      <c r="F236" s="50" t="e">
        <v>#REF!</v>
      </c>
      <c r="G236" s="51" t="e">
        <v>#REF!</v>
      </c>
      <c r="H236" s="50" t="e">
        <v>#REF!</v>
      </c>
      <c r="I236" s="51" t="e">
        <v>#REF!</v>
      </c>
      <c r="J236" s="52" t="e">
        <f t="shared" si="29"/>
        <v>#REF!</v>
      </c>
      <c r="K236" s="51" t="e">
        <v>#REF!</v>
      </c>
      <c r="L236" s="33"/>
      <c r="M236" s="33"/>
      <c r="N236" s="53" t="e">
        <f t="shared" si="30"/>
        <v>#REF!</v>
      </c>
      <c r="O236" s="53" t="e">
        <f>IF(F236="","",N236*#REF!/100)</f>
        <v>#REF!</v>
      </c>
      <c r="P236" s="54" t="e">
        <v>#REF!</v>
      </c>
      <c r="Q236" s="55" t="e">
        <f t="shared" si="24"/>
        <v>#REF!</v>
      </c>
      <c r="R236" s="53" t="e">
        <f t="shared" si="25"/>
        <v>#REF!</v>
      </c>
      <c r="S236" s="56" t="e">
        <v>#REF!</v>
      </c>
      <c r="T236" s="56" t="e">
        <f t="shared" si="26"/>
        <v>#REF!</v>
      </c>
      <c r="U236" s="56" t="e">
        <f t="shared" si="27"/>
        <v>#REF!</v>
      </c>
      <c r="V236" s="53" t="e">
        <f>IF(F236="","",O236*#REF!)</f>
        <v>#REF!</v>
      </c>
      <c r="W236" s="29"/>
    </row>
    <row r="237" spans="1:28" s="2" customFormat="1" ht="18" customHeight="1">
      <c r="A237" s="6"/>
      <c r="B237" s="48"/>
      <c r="C237" s="1793"/>
      <c r="D237" s="1793"/>
      <c r="E237" s="1793"/>
      <c r="F237" s="1793"/>
      <c r="G237" s="1793"/>
      <c r="H237" s="1793"/>
      <c r="I237" s="1794"/>
      <c r="J237" s="57" t="e">
        <f>SUM(J202:J236)</f>
        <v>#REF!</v>
      </c>
      <c r="K237" s="58"/>
      <c r="L237" s="57"/>
      <c r="M237" s="57"/>
      <c r="N237" s="57" t="e">
        <f>SUM(N202:N236)</f>
        <v>#REF!</v>
      </c>
      <c r="O237" s="57" t="e">
        <f>SUM(O202:O236)</f>
        <v>#REF!</v>
      </c>
      <c r="P237" s="1530"/>
      <c r="Q237" s="1531"/>
      <c r="R237" s="60" t="e">
        <f>SUM(R202:R236)</f>
        <v>#REF!</v>
      </c>
      <c r="S237" s="61" t="s">
        <v>44</v>
      </c>
      <c r="T237" s="62"/>
      <c r="U237" s="63" t="e">
        <f>V237/O237</f>
        <v>#REF!</v>
      </c>
      <c r="V237" s="65" t="e">
        <f>SUM(V202:V236)</f>
        <v>#REF!</v>
      </c>
      <c r="W237" s="29"/>
    </row>
    <row r="238" spans="1:28" s="2" customFormat="1" ht="18" customHeight="1">
      <c r="A238" s="6"/>
      <c r="B238" s="66"/>
      <c r="C238" s="1869" t="e">
        <f>+C187</f>
        <v>#REF!</v>
      </c>
      <c r="D238" s="1870"/>
      <c r="E238" s="1870"/>
      <c r="F238" s="1870"/>
      <c r="G238" s="1870"/>
      <c r="H238" s="1870"/>
      <c r="I238" s="1870"/>
      <c r="J238" s="1870"/>
      <c r="K238" s="1870"/>
      <c r="L238" s="1870"/>
      <c r="M238" s="1870"/>
      <c r="N238" s="1870"/>
      <c r="O238" s="67" t="e">
        <f>R238/1.02</f>
        <v>#REF!</v>
      </c>
      <c r="P238" s="68" t="e">
        <f>+P187</f>
        <v>#REF!</v>
      </c>
      <c r="Q238" s="69" t="s">
        <v>46</v>
      </c>
      <c r="R238" s="70" t="e">
        <f>+P238*R237/1000</f>
        <v>#REF!</v>
      </c>
      <c r="S238" s="1860"/>
      <c r="T238" s="1861"/>
      <c r="U238" s="1861"/>
      <c r="V238" s="1862"/>
      <c r="W238" s="29"/>
    </row>
    <row r="239" spans="1:28" s="76" customFormat="1" ht="6" customHeight="1">
      <c r="A239" s="71"/>
      <c r="B239" s="72"/>
      <c r="C239" s="73"/>
      <c r="D239" s="73"/>
      <c r="E239" s="73"/>
      <c r="F239" s="73"/>
      <c r="G239" s="73"/>
      <c r="H239" s="73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5"/>
      <c r="W239" s="29"/>
      <c r="X239" s="2"/>
      <c r="Y239" s="2"/>
      <c r="Z239" s="2"/>
      <c r="AA239" s="2"/>
      <c r="AB239" s="2"/>
    </row>
    <row r="240" spans="1:28" s="76" customFormat="1" ht="7.5" customHeight="1">
      <c r="A240" s="71"/>
      <c r="B240" s="1863" t="s">
        <v>60</v>
      </c>
      <c r="C240" s="1864"/>
      <c r="D240" s="1864"/>
      <c r="E240" s="1864"/>
      <c r="F240" s="1864"/>
      <c r="G240" s="1864"/>
      <c r="H240" s="1864"/>
      <c r="I240" s="1864"/>
      <c r="J240" s="1864"/>
      <c r="K240" s="1864"/>
      <c r="L240" s="1864"/>
      <c r="M240" s="1864"/>
      <c r="N240" s="1864"/>
      <c r="O240" s="1864"/>
      <c r="P240" s="1864"/>
      <c r="Q240" s="1864"/>
      <c r="R240" s="1864"/>
      <c r="S240" s="1864"/>
      <c r="T240" s="1864"/>
      <c r="U240" s="1864"/>
      <c r="V240" s="1865"/>
      <c r="W240" s="29"/>
      <c r="X240" s="2"/>
      <c r="Y240" s="2"/>
      <c r="Z240" s="2"/>
      <c r="AA240" s="2"/>
      <c r="AB240" s="2"/>
    </row>
    <row r="241" spans="1:28" s="76" customFormat="1" ht="7.5" customHeight="1">
      <c r="A241" s="71"/>
      <c r="B241" s="1866"/>
      <c r="C241" s="1867"/>
      <c r="D241" s="1867"/>
      <c r="E241" s="1867"/>
      <c r="F241" s="1867"/>
      <c r="G241" s="1867"/>
      <c r="H241" s="1867"/>
      <c r="I241" s="1867"/>
      <c r="J241" s="1867"/>
      <c r="K241" s="1867"/>
      <c r="L241" s="1867"/>
      <c r="M241" s="1867"/>
      <c r="N241" s="1867"/>
      <c r="O241" s="1867"/>
      <c r="P241" s="1867"/>
      <c r="Q241" s="1867"/>
      <c r="R241" s="1867"/>
      <c r="S241" s="1867"/>
      <c r="T241" s="1867"/>
      <c r="U241" s="1867"/>
      <c r="V241" s="1868"/>
      <c r="W241" s="29"/>
      <c r="X241" s="2"/>
      <c r="Y241" s="2"/>
      <c r="Z241" s="2"/>
      <c r="AA241" s="2"/>
      <c r="AB241" s="2"/>
    </row>
    <row r="242" spans="1:28" s="76" customFormat="1" ht="5.0999999999999996" customHeight="1">
      <c r="A242" s="71"/>
      <c r="B242" s="72"/>
      <c r="C242" s="72"/>
      <c r="D242" s="72"/>
      <c r="E242" s="72"/>
      <c r="F242" s="72"/>
      <c r="G242" s="72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8"/>
      <c r="W242" s="29"/>
      <c r="X242" s="2"/>
      <c r="Y242" s="2"/>
      <c r="Z242" s="2"/>
      <c r="AA242" s="2"/>
      <c r="AB242" s="2"/>
    </row>
    <row r="243" spans="1:28" s="76" customFormat="1" ht="15.6" customHeight="1">
      <c r="A243" s="71"/>
      <c r="B243" s="79" t="s">
        <v>47</v>
      </c>
      <c r="C243" s="80"/>
      <c r="D243" s="80"/>
      <c r="E243" s="81"/>
      <c r="F243" s="82"/>
      <c r="G243" s="82"/>
      <c r="H243" s="83"/>
      <c r="I243" s="84"/>
      <c r="J243" s="84"/>
      <c r="K243" s="85"/>
      <c r="L243" s="86" t="s">
        <v>48</v>
      </c>
      <c r="M243" s="83" t="e">
        <f>+M192</f>
        <v>#REF!</v>
      </c>
      <c r="N243" s="82"/>
      <c r="O243" s="84"/>
      <c r="P243" s="83"/>
      <c r="Q243" s="84"/>
      <c r="R243" s="84"/>
      <c r="S243" s="83"/>
      <c r="T243" s="84"/>
      <c r="U243" s="84"/>
      <c r="V243" s="87" t="s">
        <v>49</v>
      </c>
      <c r="W243" s="29"/>
      <c r="X243" s="2"/>
      <c r="Y243" s="2"/>
      <c r="Z243" s="2"/>
      <c r="AA243" s="2"/>
      <c r="AB243" s="2"/>
    </row>
    <row r="244" spans="1:28" s="76" customFormat="1" ht="15.6" customHeight="1">
      <c r="A244" s="71"/>
      <c r="B244" s="88"/>
      <c r="C244" s="89"/>
      <c r="D244" s="89"/>
      <c r="E244" s="96"/>
      <c r="F244" s="90"/>
      <c r="G244" s="90"/>
      <c r="H244" s="91"/>
      <c r="I244" s="92"/>
      <c r="J244" s="92"/>
      <c r="K244" s="93"/>
      <c r="L244" s="94" t="s">
        <v>50</v>
      </c>
      <c r="M244" s="91" t="e">
        <f t="shared" ref="M244:M247" si="31">+M193</f>
        <v>#REF!</v>
      </c>
      <c r="N244" s="90"/>
      <c r="O244" s="92"/>
      <c r="P244" s="91"/>
      <c r="Q244" s="92"/>
      <c r="R244" s="92"/>
      <c r="S244" s="91"/>
      <c r="T244" s="92"/>
      <c r="U244" s="92"/>
      <c r="V244" s="95"/>
      <c r="W244" s="29"/>
      <c r="X244" s="2"/>
      <c r="Y244" s="2"/>
      <c r="Z244" s="2"/>
      <c r="AA244" s="2"/>
      <c r="AB244" s="2"/>
    </row>
    <row r="245" spans="1:28" s="76" customFormat="1" ht="15.6" customHeight="1">
      <c r="A245" s="71"/>
      <c r="B245" s="88"/>
      <c r="C245" s="89"/>
      <c r="D245" s="89"/>
      <c r="E245" s="96"/>
      <c r="F245" s="90"/>
      <c r="G245" s="90"/>
      <c r="H245" s="91"/>
      <c r="I245" s="92"/>
      <c r="J245" s="92"/>
      <c r="K245" s="93"/>
      <c r="L245" s="94" t="s">
        <v>51</v>
      </c>
      <c r="M245" s="91" t="e">
        <f t="shared" si="31"/>
        <v>#REF!</v>
      </c>
      <c r="N245" s="90"/>
      <c r="O245" s="92"/>
      <c r="P245" s="91"/>
      <c r="Q245" s="92"/>
      <c r="R245" s="92"/>
      <c r="S245" s="91"/>
      <c r="T245" s="92"/>
      <c r="U245" s="92"/>
      <c r="V245" s="1871" t="s">
        <v>52</v>
      </c>
      <c r="W245" s="29"/>
      <c r="X245" s="2"/>
      <c r="Y245" s="2"/>
      <c r="Z245" s="2"/>
      <c r="AA245" s="2"/>
      <c r="AB245" s="2"/>
    </row>
    <row r="246" spans="1:28" s="76" customFormat="1" ht="15.6" customHeight="1">
      <c r="A246" s="71"/>
      <c r="B246" s="88"/>
      <c r="C246" s="89"/>
      <c r="D246" s="89"/>
      <c r="E246" s="96"/>
      <c r="F246" s="90"/>
      <c r="G246" s="90"/>
      <c r="H246" s="91"/>
      <c r="I246" s="92"/>
      <c r="J246" s="92"/>
      <c r="K246" s="93"/>
      <c r="L246" s="94" t="s">
        <v>53</v>
      </c>
      <c r="M246" s="91" t="e">
        <f t="shared" si="31"/>
        <v>#REF!</v>
      </c>
      <c r="N246" s="90"/>
      <c r="O246" s="92"/>
      <c r="P246" s="91"/>
      <c r="Q246" s="92"/>
      <c r="R246" s="92"/>
      <c r="S246" s="91"/>
      <c r="T246" s="92"/>
      <c r="U246" s="92"/>
      <c r="V246" s="1872"/>
      <c r="W246" s="29"/>
      <c r="X246" s="2"/>
      <c r="Y246" s="2"/>
      <c r="Z246" s="2"/>
      <c r="AA246" s="2"/>
      <c r="AB246" s="2"/>
    </row>
    <row r="247" spans="1:28" s="76" customFormat="1" ht="15.6" customHeight="1">
      <c r="A247" s="71"/>
      <c r="B247" s="97"/>
      <c r="C247" s="73"/>
      <c r="D247" s="73"/>
      <c r="E247" s="73"/>
      <c r="F247" s="73"/>
      <c r="G247" s="73"/>
      <c r="H247" s="73"/>
      <c r="I247" s="98" t="s">
        <v>54</v>
      </c>
      <c r="J247" s="99">
        <f ca="1">TODAY()</f>
        <v>46063</v>
      </c>
      <c r="K247" s="100"/>
      <c r="L247" s="101" t="s">
        <v>55</v>
      </c>
      <c r="M247" s="74" t="e">
        <f t="shared" si="31"/>
        <v>#REF!</v>
      </c>
      <c r="N247" s="73"/>
      <c r="O247" s="74"/>
      <c r="P247" s="74"/>
      <c r="Q247" s="74"/>
      <c r="R247" s="74"/>
      <c r="S247" s="74"/>
      <c r="T247" s="74"/>
      <c r="U247" s="74"/>
      <c r="V247" s="1873"/>
      <c r="W247" s="29"/>
      <c r="X247" s="2"/>
      <c r="Y247" s="2"/>
      <c r="Z247" s="2"/>
      <c r="AA247" s="2"/>
      <c r="AB247" s="2"/>
    </row>
    <row r="248" spans="1:28" s="106" customFormat="1" ht="8.1" customHeight="1">
      <c r="A248" s="102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4"/>
      <c r="X248" s="105"/>
      <c r="Y248" s="105"/>
      <c r="Z248" s="105"/>
      <c r="AA248" s="105"/>
      <c r="AB248" s="105"/>
    </row>
    <row r="249" spans="1:28" ht="8.1" customHeight="1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5"/>
    </row>
    <row r="250" spans="1:28" s="2" customFormat="1" ht="22.5" customHeight="1">
      <c r="A250" s="6"/>
      <c r="B250" s="7"/>
      <c r="C250" s="1856" t="s">
        <v>4</v>
      </c>
      <c r="D250" s="1857"/>
      <c r="E250" s="1858" t="s">
        <v>5</v>
      </c>
      <c r="F250" s="8" t="s">
        <v>6</v>
      </c>
      <c r="G250" s="8"/>
      <c r="H250" s="8"/>
      <c r="I250" s="9"/>
      <c r="J250" s="1532" t="s">
        <v>7</v>
      </c>
      <c r="K250" s="1532" t="s">
        <v>8</v>
      </c>
      <c r="L250" s="1532" t="s">
        <v>9</v>
      </c>
      <c r="M250" s="1532" t="s">
        <v>9</v>
      </c>
      <c r="N250" s="1532" t="s">
        <v>9</v>
      </c>
      <c r="O250" s="1532"/>
      <c r="P250" s="10" t="s">
        <v>10</v>
      </c>
      <c r="Q250" s="9"/>
      <c r="R250" s="1532"/>
      <c r="S250" s="11" t="s">
        <v>11</v>
      </c>
      <c r="T250" s="12"/>
      <c r="U250" s="12"/>
      <c r="V250" s="1532" t="s">
        <v>12</v>
      </c>
      <c r="W250" s="14"/>
    </row>
    <row r="251" spans="1:28" s="2" customFormat="1" ht="22.5" customHeight="1">
      <c r="A251" s="6"/>
      <c r="B251" s="15" t="s">
        <v>13</v>
      </c>
      <c r="C251" s="1858" t="s">
        <v>14</v>
      </c>
      <c r="D251" s="16" t="s">
        <v>15</v>
      </c>
      <c r="E251" s="1859"/>
      <c r="F251" s="12" t="s">
        <v>16</v>
      </c>
      <c r="G251" s="13"/>
      <c r="H251" s="11" t="s">
        <v>17</v>
      </c>
      <c r="I251" s="13"/>
      <c r="J251" s="1533" t="s">
        <v>18</v>
      </c>
      <c r="K251" s="1533" t="s">
        <v>19</v>
      </c>
      <c r="L251" s="17" t="s">
        <v>20</v>
      </c>
      <c r="M251" s="1533" t="s">
        <v>56</v>
      </c>
      <c r="N251" s="1533" t="s">
        <v>0</v>
      </c>
      <c r="O251" s="1533" t="s">
        <v>22</v>
      </c>
      <c r="P251" s="18" t="s">
        <v>23</v>
      </c>
      <c r="Q251" s="19"/>
      <c r="R251" s="1533" t="s">
        <v>24</v>
      </c>
      <c r="S251" s="1532" t="s">
        <v>25</v>
      </c>
      <c r="T251" s="1532" t="s">
        <v>26</v>
      </c>
      <c r="U251" s="1532" t="s">
        <v>27</v>
      </c>
      <c r="V251" s="1533" t="s">
        <v>29</v>
      </c>
      <c r="W251" s="14"/>
    </row>
    <row r="252" spans="1:28" s="2" customFormat="1" ht="22.5" customHeight="1">
      <c r="A252" s="6"/>
      <c r="B252" s="15" t="s">
        <v>30</v>
      </c>
      <c r="C252" s="1859"/>
      <c r="D252" s="16" t="s">
        <v>31</v>
      </c>
      <c r="E252" s="1859"/>
      <c r="F252" s="20" t="s">
        <v>32</v>
      </c>
      <c r="G252" s="1532" t="s">
        <v>33</v>
      </c>
      <c r="H252" s="1532" t="s">
        <v>32</v>
      </c>
      <c r="I252" s="1532" t="s">
        <v>33</v>
      </c>
      <c r="J252" s="1533" t="s">
        <v>34</v>
      </c>
      <c r="K252" s="1533" t="s">
        <v>34</v>
      </c>
      <c r="L252" s="1533" t="s">
        <v>35</v>
      </c>
      <c r="M252" s="1533" t="s">
        <v>35</v>
      </c>
      <c r="N252" s="1533" t="s">
        <v>35</v>
      </c>
      <c r="O252" s="1533" t="s">
        <v>37</v>
      </c>
      <c r="P252" s="18" t="s">
        <v>38</v>
      </c>
      <c r="Q252" s="19"/>
      <c r="R252" s="1533" t="s">
        <v>39</v>
      </c>
      <c r="S252" s="1533"/>
      <c r="T252" s="1533" t="s">
        <v>40</v>
      </c>
      <c r="U252" s="1533" t="s">
        <v>41</v>
      </c>
      <c r="V252" s="1533" t="s">
        <v>42</v>
      </c>
      <c r="W252" s="14"/>
    </row>
    <row r="253" spans="1:28" s="2" customFormat="1" ht="18" customHeight="1">
      <c r="A253" s="6"/>
      <c r="B253" s="1791" t="str">
        <f>+B202</f>
        <v xml:space="preserve">TELA ELETROSOLDADA                                                                                                                                                         </v>
      </c>
      <c r="C253" s="21" t="s">
        <v>67</v>
      </c>
      <c r="D253" s="22" t="s">
        <v>67</v>
      </c>
      <c r="E253" s="21" t="str">
        <f>IF(F253="","","Faixa - Segurança LD")</f>
        <v/>
      </c>
      <c r="F253" s="22"/>
      <c r="G253" s="23"/>
      <c r="H253" s="22"/>
      <c r="I253" s="23"/>
      <c r="J253" s="24" t="str">
        <f>IF(F253="","",((H253-F253)*20)+I253-G253)</f>
        <v/>
      </c>
      <c r="K253" s="23" t="s">
        <v>67</v>
      </c>
      <c r="L253" s="24"/>
      <c r="M253" s="24"/>
      <c r="N253" s="25" t="str">
        <f>IF(F253="","",(J253*K253)+M253+L253)</f>
        <v/>
      </c>
      <c r="O253" s="25" t="str">
        <f>IF(F253="","",N253*#REF!/100)</f>
        <v/>
      </c>
      <c r="P253" s="26" t="s">
        <v>67</v>
      </c>
      <c r="Q253" s="27" t="str">
        <f t="shared" ref="Q253:Q287" si="32">IF(F253="","","t/m3")</f>
        <v/>
      </c>
      <c r="R253" s="25" t="str">
        <f t="shared" ref="R253:R287" si="33">IF(F253="","",O253*P253)</f>
        <v/>
      </c>
      <c r="S253" s="28" t="s">
        <v>67</v>
      </c>
      <c r="T253" s="28" t="str">
        <f t="shared" ref="T253:T287" si="34">IF(F253="","",IF(D253&gt;H253,((D253-H253)*0.02),IF(D253&lt;F253,((F253-D253)*0.02),IF(F253="","",0))))</f>
        <v/>
      </c>
      <c r="U253" s="28" t="str">
        <f t="shared" ref="U253:U287" si="35">IF(F253="","",IF(D253&gt;H253,((((H253-F253)*20)+I253-G253)/2000),IF(D253&gt;F253,((((D253-F253)*0.02)^2)+(((H253-D253)*0.02)^2))/(2*((H253-F253)*0.02)),((((H253-F253)*20)+I253-G253)/2000))))</f>
        <v/>
      </c>
      <c r="V253" s="25" t="str">
        <f>IF(F253="","",O253*#REF!)</f>
        <v/>
      </c>
      <c r="W253" s="29"/>
    </row>
    <row r="254" spans="1:28" s="2" customFormat="1" ht="18" customHeight="1">
      <c r="A254" s="6"/>
      <c r="B254" s="1792"/>
      <c r="C254" s="38" t="e">
        <v>#REF!</v>
      </c>
      <c r="D254" s="39" t="e">
        <v>#REF!</v>
      </c>
      <c r="E254" s="38" t="e">
        <f t="shared" ref="E254:E287" si="36">IF(F254="","","Faixa - Segurança LD")</f>
        <v>#REF!</v>
      </c>
      <c r="F254" s="39" t="e">
        <v>#REF!</v>
      </c>
      <c r="G254" s="40" t="e">
        <v>#REF!</v>
      </c>
      <c r="H254" s="39" t="e">
        <v>#REF!</v>
      </c>
      <c r="I254" s="40" t="e">
        <v>#REF!</v>
      </c>
      <c r="J254" s="41" t="e">
        <f t="shared" ref="J254:J287" si="37">IF(F254="","",((H254-F254)*20)+I254-G254)</f>
        <v>#REF!</v>
      </c>
      <c r="K254" s="40" t="e">
        <v>#REF!</v>
      </c>
      <c r="L254" s="41"/>
      <c r="M254" s="41"/>
      <c r="N254" s="42" t="e">
        <f t="shared" ref="N254:N287" si="38">IF(F254="","",(J254*K254)+M254+L254)</f>
        <v>#REF!</v>
      </c>
      <c r="O254" s="42" t="e">
        <f>IF(F254="","",N254*#REF!/100)</f>
        <v>#REF!</v>
      </c>
      <c r="P254" s="44" t="e">
        <v>#REF!</v>
      </c>
      <c r="Q254" s="45" t="e">
        <f t="shared" si="32"/>
        <v>#REF!</v>
      </c>
      <c r="R254" s="42" t="e">
        <f t="shared" si="33"/>
        <v>#REF!</v>
      </c>
      <c r="S254" s="46" t="e">
        <v>#REF!</v>
      </c>
      <c r="T254" s="46" t="e">
        <f t="shared" si="34"/>
        <v>#REF!</v>
      </c>
      <c r="U254" s="46" t="e">
        <f t="shared" si="35"/>
        <v>#REF!</v>
      </c>
      <c r="V254" s="42" t="e">
        <f>IF(F254="","",O254*#REF!)</f>
        <v>#REF!</v>
      </c>
      <c r="W254" s="29"/>
    </row>
    <row r="255" spans="1:28" s="2" customFormat="1" ht="18" customHeight="1">
      <c r="A255" s="6"/>
      <c r="B255" s="1837">
        <f>+B204</f>
        <v>0</v>
      </c>
      <c r="C255" s="30" t="e">
        <v>#REF!</v>
      </c>
      <c r="D255" s="31" t="e">
        <v>#REF!</v>
      </c>
      <c r="E255" s="30" t="e">
        <f t="shared" si="36"/>
        <v>#REF!</v>
      </c>
      <c r="F255" s="31" t="e">
        <v>#REF!</v>
      </c>
      <c r="G255" s="32" t="e">
        <v>#REF!</v>
      </c>
      <c r="H255" s="31" t="e">
        <v>#REF!</v>
      </c>
      <c r="I255" s="32" t="e">
        <v>#REF!</v>
      </c>
      <c r="J255" s="33" t="e">
        <f t="shared" si="37"/>
        <v>#REF!</v>
      </c>
      <c r="K255" s="32" t="e">
        <v>#REF!</v>
      </c>
      <c r="L255" s="33"/>
      <c r="M255" s="33"/>
      <c r="N255" s="34" t="e">
        <f t="shared" si="38"/>
        <v>#REF!</v>
      </c>
      <c r="O255" s="34" t="e">
        <f>IF(F255="","",N255*#REF!/100)</f>
        <v>#REF!</v>
      </c>
      <c r="P255" s="35" t="e">
        <v>#REF!</v>
      </c>
      <c r="Q255" s="36" t="e">
        <f t="shared" si="32"/>
        <v>#REF!</v>
      </c>
      <c r="R255" s="34" t="e">
        <f t="shared" si="33"/>
        <v>#REF!</v>
      </c>
      <c r="S255" s="37" t="e">
        <v>#REF!</v>
      </c>
      <c r="T255" s="37" t="e">
        <f t="shared" si="34"/>
        <v>#REF!</v>
      </c>
      <c r="U255" s="37" t="e">
        <f t="shared" si="35"/>
        <v>#REF!</v>
      </c>
      <c r="V255" s="34" t="e">
        <f>IF(F255="","",O255*#REF!)</f>
        <v>#REF!</v>
      </c>
      <c r="W255" s="29"/>
    </row>
    <row r="256" spans="1:28" s="2" customFormat="1" ht="18" customHeight="1">
      <c r="A256" s="6"/>
      <c r="B256" s="1837"/>
      <c r="C256" s="38" t="e">
        <v>#REF!</v>
      </c>
      <c r="D256" s="39" t="e">
        <v>#REF!</v>
      </c>
      <c r="E256" s="38" t="e">
        <f t="shared" si="36"/>
        <v>#REF!</v>
      </c>
      <c r="F256" s="39" t="e">
        <v>#REF!</v>
      </c>
      <c r="G256" s="40" t="e">
        <v>#REF!</v>
      </c>
      <c r="H256" s="39" t="e">
        <v>#REF!</v>
      </c>
      <c r="I256" s="40" t="e">
        <v>#REF!</v>
      </c>
      <c r="J256" s="41" t="e">
        <f t="shared" si="37"/>
        <v>#REF!</v>
      </c>
      <c r="K256" s="40" t="e">
        <v>#REF!</v>
      </c>
      <c r="L256" s="41"/>
      <c r="M256" s="41"/>
      <c r="N256" s="42" t="e">
        <f t="shared" si="38"/>
        <v>#REF!</v>
      </c>
      <c r="O256" s="42" t="e">
        <f>IF(F256="","",N256*#REF!/100)</f>
        <v>#REF!</v>
      </c>
      <c r="P256" s="44" t="e">
        <v>#REF!</v>
      </c>
      <c r="Q256" s="45" t="e">
        <f t="shared" si="32"/>
        <v>#REF!</v>
      </c>
      <c r="R256" s="42" t="e">
        <f t="shared" si="33"/>
        <v>#REF!</v>
      </c>
      <c r="S256" s="46" t="e">
        <v>#REF!</v>
      </c>
      <c r="T256" s="46" t="e">
        <f t="shared" si="34"/>
        <v>#REF!</v>
      </c>
      <c r="U256" s="46" t="e">
        <f t="shared" si="35"/>
        <v>#REF!</v>
      </c>
      <c r="V256" s="42" t="e">
        <f>IF(F256="","",O256*#REF!)</f>
        <v>#REF!</v>
      </c>
      <c r="W256" s="29"/>
    </row>
    <row r="257" spans="1:23" s="2" customFormat="1" ht="18" customHeight="1">
      <c r="A257" s="6"/>
      <c r="B257" s="1837"/>
      <c r="C257" s="30" t="e">
        <v>#REF!</v>
      </c>
      <c r="D257" s="31" t="e">
        <v>#REF!</v>
      </c>
      <c r="E257" s="30" t="e">
        <f t="shared" si="36"/>
        <v>#REF!</v>
      </c>
      <c r="F257" s="31" t="e">
        <v>#REF!</v>
      </c>
      <c r="G257" s="32" t="e">
        <v>#REF!</v>
      </c>
      <c r="H257" s="31" t="e">
        <v>#REF!</v>
      </c>
      <c r="I257" s="32" t="e">
        <v>#REF!</v>
      </c>
      <c r="J257" s="33" t="e">
        <f t="shared" si="37"/>
        <v>#REF!</v>
      </c>
      <c r="K257" s="32" t="e">
        <v>#REF!</v>
      </c>
      <c r="L257" s="33"/>
      <c r="M257" s="33"/>
      <c r="N257" s="34" t="e">
        <f t="shared" si="38"/>
        <v>#REF!</v>
      </c>
      <c r="O257" s="34" t="e">
        <f>IF(F257="","",N257*#REF!/100)</f>
        <v>#REF!</v>
      </c>
      <c r="P257" s="35" t="e">
        <v>#REF!</v>
      </c>
      <c r="Q257" s="36" t="e">
        <f t="shared" si="32"/>
        <v>#REF!</v>
      </c>
      <c r="R257" s="34" t="e">
        <f t="shared" si="33"/>
        <v>#REF!</v>
      </c>
      <c r="S257" s="37" t="e">
        <v>#REF!</v>
      </c>
      <c r="T257" s="37" t="e">
        <f t="shared" si="34"/>
        <v>#REF!</v>
      </c>
      <c r="U257" s="37" t="e">
        <f t="shared" si="35"/>
        <v>#REF!</v>
      </c>
      <c r="V257" s="34" t="e">
        <f>IF(F257="","",O257*#REF!)</f>
        <v>#REF!</v>
      </c>
      <c r="W257" s="29"/>
    </row>
    <row r="258" spans="1:23" s="2" customFormat="1" ht="18" customHeight="1">
      <c r="A258" s="6"/>
      <c r="B258" s="47"/>
      <c r="C258" s="38" t="e">
        <v>#REF!</v>
      </c>
      <c r="D258" s="39" t="e">
        <v>#REF!</v>
      </c>
      <c r="E258" s="38" t="e">
        <f t="shared" si="36"/>
        <v>#REF!</v>
      </c>
      <c r="F258" s="39" t="e">
        <v>#REF!</v>
      </c>
      <c r="G258" s="40" t="e">
        <v>#REF!</v>
      </c>
      <c r="H258" s="39" t="e">
        <v>#REF!</v>
      </c>
      <c r="I258" s="40" t="e">
        <v>#REF!</v>
      </c>
      <c r="J258" s="41" t="e">
        <f t="shared" si="37"/>
        <v>#REF!</v>
      </c>
      <c r="K258" s="40" t="e">
        <v>#REF!</v>
      </c>
      <c r="L258" s="41"/>
      <c r="M258" s="41"/>
      <c r="N258" s="42" t="e">
        <f t="shared" si="38"/>
        <v>#REF!</v>
      </c>
      <c r="O258" s="42" t="e">
        <f>IF(F258="","",N258*#REF!/100)</f>
        <v>#REF!</v>
      </c>
      <c r="P258" s="44" t="e">
        <v>#REF!</v>
      </c>
      <c r="Q258" s="45" t="e">
        <f t="shared" si="32"/>
        <v>#REF!</v>
      </c>
      <c r="R258" s="42" t="e">
        <f t="shared" si="33"/>
        <v>#REF!</v>
      </c>
      <c r="S258" s="46" t="e">
        <v>#REF!</v>
      </c>
      <c r="T258" s="46" t="e">
        <f t="shared" si="34"/>
        <v>#REF!</v>
      </c>
      <c r="U258" s="46" t="e">
        <f t="shared" si="35"/>
        <v>#REF!</v>
      </c>
      <c r="V258" s="42" t="e">
        <f>IF(F258="","",O258*#REF!)</f>
        <v>#REF!</v>
      </c>
      <c r="W258" s="29"/>
    </row>
    <row r="259" spans="1:23" s="2" customFormat="1" ht="18" customHeight="1">
      <c r="A259" s="6"/>
      <c r="B259" s="47"/>
      <c r="C259" s="30" t="e">
        <v>#REF!</v>
      </c>
      <c r="D259" s="31" t="e">
        <v>#REF!</v>
      </c>
      <c r="E259" s="30" t="e">
        <f t="shared" si="36"/>
        <v>#REF!</v>
      </c>
      <c r="F259" s="31" t="e">
        <v>#REF!</v>
      </c>
      <c r="G259" s="32" t="e">
        <v>#REF!</v>
      </c>
      <c r="H259" s="31" t="e">
        <v>#REF!</v>
      </c>
      <c r="I259" s="32" t="e">
        <v>#REF!</v>
      </c>
      <c r="J259" s="33" t="e">
        <f t="shared" si="37"/>
        <v>#REF!</v>
      </c>
      <c r="K259" s="32" t="e">
        <v>#REF!</v>
      </c>
      <c r="L259" s="33"/>
      <c r="M259" s="33"/>
      <c r="N259" s="34" t="e">
        <f t="shared" si="38"/>
        <v>#REF!</v>
      </c>
      <c r="O259" s="34" t="e">
        <f>IF(F259="","",N259*#REF!/100)</f>
        <v>#REF!</v>
      </c>
      <c r="P259" s="35" t="e">
        <v>#REF!</v>
      </c>
      <c r="Q259" s="36" t="e">
        <f t="shared" si="32"/>
        <v>#REF!</v>
      </c>
      <c r="R259" s="34" t="e">
        <f t="shared" si="33"/>
        <v>#REF!</v>
      </c>
      <c r="S259" s="37" t="e">
        <v>#REF!</v>
      </c>
      <c r="T259" s="37" t="e">
        <f t="shared" si="34"/>
        <v>#REF!</v>
      </c>
      <c r="U259" s="37" t="e">
        <f t="shared" si="35"/>
        <v>#REF!</v>
      </c>
      <c r="V259" s="34" t="e">
        <f>IF(F259="","",O259*#REF!)</f>
        <v>#REF!</v>
      </c>
      <c r="W259" s="29"/>
    </row>
    <row r="260" spans="1:23" s="2" customFormat="1" ht="18" customHeight="1">
      <c r="A260" s="6"/>
      <c r="B260" s="48"/>
      <c r="C260" s="38" t="e">
        <v>#REF!</v>
      </c>
      <c r="D260" s="39" t="e">
        <v>#REF!</v>
      </c>
      <c r="E260" s="38" t="e">
        <f t="shared" si="36"/>
        <v>#REF!</v>
      </c>
      <c r="F260" s="39" t="e">
        <v>#REF!</v>
      </c>
      <c r="G260" s="40" t="e">
        <v>#REF!</v>
      </c>
      <c r="H260" s="39" t="e">
        <v>#REF!</v>
      </c>
      <c r="I260" s="40" t="e">
        <v>#REF!</v>
      </c>
      <c r="J260" s="41" t="e">
        <f t="shared" si="37"/>
        <v>#REF!</v>
      </c>
      <c r="K260" s="40" t="e">
        <v>#REF!</v>
      </c>
      <c r="L260" s="41"/>
      <c r="M260" s="41"/>
      <c r="N260" s="42" t="e">
        <f t="shared" si="38"/>
        <v>#REF!</v>
      </c>
      <c r="O260" s="42" t="e">
        <f>IF(F260="","",N260*#REF!/100)</f>
        <v>#REF!</v>
      </c>
      <c r="P260" s="44" t="e">
        <v>#REF!</v>
      </c>
      <c r="Q260" s="45" t="e">
        <f t="shared" si="32"/>
        <v>#REF!</v>
      </c>
      <c r="R260" s="42" t="e">
        <f t="shared" si="33"/>
        <v>#REF!</v>
      </c>
      <c r="S260" s="46" t="e">
        <v>#REF!</v>
      </c>
      <c r="T260" s="46" t="e">
        <f t="shared" si="34"/>
        <v>#REF!</v>
      </c>
      <c r="U260" s="46" t="e">
        <f t="shared" si="35"/>
        <v>#REF!</v>
      </c>
      <c r="V260" s="42" t="e">
        <f>IF(F260="","",O260*#REF!)</f>
        <v>#REF!</v>
      </c>
      <c r="W260" s="29"/>
    </row>
    <row r="261" spans="1:23" s="2" customFormat="1" ht="18" customHeight="1">
      <c r="A261" s="6"/>
      <c r="B261" s="48"/>
      <c r="C261" s="30" t="e">
        <v>#REF!</v>
      </c>
      <c r="D261" s="31" t="e">
        <v>#REF!</v>
      </c>
      <c r="E261" s="30" t="e">
        <f t="shared" si="36"/>
        <v>#REF!</v>
      </c>
      <c r="F261" s="31" t="e">
        <v>#REF!</v>
      </c>
      <c r="G261" s="32" t="e">
        <v>#REF!</v>
      </c>
      <c r="H261" s="31" t="e">
        <v>#REF!</v>
      </c>
      <c r="I261" s="32" t="e">
        <v>#REF!</v>
      </c>
      <c r="J261" s="33" t="e">
        <f t="shared" si="37"/>
        <v>#REF!</v>
      </c>
      <c r="K261" s="32" t="e">
        <v>#REF!</v>
      </c>
      <c r="L261" s="33"/>
      <c r="M261" s="33"/>
      <c r="N261" s="34" t="e">
        <f t="shared" si="38"/>
        <v>#REF!</v>
      </c>
      <c r="O261" s="34" t="e">
        <f>IF(F261="","",N261*#REF!/100)</f>
        <v>#REF!</v>
      </c>
      <c r="P261" s="35" t="e">
        <v>#REF!</v>
      </c>
      <c r="Q261" s="36" t="e">
        <f t="shared" si="32"/>
        <v>#REF!</v>
      </c>
      <c r="R261" s="34" t="e">
        <f t="shared" si="33"/>
        <v>#REF!</v>
      </c>
      <c r="S261" s="37" t="e">
        <v>#REF!</v>
      </c>
      <c r="T261" s="37" t="e">
        <f t="shared" si="34"/>
        <v>#REF!</v>
      </c>
      <c r="U261" s="37" t="e">
        <f t="shared" si="35"/>
        <v>#REF!</v>
      </c>
      <c r="V261" s="34" t="e">
        <f>IF(F261="","",O261*#REF!)</f>
        <v>#REF!</v>
      </c>
      <c r="W261" s="29"/>
    </row>
    <row r="262" spans="1:23" s="2" customFormat="1" ht="18" customHeight="1">
      <c r="A262" s="6"/>
      <c r="B262" s="48"/>
      <c r="C262" s="38" t="e">
        <v>#REF!</v>
      </c>
      <c r="D262" s="39" t="e">
        <v>#REF!</v>
      </c>
      <c r="E262" s="38" t="e">
        <f t="shared" si="36"/>
        <v>#REF!</v>
      </c>
      <c r="F262" s="39" t="e">
        <v>#REF!</v>
      </c>
      <c r="G262" s="40" t="e">
        <v>#REF!</v>
      </c>
      <c r="H262" s="39" t="e">
        <v>#REF!</v>
      </c>
      <c r="I262" s="40" t="e">
        <v>#REF!</v>
      </c>
      <c r="J262" s="41" t="e">
        <f t="shared" si="37"/>
        <v>#REF!</v>
      </c>
      <c r="K262" s="40" t="e">
        <v>#REF!</v>
      </c>
      <c r="L262" s="41"/>
      <c r="M262" s="41"/>
      <c r="N262" s="42" t="e">
        <f t="shared" si="38"/>
        <v>#REF!</v>
      </c>
      <c r="O262" s="42" t="e">
        <f>IF(F262="","",N262*#REF!/100)</f>
        <v>#REF!</v>
      </c>
      <c r="P262" s="44" t="e">
        <v>#REF!</v>
      </c>
      <c r="Q262" s="45" t="e">
        <f t="shared" si="32"/>
        <v>#REF!</v>
      </c>
      <c r="R262" s="42" t="e">
        <f t="shared" si="33"/>
        <v>#REF!</v>
      </c>
      <c r="S262" s="46" t="e">
        <v>#REF!</v>
      </c>
      <c r="T262" s="46" t="e">
        <f t="shared" si="34"/>
        <v>#REF!</v>
      </c>
      <c r="U262" s="46" t="e">
        <f t="shared" si="35"/>
        <v>#REF!</v>
      </c>
      <c r="V262" s="42" t="e">
        <f>IF(F262="","",O262*#REF!)</f>
        <v>#REF!</v>
      </c>
      <c r="W262" s="29"/>
    </row>
    <row r="263" spans="1:23" s="2" customFormat="1" ht="18" customHeight="1">
      <c r="A263" s="6"/>
      <c r="B263" s="48"/>
      <c r="C263" s="30" t="e">
        <v>#REF!</v>
      </c>
      <c r="D263" s="31" t="e">
        <v>#REF!</v>
      </c>
      <c r="E263" s="30" t="e">
        <f t="shared" si="36"/>
        <v>#REF!</v>
      </c>
      <c r="F263" s="31" t="e">
        <v>#REF!</v>
      </c>
      <c r="G263" s="32" t="e">
        <v>#REF!</v>
      </c>
      <c r="H263" s="31" t="e">
        <v>#REF!</v>
      </c>
      <c r="I263" s="32" t="e">
        <v>#REF!</v>
      </c>
      <c r="J263" s="33" t="e">
        <f t="shared" si="37"/>
        <v>#REF!</v>
      </c>
      <c r="K263" s="32" t="e">
        <v>#REF!</v>
      </c>
      <c r="L263" s="33"/>
      <c r="M263" s="33"/>
      <c r="N263" s="34" t="e">
        <f t="shared" si="38"/>
        <v>#REF!</v>
      </c>
      <c r="O263" s="34" t="e">
        <f>IF(F263="","",N263*#REF!/100)</f>
        <v>#REF!</v>
      </c>
      <c r="P263" s="35" t="e">
        <v>#REF!</v>
      </c>
      <c r="Q263" s="36" t="e">
        <f t="shared" si="32"/>
        <v>#REF!</v>
      </c>
      <c r="R263" s="34" t="e">
        <f t="shared" si="33"/>
        <v>#REF!</v>
      </c>
      <c r="S263" s="37" t="e">
        <v>#REF!</v>
      </c>
      <c r="T263" s="37" t="e">
        <f t="shared" si="34"/>
        <v>#REF!</v>
      </c>
      <c r="U263" s="37" t="e">
        <f t="shared" si="35"/>
        <v>#REF!</v>
      </c>
      <c r="V263" s="34" t="e">
        <f>IF(F263="","",O263*#REF!)</f>
        <v>#REF!</v>
      </c>
      <c r="W263" s="29"/>
    </row>
    <row r="264" spans="1:23" s="2" customFormat="1" ht="18" customHeight="1">
      <c r="A264" s="6"/>
      <c r="B264" s="48"/>
      <c r="C264" s="38" t="e">
        <v>#REF!</v>
      </c>
      <c r="D264" s="39" t="e">
        <v>#REF!</v>
      </c>
      <c r="E264" s="38" t="e">
        <f t="shared" si="36"/>
        <v>#REF!</v>
      </c>
      <c r="F264" s="39" t="e">
        <v>#REF!</v>
      </c>
      <c r="G264" s="40" t="e">
        <v>#REF!</v>
      </c>
      <c r="H264" s="39" t="e">
        <v>#REF!</v>
      </c>
      <c r="I264" s="40" t="e">
        <v>#REF!</v>
      </c>
      <c r="J264" s="41" t="e">
        <f t="shared" si="37"/>
        <v>#REF!</v>
      </c>
      <c r="K264" s="40" t="e">
        <v>#REF!</v>
      </c>
      <c r="L264" s="41"/>
      <c r="M264" s="41"/>
      <c r="N264" s="42" t="e">
        <f t="shared" si="38"/>
        <v>#REF!</v>
      </c>
      <c r="O264" s="42" t="e">
        <f>IF(F264="","",N264*#REF!/100)</f>
        <v>#REF!</v>
      </c>
      <c r="P264" s="44" t="e">
        <v>#REF!</v>
      </c>
      <c r="Q264" s="45" t="e">
        <f t="shared" si="32"/>
        <v>#REF!</v>
      </c>
      <c r="R264" s="42" t="e">
        <f t="shared" si="33"/>
        <v>#REF!</v>
      </c>
      <c r="S264" s="46" t="e">
        <v>#REF!</v>
      </c>
      <c r="T264" s="46" t="e">
        <f t="shared" si="34"/>
        <v>#REF!</v>
      </c>
      <c r="U264" s="46" t="e">
        <f t="shared" si="35"/>
        <v>#REF!</v>
      </c>
      <c r="V264" s="42" t="e">
        <f>IF(F264="","",O264*#REF!)</f>
        <v>#REF!</v>
      </c>
      <c r="W264" s="29"/>
    </row>
    <row r="265" spans="1:23" s="2" customFormat="1" ht="18" customHeight="1">
      <c r="A265" s="6"/>
      <c r="B265" s="48"/>
      <c r="C265" s="30" t="e">
        <v>#REF!</v>
      </c>
      <c r="D265" s="31" t="e">
        <v>#REF!</v>
      </c>
      <c r="E265" s="30" t="e">
        <f t="shared" si="36"/>
        <v>#REF!</v>
      </c>
      <c r="F265" s="31" t="e">
        <v>#REF!</v>
      </c>
      <c r="G265" s="32" t="e">
        <v>#REF!</v>
      </c>
      <c r="H265" s="31" t="e">
        <v>#REF!</v>
      </c>
      <c r="I265" s="32" t="e">
        <v>#REF!</v>
      </c>
      <c r="J265" s="33" t="e">
        <f t="shared" si="37"/>
        <v>#REF!</v>
      </c>
      <c r="K265" s="32" t="e">
        <v>#REF!</v>
      </c>
      <c r="L265" s="33"/>
      <c r="M265" s="33"/>
      <c r="N265" s="34" t="e">
        <f t="shared" si="38"/>
        <v>#REF!</v>
      </c>
      <c r="O265" s="34" t="e">
        <f>IF(F265="","",N265*#REF!/100)</f>
        <v>#REF!</v>
      </c>
      <c r="P265" s="35" t="e">
        <v>#REF!</v>
      </c>
      <c r="Q265" s="36" t="e">
        <f t="shared" si="32"/>
        <v>#REF!</v>
      </c>
      <c r="R265" s="34" t="e">
        <f t="shared" si="33"/>
        <v>#REF!</v>
      </c>
      <c r="S265" s="37" t="e">
        <v>#REF!</v>
      </c>
      <c r="T265" s="37" t="e">
        <f t="shared" si="34"/>
        <v>#REF!</v>
      </c>
      <c r="U265" s="37" t="e">
        <f t="shared" si="35"/>
        <v>#REF!</v>
      </c>
      <c r="V265" s="34" t="e">
        <f>IF(F265="","",O265*#REF!)</f>
        <v>#REF!</v>
      </c>
      <c r="W265" s="29"/>
    </row>
    <row r="266" spans="1:23" s="2" customFormat="1" ht="18" customHeight="1">
      <c r="A266" s="6"/>
      <c r="B266" s="48"/>
      <c r="C266" s="38" t="e">
        <v>#REF!</v>
      </c>
      <c r="D266" s="39" t="e">
        <v>#REF!</v>
      </c>
      <c r="E266" s="38" t="e">
        <f t="shared" si="36"/>
        <v>#REF!</v>
      </c>
      <c r="F266" s="39" t="e">
        <v>#REF!</v>
      </c>
      <c r="G266" s="40" t="e">
        <v>#REF!</v>
      </c>
      <c r="H266" s="39" t="e">
        <v>#REF!</v>
      </c>
      <c r="I266" s="40" t="e">
        <v>#REF!</v>
      </c>
      <c r="J266" s="41" t="e">
        <f t="shared" si="37"/>
        <v>#REF!</v>
      </c>
      <c r="K266" s="40" t="e">
        <v>#REF!</v>
      </c>
      <c r="L266" s="41"/>
      <c r="M266" s="41"/>
      <c r="N266" s="42" t="e">
        <f t="shared" si="38"/>
        <v>#REF!</v>
      </c>
      <c r="O266" s="42" t="e">
        <f>IF(F266="","",N266*#REF!/100)</f>
        <v>#REF!</v>
      </c>
      <c r="P266" s="44" t="e">
        <v>#REF!</v>
      </c>
      <c r="Q266" s="45" t="e">
        <f t="shared" si="32"/>
        <v>#REF!</v>
      </c>
      <c r="R266" s="42" t="e">
        <f t="shared" si="33"/>
        <v>#REF!</v>
      </c>
      <c r="S266" s="46" t="e">
        <v>#REF!</v>
      </c>
      <c r="T266" s="46" t="e">
        <f t="shared" si="34"/>
        <v>#REF!</v>
      </c>
      <c r="U266" s="46" t="e">
        <f t="shared" si="35"/>
        <v>#REF!</v>
      </c>
      <c r="V266" s="42" t="e">
        <f>IF(F266="","",O266*#REF!)</f>
        <v>#REF!</v>
      </c>
      <c r="W266" s="29"/>
    </row>
    <row r="267" spans="1:23" s="2" customFormat="1" ht="18" customHeight="1">
      <c r="A267" s="6"/>
      <c r="B267" s="48"/>
      <c r="C267" s="30" t="e">
        <v>#REF!</v>
      </c>
      <c r="D267" s="31" t="e">
        <v>#REF!</v>
      </c>
      <c r="E267" s="30" t="e">
        <f t="shared" si="36"/>
        <v>#REF!</v>
      </c>
      <c r="F267" s="31" t="e">
        <v>#REF!</v>
      </c>
      <c r="G267" s="32" t="e">
        <v>#REF!</v>
      </c>
      <c r="H267" s="31" t="e">
        <v>#REF!</v>
      </c>
      <c r="I267" s="32" t="e">
        <v>#REF!</v>
      </c>
      <c r="J267" s="33" t="e">
        <f t="shared" si="37"/>
        <v>#REF!</v>
      </c>
      <c r="K267" s="32" t="e">
        <v>#REF!</v>
      </c>
      <c r="L267" s="33"/>
      <c r="M267" s="33"/>
      <c r="N267" s="34" t="e">
        <f t="shared" si="38"/>
        <v>#REF!</v>
      </c>
      <c r="O267" s="34" t="e">
        <f>IF(F267="","",N267*#REF!/100)</f>
        <v>#REF!</v>
      </c>
      <c r="P267" s="35" t="e">
        <v>#REF!</v>
      </c>
      <c r="Q267" s="36" t="e">
        <f t="shared" si="32"/>
        <v>#REF!</v>
      </c>
      <c r="R267" s="34" t="e">
        <f t="shared" si="33"/>
        <v>#REF!</v>
      </c>
      <c r="S267" s="37" t="e">
        <v>#REF!</v>
      </c>
      <c r="T267" s="37" t="e">
        <f t="shared" si="34"/>
        <v>#REF!</v>
      </c>
      <c r="U267" s="37" t="e">
        <f t="shared" si="35"/>
        <v>#REF!</v>
      </c>
      <c r="V267" s="34" t="e">
        <f>IF(F267="","",O267*#REF!)</f>
        <v>#REF!</v>
      </c>
      <c r="W267" s="29"/>
    </row>
    <row r="268" spans="1:23" s="2" customFormat="1" ht="18" customHeight="1">
      <c r="A268" s="6"/>
      <c r="B268" s="48"/>
      <c r="C268" s="38" t="e">
        <v>#REF!</v>
      </c>
      <c r="D268" s="39" t="e">
        <v>#REF!</v>
      </c>
      <c r="E268" s="38" t="e">
        <f t="shared" si="36"/>
        <v>#REF!</v>
      </c>
      <c r="F268" s="39" t="e">
        <v>#REF!</v>
      </c>
      <c r="G268" s="40" t="e">
        <v>#REF!</v>
      </c>
      <c r="H268" s="39" t="e">
        <v>#REF!</v>
      </c>
      <c r="I268" s="40" t="e">
        <v>#REF!</v>
      </c>
      <c r="J268" s="41" t="e">
        <f t="shared" si="37"/>
        <v>#REF!</v>
      </c>
      <c r="K268" s="40" t="e">
        <v>#REF!</v>
      </c>
      <c r="L268" s="41"/>
      <c r="M268" s="41"/>
      <c r="N268" s="42" t="e">
        <f t="shared" si="38"/>
        <v>#REF!</v>
      </c>
      <c r="O268" s="42" t="e">
        <f>IF(F268="","",N268*#REF!/100)</f>
        <v>#REF!</v>
      </c>
      <c r="P268" s="44" t="e">
        <v>#REF!</v>
      </c>
      <c r="Q268" s="45" t="e">
        <f t="shared" si="32"/>
        <v>#REF!</v>
      </c>
      <c r="R268" s="42" t="e">
        <f t="shared" si="33"/>
        <v>#REF!</v>
      </c>
      <c r="S268" s="46" t="e">
        <v>#REF!</v>
      </c>
      <c r="T268" s="46" t="e">
        <f t="shared" si="34"/>
        <v>#REF!</v>
      </c>
      <c r="U268" s="46" t="e">
        <f t="shared" si="35"/>
        <v>#REF!</v>
      </c>
      <c r="V268" s="42" t="e">
        <f>IF(F268="","",O268*#REF!)</f>
        <v>#REF!</v>
      </c>
      <c r="W268" s="29"/>
    </row>
    <row r="269" spans="1:23" s="2" customFormat="1" ht="18" customHeight="1">
      <c r="A269" s="6"/>
      <c r="B269" s="48"/>
      <c r="C269" s="30" t="e">
        <v>#REF!</v>
      </c>
      <c r="D269" s="31" t="e">
        <v>#REF!</v>
      </c>
      <c r="E269" s="30" t="e">
        <f t="shared" si="36"/>
        <v>#REF!</v>
      </c>
      <c r="F269" s="31" t="e">
        <v>#REF!</v>
      </c>
      <c r="G269" s="32" t="e">
        <v>#REF!</v>
      </c>
      <c r="H269" s="31" t="e">
        <v>#REF!</v>
      </c>
      <c r="I269" s="32" t="e">
        <v>#REF!</v>
      </c>
      <c r="J269" s="33" t="e">
        <f t="shared" si="37"/>
        <v>#REF!</v>
      </c>
      <c r="K269" s="32" t="e">
        <v>#REF!</v>
      </c>
      <c r="L269" s="33"/>
      <c r="M269" s="33"/>
      <c r="N269" s="34" t="e">
        <f t="shared" si="38"/>
        <v>#REF!</v>
      </c>
      <c r="O269" s="34" t="e">
        <f>IF(F269="","",N269*#REF!/100)</f>
        <v>#REF!</v>
      </c>
      <c r="P269" s="35" t="e">
        <v>#REF!</v>
      </c>
      <c r="Q269" s="36" t="e">
        <f t="shared" si="32"/>
        <v>#REF!</v>
      </c>
      <c r="R269" s="34" t="e">
        <f t="shared" si="33"/>
        <v>#REF!</v>
      </c>
      <c r="S269" s="37" t="e">
        <v>#REF!</v>
      </c>
      <c r="T269" s="37" t="e">
        <f t="shared" si="34"/>
        <v>#REF!</v>
      </c>
      <c r="U269" s="37" t="e">
        <f t="shared" si="35"/>
        <v>#REF!</v>
      </c>
      <c r="V269" s="34" t="e">
        <f>IF(F269="","",O269*#REF!)</f>
        <v>#REF!</v>
      </c>
      <c r="W269" s="29"/>
    </row>
    <row r="270" spans="1:23" s="2" customFormat="1" ht="18" customHeight="1">
      <c r="A270" s="6"/>
      <c r="B270" s="48"/>
      <c r="C270" s="38" t="e">
        <v>#REF!</v>
      </c>
      <c r="D270" s="39" t="e">
        <v>#REF!</v>
      </c>
      <c r="E270" s="38" t="e">
        <f t="shared" si="36"/>
        <v>#REF!</v>
      </c>
      <c r="F270" s="39" t="e">
        <v>#REF!</v>
      </c>
      <c r="G270" s="40" t="e">
        <v>#REF!</v>
      </c>
      <c r="H270" s="39" t="e">
        <v>#REF!</v>
      </c>
      <c r="I270" s="40" t="e">
        <v>#REF!</v>
      </c>
      <c r="J270" s="41" t="e">
        <f t="shared" si="37"/>
        <v>#REF!</v>
      </c>
      <c r="K270" s="40" t="e">
        <v>#REF!</v>
      </c>
      <c r="L270" s="41"/>
      <c r="M270" s="41"/>
      <c r="N270" s="42" t="e">
        <f t="shared" si="38"/>
        <v>#REF!</v>
      </c>
      <c r="O270" s="42" t="e">
        <f>IF(F270="","",N270*#REF!/100)</f>
        <v>#REF!</v>
      </c>
      <c r="P270" s="44" t="e">
        <v>#REF!</v>
      </c>
      <c r="Q270" s="45" t="e">
        <f t="shared" si="32"/>
        <v>#REF!</v>
      </c>
      <c r="R270" s="42" t="e">
        <f t="shared" si="33"/>
        <v>#REF!</v>
      </c>
      <c r="S270" s="46" t="e">
        <v>#REF!</v>
      </c>
      <c r="T270" s="46" t="e">
        <f t="shared" si="34"/>
        <v>#REF!</v>
      </c>
      <c r="U270" s="46" t="e">
        <f t="shared" si="35"/>
        <v>#REF!</v>
      </c>
      <c r="V270" s="42" t="e">
        <f>IF(F270="","",O270*#REF!)</f>
        <v>#REF!</v>
      </c>
      <c r="W270" s="29"/>
    </row>
    <row r="271" spans="1:23" s="2" customFormat="1" ht="18" customHeight="1">
      <c r="A271" s="6"/>
      <c r="B271" s="48"/>
      <c r="C271" s="30" t="e">
        <v>#REF!</v>
      </c>
      <c r="D271" s="31" t="e">
        <v>#REF!</v>
      </c>
      <c r="E271" s="30" t="e">
        <f t="shared" si="36"/>
        <v>#REF!</v>
      </c>
      <c r="F271" s="31" t="e">
        <v>#REF!</v>
      </c>
      <c r="G271" s="32" t="e">
        <v>#REF!</v>
      </c>
      <c r="H271" s="31" t="e">
        <v>#REF!</v>
      </c>
      <c r="I271" s="32" t="e">
        <v>#REF!</v>
      </c>
      <c r="J271" s="33" t="e">
        <f t="shared" si="37"/>
        <v>#REF!</v>
      </c>
      <c r="K271" s="32" t="e">
        <v>#REF!</v>
      </c>
      <c r="L271" s="33"/>
      <c r="M271" s="33"/>
      <c r="N271" s="34" t="e">
        <f t="shared" si="38"/>
        <v>#REF!</v>
      </c>
      <c r="O271" s="34" t="e">
        <f>IF(F271="","",N271*#REF!/100)</f>
        <v>#REF!</v>
      </c>
      <c r="P271" s="35" t="e">
        <v>#REF!</v>
      </c>
      <c r="Q271" s="36" t="e">
        <f t="shared" si="32"/>
        <v>#REF!</v>
      </c>
      <c r="R271" s="34" t="e">
        <f t="shared" si="33"/>
        <v>#REF!</v>
      </c>
      <c r="S271" s="37" t="e">
        <v>#REF!</v>
      </c>
      <c r="T271" s="37" t="e">
        <f t="shared" si="34"/>
        <v>#REF!</v>
      </c>
      <c r="U271" s="37" t="e">
        <f t="shared" si="35"/>
        <v>#REF!</v>
      </c>
      <c r="V271" s="34" t="e">
        <f>IF(F271="","",O271*#REF!)</f>
        <v>#REF!</v>
      </c>
      <c r="W271" s="29"/>
    </row>
    <row r="272" spans="1:23" s="2" customFormat="1" ht="18" customHeight="1">
      <c r="A272" s="6"/>
      <c r="B272" s="48"/>
      <c r="C272" s="38" t="e">
        <v>#REF!</v>
      </c>
      <c r="D272" s="39" t="e">
        <v>#REF!</v>
      </c>
      <c r="E272" s="38" t="e">
        <f t="shared" si="36"/>
        <v>#REF!</v>
      </c>
      <c r="F272" s="39" t="e">
        <v>#REF!</v>
      </c>
      <c r="G272" s="40" t="e">
        <v>#REF!</v>
      </c>
      <c r="H272" s="39" t="e">
        <v>#REF!</v>
      </c>
      <c r="I272" s="40" t="e">
        <v>#REF!</v>
      </c>
      <c r="J272" s="41" t="e">
        <f t="shared" si="37"/>
        <v>#REF!</v>
      </c>
      <c r="K272" s="40" t="e">
        <v>#REF!</v>
      </c>
      <c r="L272" s="41"/>
      <c r="M272" s="41"/>
      <c r="N272" s="42" t="e">
        <f t="shared" si="38"/>
        <v>#REF!</v>
      </c>
      <c r="O272" s="42" t="e">
        <f>IF(F272="","",N272*#REF!/100)</f>
        <v>#REF!</v>
      </c>
      <c r="P272" s="44" t="e">
        <v>#REF!</v>
      </c>
      <c r="Q272" s="45" t="e">
        <f t="shared" si="32"/>
        <v>#REF!</v>
      </c>
      <c r="R272" s="42" t="e">
        <f t="shared" si="33"/>
        <v>#REF!</v>
      </c>
      <c r="S272" s="46" t="e">
        <v>#REF!</v>
      </c>
      <c r="T272" s="46" t="e">
        <f t="shared" si="34"/>
        <v>#REF!</v>
      </c>
      <c r="U272" s="46" t="e">
        <f t="shared" si="35"/>
        <v>#REF!</v>
      </c>
      <c r="V272" s="42" t="e">
        <f>IF(F272="","",O272*#REF!)</f>
        <v>#REF!</v>
      </c>
      <c r="W272" s="29"/>
    </row>
    <row r="273" spans="1:23" s="2" customFormat="1" ht="18" customHeight="1">
      <c r="A273" s="6"/>
      <c r="B273" s="48"/>
      <c r="C273" s="30" t="e">
        <v>#REF!</v>
      </c>
      <c r="D273" s="31" t="e">
        <v>#REF!</v>
      </c>
      <c r="E273" s="30" t="e">
        <f t="shared" si="36"/>
        <v>#REF!</v>
      </c>
      <c r="F273" s="31" t="e">
        <v>#REF!</v>
      </c>
      <c r="G273" s="32" t="e">
        <v>#REF!</v>
      </c>
      <c r="H273" s="31" t="e">
        <v>#REF!</v>
      </c>
      <c r="I273" s="32" t="e">
        <v>#REF!</v>
      </c>
      <c r="J273" s="33" t="e">
        <f t="shared" si="37"/>
        <v>#REF!</v>
      </c>
      <c r="K273" s="32" t="e">
        <v>#REF!</v>
      </c>
      <c r="L273" s="33"/>
      <c r="M273" s="33"/>
      <c r="N273" s="34" t="e">
        <f t="shared" si="38"/>
        <v>#REF!</v>
      </c>
      <c r="O273" s="34" t="e">
        <f>IF(F273="","",N273*#REF!/100)</f>
        <v>#REF!</v>
      </c>
      <c r="P273" s="35" t="e">
        <v>#REF!</v>
      </c>
      <c r="Q273" s="36" t="e">
        <f t="shared" si="32"/>
        <v>#REF!</v>
      </c>
      <c r="R273" s="34" t="e">
        <f t="shared" si="33"/>
        <v>#REF!</v>
      </c>
      <c r="S273" s="37" t="e">
        <v>#REF!</v>
      </c>
      <c r="T273" s="37" t="e">
        <f t="shared" si="34"/>
        <v>#REF!</v>
      </c>
      <c r="U273" s="37" t="e">
        <f t="shared" si="35"/>
        <v>#REF!</v>
      </c>
      <c r="V273" s="34" t="e">
        <f>IF(F273="","",O273*#REF!)</f>
        <v>#REF!</v>
      </c>
      <c r="W273" s="29"/>
    </row>
    <row r="274" spans="1:23" s="2" customFormat="1" ht="18" customHeight="1">
      <c r="A274" s="6"/>
      <c r="B274" s="48"/>
      <c r="C274" s="38" t="e">
        <v>#REF!</v>
      </c>
      <c r="D274" s="39" t="e">
        <v>#REF!</v>
      </c>
      <c r="E274" s="38" t="e">
        <f t="shared" si="36"/>
        <v>#REF!</v>
      </c>
      <c r="F274" s="39" t="e">
        <v>#REF!</v>
      </c>
      <c r="G274" s="40" t="e">
        <v>#REF!</v>
      </c>
      <c r="H274" s="39" t="e">
        <v>#REF!</v>
      </c>
      <c r="I274" s="40" t="e">
        <v>#REF!</v>
      </c>
      <c r="J274" s="41" t="e">
        <f t="shared" si="37"/>
        <v>#REF!</v>
      </c>
      <c r="K274" s="40" t="e">
        <v>#REF!</v>
      </c>
      <c r="L274" s="41"/>
      <c r="M274" s="41"/>
      <c r="N274" s="42" t="e">
        <f t="shared" si="38"/>
        <v>#REF!</v>
      </c>
      <c r="O274" s="42" t="e">
        <f>IF(F274="","",N274*#REF!/100)</f>
        <v>#REF!</v>
      </c>
      <c r="P274" s="44" t="e">
        <v>#REF!</v>
      </c>
      <c r="Q274" s="45" t="e">
        <f t="shared" si="32"/>
        <v>#REF!</v>
      </c>
      <c r="R274" s="42" t="e">
        <f t="shared" si="33"/>
        <v>#REF!</v>
      </c>
      <c r="S274" s="46" t="e">
        <v>#REF!</v>
      </c>
      <c r="T274" s="46" t="e">
        <f t="shared" si="34"/>
        <v>#REF!</v>
      </c>
      <c r="U274" s="46" t="e">
        <f t="shared" si="35"/>
        <v>#REF!</v>
      </c>
      <c r="V274" s="42" t="e">
        <f>IF(F274="","",O274*#REF!)</f>
        <v>#REF!</v>
      </c>
      <c r="W274" s="29"/>
    </row>
    <row r="275" spans="1:23" s="2" customFormat="1" ht="18" customHeight="1">
      <c r="A275" s="6"/>
      <c r="B275" s="48"/>
      <c r="C275" s="30" t="e">
        <v>#REF!</v>
      </c>
      <c r="D275" s="31" t="e">
        <v>#REF!</v>
      </c>
      <c r="E275" s="30" t="e">
        <f t="shared" si="36"/>
        <v>#REF!</v>
      </c>
      <c r="F275" s="31" t="e">
        <v>#REF!</v>
      </c>
      <c r="G275" s="32" t="e">
        <v>#REF!</v>
      </c>
      <c r="H275" s="31" t="e">
        <v>#REF!</v>
      </c>
      <c r="I275" s="32" t="e">
        <v>#REF!</v>
      </c>
      <c r="J275" s="33" t="e">
        <f t="shared" si="37"/>
        <v>#REF!</v>
      </c>
      <c r="K275" s="32" t="e">
        <v>#REF!</v>
      </c>
      <c r="L275" s="33"/>
      <c r="M275" s="33"/>
      <c r="N275" s="34" t="e">
        <f t="shared" si="38"/>
        <v>#REF!</v>
      </c>
      <c r="O275" s="34" t="e">
        <f>IF(F275="","",N275*#REF!/100)</f>
        <v>#REF!</v>
      </c>
      <c r="P275" s="35" t="e">
        <v>#REF!</v>
      </c>
      <c r="Q275" s="36" t="e">
        <f t="shared" si="32"/>
        <v>#REF!</v>
      </c>
      <c r="R275" s="34" t="e">
        <f t="shared" si="33"/>
        <v>#REF!</v>
      </c>
      <c r="S275" s="37" t="e">
        <v>#REF!</v>
      </c>
      <c r="T275" s="37" t="e">
        <f t="shared" si="34"/>
        <v>#REF!</v>
      </c>
      <c r="U275" s="37" t="e">
        <f t="shared" si="35"/>
        <v>#REF!</v>
      </c>
      <c r="V275" s="34" t="e">
        <f>IF(F275="","",O275*#REF!)</f>
        <v>#REF!</v>
      </c>
      <c r="W275" s="29"/>
    </row>
    <row r="276" spans="1:23" s="2" customFormat="1" ht="18" customHeight="1">
      <c r="A276" s="6"/>
      <c r="B276" s="48"/>
      <c r="C276" s="38" t="e">
        <v>#REF!</v>
      </c>
      <c r="D276" s="39" t="e">
        <v>#REF!</v>
      </c>
      <c r="E276" s="38" t="e">
        <f t="shared" si="36"/>
        <v>#REF!</v>
      </c>
      <c r="F276" s="39" t="e">
        <v>#REF!</v>
      </c>
      <c r="G276" s="40" t="e">
        <v>#REF!</v>
      </c>
      <c r="H276" s="39" t="e">
        <v>#REF!</v>
      </c>
      <c r="I276" s="40" t="e">
        <v>#REF!</v>
      </c>
      <c r="J276" s="41" t="e">
        <f t="shared" si="37"/>
        <v>#REF!</v>
      </c>
      <c r="K276" s="40" t="e">
        <v>#REF!</v>
      </c>
      <c r="L276" s="41"/>
      <c r="M276" s="41"/>
      <c r="N276" s="42" t="e">
        <f t="shared" si="38"/>
        <v>#REF!</v>
      </c>
      <c r="O276" s="42" t="e">
        <f>IF(F276="","",N276*#REF!/100)</f>
        <v>#REF!</v>
      </c>
      <c r="P276" s="44" t="e">
        <v>#REF!</v>
      </c>
      <c r="Q276" s="45" t="e">
        <f t="shared" si="32"/>
        <v>#REF!</v>
      </c>
      <c r="R276" s="42" t="e">
        <f t="shared" si="33"/>
        <v>#REF!</v>
      </c>
      <c r="S276" s="46" t="e">
        <v>#REF!</v>
      </c>
      <c r="T276" s="46" t="e">
        <f t="shared" si="34"/>
        <v>#REF!</v>
      </c>
      <c r="U276" s="46" t="e">
        <f t="shared" si="35"/>
        <v>#REF!</v>
      </c>
      <c r="V276" s="42" t="e">
        <f>IF(F276="","",O276*#REF!)</f>
        <v>#REF!</v>
      </c>
      <c r="W276" s="29"/>
    </row>
    <row r="277" spans="1:23" s="2" customFormat="1" ht="18" customHeight="1">
      <c r="A277" s="6"/>
      <c r="B277" s="48"/>
      <c r="C277" s="30" t="e">
        <v>#REF!</v>
      </c>
      <c r="D277" s="31" t="e">
        <v>#REF!</v>
      </c>
      <c r="E277" s="30" t="e">
        <f t="shared" si="36"/>
        <v>#REF!</v>
      </c>
      <c r="F277" s="31" t="e">
        <v>#REF!</v>
      </c>
      <c r="G277" s="32" t="e">
        <v>#REF!</v>
      </c>
      <c r="H277" s="31" t="e">
        <v>#REF!</v>
      </c>
      <c r="I277" s="32" t="e">
        <v>#REF!</v>
      </c>
      <c r="J277" s="33" t="e">
        <f t="shared" si="37"/>
        <v>#REF!</v>
      </c>
      <c r="K277" s="32" t="e">
        <v>#REF!</v>
      </c>
      <c r="L277" s="33"/>
      <c r="M277" s="33"/>
      <c r="N277" s="34" t="e">
        <f t="shared" si="38"/>
        <v>#REF!</v>
      </c>
      <c r="O277" s="34" t="e">
        <f>IF(F277="","",N277*#REF!/100)</f>
        <v>#REF!</v>
      </c>
      <c r="P277" s="35" t="e">
        <v>#REF!</v>
      </c>
      <c r="Q277" s="36" t="e">
        <f t="shared" si="32"/>
        <v>#REF!</v>
      </c>
      <c r="R277" s="34" t="e">
        <f t="shared" si="33"/>
        <v>#REF!</v>
      </c>
      <c r="S277" s="37" t="e">
        <v>#REF!</v>
      </c>
      <c r="T277" s="37" t="e">
        <f t="shared" si="34"/>
        <v>#REF!</v>
      </c>
      <c r="U277" s="37" t="e">
        <f t="shared" si="35"/>
        <v>#REF!</v>
      </c>
      <c r="V277" s="34" t="e">
        <f>IF(F277="","",O277*#REF!)</f>
        <v>#REF!</v>
      </c>
      <c r="W277" s="29"/>
    </row>
    <row r="278" spans="1:23" s="2" customFormat="1" ht="18" customHeight="1">
      <c r="A278" s="6"/>
      <c r="B278" s="48"/>
      <c r="C278" s="38" t="e">
        <v>#REF!</v>
      </c>
      <c r="D278" s="39" t="e">
        <v>#REF!</v>
      </c>
      <c r="E278" s="38" t="e">
        <f t="shared" si="36"/>
        <v>#REF!</v>
      </c>
      <c r="F278" s="39" t="e">
        <v>#REF!</v>
      </c>
      <c r="G278" s="40" t="e">
        <v>#REF!</v>
      </c>
      <c r="H278" s="39" t="e">
        <v>#REF!</v>
      </c>
      <c r="I278" s="40" t="e">
        <v>#REF!</v>
      </c>
      <c r="J278" s="41" t="e">
        <f t="shared" si="37"/>
        <v>#REF!</v>
      </c>
      <c r="K278" s="40" t="e">
        <v>#REF!</v>
      </c>
      <c r="L278" s="41"/>
      <c r="M278" s="41"/>
      <c r="N278" s="42" t="e">
        <f t="shared" si="38"/>
        <v>#REF!</v>
      </c>
      <c r="O278" s="42" t="e">
        <f>IF(F278="","",N278*#REF!/100)</f>
        <v>#REF!</v>
      </c>
      <c r="P278" s="44" t="e">
        <v>#REF!</v>
      </c>
      <c r="Q278" s="45" t="e">
        <f t="shared" si="32"/>
        <v>#REF!</v>
      </c>
      <c r="R278" s="42" t="e">
        <f t="shared" si="33"/>
        <v>#REF!</v>
      </c>
      <c r="S278" s="46" t="e">
        <v>#REF!</v>
      </c>
      <c r="T278" s="46" t="e">
        <f t="shared" si="34"/>
        <v>#REF!</v>
      </c>
      <c r="U278" s="46" t="e">
        <f t="shared" si="35"/>
        <v>#REF!</v>
      </c>
      <c r="V278" s="42" t="e">
        <f>IF(F278="","",O278*#REF!)</f>
        <v>#REF!</v>
      </c>
      <c r="W278" s="29"/>
    </row>
    <row r="279" spans="1:23" s="2" customFormat="1" ht="18" customHeight="1">
      <c r="A279" s="6"/>
      <c r="B279" s="48"/>
      <c r="C279" s="30" t="e">
        <v>#REF!</v>
      </c>
      <c r="D279" s="31" t="e">
        <v>#REF!</v>
      </c>
      <c r="E279" s="30" t="e">
        <f t="shared" si="36"/>
        <v>#REF!</v>
      </c>
      <c r="F279" s="31" t="e">
        <v>#REF!</v>
      </c>
      <c r="G279" s="32" t="e">
        <v>#REF!</v>
      </c>
      <c r="H279" s="31" t="e">
        <v>#REF!</v>
      </c>
      <c r="I279" s="32" t="e">
        <v>#REF!</v>
      </c>
      <c r="J279" s="33" t="e">
        <f t="shared" si="37"/>
        <v>#REF!</v>
      </c>
      <c r="K279" s="32" t="e">
        <v>#REF!</v>
      </c>
      <c r="L279" s="33"/>
      <c r="M279" s="33"/>
      <c r="N279" s="34" t="e">
        <f t="shared" si="38"/>
        <v>#REF!</v>
      </c>
      <c r="O279" s="34" t="e">
        <f>IF(F279="","",N279*#REF!/100)</f>
        <v>#REF!</v>
      </c>
      <c r="P279" s="35" t="e">
        <v>#REF!</v>
      </c>
      <c r="Q279" s="36" t="e">
        <f t="shared" si="32"/>
        <v>#REF!</v>
      </c>
      <c r="R279" s="34" t="e">
        <f t="shared" si="33"/>
        <v>#REF!</v>
      </c>
      <c r="S279" s="37" t="e">
        <v>#REF!</v>
      </c>
      <c r="T279" s="37" t="e">
        <f t="shared" si="34"/>
        <v>#REF!</v>
      </c>
      <c r="U279" s="37" t="e">
        <f t="shared" si="35"/>
        <v>#REF!</v>
      </c>
      <c r="V279" s="34" t="e">
        <f>IF(F279="","",O279*#REF!)</f>
        <v>#REF!</v>
      </c>
      <c r="W279" s="29"/>
    </row>
    <row r="280" spans="1:23" s="2" customFormat="1" ht="18" customHeight="1">
      <c r="A280" s="6"/>
      <c r="B280" s="48"/>
      <c r="C280" s="38" t="e">
        <v>#REF!</v>
      </c>
      <c r="D280" s="39" t="e">
        <v>#REF!</v>
      </c>
      <c r="E280" s="38" t="e">
        <f t="shared" si="36"/>
        <v>#REF!</v>
      </c>
      <c r="F280" s="39" t="e">
        <v>#REF!</v>
      </c>
      <c r="G280" s="40" t="e">
        <v>#REF!</v>
      </c>
      <c r="H280" s="39" t="e">
        <v>#REF!</v>
      </c>
      <c r="I280" s="40" t="e">
        <v>#REF!</v>
      </c>
      <c r="J280" s="41" t="e">
        <f t="shared" si="37"/>
        <v>#REF!</v>
      </c>
      <c r="K280" s="40" t="e">
        <v>#REF!</v>
      </c>
      <c r="L280" s="41"/>
      <c r="M280" s="41"/>
      <c r="N280" s="42" t="e">
        <f t="shared" si="38"/>
        <v>#REF!</v>
      </c>
      <c r="O280" s="42" t="e">
        <f>IF(F280="","",N280*#REF!/100)</f>
        <v>#REF!</v>
      </c>
      <c r="P280" s="44" t="e">
        <v>#REF!</v>
      </c>
      <c r="Q280" s="45" t="e">
        <f t="shared" si="32"/>
        <v>#REF!</v>
      </c>
      <c r="R280" s="42" t="e">
        <f t="shared" si="33"/>
        <v>#REF!</v>
      </c>
      <c r="S280" s="46" t="e">
        <v>#REF!</v>
      </c>
      <c r="T280" s="46" t="e">
        <f t="shared" si="34"/>
        <v>#REF!</v>
      </c>
      <c r="U280" s="46" t="e">
        <f t="shared" si="35"/>
        <v>#REF!</v>
      </c>
      <c r="V280" s="42" t="e">
        <f>IF(F280="","",O280*#REF!)</f>
        <v>#REF!</v>
      </c>
      <c r="W280" s="29"/>
    </row>
    <row r="281" spans="1:23" s="2" customFormat="1" ht="18" customHeight="1">
      <c r="A281" s="6"/>
      <c r="B281" s="48"/>
      <c r="C281" s="30" t="e">
        <v>#REF!</v>
      </c>
      <c r="D281" s="31" t="e">
        <v>#REF!</v>
      </c>
      <c r="E281" s="30" t="e">
        <f t="shared" si="36"/>
        <v>#REF!</v>
      </c>
      <c r="F281" s="31" t="e">
        <v>#REF!</v>
      </c>
      <c r="G281" s="32" t="e">
        <v>#REF!</v>
      </c>
      <c r="H281" s="31" t="e">
        <v>#REF!</v>
      </c>
      <c r="I281" s="32" t="e">
        <v>#REF!</v>
      </c>
      <c r="J281" s="33" t="e">
        <f t="shared" si="37"/>
        <v>#REF!</v>
      </c>
      <c r="K281" s="32" t="e">
        <v>#REF!</v>
      </c>
      <c r="L281" s="33"/>
      <c r="M281" s="33"/>
      <c r="N281" s="34" t="e">
        <f t="shared" si="38"/>
        <v>#REF!</v>
      </c>
      <c r="O281" s="34" t="e">
        <f>IF(F281="","",N281*#REF!/100)</f>
        <v>#REF!</v>
      </c>
      <c r="P281" s="35" t="e">
        <v>#REF!</v>
      </c>
      <c r="Q281" s="36" t="e">
        <f t="shared" si="32"/>
        <v>#REF!</v>
      </c>
      <c r="R281" s="34" t="e">
        <f t="shared" si="33"/>
        <v>#REF!</v>
      </c>
      <c r="S281" s="37" t="e">
        <v>#REF!</v>
      </c>
      <c r="T281" s="37" t="e">
        <f t="shared" si="34"/>
        <v>#REF!</v>
      </c>
      <c r="U281" s="37" t="e">
        <f t="shared" si="35"/>
        <v>#REF!</v>
      </c>
      <c r="V281" s="34" t="e">
        <f>IF(F281="","",O281*#REF!)</f>
        <v>#REF!</v>
      </c>
      <c r="W281" s="29"/>
    </row>
    <row r="282" spans="1:23" s="2" customFormat="1" ht="18" customHeight="1">
      <c r="A282" s="6"/>
      <c r="B282" s="48"/>
      <c r="C282" s="38" t="e">
        <v>#REF!</v>
      </c>
      <c r="D282" s="39" t="e">
        <v>#REF!</v>
      </c>
      <c r="E282" s="38" t="e">
        <f t="shared" si="36"/>
        <v>#REF!</v>
      </c>
      <c r="F282" s="39" t="e">
        <v>#REF!</v>
      </c>
      <c r="G282" s="40" t="e">
        <v>#REF!</v>
      </c>
      <c r="H282" s="39" t="e">
        <v>#REF!</v>
      </c>
      <c r="I282" s="40" t="e">
        <v>#REF!</v>
      </c>
      <c r="J282" s="41" t="e">
        <f t="shared" si="37"/>
        <v>#REF!</v>
      </c>
      <c r="K282" s="40" t="e">
        <v>#REF!</v>
      </c>
      <c r="L282" s="41"/>
      <c r="M282" s="41"/>
      <c r="N282" s="42" t="e">
        <f t="shared" si="38"/>
        <v>#REF!</v>
      </c>
      <c r="O282" s="42" t="e">
        <f>IF(F282="","",N282*#REF!/100)</f>
        <v>#REF!</v>
      </c>
      <c r="P282" s="44" t="e">
        <v>#REF!</v>
      </c>
      <c r="Q282" s="45" t="e">
        <f t="shared" si="32"/>
        <v>#REF!</v>
      </c>
      <c r="R282" s="42" t="e">
        <f t="shared" si="33"/>
        <v>#REF!</v>
      </c>
      <c r="S282" s="46" t="e">
        <v>#REF!</v>
      </c>
      <c r="T282" s="46" t="e">
        <f t="shared" si="34"/>
        <v>#REF!</v>
      </c>
      <c r="U282" s="46" t="e">
        <f t="shared" si="35"/>
        <v>#REF!</v>
      </c>
      <c r="V282" s="42" t="e">
        <f>IF(F282="","",O282*#REF!)</f>
        <v>#REF!</v>
      </c>
      <c r="W282" s="29"/>
    </row>
    <row r="283" spans="1:23" s="2" customFormat="1" ht="18" customHeight="1">
      <c r="A283" s="6"/>
      <c r="B283" s="48"/>
      <c r="C283" s="30" t="e">
        <v>#REF!</v>
      </c>
      <c r="D283" s="31" t="e">
        <v>#REF!</v>
      </c>
      <c r="E283" s="30" t="e">
        <f t="shared" si="36"/>
        <v>#REF!</v>
      </c>
      <c r="F283" s="31" t="e">
        <v>#REF!</v>
      </c>
      <c r="G283" s="32" t="e">
        <v>#REF!</v>
      </c>
      <c r="H283" s="31" t="e">
        <v>#REF!</v>
      </c>
      <c r="I283" s="32" t="e">
        <v>#REF!</v>
      </c>
      <c r="J283" s="33" t="e">
        <f t="shared" si="37"/>
        <v>#REF!</v>
      </c>
      <c r="K283" s="32" t="e">
        <v>#REF!</v>
      </c>
      <c r="L283" s="33"/>
      <c r="M283" s="33"/>
      <c r="N283" s="34" t="e">
        <f t="shared" si="38"/>
        <v>#REF!</v>
      </c>
      <c r="O283" s="34" t="e">
        <f>IF(F283="","",N283*#REF!/100)</f>
        <v>#REF!</v>
      </c>
      <c r="P283" s="35" t="e">
        <v>#REF!</v>
      </c>
      <c r="Q283" s="36" t="e">
        <f t="shared" si="32"/>
        <v>#REF!</v>
      </c>
      <c r="R283" s="34" t="e">
        <f t="shared" si="33"/>
        <v>#REF!</v>
      </c>
      <c r="S283" s="37" t="e">
        <v>#REF!</v>
      </c>
      <c r="T283" s="37" t="e">
        <f t="shared" si="34"/>
        <v>#REF!</v>
      </c>
      <c r="U283" s="37" t="e">
        <f t="shared" si="35"/>
        <v>#REF!</v>
      </c>
      <c r="V283" s="34" t="e">
        <f>IF(F283="","",O283*#REF!)</f>
        <v>#REF!</v>
      </c>
      <c r="W283" s="29"/>
    </row>
    <row r="284" spans="1:23" s="2" customFormat="1" ht="18" customHeight="1">
      <c r="A284" s="6"/>
      <c r="B284" s="48"/>
      <c r="C284" s="38" t="e">
        <v>#REF!</v>
      </c>
      <c r="D284" s="39" t="e">
        <v>#REF!</v>
      </c>
      <c r="E284" s="38" t="e">
        <f t="shared" si="36"/>
        <v>#REF!</v>
      </c>
      <c r="F284" s="39" t="e">
        <v>#REF!</v>
      </c>
      <c r="G284" s="40" t="e">
        <v>#REF!</v>
      </c>
      <c r="H284" s="39" t="e">
        <v>#REF!</v>
      </c>
      <c r="I284" s="40" t="e">
        <v>#REF!</v>
      </c>
      <c r="J284" s="41" t="e">
        <f t="shared" si="37"/>
        <v>#REF!</v>
      </c>
      <c r="K284" s="40" t="e">
        <v>#REF!</v>
      </c>
      <c r="L284" s="41"/>
      <c r="M284" s="41"/>
      <c r="N284" s="42" t="e">
        <f t="shared" si="38"/>
        <v>#REF!</v>
      </c>
      <c r="O284" s="42" t="e">
        <f>IF(F284="","",N284*#REF!/100)</f>
        <v>#REF!</v>
      </c>
      <c r="P284" s="44" t="e">
        <v>#REF!</v>
      </c>
      <c r="Q284" s="45" t="e">
        <f t="shared" si="32"/>
        <v>#REF!</v>
      </c>
      <c r="R284" s="42" t="e">
        <f t="shared" si="33"/>
        <v>#REF!</v>
      </c>
      <c r="S284" s="46" t="e">
        <v>#REF!</v>
      </c>
      <c r="T284" s="46" t="e">
        <f t="shared" si="34"/>
        <v>#REF!</v>
      </c>
      <c r="U284" s="46" t="e">
        <f t="shared" si="35"/>
        <v>#REF!</v>
      </c>
      <c r="V284" s="42" t="e">
        <f>IF(F284="","",O284*#REF!)</f>
        <v>#REF!</v>
      </c>
      <c r="W284" s="29"/>
    </row>
    <row r="285" spans="1:23" s="2" customFormat="1" ht="18" customHeight="1">
      <c r="A285" s="6"/>
      <c r="B285" s="48"/>
      <c r="C285" s="30" t="e">
        <v>#REF!</v>
      </c>
      <c r="D285" s="31" t="e">
        <v>#REF!</v>
      </c>
      <c r="E285" s="30" t="e">
        <f t="shared" si="36"/>
        <v>#REF!</v>
      </c>
      <c r="F285" s="31" t="e">
        <v>#REF!</v>
      </c>
      <c r="G285" s="32" t="e">
        <v>#REF!</v>
      </c>
      <c r="H285" s="31" t="e">
        <v>#REF!</v>
      </c>
      <c r="I285" s="32" t="e">
        <v>#REF!</v>
      </c>
      <c r="J285" s="33" t="e">
        <f t="shared" si="37"/>
        <v>#REF!</v>
      </c>
      <c r="K285" s="32" t="e">
        <v>#REF!</v>
      </c>
      <c r="L285" s="33"/>
      <c r="M285" s="33"/>
      <c r="N285" s="34" t="e">
        <f t="shared" si="38"/>
        <v>#REF!</v>
      </c>
      <c r="O285" s="34" t="e">
        <f>IF(F285="","",N285*#REF!/100)</f>
        <v>#REF!</v>
      </c>
      <c r="P285" s="35" t="e">
        <v>#REF!</v>
      </c>
      <c r="Q285" s="36" t="e">
        <f t="shared" si="32"/>
        <v>#REF!</v>
      </c>
      <c r="R285" s="34" t="e">
        <f t="shared" si="33"/>
        <v>#REF!</v>
      </c>
      <c r="S285" s="37" t="e">
        <v>#REF!</v>
      </c>
      <c r="T285" s="37" t="e">
        <f t="shared" si="34"/>
        <v>#REF!</v>
      </c>
      <c r="U285" s="37" t="e">
        <f t="shared" si="35"/>
        <v>#REF!</v>
      </c>
      <c r="V285" s="34" t="e">
        <f>IF(F285="","",O285*#REF!)</f>
        <v>#REF!</v>
      </c>
      <c r="W285" s="29"/>
    </row>
    <row r="286" spans="1:23" s="2" customFormat="1" ht="18" customHeight="1">
      <c r="A286" s="6"/>
      <c r="B286" s="48"/>
      <c r="C286" s="38" t="e">
        <v>#REF!</v>
      </c>
      <c r="D286" s="39" t="e">
        <v>#REF!</v>
      </c>
      <c r="E286" s="38" t="e">
        <f t="shared" si="36"/>
        <v>#REF!</v>
      </c>
      <c r="F286" s="39" t="e">
        <v>#REF!</v>
      </c>
      <c r="G286" s="40" t="e">
        <v>#REF!</v>
      </c>
      <c r="H286" s="39" t="e">
        <v>#REF!</v>
      </c>
      <c r="I286" s="40" t="e">
        <v>#REF!</v>
      </c>
      <c r="J286" s="41" t="e">
        <f t="shared" si="37"/>
        <v>#REF!</v>
      </c>
      <c r="K286" s="40" t="e">
        <v>#REF!</v>
      </c>
      <c r="L286" s="41"/>
      <c r="M286" s="41"/>
      <c r="N286" s="42" t="e">
        <f t="shared" si="38"/>
        <v>#REF!</v>
      </c>
      <c r="O286" s="42" t="e">
        <f>IF(F286="","",N286*#REF!/100)</f>
        <v>#REF!</v>
      </c>
      <c r="P286" s="44" t="e">
        <v>#REF!</v>
      </c>
      <c r="Q286" s="45" t="e">
        <f t="shared" si="32"/>
        <v>#REF!</v>
      </c>
      <c r="R286" s="42" t="e">
        <f t="shared" si="33"/>
        <v>#REF!</v>
      </c>
      <c r="S286" s="46" t="e">
        <v>#REF!</v>
      </c>
      <c r="T286" s="46" t="e">
        <f t="shared" si="34"/>
        <v>#REF!</v>
      </c>
      <c r="U286" s="46" t="e">
        <f t="shared" si="35"/>
        <v>#REF!</v>
      </c>
      <c r="V286" s="42" t="e">
        <f>IF(F286="","",O286*#REF!)</f>
        <v>#REF!</v>
      </c>
      <c r="W286" s="29"/>
    </row>
    <row r="287" spans="1:23" s="2" customFormat="1" ht="18" customHeight="1">
      <c r="A287" s="6"/>
      <c r="B287" s="48"/>
      <c r="C287" s="49" t="e">
        <v>#REF!</v>
      </c>
      <c r="D287" s="50" t="e">
        <v>#REF!</v>
      </c>
      <c r="E287" s="49" t="e">
        <f t="shared" si="36"/>
        <v>#REF!</v>
      </c>
      <c r="F287" s="50" t="e">
        <v>#REF!</v>
      </c>
      <c r="G287" s="51" t="e">
        <v>#REF!</v>
      </c>
      <c r="H287" s="50" t="e">
        <v>#REF!</v>
      </c>
      <c r="I287" s="51" t="e">
        <v>#REF!</v>
      </c>
      <c r="J287" s="52" t="e">
        <f t="shared" si="37"/>
        <v>#REF!</v>
      </c>
      <c r="K287" s="51" t="e">
        <v>#REF!</v>
      </c>
      <c r="L287" s="33"/>
      <c r="M287" s="33"/>
      <c r="N287" s="53" t="e">
        <f t="shared" si="38"/>
        <v>#REF!</v>
      </c>
      <c r="O287" s="53" t="e">
        <f>IF(F287="","",N287*#REF!/100)</f>
        <v>#REF!</v>
      </c>
      <c r="P287" s="54" t="e">
        <v>#REF!</v>
      </c>
      <c r="Q287" s="55" t="e">
        <f t="shared" si="32"/>
        <v>#REF!</v>
      </c>
      <c r="R287" s="53" t="e">
        <f t="shared" si="33"/>
        <v>#REF!</v>
      </c>
      <c r="S287" s="56" t="e">
        <v>#REF!</v>
      </c>
      <c r="T287" s="56" t="e">
        <f t="shared" si="34"/>
        <v>#REF!</v>
      </c>
      <c r="U287" s="56" t="e">
        <f t="shared" si="35"/>
        <v>#REF!</v>
      </c>
      <c r="V287" s="53" t="e">
        <f>IF(F287="","",O287*#REF!)</f>
        <v>#REF!</v>
      </c>
      <c r="W287" s="29"/>
    </row>
    <row r="288" spans="1:23" s="2" customFormat="1" ht="18" customHeight="1">
      <c r="A288" s="6"/>
      <c r="B288" s="48"/>
      <c r="C288" s="1793"/>
      <c r="D288" s="1793"/>
      <c r="E288" s="1793"/>
      <c r="F288" s="1793"/>
      <c r="G288" s="1793"/>
      <c r="H288" s="1793"/>
      <c r="I288" s="1794"/>
      <c r="J288" s="57" t="e">
        <f>SUM(J253:J287)</f>
        <v>#REF!</v>
      </c>
      <c r="K288" s="58"/>
      <c r="L288" s="57"/>
      <c r="M288" s="57"/>
      <c r="N288" s="57" t="e">
        <f>SUM(N253:N287)</f>
        <v>#REF!</v>
      </c>
      <c r="O288" s="57" t="e">
        <f>SUM(O253:O287)</f>
        <v>#REF!</v>
      </c>
      <c r="P288" s="1530"/>
      <c r="Q288" s="1531"/>
      <c r="R288" s="60" t="e">
        <f>SUM(R253:R287)</f>
        <v>#REF!</v>
      </c>
      <c r="S288" s="61" t="s">
        <v>44</v>
      </c>
      <c r="T288" s="62"/>
      <c r="U288" s="63" t="e">
        <f>V288/O288</f>
        <v>#REF!</v>
      </c>
      <c r="V288" s="65" t="e">
        <f>SUM(V253:V287)</f>
        <v>#REF!</v>
      </c>
      <c r="W288" s="29"/>
    </row>
    <row r="289" spans="1:28" s="2" customFormat="1" ht="18" customHeight="1">
      <c r="A289" s="6"/>
      <c r="B289" s="66"/>
      <c r="C289" s="1869" t="e">
        <f>+C238</f>
        <v>#REF!</v>
      </c>
      <c r="D289" s="1870"/>
      <c r="E289" s="1870"/>
      <c r="F289" s="1870"/>
      <c r="G289" s="1870"/>
      <c r="H289" s="1870"/>
      <c r="I289" s="1870"/>
      <c r="J289" s="1870"/>
      <c r="K289" s="1870"/>
      <c r="L289" s="1870"/>
      <c r="M289" s="1870"/>
      <c r="N289" s="1870"/>
      <c r="O289" s="67" t="e">
        <f>R289/1.02</f>
        <v>#REF!</v>
      </c>
      <c r="P289" s="68" t="e">
        <f>+P238</f>
        <v>#REF!</v>
      </c>
      <c r="Q289" s="69" t="s">
        <v>46</v>
      </c>
      <c r="R289" s="70" t="e">
        <f>+P289*R288/1000</f>
        <v>#REF!</v>
      </c>
      <c r="S289" s="1860"/>
      <c r="T289" s="1861"/>
      <c r="U289" s="1861"/>
      <c r="V289" s="1862"/>
      <c r="W289" s="29"/>
    </row>
    <row r="290" spans="1:28" s="76" customFormat="1" ht="6" customHeight="1">
      <c r="A290" s="71"/>
      <c r="B290" s="72"/>
      <c r="C290" s="73"/>
      <c r="D290" s="73"/>
      <c r="E290" s="73"/>
      <c r="F290" s="73"/>
      <c r="G290" s="73"/>
      <c r="H290" s="73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5"/>
      <c r="W290" s="29"/>
      <c r="X290" s="2"/>
      <c r="Y290" s="2"/>
      <c r="Z290" s="2"/>
      <c r="AA290" s="2"/>
      <c r="AB290" s="2"/>
    </row>
    <row r="291" spans="1:28" s="76" customFormat="1" ht="7.5" customHeight="1">
      <c r="A291" s="71"/>
      <c r="B291" s="1863" t="s">
        <v>61</v>
      </c>
      <c r="C291" s="1864"/>
      <c r="D291" s="1864"/>
      <c r="E291" s="1864"/>
      <c r="F291" s="1864"/>
      <c r="G291" s="1864"/>
      <c r="H291" s="1864"/>
      <c r="I291" s="1864"/>
      <c r="J291" s="1864"/>
      <c r="K291" s="1864"/>
      <c r="L291" s="1864"/>
      <c r="M291" s="1864"/>
      <c r="N291" s="1864"/>
      <c r="O291" s="1864"/>
      <c r="P291" s="1864"/>
      <c r="Q291" s="1864"/>
      <c r="R291" s="1864"/>
      <c r="S291" s="1864"/>
      <c r="T291" s="1864"/>
      <c r="U291" s="1864"/>
      <c r="V291" s="1865"/>
      <c r="W291" s="29"/>
      <c r="X291" s="2"/>
      <c r="Y291" s="2"/>
      <c r="Z291" s="2"/>
      <c r="AA291" s="2"/>
      <c r="AB291" s="2"/>
    </row>
    <row r="292" spans="1:28" s="76" customFormat="1" ht="7.5" customHeight="1">
      <c r="A292" s="71"/>
      <c r="B292" s="1866"/>
      <c r="C292" s="1867"/>
      <c r="D292" s="1867"/>
      <c r="E292" s="1867"/>
      <c r="F292" s="1867"/>
      <c r="G292" s="1867"/>
      <c r="H292" s="1867"/>
      <c r="I292" s="1867"/>
      <c r="J292" s="1867"/>
      <c r="K292" s="1867"/>
      <c r="L292" s="1867"/>
      <c r="M292" s="1867"/>
      <c r="N292" s="1867"/>
      <c r="O292" s="1867"/>
      <c r="P292" s="1867"/>
      <c r="Q292" s="1867"/>
      <c r="R292" s="1867"/>
      <c r="S292" s="1867"/>
      <c r="T292" s="1867"/>
      <c r="U292" s="1867"/>
      <c r="V292" s="1868"/>
      <c r="W292" s="29"/>
      <c r="X292" s="2"/>
      <c r="Y292" s="2"/>
      <c r="Z292" s="2"/>
      <c r="AA292" s="2"/>
      <c r="AB292" s="2"/>
    </row>
    <row r="293" spans="1:28" s="76" customFormat="1" ht="5.0999999999999996" customHeight="1">
      <c r="A293" s="71"/>
      <c r="B293" s="72"/>
      <c r="C293" s="72"/>
      <c r="D293" s="72"/>
      <c r="E293" s="72"/>
      <c r="F293" s="72"/>
      <c r="G293" s="72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8"/>
      <c r="W293" s="29"/>
      <c r="X293" s="2"/>
      <c r="Y293" s="2"/>
      <c r="Z293" s="2"/>
      <c r="AA293" s="2"/>
      <c r="AB293" s="2"/>
    </row>
    <row r="294" spans="1:28" s="76" customFormat="1" ht="15.6" customHeight="1">
      <c r="A294" s="71"/>
      <c r="B294" s="79" t="s">
        <v>47</v>
      </c>
      <c r="C294" s="80"/>
      <c r="D294" s="80"/>
      <c r="E294" s="81"/>
      <c r="F294" s="82"/>
      <c r="G294" s="82"/>
      <c r="H294" s="83"/>
      <c r="I294" s="84"/>
      <c r="J294" s="84"/>
      <c r="K294" s="85"/>
      <c r="L294" s="86" t="s">
        <v>48</v>
      </c>
      <c r="M294" s="83" t="e">
        <f>+M243</f>
        <v>#REF!</v>
      </c>
      <c r="N294" s="82"/>
      <c r="O294" s="84"/>
      <c r="P294" s="83"/>
      <c r="Q294" s="84"/>
      <c r="R294" s="84"/>
      <c r="S294" s="83"/>
      <c r="T294" s="84"/>
      <c r="U294" s="84"/>
      <c r="V294" s="87" t="s">
        <v>49</v>
      </c>
      <c r="W294" s="29"/>
      <c r="X294" s="2"/>
      <c r="Y294" s="2"/>
      <c r="Z294" s="2"/>
      <c r="AA294" s="2"/>
      <c r="AB294" s="2"/>
    </row>
    <row r="295" spans="1:28" s="76" customFormat="1" ht="15.6" customHeight="1">
      <c r="A295" s="71"/>
      <c r="B295" s="88"/>
      <c r="C295" s="89"/>
      <c r="D295" s="89"/>
      <c r="E295" s="96"/>
      <c r="F295" s="90"/>
      <c r="G295" s="90"/>
      <c r="H295" s="91"/>
      <c r="I295" s="92"/>
      <c r="J295" s="92"/>
      <c r="K295" s="93"/>
      <c r="L295" s="94" t="s">
        <v>50</v>
      </c>
      <c r="M295" s="91" t="e">
        <f t="shared" ref="M295:M298" si="39">+M244</f>
        <v>#REF!</v>
      </c>
      <c r="N295" s="90"/>
      <c r="O295" s="92"/>
      <c r="P295" s="91"/>
      <c r="Q295" s="92"/>
      <c r="R295" s="92"/>
      <c r="S295" s="91"/>
      <c r="T295" s="92"/>
      <c r="U295" s="92"/>
      <c r="V295" s="95"/>
      <c r="W295" s="29"/>
      <c r="X295" s="2"/>
      <c r="Y295" s="2"/>
      <c r="Z295" s="2"/>
      <c r="AA295" s="2"/>
      <c r="AB295" s="2"/>
    </row>
    <row r="296" spans="1:28" s="76" customFormat="1" ht="15.6" customHeight="1">
      <c r="A296" s="71"/>
      <c r="B296" s="88"/>
      <c r="C296" s="89"/>
      <c r="D296" s="89"/>
      <c r="E296" s="96"/>
      <c r="F296" s="90"/>
      <c r="G296" s="90"/>
      <c r="H296" s="91"/>
      <c r="I296" s="92"/>
      <c r="J296" s="92"/>
      <c r="K296" s="93"/>
      <c r="L296" s="94" t="s">
        <v>51</v>
      </c>
      <c r="M296" s="91" t="e">
        <f t="shared" si="39"/>
        <v>#REF!</v>
      </c>
      <c r="N296" s="90"/>
      <c r="O296" s="92"/>
      <c r="P296" s="91"/>
      <c r="Q296" s="92"/>
      <c r="R296" s="92"/>
      <c r="S296" s="91"/>
      <c r="T296" s="92"/>
      <c r="U296" s="92"/>
      <c r="V296" s="1871" t="s">
        <v>52</v>
      </c>
      <c r="W296" s="29"/>
      <c r="X296" s="2"/>
      <c r="Y296" s="2"/>
      <c r="Z296" s="2"/>
      <c r="AA296" s="2"/>
      <c r="AB296" s="2"/>
    </row>
    <row r="297" spans="1:28" s="76" customFormat="1" ht="15.6" customHeight="1">
      <c r="A297" s="71"/>
      <c r="B297" s="88"/>
      <c r="C297" s="89"/>
      <c r="D297" s="89"/>
      <c r="E297" s="96"/>
      <c r="F297" s="90"/>
      <c r="G297" s="90"/>
      <c r="H297" s="91"/>
      <c r="I297" s="92"/>
      <c r="J297" s="92"/>
      <c r="K297" s="93"/>
      <c r="L297" s="94" t="s">
        <v>53</v>
      </c>
      <c r="M297" s="91" t="e">
        <f t="shared" si="39"/>
        <v>#REF!</v>
      </c>
      <c r="N297" s="90"/>
      <c r="O297" s="92"/>
      <c r="P297" s="91"/>
      <c r="Q297" s="92"/>
      <c r="R297" s="92"/>
      <c r="S297" s="91"/>
      <c r="T297" s="92"/>
      <c r="U297" s="92"/>
      <c r="V297" s="1872"/>
      <c r="W297" s="29"/>
      <c r="X297" s="2"/>
      <c r="Y297" s="2"/>
      <c r="Z297" s="2"/>
      <c r="AA297" s="2"/>
      <c r="AB297" s="2"/>
    </row>
    <row r="298" spans="1:28" s="76" customFormat="1" ht="15.6" customHeight="1">
      <c r="A298" s="71"/>
      <c r="B298" s="97"/>
      <c r="C298" s="73"/>
      <c r="D298" s="73"/>
      <c r="E298" s="73"/>
      <c r="F298" s="73"/>
      <c r="G298" s="73"/>
      <c r="H298" s="73"/>
      <c r="I298" s="98" t="s">
        <v>54</v>
      </c>
      <c r="J298" s="99">
        <f ca="1">TODAY()</f>
        <v>46063</v>
      </c>
      <c r="K298" s="100"/>
      <c r="L298" s="101" t="s">
        <v>55</v>
      </c>
      <c r="M298" s="74" t="e">
        <f t="shared" si="39"/>
        <v>#REF!</v>
      </c>
      <c r="N298" s="73"/>
      <c r="O298" s="74"/>
      <c r="P298" s="74"/>
      <c r="Q298" s="74"/>
      <c r="R298" s="74"/>
      <c r="S298" s="74"/>
      <c r="T298" s="74"/>
      <c r="U298" s="74"/>
      <c r="V298" s="1873"/>
      <c r="W298" s="29"/>
      <c r="X298" s="2"/>
      <c r="Y298" s="2"/>
      <c r="Z298" s="2"/>
      <c r="AA298" s="2"/>
      <c r="AB298" s="2"/>
    </row>
    <row r="299" spans="1:28" s="106" customFormat="1" ht="8.1" customHeight="1">
      <c r="A299" s="102"/>
      <c r="B299" s="103"/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4"/>
      <c r="X299" s="105"/>
      <c r="Y299" s="105"/>
      <c r="Z299" s="105"/>
      <c r="AA299" s="105"/>
      <c r="AB299" s="105"/>
    </row>
    <row r="300" spans="1:28" ht="8.1" customHeight="1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5"/>
    </row>
    <row r="301" spans="1:28" s="2" customFormat="1" ht="22.5" customHeight="1">
      <c r="A301" s="6"/>
      <c r="B301" s="7"/>
      <c r="C301" s="1856" t="s">
        <v>4</v>
      </c>
      <c r="D301" s="1857"/>
      <c r="E301" s="1858" t="s">
        <v>5</v>
      </c>
      <c r="F301" s="8" t="s">
        <v>6</v>
      </c>
      <c r="G301" s="8"/>
      <c r="H301" s="8"/>
      <c r="I301" s="9"/>
      <c r="J301" s="1532" t="s">
        <v>7</v>
      </c>
      <c r="K301" s="1532" t="s">
        <v>8</v>
      </c>
      <c r="L301" s="1532" t="s">
        <v>9</v>
      </c>
      <c r="M301" s="1532" t="s">
        <v>9</v>
      </c>
      <c r="N301" s="1532" t="s">
        <v>9</v>
      </c>
      <c r="O301" s="1532"/>
      <c r="P301" s="10" t="s">
        <v>10</v>
      </c>
      <c r="Q301" s="9"/>
      <c r="R301" s="1532"/>
      <c r="S301" s="11" t="s">
        <v>11</v>
      </c>
      <c r="T301" s="12"/>
      <c r="U301" s="12"/>
      <c r="V301" s="1532" t="s">
        <v>12</v>
      </c>
      <c r="W301" s="14"/>
    </row>
    <row r="302" spans="1:28" s="2" customFormat="1" ht="22.5" customHeight="1">
      <c r="A302" s="6"/>
      <c r="B302" s="15" t="s">
        <v>13</v>
      </c>
      <c r="C302" s="1858" t="s">
        <v>14</v>
      </c>
      <c r="D302" s="16" t="s">
        <v>15</v>
      </c>
      <c r="E302" s="1859"/>
      <c r="F302" s="12" t="s">
        <v>16</v>
      </c>
      <c r="G302" s="13"/>
      <c r="H302" s="11" t="s">
        <v>17</v>
      </c>
      <c r="I302" s="13"/>
      <c r="J302" s="1533" t="s">
        <v>18</v>
      </c>
      <c r="K302" s="1533" t="s">
        <v>19</v>
      </c>
      <c r="L302" s="17" t="s">
        <v>20</v>
      </c>
      <c r="M302" s="1533" t="s">
        <v>56</v>
      </c>
      <c r="N302" s="1533" t="s">
        <v>0</v>
      </c>
      <c r="O302" s="1533" t="s">
        <v>22</v>
      </c>
      <c r="P302" s="18" t="s">
        <v>23</v>
      </c>
      <c r="Q302" s="19"/>
      <c r="R302" s="1533" t="s">
        <v>24</v>
      </c>
      <c r="S302" s="1532" t="s">
        <v>25</v>
      </c>
      <c r="T302" s="1532" t="s">
        <v>26</v>
      </c>
      <c r="U302" s="1532" t="s">
        <v>27</v>
      </c>
      <c r="V302" s="1533" t="s">
        <v>29</v>
      </c>
      <c r="W302" s="14"/>
    </row>
    <row r="303" spans="1:28" s="2" customFormat="1" ht="22.5" customHeight="1">
      <c r="A303" s="6"/>
      <c r="B303" s="15" t="s">
        <v>30</v>
      </c>
      <c r="C303" s="1859"/>
      <c r="D303" s="16" t="s">
        <v>31</v>
      </c>
      <c r="E303" s="1859"/>
      <c r="F303" s="20" t="s">
        <v>32</v>
      </c>
      <c r="G303" s="1532" t="s">
        <v>33</v>
      </c>
      <c r="H303" s="1532" t="s">
        <v>32</v>
      </c>
      <c r="I303" s="1532" t="s">
        <v>33</v>
      </c>
      <c r="J303" s="1533" t="s">
        <v>34</v>
      </c>
      <c r="K303" s="1533" t="s">
        <v>34</v>
      </c>
      <c r="L303" s="1533" t="s">
        <v>35</v>
      </c>
      <c r="M303" s="1533" t="s">
        <v>35</v>
      </c>
      <c r="N303" s="1533" t="s">
        <v>35</v>
      </c>
      <c r="O303" s="1533" t="s">
        <v>37</v>
      </c>
      <c r="P303" s="18" t="s">
        <v>38</v>
      </c>
      <c r="Q303" s="19"/>
      <c r="R303" s="1533" t="s">
        <v>39</v>
      </c>
      <c r="S303" s="1533"/>
      <c r="T303" s="1533" t="s">
        <v>40</v>
      </c>
      <c r="U303" s="1533" t="s">
        <v>41</v>
      </c>
      <c r="V303" s="1533" t="s">
        <v>42</v>
      </c>
      <c r="W303" s="14"/>
    </row>
    <row r="304" spans="1:28" s="2" customFormat="1" ht="18" customHeight="1">
      <c r="A304" s="6"/>
      <c r="B304" s="1791" t="str">
        <f>+B253</f>
        <v xml:space="preserve">TELA ELETROSOLDADA                                                                                                                                                         </v>
      </c>
      <c r="C304" s="21" t="s">
        <v>67</v>
      </c>
      <c r="D304" s="22" t="s">
        <v>67</v>
      </c>
      <c r="E304" s="21" t="str">
        <f>IF(F304="","","Faixa - Segurança LE")</f>
        <v/>
      </c>
      <c r="F304" s="22"/>
      <c r="G304" s="23"/>
      <c r="H304" s="22"/>
      <c r="I304" s="23"/>
      <c r="J304" s="24" t="str">
        <f>IF(F304="","",((H304-F304)*20)+I304-G304)</f>
        <v/>
      </c>
      <c r="K304" s="23" t="s">
        <v>67</v>
      </c>
      <c r="L304" s="24"/>
      <c r="M304" s="24"/>
      <c r="N304" s="25" t="str">
        <f>IF(F304="","",(J304*K304)+M304+L304)</f>
        <v/>
      </c>
      <c r="O304" s="25" t="str">
        <f>IF(F304="","",N304*#REF!/100)</f>
        <v/>
      </c>
      <c r="P304" s="26" t="s">
        <v>67</v>
      </c>
      <c r="Q304" s="27" t="str">
        <f t="shared" ref="Q304:Q338" si="40">IF(F304="","","t/m3")</f>
        <v/>
      </c>
      <c r="R304" s="25" t="str">
        <f t="shared" ref="R304:R338" si="41">IF(F304="","",O304*P304)</f>
        <v/>
      </c>
      <c r="S304" s="28" t="s">
        <v>67</v>
      </c>
      <c r="T304" s="28" t="str">
        <f t="shared" ref="T304:T338" si="42">IF(F304="","",IF(D304&gt;H304,((D304-H304)*0.02),IF(D304&lt;F304,((F304-D304)*0.02),IF(F304="","",0))))</f>
        <v/>
      </c>
      <c r="U304" s="28" t="str">
        <f t="shared" ref="U304:U338" si="43">IF(F304="","",IF(D304&gt;H304,((((H304-F304)*20)+I304-G304)/2000),IF(D304&gt;F304,((((D304-F304)*0.02)^2)+(((H304-D304)*0.02)^2))/(2*((H304-F304)*0.02)),((((H304-F304)*20)+I304-G304)/2000))))</f>
        <v/>
      </c>
      <c r="V304" s="25" t="str">
        <f>IF(F304="","",O304*#REF!)</f>
        <v/>
      </c>
      <c r="W304" s="29"/>
    </row>
    <row r="305" spans="1:23" s="2" customFormat="1" ht="18" customHeight="1">
      <c r="A305" s="6"/>
      <c r="B305" s="1792"/>
      <c r="C305" s="38" t="s">
        <v>67</v>
      </c>
      <c r="D305" s="39" t="s">
        <v>67</v>
      </c>
      <c r="E305" s="38" t="str">
        <f t="shared" ref="E305:E338" si="44">IF(F305="","","Faixa - Segurança LE")</f>
        <v/>
      </c>
      <c r="F305" s="39"/>
      <c r="G305" s="40"/>
      <c r="H305" s="39"/>
      <c r="I305" s="40"/>
      <c r="J305" s="41" t="str">
        <f t="shared" ref="J305:J338" si="45">IF(F305="","",((H305-F305)*20)+I305-G305)</f>
        <v/>
      </c>
      <c r="K305" s="40" t="s">
        <v>67</v>
      </c>
      <c r="L305" s="41"/>
      <c r="M305" s="41"/>
      <c r="N305" s="42" t="str">
        <f t="shared" ref="N305:N338" si="46">IF(F305="","",(J305*K305)+M305+L305)</f>
        <v/>
      </c>
      <c r="O305" s="42" t="str">
        <f>IF(F305="","",N305*#REF!/100)</f>
        <v/>
      </c>
      <c r="P305" s="44" t="s">
        <v>67</v>
      </c>
      <c r="Q305" s="45" t="str">
        <f t="shared" si="40"/>
        <v/>
      </c>
      <c r="R305" s="42" t="str">
        <f t="shared" si="41"/>
        <v/>
      </c>
      <c r="S305" s="46" t="s">
        <v>67</v>
      </c>
      <c r="T305" s="46" t="str">
        <f t="shared" si="42"/>
        <v/>
      </c>
      <c r="U305" s="46" t="str">
        <f t="shared" si="43"/>
        <v/>
      </c>
      <c r="V305" s="42" t="str">
        <f>IF(F305="","",O305*#REF!)</f>
        <v/>
      </c>
      <c r="W305" s="29"/>
    </row>
    <row r="306" spans="1:23" s="2" customFormat="1" ht="18" customHeight="1">
      <c r="A306" s="6"/>
      <c r="B306" s="1837">
        <f>+B255</f>
        <v>0</v>
      </c>
      <c r="C306" s="30" t="s">
        <v>67</v>
      </c>
      <c r="D306" s="31" t="s">
        <v>67</v>
      </c>
      <c r="E306" s="30" t="str">
        <f t="shared" si="44"/>
        <v/>
      </c>
      <c r="F306" s="31"/>
      <c r="G306" s="32"/>
      <c r="H306" s="31"/>
      <c r="I306" s="32"/>
      <c r="J306" s="33" t="str">
        <f t="shared" si="45"/>
        <v/>
      </c>
      <c r="K306" s="32" t="s">
        <v>67</v>
      </c>
      <c r="L306" s="33"/>
      <c r="M306" s="33"/>
      <c r="N306" s="34" t="str">
        <f t="shared" si="46"/>
        <v/>
      </c>
      <c r="O306" s="34" t="str">
        <f>IF(F306="","",N306*#REF!/100)</f>
        <v/>
      </c>
      <c r="P306" s="35" t="s">
        <v>67</v>
      </c>
      <c r="Q306" s="36" t="str">
        <f t="shared" si="40"/>
        <v/>
      </c>
      <c r="R306" s="34" t="str">
        <f t="shared" si="41"/>
        <v/>
      </c>
      <c r="S306" s="37" t="s">
        <v>67</v>
      </c>
      <c r="T306" s="37" t="str">
        <f t="shared" si="42"/>
        <v/>
      </c>
      <c r="U306" s="37" t="str">
        <f t="shared" si="43"/>
        <v/>
      </c>
      <c r="V306" s="34" t="str">
        <f>IF(F306="","",O306*#REF!)</f>
        <v/>
      </c>
      <c r="W306" s="29"/>
    </row>
    <row r="307" spans="1:23" s="2" customFormat="1" ht="18" customHeight="1">
      <c r="A307" s="6"/>
      <c r="B307" s="1837"/>
      <c r="C307" s="38" t="s">
        <v>67</v>
      </c>
      <c r="D307" s="39" t="s">
        <v>67</v>
      </c>
      <c r="E307" s="38" t="str">
        <f t="shared" si="44"/>
        <v/>
      </c>
      <c r="F307" s="39"/>
      <c r="G307" s="40"/>
      <c r="H307" s="39"/>
      <c r="I307" s="40"/>
      <c r="J307" s="41" t="str">
        <f t="shared" si="45"/>
        <v/>
      </c>
      <c r="K307" s="40" t="s">
        <v>67</v>
      </c>
      <c r="L307" s="41"/>
      <c r="M307" s="41"/>
      <c r="N307" s="42" t="str">
        <f t="shared" si="46"/>
        <v/>
      </c>
      <c r="O307" s="42" t="str">
        <f>IF(F307="","",N307*#REF!/100)</f>
        <v/>
      </c>
      <c r="P307" s="44" t="s">
        <v>67</v>
      </c>
      <c r="Q307" s="45" t="str">
        <f t="shared" si="40"/>
        <v/>
      </c>
      <c r="R307" s="42" t="str">
        <f t="shared" si="41"/>
        <v/>
      </c>
      <c r="S307" s="46" t="s">
        <v>67</v>
      </c>
      <c r="T307" s="46" t="str">
        <f t="shared" si="42"/>
        <v/>
      </c>
      <c r="U307" s="46" t="str">
        <f t="shared" si="43"/>
        <v/>
      </c>
      <c r="V307" s="42" t="str">
        <f>IF(F307="","",O307*#REF!)</f>
        <v/>
      </c>
      <c r="W307" s="29"/>
    </row>
    <row r="308" spans="1:23" s="2" customFormat="1" ht="18" customHeight="1">
      <c r="A308" s="6"/>
      <c r="B308" s="1837"/>
      <c r="C308" s="30" t="e">
        <v>#REF!</v>
      </c>
      <c r="D308" s="31" t="e">
        <v>#REF!</v>
      </c>
      <c r="E308" s="30" t="e">
        <f t="shared" si="44"/>
        <v>#REF!</v>
      </c>
      <c r="F308" s="31" t="e">
        <v>#REF!</v>
      </c>
      <c r="G308" s="32" t="e">
        <v>#REF!</v>
      </c>
      <c r="H308" s="31" t="e">
        <v>#REF!</v>
      </c>
      <c r="I308" s="32" t="e">
        <v>#REF!</v>
      </c>
      <c r="J308" s="33" t="e">
        <f t="shared" si="45"/>
        <v>#REF!</v>
      </c>
      <c r="K308" s="32" t="e">
        <v>#REF!</v>
      </c>
      <c r="L308" s="33"/>
      <c r="M308" s="33"/>
      <c r="N308" s="34" t="e">
        <f t="shared" si="46"/>
        <v>#REF!</v>
      </c>
      <c r="O308" s="34" t="e">
        <f>IF(F308="","",N308*#REF!/100)</f>
        <v>#REF!</v>
      </c>
      <c r="P308" s="35" t="e">
        <v>#REF!</v>
      </c>
      <c r="Q308" s="36" t="e">
        <f t="shared" si="40"/>
        <v>#REF!</v>
      </c>
      <c r="R308" s="34" t="e">
        <f t="shared" si="41"/>
        <v>#REF!</v>
      </c>
      <c r="S308" s="37" t="e">
        <v>#REF!</v>
      </c>
      <c r="T308" s="37" t="e">
        <f t="shared" si="42"/>
        <v>#REF!</v>
      </c>
      <c r="U308" s="37" t="e">
        <f t="shared" si="43"/>
        <v>#REF!</v>
      </c>
      <c r="V308" s="34" t="e">
        <f>IF(F308="","",O308*#REF!)</f>
        <v>#REF!</v>
      </c>
      <c r="W308" s="29"/>
    </row>
    <row r="309" spans="1:23" s="2" customFormat="1" ht="18" customHeight="1">
      <c r="A309" s="6"/>
      <c r="B309" s="47"/>
      <c r="C309" s="38" t="e">
        <v>#REF!</v>
      </c>
      <c r="D309" s="39" t="e">
        <v>#REF!</v>
      </c>
      <c r="E309" s="38" t="e">
        <f t="shared" si="44"/>
        <v>#REF!</v>
      </c>
      <c r="F309" s="39" t="e">
        <v>#REF!</v>
      </c>
      <c r="G309" s="40" t="e">
        <v>#REF!</v>
      </c>
      <c r="H309" s="39" t="e">
        <v>#REF!</v>
      </c>
      <c r="I309" s="40" t="e">
        <v>#REF!</v>
      </c>
      <c r="J309" s="41" t="e">
        <f t="shared" si="45"/>
        <v>#REF!</v>
      </c>
      <c r="K309" s="40" t="e">
        <v>#REF!</v>
      </c>
      <c r="L309" s="41"/>
      <c r="M309" s="41"/>
      <c r="N309" s="42" t="e">
        <f t="shared" si="46"/>
        <v>#REF!</v>
      </c>
      <c r="O309" s="42" t="e">
        <f>IF(F309="","",N309*#REF!/100)</f>
        <v>#REF!</v>
      </c>
      <c r="P309" s="44" t="e">
        <v>#REF!</v>
      </c>
      <c r="Q309" s="45" t="e">
        <f t="shared" si="40"/>
        <v>#REF!</v>
      </c>
      <c r="R309" s="42" t="e">
        <f t="shared" si="41"/>
        <v>#REF!</v>
      </c>
      <c r="S309" s="46" t="e">
        <v>#REF!</v>
      </c>
      <c r="T309" s="46" t="e">
        <f t="shared" si="42"/>
        <v>#REF!</v>
      </c>
      <c r="U309" s="46" t="e">
        <f t="shared" si="43"/>
        <v>#REF!</v>
      </c>
      <c r="V309" s="42" t="e">
        <f>IF(F309="","",O309*#REF!)</f>
        <v>#REF!</v>
      </c>
      <c r="W309" s="29"/>
    </row>
    <row r="310" spans="1:23" s="2" customFormat="1" ht="18" customHeight="1">
      <c r="A310" s="6"/>
      <c r="B310" s="47"/>
      <c r="C310" s="30" t="e">
        <v>#REF!</v>
      </c>
      <c r="D310" s="31" t="e">
        <v>#REF!</v>
      </c>
      <c r="E310" s="30" t="e">
        <f t="shared" si="44"/>
        <v>#REF!</v>
      </c>
      <c r="F310" s="31" t="e">
        <v>#REF!</v>
      </c>
      <c r="G310" s="32" t="e">
        <v>#REF!</v>
      </c>
      <c r="H310" s="31" t="e">
        <v>#REF!</v>
      </c>
      <c r="I310" s="32" t="e">
        <v>#REF!</v>
      </c>
      <c r="J310" s="33" t="e">
        <f t="shared" si="45"/>
        <v>#REF!</v>
      </c>
      <c r="K310" s="32" t="e">
        <v>#REF!</v>
      </c>
      <c r="L310" s="33"/>
      <c r="M310" s="33"/>
      <c r="N310" s="34" t="e">
        <f t="shared" si="46"/>
        <v>#REF!</v>
      </c>
      <c r="O310" s="34" t="e">
        <f>IF(F310="","",N310*#REF!/100)</f>
        <v>#REF!</v>
      </c>
      <c r="P310" s="35" t="e">
        <v>#REF!</v>
      </c>
      <c r="Q310" s="36" t="e">
        <f t="shared" si="40"/>
        <v>#REF!</v>
      </c>
      <c r="R310" s="34" t="e">
        <f t="shared" si="41"/>
        <v>#REF!</v>
      </c>
      <c r="S310" s="37" t="e">
        <v>#REF!</v>
      </c>
      <c r="T310" s="37" t="e">
        <f t="shared" si="42"/>
        <v>#REF!</v>
      </c>
      <c r="U310" s="37" t="e">
        <f t="shared" si="43"/>
        <v>#REF!</v>
      </c>
      <c r="V310" s="34" t="e">
        <f>IF(F310="","",O310*#REF!)</f>
        <v>#REF!</v>
      </c>
      <c r="W310" s="29"/>
    </row>
    <row r="311" spans="1:23" s="2" customFormat="1" ht="18" customHeight="1">
      <c r="A311" s="6"/>
      <c r="B311" s="48"/>
      <c r="C311" s="38" t="e">
        <v>#REF!</v>
      </c>
      <c r="D311" s="39" t="e">
        <v>#REF!</v>
      </c>
      <c r="E311" s="38" t="e">
        <f t="shared" si="44"/>
        <v>#REF!</v>
      </c>
      <c r="F311" s="39" t="e">
        <v>#REF!</v>
      </c>
      <c r="G311" s="40" t="e">
        <v>#REF!</v>
      </c>
      <c r="H311" s="39" t="e">
        <v>#REF!</v>
      </c>
      <c r="I311" s="40" t="e">
        <v>#REF!</v>
      </c>
      <c r="J311" s="41" t="e">
        <f t="shared" si="45"/>
        <v>#REF!</v>
      </c>
      <c r="K311" s="40" t="e">
        <v>#REF!</v>
      </c>
      <c r="L311" s="41"/>
      <c r="M311" s="41"/>
      <c r="N311" s="42" t="e">
        <f t="shared" si="46"/>
        <v>#REF!</v>
      </c>
      <c r="O311" s="42" t="e">
        <f>IF(F311="","",N311*#REF!/100)</f>
        <v>#REF!</v>
      </c>
      <c r="P311" s="44" t="e">
        <v>#REF!</v>
      </c>
      <c r="Q311" s="45" t="e">
        <f t="shared" si="40"/>
        <v>#REF!</v>
      </c>
      <c r="R311" s="42" t="e">
        <f t="shared" si="41"/>
        <v>#REF!</v>
      </c>
      <c r="S311" s="46" t="e">
        <v>#REF!</v>
      </c>
      <c r="T311" s="46" t="e">
        <f t="shared" si="42"/>
        <v>#REF!</v>
      </c>
      <c r="U311" s="46" t="e">
        <f t="shared" si="43"/>
        <v>#REF!</v>
      </c>
      <c r="V311" s="42" t="e">
        <f>IF(F311="","",O311*#REF!)</f>
        <v>#REF!</v>
      </c>
      <c r="W311" s="29"/>
    </row>
    <row r="312" spans="1:23" s="2" customFormat="1" ht="18" customHeight="1">
      <c r="A312" s="6"/>
      <c r="B312" s="48"/>
      <c r="C312" s="30" t="e">
        <v>#REF!</v>
      </c>
      <c r="D312" s="31" t="e">
        <v>#REF!</v>
      </c>
      <c r="E312" s="30" t="e">
        <f t="shared" si="44"/>
        <v>#REF!</v>
      </c>
      <c r="F312" s="31" t="e">
        <v>#REF!</v>
      </c>
      <c r="G312" s="32" t="e">
        <v>#REF!</v>
      </c>
      <c r="H312" s="31" t="e">
        <v>#REF!</v>
      </c>
      <c r="I312" s="32" t="e">
        <v>#REF!</v>
      </c>
      <c r="J312" s="33" t="e">
        <f t="shared" si="45"/>
        <v>#REF!</v>
      </c>
      <c r="K312" s="32" t="e">
        <v>#REF!</v>
      </c>
      <c r="L312" s="33"/>
      <c r="M312" s="33"/>
      <c r="N312" s="34" t="e">
        <f t="shared" si="46"/>
        <v>#REF!</v>
      </c>
      <c r="O312" s="34" t="e">
        <f>IF(F312="","",N312*#REF!/100)</f>
        <v>#REF!</v>
      </c>
      <c r="P312" s="35" t="e">
        <v>#REF!</v>
      </c>
      <c r="Q312" s="36" t="e">
        <f t="shared" si="40"/>
        <v>#REF!</v>
      </c>
      <c r="R312" s="34" t="e">
        <f t="shared" si="41"/>
        <v>#REF!</v>
      </c>
      <c r="S312" s="37" t="e">
        <v>#REF!</v>
      </c>
      <c r="T312" s="37" t="e">
        <f t="shared" si="42"/>
        <v>#REF!</v>
      </c>
      <c r="U312" s="37" t="e">
        <f t="shared" si="43"/>
        <v>#REF!</v>
      </c>
      <c r="V312" s="34" t="e">
        <f>IF(F312="","",O312*#REF!)</f>
        <v>#REF!</v>
      </c>
      <c r="W312" s="29"/>
    </row>
    <row r="313" spans="1:23" s="2" customFormat="1" ht="18" customHeight="1">
      <c r="A313" s="6"/>
      <c r="B313" s="48"/>
      <c r="C313" s="38" t="e">
        <v>#REF!</v>
      </c>
      <c r="D313" s="39" t="e">
        <v>#REF!</v>
      </c>
      <c r="E313" s="38" t="e">
        <f t="shared" si="44"/>
        <v>#REF!</v>
      </c>
      <c r="F313" s="39" t="e">
        <v>#REF!</v>
      </c>
      <c r="G313" s="40" t="e">
        <v>#REF!</v>
      </c>
      <c r="H313" s="39" t="e">
        <v>#REF!</v>
      </c>
      <c r="I313" s="40" t="e">
        <v>#REF!</v>
      </c>
      <c r="J313" s="41" t="e">
        <f t="shared" si="45"/>
        <v>#REF!</v>
      </c>
      <c r="K313" s="40" t="e">
        <v>#REF!</v>
      </c>
      <c r="L313" s="41"/>
      <c r="M313" s="41"/>
      <c r="N313" s="42" t="e">
        <f t="shared" si="46"/>
        <v>#REF!</v>
      </c>
      <c r="O313" s="42" t="e">
        <f>IF(F313="","",N313*#REF!/100)</f>
        <v>#REF!</v>
      </c>
      <c r="P313" s="44" t="e">
        <v>#REF!</v>
      </c>
      <c r="Q313" s="45" t="e">
        <f t="shared" si="40"/>
        <v>#REF!</v>
      </c>
      <c r="R313" s="42" t="e">
        <f t="shared" si="41"/>
        <v>#REF!</v>
      </c>
      <c r="S313" s="46" t="e">
        <v>#REF!</v>
      </c>
      <c r="T313" s="46" t="e">
        <f t="shared" si="42"/>
        <v>#REF!</v>
      </c>
      <c r="U313" s="46" t="e">
        <f t="shared" si="43"/>
        <v>#REF!</v>
      </c>
      <c r="V313" s="42" t="e">
        <f>IF(F313="","",O313*#REF!)</f>
        <v>#REF!</v>
      </c>
      <c r="W313" s="29"/>
    </row>
    <row r="314" spans="1:23" s="2" customFormat="1" ht="18" customHeight="1">
      <c r="A314" s="6"/>
      <c r="B314" s="48"/>
      <c r="C314" s="30" t="e">
        <v>#REF!</v>
      </c>
      <c r="D314" s="31" t="e">
        <v>#REF!</v>
      </c>
      <c r="E314" s="30" t="e">
        <f t="shared" si="44"/>
        <v>#REF!</v>
      </c>
      <c r="F314" s="31" t="e">
        <v>#REF!</v>
      </c>
      <c r="G314" s="32" t="e">
        <v>#REF!</v>
      </c>
      <c r="H314" s="31" t="e">
        <v>#REF!</v>
      </c>
      <c r="I314" s="32" t="e">
        <v>#REF!</v>
      </c>
      <c r="J314" s="33" t="e">
        <f t="shared" si="45"/>
        <v>#REF!</v>
      </c>
      <c r="K314" s="32" t="e">
        <v>#REF!</v>
      </c>
      <c r="L314" s="33"/>
      <c r="M314" s="33"/>
      <c r="N314" s="34" t="e">
        <f t="shared" si="46"/>
        <v>#REF!</v>
      </c>
      <c r="O314" s="34" t="e">
        <f>IF(F314="","",N314*#REF!/100)</f>
        <v>#REF!</v>
      </c>
      <c r="P314" s="35" t="e">
        <v>#REF!</v>
      </c>
      <c r="Q314" s="36" t="e">
        <f t="shared" si="40"/>
        <v>#REF!</v>
      </c>
      <c r="R314" s="34" t="e">
        <f t="shared" si="41"/>
        <v>#REF!</v>
      </c>
      <c r="S314" s="37" t="e">
        <v>#REF!</v>
      </c>
      <c r="T314" s="37" t="e">
        <f t="shared" si="42"/>
        <v>#REF!</v>
      </c>
      <c r="U314" s="37" t="e">
        <f t="shared" si="43"/>
        <v>#REF!</v>
      </c>
      <c r="V314" s="34" t="e">
        <f>IF(F314="","",O314*#REF!)</f>
        <v>#REF!</v>
      </c>
      <c r="W314" s="29"/>
    </row>
    <row r="315" spans="1:23" s="2" customFormat="1" ht="18" customHeight="1">
      <c r="A315" s="6"/>
      <c r="B315" s="48"/>
      <c r="C315" s="38" t="e">
        <v>#REF!</v>
      </c>
      <c r="D315" s="39" t="e">
        <v>#REF!</v>
      </c>
      <c r="E315" s="38" t="e">
        <f t="shared" si="44"/>
        <v>#REF!</v>
      </c>
      <c r="F315" s="39" t="e">
        <v>#REF!</v>
      </c>
      <c r="G315" s="40" t="e">
        <v>#REF!</v>
      </c>
      <c r="H315" s="39" t="e">
        <v>#REF!</v>
      </c>
      <c r="I315" s="40" t="e">
        <v>#REF!</v>
      </c>
      <c r="J315" s="41" t="e">
        <f t="shared" si="45"/>
        <v>#REF!</v>
      </c>
      <c r="K315" s="40" t="e">
        <v>#REF!</v>
      </c>
      <c r="L315" s="41"/>
      <c r="M315" s="41"/>
      <c r="N315" s="42" t="e">
        <f t="shared" si="46"/>
        <v>#REF!</v>
      </c>
      <c r="O315" s="42" t="e">
        <f>IF(F315="","",N315*#REF!/100)</f>
        <v>#REF!</v>
      </c>
      <c r="P315" s="44" t="e">
        <v>#REF!</v>
      </c>
      <c r="Q315" s="45" t="e">
        <f t="shared" si="40"/>
        <v>#REF!</v>
      </c>
      <c r="R315" s="42" t="e">
        <f t="shared" si="41"/>
        <v>#REF!</v>
      </c>
      <c r="S315" s="46" t="e">
        <v>#REF!</v>
      </c>
      <c r="T315" s="46" t="e">
        <f t="shared" si="42"/>
        <v>#REF!</v>
      </c>
      <c r="U315" s="46" t="e">
        <f t="shared" si="43"/>
        <v>#REF!</v>
      </c>
      <c r="V315" s="42" t="e">
        <f>IF(F315="","",O315*#REF!)</f>
        <v>#REF!</v>
      </c>
      <c r="W315" s="29"/>
    </row>
    <row r="316" spans="1:23" s="2" customFormat="1" ht="18" customHeight="1">
      <c r="A316" s="6"/>
      <c r="B316" s="48"/>
      <c r="C316" s="30" t="e">
        <v>#REF!</v>
      </c>
      <c r="D316" s="31" t="e">
        <v>#REF!</v>
      </c>
      <c r="E316" s="30" t="e">
        <f t="shared" si="44"/>
        <v>#REF!</v>
      </c>
      <c r="F316" s="31" t="e">
        <v>#REF!</v>
      </c>
      <c r="G316" s="32" t="e">
        <v>#REF!</v>
      </c>
      <c r="H316" s="31" t="e">
        <v>#REF!</v>
      </c>
      <c r="I316" s="32" t="e">
        <v>#REF!</v>
      </c>
      <c r="J316" s="33" t="e">
        <f t="shared" si="45"/>
        <v>#REF!</v>
      </c>
      <c r="K316" s="32" t="e">
        <v>#REF!</v>
      </c>
      <c r="L316" s="33"/>
      <c r="M316" s="33"/>
      <c r="N316" s="34" t="e">
        <f t="shared" si="46"/>
        <v>#REF!</v>
      </c>
      <c r="O316" s="34" t="e">
        <f>IF(F316="","",N316*#REF!/100)</f>
        <v>#REF!</v>
      </c>
      <c r="P316" s="35" t="e">
        <v>#REF!</v>
      </c>
      <c r="Q316" s="36" t="e">
        <f t="shared" si="40"/>
        <v>#REF!</v>
      </c>
      <c r="R316" s="34" t="e">
        <f t="shared" si="41"/>
        <v>#REF!</v>
      </c>
      <c r="S316" s="37" t="e">
        <v>#REF!</v>
      </c>
      <c r="T316" s="37" t="e">
        <f t="shared" si="42"/>
        <v>#REF!</v>
      </c>
      <c r="U316" s="37" t="e">
        <f t="shared" si="43"/>
        <v>#REF!</v>
      </c>
      <c r="V316" s="34" t="e">
        <f>IF(F316="","",O316*#REF!)</f>
        <v>#REF!</v>
      </c>
      <c r="W316" s="29"/>
    </row>
    <row r="317" spans="1:23" s="2" customFormat="1" ht="18" customHeight="1">
      <c r="A317" s="6"/>
      <c r="B317" s="48"/>
      <c r="C317" s="38" t="e">
        <v>#REF!</v>
      </c>
      <c r="D317" s="39" t="e">
        <v>#REF!</v>
      </c>
      <c r="E317" s="38" t="e">
        <f t="shared" si="44"/>
        <v>#REF!</v>
      </c>
      <c r="F317" s="39" t="e">
        <v>#REF!</v>
      </c>
      <c r="G317" s="40" t="e">
        <v>#REF!</v>
      </c>
      <c r="H317" s="39" t="e">
        <v>#REF!</v>
      </c>
      <c r="I317" s="40" t="e">
        <v>#REF!</v>
      </c>
      <c r="J317" s="41" t="e">
        <f t="shared" si="45"/>
        <v>#REF!</v>
      </c>
      <c r="K317" s="40" t="e">
        <v>#REF!</v>
      </c>
      <c r="L317" s="41"/>
      <c r="M317" s="41"/>
      <c r="N317" s="42" t="e">
        <f t="shared" si="46"/>
        <v>#REF!</v>
      </c>
      <c r="O317" s="42" t="e">
        <f>IF(F317="","",N317*#REF!/100)</f>
        <v>#REF!</v>
      </c>
      <c r="P317" s="44" t="e">
        <v>#REF!</v>
      </c>
      <c r="Q317" s="45" t="e">
        <f t="shared" si="40"/>
        <v>#REF!</v>
      </c>
      <c r="R317" s="42" t="e">
        <f t="shared" si="41"/>
        <v>#REF!</v>
      </c>
      <c r="S317" s="46" t="e">
        <v>#REF!</v>
      </c>
      <c r="T317" s="46" t="e">
        <f t="shared" si="42"/>
        <v>#REF!</v>
      </c>
      <c r="U317" s="46" t="e">
        <f t="shared" si="43"/>
        <v>#REF!</v>
      </c>
      <c r="V317" s="42" t="e">
        <f>IF(F317="","",O317*#REF!)</f>
        <v>#REF!</v>
      </c>
      <c r="W317" s="29"/>
    </row>
    <row r="318" spans="1:23" s="2" customFormat="1" ht="18" customHeight="1">
      <c r="A318" s="6"/>
      <c r="B318" s="48"/>
      <c r="C318" s="30" t="e">
        <v>#REF!</v>
      </c>
      <c r="D318" s="31" t="e">
        <v>#REF!</v>
      </c>
      <c r="E318" s="30" t="e">
        <f t="shared" si="44"/>
        <v>#REF!</v>
      </c>
      <c r="F318" s="31" t="e">
        <v>#REF!</v>
      </c>
      <c r="G318" s="32" t="e">
        <v>#REF!</v>
      </c>
      <c r="H318" s="31" t="e">
        <v>#REF!</v>
      </c>
      <c r="I318" s="32" t="e">
        <v>#REF!</v>
      </c>
      <c r="J318" s="33" t="e">
        <f t="shared" si="45"/>
        <v>#REF!</v>
      </c>
      <c r="K318" s="32" t="e">
        <v>#REF!</v>
      </c>
      <c r="L318" s="33"/>
      <c r="M318" s="33"/>
      <c r="N318" s="34" t="e">
        <f t="shared" si="46"/>
        <v>#REF!</v>
      </c>
      <c r="O318" s="34" t="e">
        <f>IF(F318="","",N318*#REF!/100)</f>
        <v>#REF!</v>
      </c>
      <c r="P318" s="35" t="e">
        <v>#REF!</v>
      </c>
      <c r="Q318" s="36" t="e">
        <f t="shared" si="40"/>
        <v>#REF!</v>
      </c>
      <c r="R318" s="34" t="e">
        <f t="shared" si="41"/>
        <v>#REF!</v>
      </c>
      <c r="S318" s="37" t="e">
        <v>#REF!</v>
      </c>
      <c r="T318" s="37" t="e">
        <f t="shared" si="42"/>
        <v>#REF!</v>
      </c>
      <c r="U318" s="37" t="e">
        <f t="shared" si="43"/>
        <v>#REF!</v>
      </c>
      <c r="V318" s="34" t="e">
        <f>IF(F318="","",O318*#REF!)</f>
        <v>#REF!</v>
      </c>
      <c r="W318" s="29"/>
    </row>
    <row r="319" spans="1:23" s="2" customFormat="1" ht="18" customHeight="1">
      <c r="A319" s="6"/>
      <c r="B319" s="48"/>
      <c r="C319" s="38" t="e">
        <v>#REF!</v>
      </c>
      <c r="D319" s="39" t="e">
        <v>#REF!</v>
      </c>
      <c r="E319" s="38" t="e">
        <f t="shared" si="44"/>
        <v>#REF!</v>
      </c>
      <c r="F319" s="39" t="e">
        <v>#REF!</v>
      </c>
      <c r="G319" s="40" t="e">
        <v>#REF!</v>
      </c>
      <c r="H319" s="39" t="e">
        <v>#REF!</v>
      </c>
      <c r="I319" s="40" t="e">
        <v>#REF!</v>
      </c>
      <c r="J319" s="41" t="e">
        <f t="shared" si="45"/>
        <v>#REF!</v>
      </c>
      <c r="K319" s="40" t="e">
        <v>#REF!</v>
      </c>
      <c r="L319" s="41"/>
      <c r="M319" s="41"/>
      <c r="N319" s="42" t="e">
        <f t="shared" si="46"/>
        <v>#REF!</v>
      </c>
      <c r="O319" s="42" t="e">
        <f>IF(F319="","",N319*#REF!/100)</f>
        <v>#REF!</v>
      </c>
      <c r="P319" s="44" t="e">
        <v>#REF!</v>
      </c>
      <c r="Q319" s="45" t="e">
        <f t="shared" si="40"/>
        <v>#REF!</v>
      </c>
      <c r="R319" s="42" t="e">
        <f t="shared" si="41"/>
        <v>#REF!</v>
      </c>
      <c r="S319" s="46" t="e">
        <v>#REF!</v>
      </c>
      <c r="T319" s="46" t="e">
        <f t="shared" si="42"/>
        <v>#REF!</v>
      </c>
      <c r="U319" s="46" t="e">
        <f t="shared" si="43"/>
        <v>#REF!</v>
      </c>
      <c r="V319" s="42" t="e">
        <f>IF(F319="","",O319*#REF!)</f>
        <v>#REF!</v>
      </c>
      <c r="W319" s="29"/>
    </row>
    <row r="320" spans="1:23" s="2" customFormat="1" ht="18" customHeight="1">
      <c r="A320" s="6"/>
      <c r="B320" s="48"/>
      <c r="C320" s="30" t="e">
        <v>#REF!</v>
      </c>
      <c r="D320" s="31" t="e">
        <v>#REF!</v>
      </c>
      <c r="E320" s="30" t="e">
        <f t="shared" si="44"/>
        <v>#REF!</v>
      </c>
      <c r="F320" s="31" t="e">
        <v>#REF!</v>
      </c>
      <c r="G320" s="32" t="e">
        <v>#REF!</v>
      </c>
      <c r="H320" s="31" t="e">
        <v>#REF!</v>
      </c>
      <c r="I320" s="32" t="e">
        <v>#REF!</v>
      </c>
      <c r="J320" s="33" t="e">
        <f t="shared" si="45"/>
        <v>#REF!</v>
      </c>
      <c r="K320" s="32" t="e">
        <v>#REF!</v>
      </c>
      <c r="L320" s="33"/>
      <c r="M320" s="33"/>
      <c r="N320" s="34" t="e">
        <f t="shared" si="46"/>
        <v>#REF!</v>
      </c>
      <c r="O320" s="34" t="e">
        <f>IF(F320="","",N320*#REF!/100)</f>
        <v>#REF!</v>
      </c>
      <c r="P320" s="35" t="e">
        <v>#REF!</v>
      </c>
      <c r="Q320" s="36" t="e">
        <f t="shared" si="40"/>
        <v>#REF!</v>
      </c>
      <c r="R320" s="34" t="e">
        <f t="shared" si="41"/>
        <v>#REF!</v>
      </c>
      <c r="S320" s="37" t="e">
        <v>#REF!</v>
      </c>
      <c r="T320" s="37" t="e">
        <f t="shared" si="42"/>
        <v>#REF!</v>
      </c>
      <c r="U320" s="37" t="e">
        <f t="shared" si="43"/>
        <v>#REF!</v>
      </c>
      <c r="V320" s="34" t="e">
        <f>IF(F320="","",O320*#REF!)</f>
        <v>#REF!</v>
      </c>
      <c r="W320" s="29"/>
    </row>
    <row r="321" spans="1:23" s="2" customFormat="1" ht="18" customHeight="1">
      <c r="A321" s="6"/>
      <c r="B321" s="48"/>
      <c r="C321" s="38" t="e">
        <v>#REF!</v>
      </c>
      <c r="D321" s="39" t="e">
        <v>#REF!</v>
      </c>
      <c r="E321" s="38" t="e">
        <f t="shared" si="44"/>
        <v>#REF!</v>
      </c>
      <c r="F321" s="39" t="e">
        <v>#REF!</v>
      </c>
      <c r="G321" s="40" t="e">
        <v>#REF!</v>
      </c>
      <c r="H321" s="39" t="e">
        <v>#REF!</v>
      </c>
      <c r="I321" s="40" t="e">
        <v>#REF!</v>
      </c>
      <c r="J321" s="41" t="e">
        <f t="shared" si="45"/>
        <v>#REF!</v>
      </c>
      <c r="K321" s="40" t="e">
        <v>#REF!</v>
      </c>
      <c r="L321" s="41"/>
      <c r="M321" s="41"/>
      <c r="N321" s="42" t="e">
        <f t="shared" si="46"/>
        <v>#REF!</v>
      </c>
      <c r="O321" s="42" t="e">
        <f>IF(F321="","",N321*#REF!/100)</f>
        <v>#REF!</v>
      </c>
      <c r="P321" s="44" t="e">
        <v>#REF!</v>
      </c>
      <c r="Q321" s="45" t="e">
        <f t="shared" si="40"/>
        <v>#REF!</v>
      </c>
      <c r="R321" s="42" t="e">
        <f t="shared" si="41"/>
        <v>#REF!</v>
      </c>
      <c r="S321" s="46" t="e">
        <v>#REF!</v>
      </c>
      <c r="T321" s="46" t="e">
        <f t="shared" si="42"/>
        <v>#REF!</v>
      </c>
      <c r="U321" s="46" t="e">
        <f t="shared" si="43"/>
        <v>#REF!</v>
      </c>
      <c r="V321" s="42" t="e">
        <f>IF(F321="","",O321*#REF!)</f>
        <v>#REF!</v>
      </c>
      <c r="W321" s="29"/>
    </row>
    <row r="322" spans="1:23" s="2" customFormat="1" ht="18" customHeight="1">
      <c r="A322" s="6"/>
      <c r="B322" s="48"/>
      <c r="C322" s="30" t="e">
        <v>#REF!</v>
      </c>
      <c r="D322" s="31" t="e">
        <v>#REF!</v>
      </c>
      <c r="E322" s="30" t="e">
        <f t="shared" si="44"/>
        <v>#REF!</v>
      </c>
      <c r="F322" s="31" t="e">
        <v>#REF!</v>
      </c>
      <c r="G322" s="32" t="e">
        <v>#REF!</v>
      </c>
      <c r="H322" s="31" t="e">
        <v>#REF!</v>
      </c>
      <c r="I322" s="32" t="e">
        <v>#REF!</v>
      </c>
      <c r="J322" s="33" t="e">
        <f t="shared" si="45"/>
        <v>#REF!</v>
      </c>
      <c r="K322" s="32" t="e">
        <v>#REF!</v>
      </c>
      <c r="L322" s="33"/>
      <c r="M322" s="33"/>
      <c r="N322" s="34" t="e">
        <f t="shared" si="46"/>
        <v>#REF!</v>
      </c>
      <c r="O322" s="34" t="e">
        <f>IF(F322="","",N322*#REF!/100)</f>
        <v>#REF!</v>
      </c>
      <c r="P322" s="35" t="e">
        <v>#REF!</v>
      </c>
      <c r="Q322" s="36" t="e">
        <f t="shared" si="40"/>
        <v>#REF!</v>
      </c>
      <c r="R322" s="34" t="e">
        <f t="shared" si="41"/>
        <v>#REF!</v>
      </c>
      <c r="S322" s="37" t="e">
        <v>#REF!</v>
      </c>
      <c r="T322" s="37" t="e">
        <f t="shared" si="42"/>
        <v>#REF!</v>
      </c>
      <c r="U322" s="37" t="e">
        <f t="shared" si="43"/>
        <v>#REF!</v>
      </c>
      <c r="V322" s="34" t="e">
        <f>IF(F322="","",O322*#REF!)</f>
        <v>#REF!</v>
      </c>
      <c r="W322" s="29"/>
    </row>
    <row r="323" spans="1:23" s="2" customFormat="1" ht="18" customHeight="1">
      <c r="A323" s="6"/>
      <c r="B323" s="48"/>
      <c r="C323" s="38" t="e">
        <v>#REF!</v>
      </c>
      <c r="D323" s="39" t="e">
        <v>#REF!</v>
      </c>
      <c r="E323" s="38" t="e">
        <f t="shared" si="44"/>
        <v>#REF!</v>
      </c>
      <c r="F323" s="39" t="e">
        <v>#REF!</v>
      </c>
      <c r="G323" s="40" t="e">
        <v>#REF!</v>
      </c>
      <c r="H323" s="39" t="e">
        <v>#REF!</v>
      </c>
      <c r="I323" s="40" t="e">
        <v>#REF!</v>
      </c>
      <c r="J323" s="41" t="e">
        <f t="shared" si="45"/>
        <v>#REF!</v>
      </c>
      <c r="K323" s="40" t="e">
        <v>#REF!</v>
      </c>
      <c r="L323" s="41"/>
      <c r="M323" s="41"/>
      <c r="N323" s="42" t="e">
        <f t="shared" si="46"/>
        <v>#REF!</v>
      </c>
      <c r="O323" s="42" t="e">
        <f>IF(F323="","",N323*#REF!/100)</f>
        <v>#REF!</v>
      </c>
      <c r="P323" s="44" t="e">
        <v>#REF!</v>
      </c>
      <c r="Q323" s="45" t="e">
        <f t="shared" si="40"/>
        <v>#REF!</v>
      </c>
      <c r="R323" s="42" t="e">
        <f t="shared" si="41"/>
        <v>#REF!</v>
      </c>
      <c r="S323" s="46" t="e">
        <v>#REF!</v>
      </c>
      <c r="T323" s="46" t="e">
        <f t="shared" si="42"/>
        <v>#REF!</v>
      </c>
      <c r="U323" s="46" t="e">
        <f t="shared" si="43"/>
        <v>#REF!</v>
      </c>
      <c r="V323" s="42" t="e">
        <f>IF(F323="","",O323*#REF!)</f>
        <v>#REF!</v>
      </c>
      <c r="W323" s="29"/>
    </row>
    <row r="324" spans="1:23" s="2" customFormat="1" ht="18" customHeight="1">
      <c r="A324" s="6"/>
      <c r="B324" s="48"/>
      <c r="C324" s="30" t="e">
        <v>#REF!</v>
      </c>
      <c r="D324" s="31" t="e">
        <v>#REF!</v>
      </c>
      <c r="E324" s="30" t="e">
        <f t="shared" si="44"/>
        <v>#REF!</v>
      </c>
      <c r="F324" s="31" t="e">
        <v>#REF!</v>
      </c>
      <c r="G324" s="32" t="e">
        <v>#REF!</v>
      </c>
      <c r="H324" s="31" t="e">
        <v>#REF!</v>
      </c>
      <c r="I324" s="32" t="e">
        <v>#REF!</v>
      </c>
      <c r="J324" s="33" t="e">
        <f t="shared" si="45"/>
        <v>#REF!</v>
      </c>
      <c r="K324" s="32" t="e">
        <v>#REF!</v>
      </c>
      <c r="L324" s="33"/>
      <c r="M324" s="33"/>
      <c r="N324" s="34" t="e">
        <f t="shared" si="46"/>
        <v>#REF!</v>
      </c>
      <c r="O324" s="34" t="e">
        <f>IF(F324="","",N324*#REF!/100)</f>
        <v>#REF!</v>
      </c>
      <c r="P324" s="35" t="e">
        <v>#REF!</v>
      </c>
      <c r="Q324" s="36" t="e">
        <f t="shared" si="40"/>
        <v>#REF!</v>
      </c>
      <c r="R324" s="34" t="e">
        <f t="shared" si="41"/>
        <v>#REF!</v>
      </c>
      <c r="S324" s="37" t="e">
        <v>#REF!</v>
      </c>
      <c r="T324" s="37" t="e">
        <f t="shared" si="42"/>
        <v>#REF!</v>
      </c>
      <c r="U324" s="37" t="e">
        <f t="shared" si="43"/>
        <v>#REF!</v>
      </c>
      <c r="V324" s="34" t="e">
        <f>IF(F324="","",O324*#REF!)</f>
        <v>#REF!</v>
      </c>
      <c r="W324" s="29"/>
    </row>
    <row r="325" spans="1:23" s="2" customFormat="1" ht="18" customHeight="1">
      <c r="A325" s="6"/>
      <c r="B325" s="48"/>
      <c r="C325" s="38" t="e">
        <v>#REF!</v>
      </c>
      <c r="D325" s="39" t="e">
        <v>#REF!</v>
      </c>
      <c r="E325" s="38" t="e">
        <f t="shared" si="44"/>
        <v>#REF!</v>
      </c>
      <c r="F325" s="39" t="e">
        <v>#REF!</v>
      </c>
      <c r="G325" s="40" t="e">
        <v>#REF!</v>
      </c>
      <c r="H325" s="39" t="e">
        <v>#REF!</v>
      </c>
      <c r="I325" s="40" t="e">
        <v>#REF!</v>
      </c>
      <c r="J325" s="41" t="e">
        <f t="shared" si="45"/>
        <v>#REF!</v>
      </c>
      <c r="K325" s="40" t="e">
        <v>#REF!</v>
      </c>
      <c r="L325" s="41"/>
      <c r="M325" s="41"/>
      <c r="N325" s="42" t="e">
        <f t="shared" si="46"/>
        <v>#REF!</v>
      </c>
      <c r="O325" s="42" t="e">
        <f>IF(F325="","",N325*#REF!/100)</f>
        <v>#REF!</v>
      </c>
      <c r="P325" s="44" t="e">
        <v>#REF!</v>
      </c>
      <c r="Q325" s="45" t="e">
        <f t="shared" si="40"/>
        <v>#REF!</v>
      </c>
      <c r="R325" s="42" t="e">
        <f t="shared" si="41"/>
        <v>#REF!</v>
      </c>
      <c r="S325" s="46" t="e">
        <v>#REF!</v>
      </c>
      <c r="T325" s="46" t="e">
        <f t="shared" si="42"/>
        <v>#REF!</v>
      </c>
      <c r="U325" s="46" t="e">
        <f t="shared" si="43"/>
        <v>#REF!</v>
      </c>
      <c r="V325" s="42" t="e">
        <f>IF(F325="","",O325*#REF!)</f>
        <v>#REF!</v>
      </c>
      <c r="W325" s="29"/>
    </row>
    <row r="326" spans="1:23" s="2" customFormat="1" ht="18" customHeight="1">
      <c r="A326" s="6"/>
      <c r="B326" s="48"/>
      <c r="C326" s="30" t="e">
        <v>#REF!</v>
      </c>
      <c r="D326" s="31" t="e">
        <v>#REF!</v>
      </c>
      <c r="E326" s="30" t="e">
        <f t="shared" si="44"/>
        <v>#REF!</v>
      </c>
      <c r="F326" s="31" t="e">
        <v>#REF!</v>
      </c>
      <c r="G326" s="32" t="e">
        <v>#REF!</v>
      </c>
      <c r="H326" s="31" t="e">
        <v>#REF!</v>
      </c>
      <c r="I326" s="32" t="e">
        <v>#REF!</v>
      </c>
      <c r="J326" s="33" t="e">
        <f t="shared" si="45"/>
        <v>#REF!</v>
      </c>
      <c r="K326" s="32" t="e">
        <v>#REF!</v>
      </c>
      <c r="L326" s="33"/>
      <c r="M326" s="33"/>
      <c r="N326" s="34" t="e">
        <f t="shared" si="46"/>
        <v>#REF!</v>
      </c>
      <c r="O326" s="34" t="e">
        <f>IF(F326="","",N326*#REF!/100)</f>
        <v>#REF!</v>
      </c>
      <c r="P326" s="35" t="e">
        <v>#REF!</v>
      </c>
      <c r="Q326" s="36" t="e">
        <f t="shared" si="40"/>
        <v>#REF!</v>
      </c>
      <c r="R326" s="34" t="e">
        <f t="shared" si="41"/>
        <v>#REF!</v>
      </c>
      <c r="S326" s="37" t="e">
        <v>#REF!</v>
      </c>
      <c r="T326" s="37" t="e">
        <f t="shared" si="42"/>
        <v>#REF!</v>
      </c>
      <c r="U326" s="37" t="e">
        <f t="shared" si="43"/>
        <v>#REF!</v>
      </c>
      <c r="V326" s="34" t="e">
        <f>IF(F326="","",O326*#REF!)</f>
        <v>#REF!</v>
      </c>
      <c r="W326" s="29"/>
    </row>
    <row r="327" spans="1:23" s="2" customFormat="1" ht="18" customHeight="1">
      <c r="A327" s="6"/>
      <c r="B327" s="48"/>
      <c r="C327" s="38" t="e">
        <v>#REF!</v>
      </c>
      <c r="D327" s="39" t="e">
        <v>#REF!</v>
      </c>
      <c r="E327" s="38" t="e">
        <f t="shared" si="44"/>
        <v>#REF!</v>
      </c>
      <c r="F327" s="39" t="e">
        <v>#REF!</v>
      </c>
      <c r="G327" s="40" t="e">
        <v>#REF!</v>
      </c>
      <c r="H327" s="39" t="e">
        <v>#REF!</v>
      </c>
      <c r="I327" s="40" t="e">
        <v>#REF!</v>
      </c>
      <c r="J327" s="41" t="e">
        <f t="shared" si="45"/>
        <v>#REF!</v>
      </c>
      <c r="K327" s="40" t="e">
        <v>#REF!</v>
      </c>
      <c r="L327" s="41"/>
      <c r="M327" s="41"/>
      <c r="N327" s="42" t="e">
        <f t="shared" si="46"/>
        <v>#REF!</v>
      </c>
      <c r="O327" s="42" t="e">
        <f>IF(F327="","",N327*#REF!/100)</f>
        <v>#REF!</v>
      </c>
      <c r="P327" s="44" t="e">
        <v>#REF!</v>
      </c>
      <c r="Q327" s="45" t="e">
        <f t="shared" si="40"/>
        <v>#REF!</v>
      </c>
      <c r="R327" s="42" t="e">
        <f t="shared" si="41"/>
        <v>#REF!</v>
      </c>
      <c r="S327" s="46" t="e">
        <v>#REF!</v>
      </c>
      <c r="T327" s="46" t="e">
        <f t="shared" si="42"/>
        <v>#REF!</v>
      </c>
      <c r="U327" s="46" t="e">
        <f t="shared" si="43"/>
        <v>#REF!</v>
      </c>
      <c r="V327" s="42" t="e">
        <f>IF(F327="","",O327*#REF!)</f>
        <v>#REF!</v>
      </c>
      <c r="W327" s="29"/>
    </row>
    <row r="328" spans="1:23" s="2" customFormat="1" ht="18" customHeight="1">
      <c r="A328" s="6"/>
      <c r="B328" s="48"/>
      <c r="C328" s="30" t="e">
        <v>#REF!</v>
      </c>
      <c r="D328" s="31" t="e">
        <v>#REF!</v>
      </c>
      <c r="E328" s="30" t="e">
        <f t="shared" si="44"/>
        <v>#REF!</v>
      </c>
      <c r="F328" s="31" t="e">
        <v>#REF!</v>
      </c>
      <c r="G328" s="32" t="e">
        <v>#REF!</v>
      </c>
      <c r="H328" s="31" t="e">
        <v>#REF!</v>
      </c>
      <c r="I328" s="32" t="e">
        <v>#REF!</v>
      </c>
      <c r="J328" s="33" t="e">
        <f t="shared" si="45"/>
        <v>#REF!</v>
      </c>
      <c r="K328" s="32" t="e">
        <v>#REF!</v>
      </c>
      <c r="L328" s="33"/>
      <c r="M328" s="33"/>
      <c r="N328" s="34" t="e">
        <f t="shared" si="46"/>
        <v>#REF!</v>
      </c>
      <c r="O328" s="34" t="e">
        <f>IF(F328="","",N328*#REF!/100)</f>
        <v>#REF!</v>
      </c>
      <c r="P328" s="35" t="e">
        <v>#REF!</v>
      </c>
      <c r="Q328" s="36" t="e">
        <f t="shared" si="40"/>
        <v>#REF!</v>
      </c>
      <c r="R328" s="34" t="e">
        <f t="shared" si="41"/>
        <v>#REF!</v>
      </c>
      <c r="S328" s="37" t="e">
        <v>#REF!</v>
      </c>
      <c r="T328" s="37" t="e">
        <f t="shared" si="42"/>
        <v>#REF!</v>
      </c>
      <c r="U328" s="37" t="e">
        <f t="shared" si="43"/>
        <v>#REF!</v>
      </c>
      <c r="V328" s="34" t="e">
        <f>IF(F328="","",O328*#REF!)</f>
        <v>#REF!</v>
      </c>
      <c r="W328" s="29"/>
    </row>
    <row r="329" spans="1:23" s="2" customFormat="1" ht="18" customHeight="1">
      <c r="A329" s="6"/>
      <c r="B329" s="48"/>
      <c r="C329" s="38" t="e">
        <v>#REF!</v>
      </c>
      <c r="D329" s="39" t="e">
        <v>#REF!</v>
      </c>
      <c r="E329" s="38" t="e">
        <f t="shared" si="44"/>
        <v>#REF!</v>
      </c>
      <c r="F329" s="39" t="e">
        <v>#REF!</v>
      </c>
      <c r="G329" s="40" t="e">
        <v>#REF!</v>
      </c>
      <c r="H329" s="39" t="e">
        <v>#REF!</v>
      </c>
      <c r="I329" s="40" t="e">
        <v>#REF!</v>
      </c>
      <c r="J329" s="41" t="e">
        <f t="shared" si="45"/>
        <v>#REF!</v>
      </c>
      <c r="K329" s="40" t="e">
        <v>#REF!</v>
      </c>
      <c r="L329" s="41"/>
      <c r="M329" s="41"/>
      <c r="N329" s="42" t="e">
        <f t="shared" si="46"/>
        <v>#REF!</v>
      </c>
      <c r="O329" s="42" t="e">
        <f>IF(F329="","",N329*#REF!/100)</f>
        <v>#REF!</v>
      </c>
      <c r="P329" s="44" t="e">
        <v>#REF!</v>
      </c>
      <c r="Q329" s="45" t="e">
        <f t="shared" si="40"/>
        <v>#REF!</v>
      </c>
      <c r="R329" s="42" t="e">
        <f t="shared" si="41"/>
        <v>#REF!</v>
      </c>
      <c r="S329" s="46" t="e">
        <v>#REF!</v>
      </c>
      <c r="T329" s="46" t="e">
        <f t="shared" si="42"/>
        <v>#REF!</v>
      </c>
      <c r="U329" s="46" t="e">
        <f t="shared" si="43"/>
        <v>#REF!</v>
      </c>
      <c r="V329" s="42" t="e">
        <f>IF(F329="","",O329*#REF!)</f>
        <v>#REF!</v>
      </c>
      <c r="W329" s="29"/>
    </row>
    <row r="330" spans="1:23" s="2" customFormat="1" ht="18" customHeight="1">
      <c r="A330" s="6"/>
      <c r="B330" s="48"/>
      <c r="C330" s="30" t="e">
        <v>#REF!</v>
      </c>
      <c r="D330" s="31" t="e">
        <v>#REF!</v>
      </c>
      <c r="E330" s="30" t="e">
        <f t="shared" si="44"/>
        <v>#REF!</v>
      </c>
      <c r="F330" s="31" t="e">
        <v>#REF!</v>
      </c>
      <c r="G330" s="32" t="e">
        <v>#REF!</v>
      </c>
      <c r="H330" s="31" t="e">
        <v>#REF!</v>
      </c>
      <c r="I330" s="32" t="e">
        <v>#REF!</v>
      </c>
      <c r="J330" s="33" t="e">
        <f t="shared" si="45"/>
        <v>#REF!</v>
      </c>
      <c r="K330" s="32" t="e">
        <v>#REF!</v>
      </c>
      <c r="L330" s="33"/>
      <c r="M330" s="33"/>
      <c r="N330" s="34" t="e">
        <f t="shared" si="46"/>
        <v>#REF!</v>
      </c>
      <c r="O330" s="34" t="e">
        <f>IF(F330="","",N330*#REF!/100)</f>
        <v>#REF!</v>
      </c>
      <c r="P330" s="35" t="e">
        <v>#REF!</v>
      </c>
      <c r="Q330" s="36" t="e">
        <f t="shared" si="40"/>
        <v>#REF!</v>
      </c>
      <c r="R330" s="34" t="e">
        <f t="shared" si="41"/>
        <v>#REF!</v>
      </c>
      <c r="S330" s="37" t="e">
        <v>#REF!</v>
      </c>
      <c r="T330" s="37" t="e">
        <f t="shared" si="42"/>
        <v>#REF!</v>
      </c>
      <c r="U330" s="37" t="e">
        <f t="shared" si="43"/>
        <v>#REF!</v>
      </c>
      <c r="V330" s="34" t="e">
        <f>IF(F330="","",O330*#REF!)</f>
        <v>#REF!</v>
      </c>
      <c r="W330" s="29"/>
    </row>
    <row r="331" spans="1:23" s="2" customFormat="1" ht="18" customHeight="1">
      <c r="A331" s="6"/>
      <c r="B331" s="48"/>
      <c r="C331" s="38" t="e">
        <v>#REF!</v>
      </c>
      <c r="D331" s="39" t="e">
        <v>#REF!</v>
      </c>
      <c r="E331" s="38" t="e">
        <f t="shared" si="44"/>
        <v>#REF!</v>
      </c>
      <c r="F331" s="39" t="e">
        <v>#REF!</v>
      </c>
      <c r="G331" s="40" t="e">
        <v>#REF!</v>
      </c>
      <c r="H331" s="39" t="e">
        <v>#REF!</v>
      </c>
      <c r="I331" s="40" t="e">
        <v>#REF!</v>
      </c>
      <c r="J331" s="41" t="e">
        <f t="shared" si="45"/>
        <v>#REF!</v>
      </c>
      <c r="K331" s="40" t="e">
        <v>#REF!</v>
      </c>
      <c r="L331" s="41"/>
      <c r="M331" s="41"/>
      <c r="N331" s="42" t="e">
        <f t="shared" si="46"/>
        <v>#REF!</v>
      </c>
      <c r="O331" s="42" t="e">
        <f>IF(F331="","",N331*#REF!/100)</f>
        <v>#REF!</v>
      </c>
      <c r="P331" s="44" t="e">
        <v>#REF!</v>
      </c>
      <c r="Q331" s="45" t="e">
        <f t="shared" si="40"/>
        <v>#REF!</v>
      </c>
      <c r="R331" s="42" t="e">
        <f t="shared" si="41"/>
        <v>#REF!</v>
      </c>
      <c r="S331" s="46" t="e">
        <v>#REF!</v>
      </c>
      <c r="T331" s="46" t="e">
        <f t="shared" si="42"/>
        <v>#REF!</v>
      </c>
      <c r="U331" s="46" t="e">
        <f t="shared" si="43"/>
        <v>#REF!</v>
      </c>
      <c r="V331" s="42" t="e">
        <f>IF(F331="","",O331*#REF!)</f>
        <v>#REF!</v>
      </c>
      <c r="W331" s="29"/>
    </row>
    <row r="332" spans="1:23" s="2" customFormat="1" ht="18" customHeight="1">
      <c r="A332" s="6"/>
      <c r="B332" s="48"/>
      <c r="C332" s="30" t="e">
        <v>#REF!</v>
      </c>
      <c r="D332" s="31" t="e">
        <v>#REF!</v>
      </c>
      <c r="E332" s="30" t="e">
        <f t="shared" si="44"/>
        <v>#REF!</v>
      </c>
      <c r="F332" s="31" t="e">
        <v>#REF!</v>
      </c>
      <c r="G332" s="32" t="e">
        <v>#REF!</v>
      </c>
      <c r="H332" s="31" t="e">
        <v>#REF!</v>
      </c>
      <c r="I332" s="32" t="e">
        <v>#REF!</v>
      </c>
      <c r="J332" s="33" t="e">
        <f t="shared" si="45"/>
        <v>#REF!</v>
      </c>
      <c r="K332" s="32" t="e">
        <v>#REF!</v>
      </c>
      <c r="L332" s="33"/>
      <c r="M332" s="33"/>
      <c r="N332" s="34" t="e">
        <f t="shared" si="46"/>
        <v>#REF!</v>
      </c>
      <c r="O332" s="34" t="e">
        <f>IF(F332="","",N332*#REF!/100)</f>
        <v>#REF!</v>
      </c>
      <c r="P332" s="35" t="e">
        <v>#REF!</v>
      </c>
      <c r="Q332" s="36" t="e">
        <f t="shared" si="40"/>
        <v>#REF!</v>
      </c>
      <c r="R332" s="34" t="e">
        <f t="shared" si="41"/>
        <v>#REF!</v>
      </c>
      <c r="S332" s="37" t="e">
        <v>#REF!</v>
      </c>
      <c r="T332" s="37" t="e">
        <f t="shared" si="42"/>
        <v>#REF!</v>
      </c>
      <c r="U332" s="37" t="e">
        <f t="shared" si="43"/>
        <v>#REF!</v>
      </c>
      <c r="V332" s="34" t="e">
        <f>IF(F332="","",O332*#REF!)</f>
        <v>#REF!</v>
      </c>
      <c r="W332" s="29"/>
    </row>
    <row r="333" spans="1:23" s="2" customFormat="1" ht="18" customHeight="1">
      <c r="A333" s="6"/>
      <c r="B333" s="48"/>
      <c r="C333" s="38" t="e">
        <v>#REF!</v>
      </c>
      <c r="D333" s="39" t="e">
        <v>#REF!</v>
      </c>
      <c r="E333" s="38" t="e">
        <f t="shared" si="44"/>
        <v>#REF!</v>
      </c>
      <c r="F333" s="39" t="e">
        <v>#REF!</v>
      </c>
      <c r="G333" s="40" t="e">
        <v>#REF!</v>
      </c>
      <c r="H333" s="39" t="e">
        <v>#REF!</v>
      </c>
      <c r="I333" s="40" t="e">
        <v>#REF!</v>
      </c>
      <c r="J333" s="41" t="e">
        <f t="shared" si="45"/>
        <v>#REF!</v>
      </c>
      <c r="K333" s="40" t="e">
        <v>#REF!</v>
      </c>
      <c r="L333" s="41"/>
      <c r="M333" s="41"/>
      <c r="N333" s="42" t="e">
        <f t="shared" si="46"/>
        <v>#REF!</v>
      </c>
      <c r="O333" s="42" t="e">
        <f>IF(F333="","",N333*#REF!/100)</f>
        <v>#REF!</v>
      </c>
      <c r="P333" s="44" t="e">
        <v>#REF!</v>
      </c>
      <c r="Q333" s="45" t="e">
        <f t="shared" si="40"/>
        <v>#REF!</v>
      </c>
      <c r="R333" s="42" t="e">
        <f t="shared" si="41"/>
        <v>#REF!</v>
      </c>
      <c r="S333" s="46" t="e">
        <v>#REF!</v>
      </c>
      <c r="T333" s="46" t="e">
        <f t="shared" si="42"/>
        <v>#REF!</v>
      </c>
      <c r="U333" s="46" t="e">
        <f t="shared" si="43"/>
        <v>#REF!</v>
      </c>
      <c r="V333" s="42" t="e">
        <f>IF(F333="","",O333*#REF!)</f>
        <v>#REF!</v>
      </c>
      <c r="W333" s="29"/>
    </row>
    <row r="334" spans="1:23" s="2" customFormat="1" ht="18" customHeight="1">
      <c r="A334" s="6"/>
      <c r="B334" s="48"/>
      <c r="C334" s="30" t="e">
        <v>#REF!</v>
      </c>
      <c r="D334" s="31" t="e">
        <v>#REF!</v>
      </c>
      <c r="E334" s="30" t="e">
        <f t="shared" si="44"/>
        <v>#REF!</v>
      </c>
      <c r="F334" s="31" t="e">
        <v>#REF!</v>
      </c>
      <c r="G334" s="32" t="e">
        <v>#REF!</v>
      </c>
      <c r="H334" s="31" t="e">
        <v>#REF!</v>
      </c>
      <c r="I334" s="32" t="e">
        <v>#REF!</v>
      </c>
      <c r="J334" s="33" t="e">
        <f t="shared" si="45"/>
        <v>#REF!</v>
      </c>
      <c r="K334" s="32" t="e">
        <v>#REF!</v>
      </c>
      <c r="L334" s="33"/>
      <c r="M334" s="33"/>
      <c r="N334" s="34" t="e">
        <f t="shared" si="46"/>
        <v>#REF!</v>
      </c>
      <c r="O334" s="34" t="e">
        <f>IF(F334="","",N334*#REF!/100)</f>
        <v>#REF!</v>
      </c>
      <c r="P334" s="35" t="e">
        <v>#REF!</v>
      </c>
      <c r="Q334" s="36" t="e">
        <f t="shared" si="40"/>
        <v>#REF!</v>
      </c>
      <c r="R334" s="34" t="e">
        <f t="shared" si="41"/>
        <v>#REF!</v>
      </c>
      <c r="S334" s="37" t="e">
        <v>#REF!</v>
      </c>
      <c r="T334" s="37" t="e">
        <f t="shared" si="42"/>
        <v>#REF!</v>
      </c>
      <c r="U334" s="37" t="e">
        <f t="shared" si="43"/>
        <v>#REF!</v>
      </c>
      <c r="V334" s="34" t="e">
        <f>IF(F334="","",O334*#REF!)</f>
        <v>#REF!</v>
      </c>
      <c r="W334" s="29"/>
    </row>
    <row r="335" spans="1:23" s="2" customFormat="1" ht="18" customHeight="1">
      <c r="A335" s="6"/>
      <c r="B335" s="48"/>
      <c r="C335" s="38" t="e">
        <v>#REF!</v>
      </c>
      <c r="D335" s="39" t="e">
        <v>#REF!</v>
      </c>
      <c r="E335" s="38" t="e">
        <f t="shared" si="44"/>
        <v>#REF!</v>
      </c>
      <c r="F335" s="39" t="e">
        <v>#REF!</v>
      </c>
      <c r="G335" s="40" t="e">
        <v>#REF!</v>
      </c>
      <c r="H335" s="39" t="e">
        <v>#REF!</v>
      </c>
      <c r="I335" s="40" t="e">
        <v>#REF!</v>
      </c>
      <c r="J335" s="41" t="e">
        <f t="shared" si="45"/>
        <v>#REF!</v>
      </c>
      <c r="K335" s="40" t="e">
        <v>#REF!</v>
      </c>
      <c r="L335" s="41"/>
      <c r="M335" s="41"/>
      <c r="N335" s="42" t="e">
        <f t="shared" si="46"/>
        <v>#REF!</v>
      </c>
      <c r="O335" s="42" t="e">
        <f>IF(F335="","",N335*#REF!/100)</f>
        <v>#REF!</v>
      </c>
      <c r="P335" s="44" t="e">
        <v>#REF!</v>
      </c>
      <c r="Q335" s="45" t="e">
        <f t="shared" si="40"/>
        <v>#REF!</v>
      </c>
      <c r="R335" s="42" t="e">
        <f t="shared" si="41"/>
        <v>#REF!</v>
      </c>
      <c r="S335" s="46" t="e">
        <v>#REF!</v>
      </c>
      <c r="T335" s="46" t="e">
        <f t="shared" si="42"/>
        <v>#REF!</v>
      </c>
      <c r="U335" s="46" t="e">
        <f t="shared" si="43"/>
        <v>#REF!</v>
      </c>
      <c r="V335" s="42" t="e">
        <f>IF(F335="","",O335*#REF!)</f>
        <v>#REF!</v>
      </c>
      <c r="W335" s="29"/>
    </row>
    <row r="336" spans="1:23" s="2" customFormat="1" ht="18" customHeight="1">
      <c r="A336" s="6"/>
      <c r="B336" s="48"/>
      <c r="C336" s="30" t="e">
        <v>#REF!</v>
      </c>
      <c r="D336" s="31" t="e">
        <v>#REF!</v>
      </c>
      <c r="E336" s="30" t="e">
        <f t="shared" si="44"/>
        <v>#REF!</v>
      </c>
      <c r="F336" s="31" t="e">
        <v>#REF!</v>
      </c>
      <c r="G336" s="32" t="e">
        <v>#REF!</v>
      </c>
      <c r="H336" s="31" t="e">
        <v>#REF!</v>
      </c>
      <c r="I336" s="32" t="e">
        <v>#REF!</v>
      </c>
      <c r="J336" s="33" t="e">
        <f t="shared" si="45"/>
        <v>#REF!</v>
      </c>
      <c r="K336" s="32" t="e">
        <v>#REF!</v>
      </c>
      <c r="L336" s="33"/>
      <c r="M336" s="33"/>
      <c r="N336" s="34" t="e">
        <f t="shared" si="46"/>
        <v>#REF!</v>
      </c>
      <c r="O336" s="34" t="e">
        <f>IF(F336="","",N336*#REF!/100)</f>
        <v>#REF!</v>
      </c>
      <c r="P336" s="35" t="e">
        <v>#REF!</v>
      </c>
      <c r="Q336" s="36" t="e">
        <f t="shared" si="40"/>
        <v>#REF!</v>
      </c>
      <c r="R336" s="34" t="e">
        <f t="shared" si="41"/>
        <v>#REF!</v>
      </c>
      <c r="S336" s="37" t="e">
        <v>#REF!</v>
      </c>
      <c r="T336" s="37" t="e">
        <f t="shared" si="42"/>
        <v>#REF!</v>
      </c>
      <c r="U336" s="37" t="e">
        <f t="shared" si="43"/>
        <v>#REF!</v>
      </c>
      <c r="V336" s="34" t="e">
        <f>IF(F336="","",O336*#REF!)</f>
        <v>#REF!</v>
      </c>
      <c r="W336" s="29"/>
    </row>
    <row r="337" spans="1:28" s="2" customFormat="1" ht="18" customHeight="1">
      <c r="A337" s="6"/>
      <c r="B337" s="48"/>
      <c r="C337" s="38" t="e">
        <v>#REF!</v>
      </c>
      <c r="D337" s="39" t="e">
        <v>#REF!</v>
      </c>
      <c r="E337" s="38" t="e">
        <f t="shared" si="44"/>
        <v>#REF!</v>
      </c>
      <c r="F337" s="39" t="e">
        <v>#REF!</v>
      </c>
      <c r="G337" s="40" t="e">
        <v>#REF!</v>
      </c>
      <c r="H337" s="39" t="e">
        <v>#REF!</v>
      </c>
      <c r="I337" s="40" t="e">
        <v>#REF!</v>
      </c>
      <c r="J337" s="41" t="e">
        <f t="shared" si="45"/>
        <v>#REF!</v>
      </c>
      <c r="K337" s="40" t="e">
        <v>#REF!</v>
      </c>
      <c r="L337" s="41"/>
      <c r="M337" s="41"/>
      <c r="N337" s="42" t="e">
        <f t="shared" si="46"/>
        <v>#REF!</v>
      </c>
      <c r="O337" s="42" t="e">
        <f>IF(F337="","",N337*#REF!/100)</f>
        <v>#REF!</v>
      </c>
      <c r="P337" s="44" t="e">
        <v>#REF!</v>
      </c>
      <c r="Q337" s="45" t="e">
        <f t="shared" si="40"/>
        <v>#REF!</v>
      </c>
      <c r="R337" s="42" t="e">
        <f t="shared" si="41"/>
        <v>#REF!</v>
      </c>
      <c r="S337" s="46" t="e">
        <v>#REF!</v>
      </c>
      <c r="T337" s="46" t="e">
        <f t="shared" si="42"/>
        <v>#REF!</v>
      </c>
      <c r="U337" s="46" t="e">
        <f t="shared" si="43"/>
        <v>#REF!</v>
      </c>
      <c r="V337" s="42" t="e">
        <f>IF(F337="","",O337*#REF!)</f>
        <v>#REF!</v>
      </c>
      <c r="W337" s="29"/>
    </row>
    <row r="338" spans="1:28" s="2" customFormat="1" ht="18" customHeight="1">
      <c r="A338" s="6"/>
      <c r="B338" s="48"/>
      <c r="C338" s="49" t="e">
        <v>#REF!</v>
      </c>
      <c r="D338" s="50" t="e">
        <v>#REF!</v>
      </c>
      <c r="E338" s="49" t="e">
        <f t="shared" si="44"/>
        <v>#REF!</v>
      </c>
      <c r="F338" s="50" t="e">
        <v>#REF!</v>
      </c>
      <c r="G338" s="51" t="e">
        <v>#REF!</v>
      </c>
      <c r="H338" s="50" t="e">
        <v>#REF!</v>
      </c>
      <c r="I338" s="51" t="e">
        <v>#REF!</v>
      </c>
      <c r="J338" s="52" t="e">
        <f t="shared" si="45"/>
        <v>#REF!</v>
      </c>
      <c r="K338" s="51" t="e">
        <v>#REF!</v>
      </c>
      <c r="L338" s="33"/>
      <c r="M338" s="33"/>
      <c r="N338" s="53" t="e">
        <f t="shared" si="46"/>
        <v>#REF!</v>
      </c>
      <c r="O338" s="53" t="e">
        <f>IF(F338="","",N338*#REF!/100)</f>
        <v>#REF!</v>
      </c>
      <c r="P338" s="54" t="e">
        <v>#REF!</v>
      </c>
      <c r="Q338" s="55" t="e">
        <f t="shared" si="40"/>
        <v>#REF!</v>
      </c>
      <c r="R338" s="53" t="e">
        <f t="shared" si="41"/>
        <v>#REF!</v>
      </c>
      <c r="S338" s="56" t="e">
        <v>#REF!</v>
      </c>
      <c r="T338" s="56" t="e">
        <f t="shared" si="42"/>
        <v>#REF!</v>
      </c>
      <c r="U338" s="56" t="e">
        <f t="shared" si="43"/>
        <v>#REF!</v>
      </c>
      <c r="V338" s="53" t="e">
        <f>IF(F338="","",O338*#REF!)</f>
        <v>#REF!</v>
      </c>
      <c r="W338" s="29"/>
    </row>
    <row r="339" spans="1:28" s="2" customFormat="1" ht="18" customHeight="1">
      <c r="A339" s="6"/>
      <c r="B339" s="48"/>
      <c r="C339" s="1793"/>
      <c r="D339" s="1793"/>
      <c r="E339" s="1793"/>
      <c r="F339" s="1793"/>
      <c r="G339" s="1793"/>
      <c r="H339" s="1793"/>
      <c r="I339" s="1794"/>
      <c r="J339" s="57" t="e">
        <f>SUM(J304:J338)</f>
        <v>#REF!</v>
      </c>
      <c r="K339" s="58"/>
      <c r="L339" s="57"/>
      <c r="M339" s="57"/>
      <c r="N339" s="57" t="e">
        <f>SUM(N304:N338)</f>
        <v>#REF!</v>
      </c>
      <c r="O339" s="57" t="e">
        <f>SUM(O304:O338)</f>
        <v>#REF!</v>
      </c>
      <c r="P339" s="1530"/>
      <c r="Q339" s="1531"/>
      <c r="R339" s="60" t="e">
        <f>SUM(R304:R338)</f>
        <v>#REF!</v>
      </c>
      <c r="S339" s="61" t="s">
        <v>44</v>
      </c>
      <c r="T339" s="62"/>
      <c r="U339" s="63" t="e">
        <f>V339/O339</f>
        <v>#REF!</v>
      </c>
      <c r="V339" s="65" t="e">
        <f>SUM(V304:V338)</f>
        <v>#REF!</v>
      </c>
      <c r="W339" s="29"/>
    </row>
    <row r="340" spans="1:28" s="2" customFormat="1" ht="18" customHeight="1">
      <c r="A340" s="6"/>
      <c r="B340" s="66"/>
      <c r="C340" s="1869" t="e">
        <f>+C289</f>
        <v>#REF!</v>
      </c>
      <c r="D340" s="1870"/>
      <c r="E340" s="1870"/>
      <c r="F340" s="1870"/>
      <c r="G340" s="1870"/>
      <c r="H340" s="1870"/>
      <c r="I340" s="1870"/>
      <c r="J340" s="1870"/>
      <c r="K340" s="1870"/>
      <c r="L340" s="1870"/>
      <c r="M340" s="1870"/>
      <c r="N340" s="1870"/>
      <c r="O340" s="67" t="e">
        <f>R340/1.02</f>
        <v>#REF!</v>
      </c>
      <c r="P340" s="68" t="e">
        <f>+P289</f>
        <v>#REF!</v>
      </c>
      <c r="Q340" s="69" t="s">
        <v>46</v>
      </c>
      <c r="R340" s="70" t="e">
        <f>+P340*R339/1000</f>
        <v>#REF!</v>
      </c>
      <c r="S340" s="1860"/>
      <c r="T340" s="1861"/>
      <c r="U340" s="1861"/>
      <c r="V340" s="1862"/>
      <c r="W340" s="29"/>
    </row>
    <row r="341" spans="1:28" s="76" customFormat="1" ht="6" customHeight="1">
      <c r="A341" s="71"/>
      <c r="B341" s="72"/>
      <c r="C341" s="73"/>
      <c r="D341" s="73"/>
      <c r="E341" s="73"/>
      <c r="F341" s="73"/>
      <c r="G341" s="73"/>
      <c r="H341" s="73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5"/>
      <c r="W341" s="29"/>
      <c r="X341" s="2"/>
      <c r="Y341" s="2"/>
      <c r="Z341" s="2"/>
      <c r="AA341" s="2"/>
      <c r="AB341" s="2"/>
    </row>
    <row r="342" spans="1:28" s="76" customFormat="1" ht="7.5" customHeight="1">
      <c r="A342" s="71"/>
      <c r="B342" s="1863" t="s">
        <v>62</v>
      </c>
      <c r="C342" s="1864"/>
      <c r="D342" s="1864"/>
      <c r="E342" s="1864"/>
      <c r="F342" s="1864"/>
      <c r="G342" s="1864"/>
      <c r="H342" s="1864"/>
      <c r="I342" s="1864"/>
      <c r="J342" s="1864"/>
      <c r="K342" s="1864"/>
      <c r="L342" s="1864"/>
      <c r="M342" s="1864"/>
      <c r="N342" s="1864"/>
      <c r="O342" s="1864"/>
      <c r="P342" s="1864"/>
      <c r="Q342" s="1864"/>
      <c r="R342" s="1864"/>
      <c r="S342" s="1864"/>
      <c r="T342" s="1864"/>
      <c r="U342" s="1864"/>
      <c r="V342" s="1865"/>
      <c r="W342" s="29"/>
      <c r="X342" s="2"/>
      <c r="Y342" s="2"/>
      <c r="Z342" s="2"/>
      <c r="AA342" s="2"/>
      <c r="AB342" s="2"/>
    </row>
    <row r="343" spans="1:28" s="76" customFormat="1" ht="7.5" customHeight="1">
      <c r="A343" s="71"/>
      <c r="B343" s="1866"/>
      <c r="C343" s="1867"/>
      <c r="D343" s="1867"/>
      <c r="E343" s="1867"/>
      <c r="F343" s="1867"/>
      <c r="G343" s="1867"/>
      <c r="H343" s="1867"/>
      <c r="I343" s="1867"/>
      <c r="J343" s="1867"/>
      <c r="K343" s="1867"/>
      <c r="L343" s="1867"/>
      <c r="M343" s="1867"/>
      <c r="N343" s="1867"/>
      <c r="O343" s="1867"/>
      <c r="P343" s="1867"/>
      <c r="Q343" s="1867"/>
      <c r="R343" s="1867"/>
      <c r="S343" s="1867"/>
      <c r="T343" s="1867"/>
      <c r="U343" s="1867"/>
      <c r="V343" s="1868"/>
      <c r="W343" s="29"/>
      <c r="X343" s="2"/>
      <c r="Y343" s="2"/>
      <c r="Z343" s="2"/>
      <c r="AA343" s="2"/>
      <c r="AB343" s="2"/>
    </row>
    <row r="344" spans="1:28" s="76" customFormat="1" ht="5.0999999999999996" customHeight="1">
      <c r="A344" s="71"/>
      <c r="B344" s="72"/>
      <c r="C344" s="72"/>
      <c r="D344" s="72"/>
      <c r="E344" s="72"/>
      <c r="F344" s="72"/>
      <c r="G344" s="72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8"/>
      <c r="W344" s="29"/>
      <c r="X344" s="2"/>
      <c r="Y344" s="2"/>
      <c r="Z344" s="2"/>
      <c r="AA344" s="2"/>
      <c r="AB344" s="2"/>
    </row>
    <row r="345" spans="1:28" s="76" customFormat="1" ht="15.6" customHeight="1">
      <c r="A345" s="71"/>
      <c r="B345" s="79" t="s">
        <v>47</v>
      </c>
      <c r="C345" s="80"/>
      <c r="D345" s="80"/>
      <c r="E345" s="81"/>
      <c r="F345" s="82"/>
      <c r="G345" s="82"/>
      <c r="H345" s="83"/>
      <c r="I345" s="84"/>
      <c r="J345" s="84"/>
      <c r="K345" s="85"/>
      <c r="L345" s="86" t="s">
        <v>48</v>
      </c>
      <c r="M345" s="83" t="e">
        <f>+M294</f>
        <v>#REF!</v>
      </c>
      <c r="N345" s="82"/>
      <c r="O345" s="84"/>
      <c r="P345" s="83"/>
      <c r="Q345" s="84"/>
      <c r="R345" s="84"/>
      <c r="S345" s="83"/>
      <c r="T345" s="84"/>
      <c r="U345" s="84"/>
      <c r="V345" s="87" t="s">
        <v>49</v>
      </c>
      <c r="W345" s="29"/>
      <c r="X345" s="2"/>
      <c r="Y345" s="2"/>
      <c r="Z345" s="2"/>
      <c r="AA345" s="2"/>
      <c r="AB345" s="2"/>
    </row>
    <row r="346" spans="1:28" s="76" customFormat="1" ht="15.6" customHeight="1">
      <c r="A346" s="71"/>
      <c r="B346" s="88"/>
      <c r="C346" s="89"/>
      <c r="D346" s="89"/>
      <c r="E346" s="96"/>
      <c r="F346" s="90"/>
      <c r="G346" s="90"/>
      <c r="H346" s="91"/>
      <c r="I346" s="92"/>
      <c r="J346" s="92"/>
      <c r="K346" s="93"/>
      <c r="L346" s="94" t="s">
        <v>50</v>
      </c>
      <c r="M346" s="91" t="e">
        <f t="shared" ref="M346:M349" si="47">+M295</f>
        <v>#REF!</v>
      </c>
      <c r="N346" s="90"/>
      <c r="O346" s="92"/>
      <c r="P346" s="91"/>
      <c r="Q346" s="92"/>
      <c r="R346" s="92"/>
      <c r="S346" s="91"/>
      <c r="T346" s="92"/>
      <c r="U346" s="92"/>
      <c r="V346" s="95"/>
      <c r="W346" s="29"/>
      <c r="X346" s="2"/>
      <c r="Y346" s="2"/>
      <c r="Z346" s="2"/>
      <c r="AA346" s="2"/>
      <c r="AB346" s="2"/>
    </row>
    <row r="347" spans="1:28" s="76" customFormat="1" ht="15.6" customHeight="1">
      <c r="A347" s="71"/>
      <c r="B347" s="88"/>
      <c r="C347" s="89"/>
      <c r="D347" s="89"/>
      <c r="E347" s="96"/>
      <c r="F347" s="90"/>
      <c r="G347" s="90"/>
      <c r="H347" s="91"/>
      <c r="I347" s="92"/>
      <c r="J347" s="92"/>
      <c r="K347" s="93"/>
      <c r="L347" s="94" t="s">
        <v>51</v>
      </c>
      <c r="M347" s="91" t="e">
        <f t="shared" si="47"/>
        <v>#REF!</v>
      </c>
      <c r="N347" s="90"/>
      <c r="O347" s="92"/>
      <c r="P347" s="91"/>
      <c r="Q347" s="92"/>
      <c r="R347" s="92"/>
      <c r="S347" s="91"/>
      <c r="T347" s="92"/>
      <c r="U347" s="92"/>
      <c r="V347" s="1871" t="s">
        <v>52</v>
      </c>
      <c r="W347" s="29"/>
      <c r="X347" s="2"/>
      <c r="Y347" s="2"/>
      <c r="Z347" s="2"/>
      <c r="AA347" s="2"/>
      <c r="AB347" s="2"/>
    </row>
    <row r="348" spans="1:28" s="76" customFormat="1" ht="15.6" customHeight="1">
      <c r="A348" s="71"/>
      <c r="B348" s="88"/>
      <c r="C348" s="89"/>
      <c r="D348" s="89"/>
      <c r="E348" s="96"/>
      <c r="F348" s="90"/>
      <c r="G348" s="90"/>
      <c r="H348" s="91"/>
      <c r="I348" s="92"/>
      <c r="J348" s="92"/>
      <c r="K348" s="93"/>
      <c r="L348" s="94" t="s">
        <v>53</v>
      </c>
      <c r="M348" s="91" t="e">
        <f t="shared" si="47"/>
        <v>#REF!</v>
      </c>
      <c r="N348" s="90"/>
      <c r="O348" s="92"/>
      <c r="P348" s="91"/>
      <c r="Q348" s="92"/>
      <c r="R348" s="92"/>
      <c r="S348" s="91"/>
      <c r="T348" s="92"/>
      <c r="U348" s="92"/>
      <c r="V348" s="1872"/>
      <c r="W348" s="29"/>
      <c r="X348" s="2"/>
      <c r="Y348" s="2"/>
      <c r="Z348" s="2"/>
      <c r="AA348" s="2"/>
      <c r="AB348" s="2"/>
    </row>
    <row r="349" spans="1:28" s="76" customFormat="1" ht="15.6" customHeight="1">
      <c r="A349" s="71"/>
      <c r="B349" s="97"/>
      <c r="C349" s="73"/>
      <c r="D349" s="73"/>
      <c r="E349" s="73"/>
      <c r="F349" s="73"/>
      <c r="G349" s="73"/>
      <c r="H349" s="73"/>
      <c r="I349" s="98" t="s">
        <v>54</v>
      </c>
      <c r="J349" s="99">
        <f ca="1">TODAY()</f>
        <v>46063</v>
      </c>
      <c r="K349" s="100"/>
      <c r="L349" s="101" t="s">
        <v>55</v>
      </c>
      <c r="M349" s="74" t="e">
        <f t="shared" si="47"/>
        <v>#REF!</v>
      </c>
      <c r="N349" s="73"/>
      <c r="O349" s="74"/>
      <c r="P349" s="74"/>
      <c r="Q349" s="74"/>
      <c r="R349" s="74"/>
      <c r="S349" s="74"/>
      <c r="T349" s="74"/>
      <c r="U349" s="74"/>
      <c r="V349" s="1873"/>
      <c r="W349" s="29"/>
      <c r="X349" s="2"/>
      <c r="Y349" s="2"/>
      <c r="Z349" s="2"/>
      <c r="AA349" s="2"/>
      <c r="AB349" s="2"/>
    </row>
    <row r="350" spans="1:28" s="106" customFormat="1" ht="8.1" customHeight="1">
      <c r="A350" s="102"/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103"/>
      <c r="W350" s="104"/>
      <c r="X350" s="105"/>
      <c r="Y350" s="105"/>
      <c r="Z350" s="105"/>
      <c r="AA350" s="105"/>
      <c r="AB350" s="105"/>
    </row>
    <row r="351" spans="1:28">
      <c r="W351" s="105"/>
      <c r="X351" s="2"/>
      <c r="Y351" s="2"/>
      <c r="Z351" s="2"/>
      <c r="AA351" s="2"/>
      <c r="AB351" s="2"/>
    </row>
    <row r="352" spans="1:28">
      <c r="W352" s="105"/>
      <c r="X352" s="2"/>
      <c r="Y352" s="2"/>
      <c r="Z352" s="2"/>
      <c r="AA352" s="2"/>
      <c r="AB352" s="2"/>
    </row>
    <row r="353" spans="14:28">
      <c r="N353" s="108" t="s">
        <v>63</v>
      </c>
      <c r="O353" s="108" t="s">
        <v>22</v>
      </c>
      <c r="R353" s="108" t="s">
        <v>24</v>
      </c>
      <c r="V353" s="109" t="s">
        <v>12</v>
      </c>
      <c r="W353" s="105"/>
      <c r="X353" s="2"/>
      <c r="Y353" s="2"/>
      <c r="Z353" s="2"/>
      <c r="AA353" s="2"/>
      <c r="AB353" s="2"/>
    </row>
    <row r="354" spans="14:28">
      <c r="W354" s="105"/>
      <c r="X354" s="2"/>
      <c r="Y354" s="2"/>
      <c r="Z354" s="2"/>
      <c r="AA354" s="2"/>
      <c r="AB354" s="2"/>
    </row>
    <row r="355" spans="14:28">
      <c r="N355" s="57" t="e">
        <f>+N339+N288+N237+N186+N135+N84+N40</f>
        <v>#REF!</v>
      </c>
      <c r="O355" s="57" t="e">
        <f>+O339+O288+O237+O186+O135+O84+O40</f>
        <v>#REF!</v>
      </c>
      <c r="R355" s="57" t="e">
        <f>+R339+R288+R237+R186+R135+R84+R40</f>
        <v>#REF!</v>
      </c>
      <c r="S355" s="1874" t="s">
        <v>44</v>
      </c>
      <c r="T355" s="1875"/>
      <c r="U355" s="110" t="e">
        <f>V355/O355</f>
        <v>#REF!</v>
      </c>
      <c r="V355" s="112" t="e">
        <f>+V339+V288+V237+V186+V135+V84+V40</f>
        <v>#REF!</v>
      </c>
      <c r="W355" s="105"/>
      <c r="X355" s="2"/>
      <c r="Y355" s="2"/>
      <c r="Z355" s="2"/>
      <c r="AA355" s="2"/>
      <c r="AB355" s="2"/>
    </row>
    <row r="356" spans="14:28">
      <c r="W356" s="105"/>
      <c r="X356" s="2"/>
      <c r="Y356" s="2"/>
      <c r="Z356" s="2"/>
      <c r="AA356" s="2"/>
      <c r="AB356" s="2"/>
    </row>
    <row r="357" spans="14:28">
      <c r="W357" s="105"/>
      <c r="X357" s="2"/>
      <c r="Y357" s="2"/>
      <c r="Z357" s="2"/>
      <c r="AA357" s="2"/>
      <c r="AB357" s="2"/>
    </row>
  </sheetData>
  <mergeCells count="73">
    <mergeCell ref="V347:V349"/>
    <mergeCell ref="S355:T355"/>
    <mergeCell ref="B304:B305"/>
    <mergeCell ref="B306:B308"/>
    <mergeCell ref="C339:I339"/>
    <mergeCell ref="C340:N340"/>
    <mergeCell ref="S340:V340"/>
    <mergeCell ref="B342:V343"/>
    <mergeCell ref="C301:D301"/>
    <mergeCell ref="E301:E303"/>
    <mergeCell ref="C302:C303"/>
    <mergeCell ref="V245:V247"/>
    <mergeCell ref="C250:D250"/>
    <mergeCell ref="E250:E252"/>
    <mergeCell ref="C251:C252"/>
    <mergeCell ref="C288:I288"/>
    <mergeCell ref="C289:N289"/>
    <mergeCell ref="S289:V289"/>
    <mergeCell ref="B291:V292"/>
    <mergeCell ref="V296:V298"/>
    <mergeCell ref="B253:B254"/>
    <mergeCell ref="B255:B257"/>
    <mergeCell ref="B240:V241"/>
    <mergeCell ref="C186:I186"/>
    <mergeCell ref="C187:N187"/>
    <mergeCell ref="S187:V187"/>
    <mergeCell ref="B189:V190"/>
    <mergeCell ref="V194:V196"/>
    <mergeCell ref="C199:D199"/>
    <mergeCell ref="E199:E201"/>
    <mergeCell ref="C200:C201"/>
    <mergeCell ref="B202:B203"/>
    <mergeCell ref="B204:B206"/>
    <mergeCell ref="C237:I237"/>
    <mergeCell ref="C238:N238"/>
    <mergeCell ref="S238:V238"/>
    <mergeCell ref="V143:V145"/>
    <mergeCell ref="C148:D148"/>
    <mergeCell ref="E148:E150"/>
    <mergeCell ref="C149:C150"/>
    <mergeCell ref="B151:B152"/>
    <mergeCell ref="B153:B155"/>
    <mergeCell ref="B100:B101"/>
    <mergeCell ref="B102:B104"/>
    <mergeCell ref="C135:I135"/>
    <mergeCell ref="C136:N136"/>
    <mergeCell ref="S136:V136"/>
    <mergeCell ref="B138:V139"/>
    <mergeCell ref="C85:N85"/>
    <mergeCell ref="S85:V85"/>
    <mergeCell ref="B87:V88"/>
    <mergeCell ref="V92:V94"/>
    <mergeCell ref="C97:D97"/>
    <mergeCell ref="E97:E99"/>
    <mergeCell ref="C98:C99"/>
    <mergeCell ref="C84:I84"/>
    <mergeCell ref="B5:B7"/>
    <mergeCell ref="B8:B9"/>
    <mergeCell ref="B13:B15"/>
    <mergeCell ref="C40:I40"/>
    <mergeCell ref="C46:D46"/>
    <mergeCell ref="E46:E48"/>
    <mergeCell ref="C47:C48"/>
    <mergeCell ref="B49:B50"/>
    <mergeCell ref="B51:B53"/>
    <mergeCell ref="P40:Q40"/>
    <mergeCell ref="B42:V43"/>
    <mergeCell ref="C2:D2"/>
    <mergeCell ref="E2:E4"/>
    <mergeCell ref="M2:M3"/>
    <mergeCell ref="N2:N3"/>
    <mergeCell ref="O2:O3"/>
    <mergeCell ref="C3:C4"/>
  </mergeCells>
  <conditionalFormatting sqref="L5:M5 L7:M7 L9:M9 L11:M11 M13 M15 M17 M19:N19 M21:N21 M23:N23 M25:N25 M27:N27 M29:N29 M31:N31 M33:N33 M35:N35 M37:N37 L39:M39">
    <cfRule type="cellIs" dxfId="223" priority="36" operator="equal">
      <formula>0</formula>
    </cfRule>
  </conditionalFormatting>
  <conditionalFormatting sqref="L6:M6 M8 M10 M12 M14 M16 M18 M20:N20 M22:N22 M24:N24 M26:N26 M28:N28 M30:N30 M32:N32 M34:N34 M36:N36 M38:N38">
    <cfRule type="cellIs" dxfId="222" priority="35" operator="equal">
      <formula>0</formula>
    </cfRule>
  </conditionalFormatting>
  <conditionalFormatting sqref="L49:M49 L51:M51 L53:M53 L83:M83">
    <cfRule type="cellIs" dxfId="221" priority="34" operator="equal">
      <formula>0</formula>
    </cfRule>
  </conditionalFormatting>
  <conditionalFormatting sqref="L50:M50 L52:M52 L54:M54">
    <cfRule type="cellIs" dxfId="220" priority="33" operator="equal">
      <formula>0</formula>
    </cfRule>
  </conditionalFormatting>
  <conditionalFormatting sqref="L55:M55 L57:M57 L59:M59 L61:M61 L63:M63 L65:M65 L67:M67 L69:M69 L71:M71 L73:M73 L75:M75 L77:M77 L79:M79 L81:M81">
    <cfRule type="cellIs" dxfId="219" priority="32" operator="equal">
      <formula>0</formula>
    </cfRule>
  </conditionalFormatting>
  <conditionalFormatting sqref="L56:M56 L58:M58 L60:M60 L62:M62 L64:M64 L66:M66 L68:M68 L70:M70 L72:M72 L74:M74 L76:M76 L78:M78 L80:M80 L82:M82">
    <cfRule type="cellIs" dxfId="218" priority="31" operator="equal">
      <formula>0</formula>
    </cfRule>
  </conditionalFormatting>
  <conditionalFormatting sqref="L100:M100">
    <cfRule type="cellIs" dxfId="217" priority="26" operator="equal">
      <formula>0</formula>
    </cfRule>
  </conditionalFormatting>
  <conditionalFormatting sqref="L101:M101">
    <cfRule type="cellIs" dxfId="216" priority="25" operator="equal">
      <formula>0</formula>
    </cfRule>
  </conditionalFormatting>
  <conditionalFormatting sqref="L102:M102 L104:M104 L134:M134">
    <cfRule type="cellIs" dxfId="215" priority="30" operator="equal">
      <formula>0</formula>
    </cfRule>
  </conditionalFormatting>
  <conditionalFormatting sqref="L103:M103 L105:M105">
    <cfRule type="cellIs" dxfId="214" priority="29" operator="equal">
      <formula>0</formula>
    </cfRule>
  </conditionalFormatting>
  <conditionalFormatting sqref="L106:M106 L108:M108 L110:M110 L112:M112 L114:M114 L116:M116 L118:M118 L120:M120 L122:M122 L124:M124 L126:M126 L128:M128 L130:M130 L132:M132">
    <cfRule type="cellIs" dxfId="213" priority="28" operator="equal">
      <formula>0</formula>
    </cfRule>
  </conditionalFormatting>
  <conditionalFormatting sqref="L107:M107 L109:M109 L111:M111 L113:M113 L115:M115 L117:M117 L119:M119 L121:M121 L123:M123 L125:M125 L127:M127 L129:M129 L131:M131 L133:M133">
    <cfRule type="cellIs" dxfId="212" priority="27" operator="equal">
      <formula>0</formula>
    </cfRule>
  </conditionalFormatting>
  <conditionalFormatting sqref="L151:M151">
    <cfRule type="cellIs" dxfId="211" priority="20" operator="equal">
      <formula>0</formula>
    </cfRule>
  </conditionalFormatting>
  <conditionalFormatting sqref="L152:M152">
    <cfRule type="cellIs" dxfId="210" priority="19" operator="equal">
      <formula>0</formula>
    </cfRule>
  </conditionalFormatting>
  <conditionalFormatting sqref="L153:M153 L155:M155 L185:M185">
    <cfRule type="cellIs" dxfId="209" priority="24" operator="equal">
      <formula>0</formula>
    </cfRule>
  </conditionalFormatting>
  <conditionalFormatting sqref="L154:M154 L156:M156">
    <cfRule type="cellIs" dxfId="208" priority="23" operator="equal">
      <formula>0</formula>
    </cfRule>
  </conditionalFormatting>
  <conditionalFormatting sqref="L157:M157 L159:M159 L161:M161 L163:M163 L165:M165 L167:M167 L169:M169 L171:M171 L173:M173 L175:M175 L177:M177 L179:M179 L181:M181 L183:M183">
    <cfRule type="cellIs" dxfId="207" priority="22" operator="equal">
      <formula>0</formula>
    </cfRule>
  </conditionalFormatting>
  <conditionalFormatting sqref="L158:M158 L160:M160 L162:M162 L164:M164 L166:M166 L168:M168 L170:M170 L172:M172 L174:M174 L176:M176 L178:M178 L180:M180 L182:M182 L184:M184">
    <cfRule type="cellIs" dxfId="206" priority="21" operator="equal">
      <formula>0</formula>
    </cfRule>
  </conditionalFormatting>
  <conditionalFormatting sqref="L202:M202">
    <cfRule type="cellIs" dxfId="205" priority="14" operator="equal">
      <formula>0</formula>
    </cfRule>
  </conditionalFormatting>
  <conditionalFormatting sqref="L203:M203">
    <cfRule type="cellIs" dxfId="204" priority="13" operator="equal">
      <formula>0</formula>
    </cfRule>
  </conditionalFormatting>
  <conditionalFormatting sqref="L204:M204 L206:M206 L236:M236">
    <cfRule type="cellIs" dxfId="203" priority="18" operator="equal">
      <formula>0</formula>
    </cfRule>
  </conditionalFormatting>
  <conditionalFormatting sqref="L205:M205 L207:M207">
    <cfRule type="cellIs" dxfId="202" priority="17" operator="equal">
      <formula>0</formula>
    </cfRule>
  </conditionalFormatting>
  <conditionalFormatting sqref="L208:M208 L210:M210 L212:M212 L214:M214 L216:M216 L218:M218 L220:M220 L222:M222 L224:M224 L226:M226 L228:M228 L230:M230 L232:M232 L234:M234">
    <cfRule type="cellIs" dxfId="201" priority="16" operator="equal">
      <formula>0</formula>
    </cfRule>
  </conditionalFormatting>
  <conditionalFormatting sqref="L209:M209 L211:M211 L213:M213 L215:M215 L217:M217 L219:M219 L221:M221 L223:M223 L225:M225 L227:M227 L229:M229 L231:M231 L233:M233 L235:M235">
    <cfRule type="cellIs" dxfId="200" priority="15" operator="equal">
      <formula>0</formula>
    </cfRule>
  </conditionalFormatting>
  <conditionalFormatting sqref="L253:M253">
    <cfRule type="cellIs" dxfId="199" priority="8" operator="equal">
      <formula>0</formula>
    </cfRule>
  </conditionalFormatting>
  <conditionalFormatting sqref="L254:M254">
    <cfRule type="cellIs" dxfId="198" priority="7" operator="equal">
      <formula>0</formula>
    </cfRule>
  </conditionalFormatting>
  <conditionalFormatting sqref="L255:M255 L257:M257 L287:M287">
    <cfRule type="cellIs" dxfId="197" priority="12" operator="equal">
      <formula>0</formula>
    </cfRule>
  </conditionalFormatting>
  <conditionalFormatting sqref="L256:M256 L258:M258">
    <cfRule type="cellIs" dxfId="196" priority="11" operator="equal">
      <formula>0</formula>
    </cfRule>
  </conditionalFormatting>
  <conditionalFormatting sqref="L259:M259 L261:M261 L263:M263 L265:M265 L267:M267 L269:M269 L271:M271 L273:M273 L275:M275 L277:M277 L279:M279 L281:M281 L283:M283 L285:M285">
    <cfRule type="cellIs" dxfId="195" priority="10" operator="equal">
      <formula>0</formula>
    </cfRule>
  </conditionalFormatting>
  <conditionalFormatting sqref="L260:M260 L262:M262 L264:M264 L266:M266 L268:M268 L270:M270 L272:M272 L274:M274 L276:M276 L278:M278 L280:M280 L282:M282 L284:M284 L286:M286">
    <cfRule type="cellIs" dxfId="194" priority="9" operator="equal">
      <formula>0</formula>
    </cfRule>
  </conditionalFormatting>
  <conditionalFormatting sqref="L304:M304">
    <cfRule type="cellIs" dxfId="193" priority="2" operator="equal">
      <formula>0</formula>
    </cfRule>
  </conditionalFormatting>
  <conditionalFormatting sqref="L305:M305">
    <cfRule type="cellIs" dxfId="192" priority="1" operator="equal">
      <formula>0</formula>
    </cfRule>
  </conditionalFormatting>
  <conditionalFormatting sqref="L306:M306 L308:M308 L338:M338">
    <cfRule type="cellIs" dxfId="191" priority="6" operator="equal">
      <formula>0</formula>
    </cfRule>
  </conditionalFormatting>
  <conditionalFormatting sqref="L307:M307 L309:M309">
    <cfRule type="cellIs" dxfId="190" priority="5" operator="equal">
      <formula>0</formula>
    </cfRule>
  </conditionalFormatting>
  <conditionalFormatting sqref="L310:M310 L312:M312 L314:M314 L316:M316 L318:M318 L320:M320 L322:M322 L324:M324 L326:M326 L328:M328 L330:M330 L332:M332 L334:M334 L336:M336">
    <cfRule type="cellIs" dxfId="189" priority="4" operator="equal">
      <formula>0</formula>
    </cfRule>
  </conditionalFormatting>
  <conditionalFormatting sqref="L311:M311 L313:M313 L315:M315 L317:M317 L319:M319 L321:M321 L323:M323 L325:M325 L327:M327 L329:M329 L331:M331 L333:M333 L335:M335 L337:M337">
    <cfRule type="cellIs" dxfId="188" priority="3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rowBreaks count="6" manualBreakCount="6">
    <brk id="44" max="24" man="1"/>
    <brk id="95" max="24" man="1"/>
    <brk id="146" max="24" man="1"/>
    <brk id="197" max="24" man="1"/>
    <brk id="248" max="24" man="1"/>
    <brk id="299" max="24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B00E-AC57-4CF3-8117-4E7C116923F7}">
  <sheetPr>
    <tabColor rgb="FF00FF00"/>
  </sheetPr>
  <dimension ref="A1:AC353"/>
  <sheetViews>
    <sheetView view="pageBreakPreview" zoomScale="70" zoomScaleNormal="75" zoomScaleSheetLayoutView="70" workbookViewId="0">
      <selection activeCell="M34" sqref="M34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" style="3" customWidth="1"/>
    <col min="5" max="5" width="30.28515625" style="3" customWidth="1"/>
    <col min="6" max="9" width="6.7109375" style="3" customWidth="1"/>
    <col min="10" max="10" width="10.85546875" style="3" customWidth="1"/>
    <col min="11" max="11" width="15.7109375" style="3" customWidth="1"/>
    <col min="12" max="12" width="12.85546875" style="3" customWidth="1"/>
    <col min="13" max="13" width="16.5703125" style="3" customWidth="1"/>
    <col min="14" max="14" width="12.42578125" style="3" hidden="1" customWidth="1"/>
    <col min="15" max="15" width="10.85546875" style="3" hidden="1" customWidth="1"/>
    <col min="16" max="16" width="4.85546875" style="3" hidden="1" customWidth="1"/>
    <col min="17" max="17" width="5.140625" style="3" hidden="1" customWidth="1"/>
    <col min="18" max="18" width="8.7109375" style="3" hidden="1" customWidth="1"/>
    <col min="19" max="19" width="6.42578125" style="3" hidden="1" customWidth="1"/>
    <col min="20" max="20" width="6.5703125" style="3" hidden="1" customWidth="1"/>
    <col min="21" max="21" width="7.42578125" style="3" hidden="1" customWidth="1"/>
    <col min="22" max="22" width="6.85546875" style="3" hidden="1" customWidth="1"/>
    <col min="23" max="23" width="10.7109375" style="3" hidden="1" customWidth="1"/>
    <col min="24" max="24" width="1.7109375" style="107" customWidth="1"/>
    <col min="25" max="256" width="11.42578125" style="3"/>
    <col min="257" max="257" width="23.7109375" style="3" customWidth="1"/>
    <col min="258" max="258" width="0" style="3" hidden="1" customWidth="1"/>
    <col min="259" max="259" width="41.42578125" style="3" customWidth="1"/>
    <col min="260" max="260" width="19.140625" style="3" customWidth="1"/>
    <col min="261" max="261" width="6.28515625" style="3" customWidth="1"/>
    <col min="262" max="262" width="6" style="3" customWidth="1"/>
    <col min="263" max="263" width="7.42578125" style="3" customWidth="1"/>
    <col min="264" max="264" width="5.7109375" style="3" customWidth="1"/>
    <col min="265" max="265" width="5.28515625" style="3" customWidth="1"/>
    <col min="266" max="266" width="10" style="3" customWidth="1"/>
    <col min="267" max="267" width="6.28515625" style="3" customWidth="1"/>
    <col min="268" max="268" width="8.28515625" style="3" customWidth="1"/>
    <col min="269" max="269" width="12.42578125" style="3" customWidth="1"/>
    <col min="270" max="270" width="5.28515625" style="3" customWidth="1"/>
    <col min="271" max="271" width="10.85546875" style="3" customWidth="1"/>
    <col min="272" max="272" width="4.85546875" style="3" customWidth="1"/>
    <col min="273" max="273" width="5.140625" style="3" customWidth="1"/>
    <col min="274" max="274" width="10.5703125" style="3" customWidth="1"/>
    <col min="275" max="275" width="6.28515625" style="3" customWidth="1"/>
    <col min="276" max="276" width="6.5703125" style="3" customWidth="1"/>
    <col min="277" max="277" width="7.42578125" style="3" customWidth="1"/>
    <col min="278" max="278" width="6.85546875" style="3" customWidth="1"/>
    <col min="279" max="279" width="10.7109375" style="3" customWidth="1"/>
    <col min="280" max="280" width="5.140625" style="3" customWidth="1"/>
    <col min="281" max="512" width="11.42578125" style="3"/>
    <col min="513" max="513" width="23.7109375" style="3" customWidth="1"/>
    <col min="514" max="514" width="0" style="3" hidden="1" customWidth="1"/>
    <col min="515" max="515" width="41.42578125" style="3" customWidth="1"/>
    <col min="516" max="516" width="19.140625" style="3" customWidth="1"/>
    <col min="517" max="517" width="6.28515625" style="3" customWidth="1"/>
    <col min="518" max="518" width="6" style="3" customWidth="1"/>
    <col min="519" max="519" width="7.42578125" style="3" customWidth="1"/>
    <col min="520" max="520" width="5.7109375" style="3" customWidth="1"/>
    <col min="521" max="521" width="5.28515625" style="3" customWidth="1"/>
    <col min="522" max="522" width="10" style="3" customWidth="1"/>
    <col min="523" max="523" width="6.28515625" style="3" customWidth="1"/>
    <col min="524" max="524" width="8.28515625" style="3" customWidth="1"/>
    <col min="525" max="525" width="12.42578125" style="3" customWidth="1"/>
    <col min="526" max="526" width="5.28515625" style="3" customWidth="1"/>
    <col min="527" max="527" width="10.85546875" style="3" customWidth="1"/>
    <col min="528" max="528" width="4.85546875" style="3" customWidth="1"/>
    <col min="529" max="529" width="5.140625" style="3" customWidth="1"/>
    <col min="530" max="530" width="10.5703125" style="3" customWidth="1"/>
    <col min="531" max="531" width="6.28515625" style="3" customWidth="1"/>
    <col min="532" max="532" width="6.5703125" style="3" customWidth="1"/>
    <col min="533" max="533" width="7.42578125" style="3" customWidth="1"/>
    <col min="534" max="534" width="6.85546875" style="3" customWidth="1"/>
    <col min="535" max="535" width="10.7109375" style="3" customWidth="1"/>
    <col min="536" max="536" width="5.140625" style="3" customWidth="1"/>
    <col min="537" max="768" width="11.42578125" style="3"/>
    <col min="769" max="769" width="23.7109375" style="3" customWidth="1"/>
    <col min="770" max="770" width="0" style="3" hidden="1" customWidth="1"/>
    <col min="771" max="771" width="41.42578125" style="3" customWidth="1"/>
    <col min="772" max="772" width="19.140625" style="3" customWidth="1"/>
    <col min="773" max="773" width="6.28515625" style="3" customWidth="1"/>
    <col min="774" max="774" width="6" style="3" customWidth="1"/>
    <col min="775" max="775" width="7.42578125" style="3" customWidth="1"/>
    <col min="776" max="776" width="5.7109375" style="3" customWidth="1"/>
    <col min="777" max="777" width="5.28515625" style="3" customWidth="1"/>
    <col min="778" max="778" width="10" style="3" customWidth="1"/>
    <col min="779" max="779" width="6.28515625" style="3" customWidth="1"/>
    <col min="780" max="780" width="8.28515625" style="3" customWidth="1"/>
    <col min="781" max="781" width="12.42578125" style="3" customWidth="1"/>
    <col min="782" max="782" width="5.28515625" style="3" customWidth="1"/>
    <col min="783" max="783" width="10.85546875" style="3" customWidth="1"/>
    <col min="784" max="784" width="4.85546875" style="3" customWidth="1"/>
    <col min="785" max="785" width="5.140625" style="3" customWidth="1"/>
    <col min="786" max="786" width="10.5703125" style="3" customWidth="1"/>
    <col min="787" max="787" width="6.28515625" style="3" customWidth="1"/>
    <col min="788" max="788" width="6.5703125" style="3" customWidth="1"/>
    <col min="789" max="789" width="7.42578125" style="3" customWidth="1"/>
    <col min="790" max="790" width="6.85546875" style="3" customWidth="1"/>
    <col min="791" max="791" width="10.7109375" style="3" customWidth="1"/>
    <col min="792" max="792" width="5.140625" style="3" customWidth="1"/>
    <col min="793" max="1024" width="11.42578125" style="3"/>
    <col min="1025" max="1025" width="23.7109375" style="3" customWidth="1"/>
    <col min="1026" max="1026" width="0" style="3" hidden="1" customWidth="1"/>
    <col min="1027" max="1027" width="41.42578125" style="3" customWidth="1"/>
    <col min="1028" max="1028" width="19.140625" style="3" customWidth="1"/>
    <col min="1029" max="1029" width="6.28515625" style="3" customWidth="1"/>
    <col min="1030" max="1030" width="6" style="3" customWidth="1"/>
    <col min="1031" max="1031" width="7.42578125" style="3" customWidth="1"/>
    <col min="1032" max="1032" width="5.7109375" style="3" customWidth="1"/>
    <col min="1033" max="1033" width="5.28515625" style="3" customWidth="1"/>
    <col min="1034" max="1034" width="10" style="3" customWidth="1"/>
    <col min="1035" max="1035" width="6.28515625" style="3" customWidth="1"/>
    <col min="1036" max="1036" width="8.28515625" style="3" customWidth="1"/>
    <col min="1037" max="1037" width="12.42578125" style="3" customWidth="1"/>
    <col min="1038" max="1038" width="5.28515625" style="3" customWidth="1"/>
    <col min="1039" max="1039" width="10.85546875" style="3" customWidth="1"/>
    <col min="1040" max="1040" width="4.85546875" style="3" customWidth="1"/>
    <col min="1041" max="1041" width="5.140625" style="3" customWidth="1"/>
    <col min="1042" max="1042" width="10.5703125" style="3" customWidth="1"/>
    <col min="1043" max="1043" width="6.28515625" style="3" customWidth="1"/>
    <col min="1044" max="1044" width="6.5703125" style="3" customWidth="1"/>
    <col min="1045" max="1045" width="7.42578125" style="3" customWidth="1"/>
    <col min="1046" max="1046" width="6.85546875" style="3" customWidth="1"/>
    <col min="1047" max="1047" width="10.7109375" style="3" customWidth="1"/>
    <col min="1048" max="1048" width="5.140625" style="3" customWidth="1"/>
    <col min="1049" max="1280" width="11.42578125" style="3"/>
    <col min="1281" max="1281" width="23.7109375" style="3" customWidth="1"/>
    <col min="1282" max="1282" width="0" style="3" hidden="1" customWidth="1"/>
    <col min="1283" max="1283" width="41.42578125" style="3" customWidth="1"/>
    <col min="1284" max="1284" width="19.140625" style="3" customWidth="1"/>
    <col min="1285" max="1285" width="6.28515625" style="3" customWidth="1"/>
    <col min="1286" max="1286" width="6" style="3" customWidth="1"/>
    <col min="1287" max="1287" width="7.42578125" style="3" customWidth="1"/>
    <col min="1288" max="1288" width="5.7109375" style="3" customWidth="1"/>
    <col min="1289" max="1289" width="5.28515625" style="3" customWidth="1"/>
    <col min="1290" max="1290" width="10" style="3" customWidth="1"/>
    <col min="1291" max="1291" width="6.28515625" style="3" customWidth="1"/>
    <col min="1292" max="1292" width="8.28515625" style="3" customWidth="1"/>
    <col min="1293" max="1293" width="12.42578125" style="3" customWidth="1"/>
    <col min="1294" max="1294" width="5.28515625" style="3" customWidth="1"/>
    <col min="1295" max="1295" width="10.85546875" style="3" customWidth="1"/>
    <col min="1296" max="1296" width="4.85546875" style="3" customWidth="1"/>
    <col min="1297" max="1297" width="5.140625" style="3" customWidth="1"/>
    <col min="1298" max="1298" width="10.5703125" style="3" customWidth="1"/>
    <col min="1299" max="1299" width="6.28515625" style="3" customWidth="1"/>
    <col min="1300" max="1300" width="6.5703125" style="3" customWidth="1"/>
    <col min="1301" max="1301" width="7.42578125" style="3" customWidth="1"/>
    <col min="1302" max="1302" width="6.85546875" style="3" customWidth="1"/>
    <col min="1303" max="1303" width="10.7109375" style="3" customWidth="1"/>
    <col min="1304" max="1304" width="5.140625" style="3" customWidth="1"/>
    <col min="1305" max="1536" width="11.42578125" style="3"/>
    <col min="1537" max="1537" width="23.7109375" style="3" customWidth="1"/>
    <col min="1538" max="1538" width="0" style="3" hidden="1" customWidth="1"/>
    <col min="1539" max="1539" width="41.42578125" style="3" customWidth="1"/>
    <col min="1540" max="1540" width="19.140625" style="3" customWidth="1"/>
    <col min="1541" max="1541" width="6.28515625" style="3" customWidth="1"/>
    <col min="1542" max="1542" width="6" style="3" customWidth="1"/>
    <col min="1543" max="1543" width="7.42578125" style="3" customWidth="1"/>
    <col min="1544" max="1544" width="5.7109375" style="3" customWidth="1"/>
    <col min="1545" max="1545" width="5.28515625" style="3" customWidth="1"/>
    <col min="1546" max="1546" width="10" style="3" customWidth="1"/>
    <col min="1547" max="1547" width="6.28515625" style="3" customWidth="1"/>
    <col min="1548" max="1548" width="8.28515625" style="3" customWidth="1"/>
    <col min="1549" max="1549" width="12.42578125" style="3" customWidth="1"/>
    <col min="1550" max="1550" width="5.28515625" style="3" customWidth="1"/>
    <col min="1551" max="1551" width="10.85546875" style="3" customWidth="1"/>
    <col min="1552" max="1552" width="4.85546875" style="3" customWidth="1"/>
    <col min="1553" max="1553" width="5.140625" style="3" customWidth="1"/>
    <col min="1554" max="1554" width="10.5703125" style="3" customWidth="1"/>
    <col min="1555" max="1555" width="6.28515625" style="3" customWidth="1"/>
    <col min="1556" max="1556" width="6.5703125" style="3" customWidth="1"/>
    <col min="1557" max="1557" width="7.42578125" style="3" customWidth="1"/>
    <col min="1558" max="1558" width="6.85546875" style="3" customWidth="1"/>
    <col min="1559" max="1559" width="10.7109375" style="3" customWidth="1"/>
    <col min="1560" max="1560" width="5.140625" style="3" customWidth="1"/>
    <col min="1561" max="1792" width="11.42578125" style="3"/>
    <col min="1793" max="1793" width="23.7109375" style="3" customWidth="1"/>
    <col min="1794" max="1794" width="0" style="3" hidden="1" customWidth="1"/>
    <col min="1795" max="1795" width="41.42578125" style="3" customWidth="1"/>
    <col min="1796" max="1796" width="19.140625" style="3" customWidth="1"/>
    <col min="1797" max="1797" width="6.28515625" style="3" customWidth="1"/>
    <col min="1798" max="1798" width="6" style="3" customWidth="1"/>
    <col min="1799" max="1799" width="7.42578125" style="3" customWidth="1"/>
    <col min="1800" max="1800" width="5.7109375" style="3" customWidth="1"/>
    <col min="1801" max="1801" width="5.28515625" style="3" customWidth="1"/>
    <col min="1802" max="1802" width="10" style="3" customWidth="1"/>
    <col min="1803" max="1803" width="6.28515625" style="3" customWidth="1"/>
    <col min="1804" max="1804" width="8.28515625" style="3" customWidth="1"/>
    <col min="1805" max="1805" width="12.42578125" style="3" customWidth="1"/>
    <col min="1806" max="1806" width="5.28515625" style="3" customWidth="1"/>
    <col min="1807" max="1807" width="10.85546875" style="3" customWidth="1"/>
    <col min="1808" max="1808" width="4.85546875" style="3" customWidth="1"/>
    <col min="1809" max="1809" width="5.140625" style="3" customWidth="1"/>
    <col min="1810" max="1810" width="10.5703125" style="3" customWidth="1"/>
    <col min="1811" max="1811" width="6.28515625" style="3" customWidth="1"/>
    <col min="1812" max="1812" width="6.5703125" style="3" customWidth="1"/>
    <col min="1813" max="1813" width="7.42578125" style="3" customWidth="1"/>
    <col min="1814" max="1814" width="6.85546875" style="3" customWidth="1"/>
    <col min="1815" max="1815" width="10.7109375" style="3" customWidth="1"/>
    <col min="1816" max="1816" width="5.140625" style="3" customWidth="1"/>
    <col min="1817" max="2048" width="11.42578125" style="3"/>
    <col min="2049" max="2049" width="23.7109375" style="3" customWidth="1"/>
    <col min="2050" max="2050" width="0" style="3" hidden="1" customWidth="1"/>
    <col min="2051" max="2051" width="41.42578125" style="3" customWidth="1"/>
    <col min="2052" max="2052" width="19.140625" style="3" customWidth="1"/>
    <col min="2053" max="2053" width="6.28515625" style="3" customWidth="1"/>
    <col min="2054" max="2054" width="6" style="3" customWidth="1"/>
    <col min="2055" max="2055" width="7.42578125" style="3" customWidth="1"/>
    <col min="2056" max="2056" width="5.7109375" style="3" customWidth="1"/>
    <col min="2057" max="2057" width="5.28515625" style="3" customWidth="1"/>
    <col min="2058" max="2058" width="10" style="3" customWidth="1"/>
    <col min="2059" max="2059" width="6.28515625" style="3" customWidth="1"/>
    <col min="2060" max="2060" width="8.28515625" style="3" customWidth="1"/>
    <col min="2061" max="2061" width="12.42578125" style="3" customWidth="1"/>
    <col min="2062" max="2062" width="5.28515625" style="3" customWidth="1"/>
    <col min="2063" max="2063" width="10.85546875" style="3" customWidth="1"/>
    <col min="2064" max="2064" width="4.85546875" style="3" customWidth="1"/>
    <col min="2065" max="2065" width="5.140625" style="3" customWidth="1"/>
    <col min="2066" max="2066" width="10.5703125" style="3" customWidth="1"/>
    <col min="2067" max="2067" width="6.28515625" style="3" customWidth="1"/>
    <col min="2068" max="2068" width="6.5703125" style="3" customWidth="1"/>
    <col min="2069" max="2069" width="7.42578125" style="3" customWidth="1"/>
    <col min="2070" max="2070" width="6.85546875" style="3" customWidth="1"/>
    <col min="2071" max="2071" width="10.7109375" style="3" customWidth="1"/>
    <col min="2072" max="2072" width="5.140625" style="3" customWidth="1"/>
    <col min="2073" max="2304" width="11.42578125" style="3"/>
    <col min="2305" max="2305" width="23.7109375" style="3" customWidth="1"/>
    <col min="2306" max="2306" width="0" style="3" hidden="1" customWidth="1"/>
    <col min="2307" max="2307" width="41.42578125" style="3" customWidth="1"/>
    <col min="2308" max="2308" width="19.140625" style="3" customWidth="1"/>
    <col min="2309" max="2309" width="6.28515625" style="3" customWidth="1"/>
    <col min="2310" max="2310" width="6" style="3" customWidth="1"/>
    <col min="2311" max="2311" width="7.42578125" style="3" customWidth="1"/>
    <col min="2312" max="2312" width="5.7109375" style="3" customWidth="1"/>
    <col min="2313" max="2313" width="5.28515625" style="3" customWidth="1"/>
    <col min="2314" max="2314" width="10" style="3" customWidth="1"/>
    <col min="2315" max="2315" width="6.28515625" style="3" customWidth="1"/>
    <col min="2316" max="2316" width="8.28515625" style="3" customWidth="1"/>
    <col min="2317" max="2317" width="12.42578125" style="3" customWidth="1"/>
    <col min="2318" max="2318" width="5.28515625" style="3" customWidth="1"/>
    <col min="2319" max="2319" width="10.85546875" style="3" customWidth="1"/>
    <col min="2320" max="2320" width="4.85546875" style="3" customWidth="1"/>
    <col min="2321" max="2321" width="5.140625" style="3" customWidth="1"/>
    <col min="2322" max="2322" width="10.5703125" style="3" customWidth="1"/>
    <col min="2323" max="2323" width="6.28515625" style="3" customWidth="1"/>
    <col min="2324" max="2324" width="6.5703125" style="3" customWidth="1"/>
    <col min="2325" max="2325" width="7.42578125" style="3" customWidth="1"/>
    <col min="2326" max="2326" width="6.85546875" style="3" customWidth="1"/>
    <col min="2327" max="2327" width="10.7109375" style="3" customWidth="1"/>
    <col min="2328" max="2328" width="5.140625" style="3" customWidth="1"/>
    <col min="2329" max="2560" width="11.42578125" style="3"/>
    <col min="2561" max="2561" width="23.7109375" style="3" customWidth="1"/>
    <col min="2562" max="2562" width="0" style="3" hidden="1" customWidth="1"/>
    <col min="2563" max="2563" width="41.42578125" style="3" customWidth="1"/>
    <col min="2564" max="2564" width="19.140625" style="3" customWidth="1"/>
    <col min="2565" max="2565" width="6.28515625" style="3" customWidth="1"/>
    <col min="2566" max="2566" width="6" style="3" customWidth="1"/>
    <col min="2567" max="2567" width="7.42578125" style="3" customWidth="1"/>
    <col min="2568" max="2568" width="5.7109375" style="3" customWidth="1"/>
    <col min="2569" max="2569" width="5.28515625" style="3" customWidth="1"/>
    <col min="2570" max="2570" width="10" style="3" customWidth="1"/>
    <col min="2571" max="2571" width="6.28515625" style="3" customWidth="1"/>
    <col min="2572" max="2572" width="8.28515625" style="3" customWidth="1"/>
    <col min="2573" max="2573" width="12.42578125" style="3" customWidth="1"/>
    <col min="2574" max="2574" width="5.28515625" style="3" customWidth="1"/>
    <col min="2575" max="2575" width="10.85546875" style="3" customWidth="1"/>
    <col min="2576" max="2576" width="4.85546875" style="3" customWidth="1"/>
    <col min="2577" max="2577" width="5.140625" style="3" customWidth="1"/>
    <col min="2578" max="2578" width="10.5703125" style="3" customWidth="1"/>
    <col min="2579" max="2579" width="6.28515625" style="3" customWidth="1"/>
    <col min="2580" max="2580" width="6.5703125" style="3" customWidth="1"/>
    <col min="2581" max="2581" width="7.42578125" style="3" customWidth="1"/>
    <col min="2582" max="2582" width="6.85546875" style="3" customWidth="1"/>
    <col min="2583" max="2583" width="10.7109375" style="3" customWidth="1"/>
    <col min="2584" max="2584" width="5.140625" style="3" customWidth="1"/>
    <col min="2585" max="2816" width="11.42578125" style="3"/>
    <col min="2817" max="2817" width="23.7109375" style="3" customWidth="1"/>
    <col min="2818" max="2818" width="0" style="3" hidden="1" customWidth="1"/>
    <col min="2819" max="2819" width="41.42578125" style="3" customWidth="1"/>
    <col min="2820" max="2820" width="19.140625" style="3" customWidth="1"/>
    <col min="2821" max="2821" width="6.28515625" style="3" customWidth="1"/>
    <col min="2822" max="2822" width="6" style="3" customWidth="1"/>
    <col min="2823" max="2823" width="7.42578125" style="3" customWidth="1"/>
    <col min="2824" max="2824" width="5.7109375" style="3" customWidth="1"/>
    <col min="2825" max="2825" width="5.28515625" style="3" customWidth="1"/>
    <col min="2826" max="2826" width="10" style="3" customWidth="1"/>
    <col min="2827" max="2827" width="6.28515625" style="3" customWidth="1"/>
    <col min="2828" max="2828" width="8.28515625" style="3" customWidth="1"/>
    <col min="2829" max="2829" width="12.42578125" style="3" customWidth="1"/>
    <col min="2830" max="2830" width="5.28515625" style="3" customWidth="1"/>
    <col min="2831" max="2831" width="10.85546875" style="3" customWidth="1"/>
    <col min="2832" max="2832" width="4.85546875" style="3" customWidth="1"/>
    <col min="2833" max="2833" width="5.140625" style="3" customWidth="1"/>
    <col min="2834" max="2834" width="10.5703125" style="3" customWidth="1"/>
    <col min="2835" max="2835" width="6.28515625" style="3" customWidth="1"/>
    <col min="2836" max="2836" width="6.5703125" style="3" customWidth="1"/>
    <col min="2837" max="2837" width="7.42578125" style="3" customWidth="1"/>
    <col min="2838" max="2838" width="6.85546875" style="3" customWidth="1"/>
    <col min="2839" max="2839" width="10.7109375" style="3" customWidth="1"/>
    <col min="2840" max="2840" width="5.140625" style="3" customWidth="1"/>
    <col min="2841" max="3072" width="11.42578125" style="3"/>
    <col min="3073" max="3073" width="23.7109375" style="3" customWidth="1"/>
    <col min="3074" max="3074" width="0" style="3" hidden="1" customWidth="1"/>
    <col min="3075" max="3075" width="41.42578125" style="3" customWidth="1"/>
    <col min="3076" max="3076" width="19.140625" style="3" customWidth="1"/>
    <col min="3077" max="3077" width="6.28515625" style="3" customWidth="1"/>
    <col min="3078" max="3078" width="6" style="3" customWidth="1"/>
    <col min="3079" max="3079" width="7.42578125" style="3" customWidth="1"/>
    <col min="3080" max="3080" width="5.7109375" style="3" customWidth="1"/>
    <col min="3081" max="3081" width="5.28515625" style="3" customWidth="1"/>
    <col min="3082" max="3082" width="10" style="3" customWidth="1"/>
    <col min="3083" max="3083" width="6.28515625" style="3" customWidth="1"/>
    <col min="3084" max="3084" width="8.28515625" style="3" customWidth="1"/>
    <col min="3085" max="3085" width="12.42578125" style="3" customWidth="1"/>
    <col min="3086" max="3086" width="5.28515625" style="3" customWidth="1"/>
    <col min="3087" max="3087" width="10.85546875" style="3" customWidth="1"/>
    <col min="3088" max="3088" width="4.85546875" style="3" customWidth="1"/>
    <col min="3089" max="3089" width="5.140625" style="3" customWidth="1"/>
    <col min="3090" max="3090" width="10.5703125" style="3" customWidth="1"/>
    <col min="3091" max="3091" width="6.28515625" style="3" customWidth="1"/>
    <col min="3092" max="3092" width="6.5703125" style="3" customWidth="1"/>
    <col min="3093" max="3093" width="7.42578125" style="3" customWidth="1"/>
    <col min="3094" max="3094" width="6.85546875" style="3" customWidth="1"/>
    <col min="3095" max="3095" width="10.7109375" style="3" customWidth="1"/>
    <col min="3096" max="3096" width="5.140625" style="3" customWidth="1"/>
    <col min="3097" max="3328" width="11.42578125" style="3"/>
    <col min="3329" max="3329" width="23.7109375" style="3" customWidth="1"/>
    <col min="3330" max="3330" width="0" style="3" hidden="1" customWidth="1"/>
    <col min="3331" max="3331" width="41.42578125" style="3" customWidth="1"/>
    <col min="3332" max="3332" width="19.140625" style="3" customWidth="1"/>
    <col min="3333" max="3333" width="6.28515625" style="3" customWidth="1"/>
    <col min="3334" max="3334" width="6" style="3" customWidth="1"/>
    <col min="3335" max="3335" width="7.42578125" style="3" customWidth="1"/>
    <col min="3336" max="3336" width="5.7109375" style="3" customWidth="1"/>
    <col min="3337" max="3337" width="5.28515625" style="3" customWidth="1"/>
    <col min="3338" max="3338" width="10" style="3" customWidth="1"/>
    <col min="3339" max="3339" width="6.28515625" style="3" customWidth="1"/>
    <col min="3340" max="3340" width="8.28515625" style="3" customWidth="1"/>
    <col min="3341" max="3341" width="12.42578125" style="3" customWidth="1"/>
    <col min="3342" max="3342" width="5.28515625" style="3" customWidth="1"/>
    <col min="3343" max="3343" width="10.85546875" style="3" customWidth="1"/>
    <col min="3344" max="3344" width="4.85546875" style="3" customWidth="1"/>
    <col min="3345" max="3345" width="5.140625" style="3" customWidth="1"/>
    <col min="3346" max="3346" width="10.5703125" style="3" customWidth="1"/>
    <col min="3347" max="3347" width="6.28515625" style="3" customWidth="1"/>
    <col min="3348" max="3348" width="6.5703125" style="3" customWidth="1"/>
    <col min="3349" max="3349" width="7.42578125" style="3" customWidth="1"/>
    <col min="3350" max="3350" width="6.85546875" style="3" customWidth="1"/>
    <col min="3351" max="3351" width="10.7109375" style="3" customWidth="1"/>
    <col min="3352" max="3352" width="5.140625" style="3" customWidth="1"/>
    <col min="3353" max="3584" width="11.42578125" style="3"/>
    <col min="3585" max="3585" width="23.7109375" style="3" customWidth="1"/>
    <col min="3586" max="3586" width="0" style="3" hidden="1" customWidth="1"/>
    <col min="3587" max="3587" width="41.42578125" style="3" customWidth="1"/>
    <col min="3588" max="3588" width="19.140625" style="3" customWidth="1"/>
    <col min="3589" max="3589" width="6.28515625" style="3" customWidth="1"/>
    <col min="3590" max="3590" width="6" style="3" customWidth="1"/>
    <col min="3591" max="3591" width="7.42578125" style="3" customWidth="1"/>
    <col min="3592" max="3592" width="5.7109375" style="3" customWidth="1"/>
    <col min="3593" max="3593" width="5.28515625" style="3" customWidth="1"/>
    <col min="3594" max="3594" width="10" style="3" customWidth="1"/>
    <col min="3595" max="3595" width="6.28515625" style="3" customWidth="1"/>
    <col min="3596" max="3596" width="8.28515625" style="3" customWidth="1"/>
    <col min="3597" max="3597" width="12.42578125" style="3" customWidth="1"/>
    <col min="3598" max="3598" width="5.28515625" style="3" customWidth="1"/>
    <col min="3599" max="3599" width="10.85546875" style="3" customWidth="1"/>
    <col min="3600" max="3600" width="4.85546875" style="3" customWidth="1"/>
    <col min="3601" max="3601" width="5.140625" style="3" customWidth="1"/>
    <col min="3602" max="3602" width="10.5703125" style="3" customWidth="1"/>
    <col min="3603" max="3603" width="6.28515625" style="3" customWidth="1"/>
    <col min="3604" max="3604" width="6.5703125" style="3" customWidth="1"/>
    <col min="3605" max="3605" width="7.42578125" style="3" customWidth="1"/>
    <col min="3606" max="3606" width="6.85546875" style="3" customWidth="1"/>
    <col min="3607" max="3607" width="10.7109375" style="3" customWidth="1"/>
    <col min="3608" max="3608" width="5.140625" style="3" customWidth="1"/>
    <col min="3609" max="3840" width="11.42578125" style="3"/>
    <col min="3841" max="3841" width="23.7109375" style="3" customWidth="1"/>
    <col min="3842" max="3842" width="0" style="3" hidden="1" customWidth="1"/>
    <col min="3843" max="3843" width="41.42578125" style="3" customWidth="1"/>
    <col min="3844" max="3844" width="19.140625" style="3" customWidth="1"/>
    <col min="3845" max="3845" width="6.28515625" style="3" customWidth="1"/>
    <col min="3846" max="3846" width="6" style="3" customWidth="1"/>
    <col min="3847" max="3847" width="7.42578125" style="3" customWidth="1"/>
    <col min="3848" max="3848" width="5.7109375" style="3" customWidth="1"/>
    <col min="3849" max="3849" width="5.28515625" style="3" customWidth="1"/>
    <col min="3850" max="3850" width="10" style="3" customWidth="1"/>
    <col min="3851" max="3851" width="6.28515625" style="3" customWidth="1"/>
    <col min="3852" max="3852" width="8.28515625" style="3" customWidth="1"/>
    <col min="3853" max="3853" width="12.42578125" style="3" customWidth="1"/>
    <col min="3854" max="3854" width="5.28515625" style="3" customWidth="1"/>
    <col min="3855" max="3855" width="10.85546875" style="3" customWidth="1"/>
    <col min="3856" max="3856" width="4.85546875" style="3" customWidth="1"/>
    <col min="3857" max="3857" width="5.140625" style="3" customWidth="1"/>
    <col min="3858" max="3858" width="10.5703125" style="3" customWidth="1"/>
    <col min="3859" max="3859" width="6.28515625" style="3" customWidth="1"/>
    <col min="3860" max="3860" width="6.5703125" style="3" customWidth="1"/>
    <col min="3861" max="3861" width="7.42578125" style="3" customWidth="1"/>
    <col min="3862" max="3862" width="6.85546875" style="3" customWidth="1"/>
    <col min="3863" max="3863" width="10.7109375" style="3" customWidth="1"/>
    <col min="3864" max="3864" width="5.140625" style="3" customWidth="1"/>
    <col min="3865" max="4096" width="11.42578125" style="3"/>
    <col min="4097" max="4097" width="23.7109375" style="3" customWidth="1"/>
    <col min="4098" max="4098" width="0" style="3" hidden="1" customWidth="1"/>
    <col min="4099" max="4099" width="41.42578125" style="3" customWidth="1"/>
    <col min="4100" max="4100" width="19.140625" style="3" customWidth="1"/>
    <col min="4101" max="4101" width="6.28515625" style="3" customWidth="1"/>
    <col min="4102" max="4102" width="6" style="3" customWidth="1"/>
    <col min="4103" max="4103" width="7.42578125" style="3" customWidth="1"/>
    <col min="4104" max="4104" width="5.7109375" style="3" customWidth="1"/>
    <col min="4105" max="4105" width="5.28515625" style="3" customWidth="1"/>
    <col min="4106" max="4106" width="10" style="3" customWidth="1"/>
    <col min="4107" max="4107" width="6.28515625" style="3" customWidth="1"/>
    <col min="4108" max="4108" width="8.28515625" style="3" customWidth="1"/>
    <col min="4109" max="4109" width="12.42578125" style="3" customWidth="1"/>
    <col min="4110" max="4110" width="5.28515625" style="3" customWidth="1"/>
    <col min="4111" max="4111" width="10.85546875" style="3" customWidth="1"/>
    <col min="4112" max="4112" width="4.85546875" style="3" customWidth="1"/>
    <col min="4113" max="4113" width="5.140625" style="3" customWidth="1"/>
    <col min="4114" max="4114" width="10.5703125" style="3" customWidth="1"/>
    <col min="4115" max="4115" width="6.28515625" style="3" customWidth="1"/>
    <col min="4116" max="4116" width="6.5703125" style="3" customWidth="1"/>
    <col min="4117" max="4117" width="7.42578125" style="3" customWidth="1"/>
    <col min="4118" max="4118" width="6.85546875" style="3" customWidth="1"/>
    <col min="4119" max="4119" width="10.7109375" style="3" customWidth="1"/>
    <col min="4120" max="4120" width="5.140625" style="3" customWidth="1"/>
    <col min="4121" max="4352" width="11.42578125" style="3"/>
    <col min="4353" max="4353" width="23.7109375" style="3" customWidth="1"/>
    <col min="4354" max="4354" width="0" style="3" hidden="1" customWidth="1"/>
    <col min="4355" max="4355" width="41.42578125" style="3" customWidth="1"/>
    <col min="4356" max="4356" width="19.140625" style="3" customWidth="1"/>
    <col min="4357" max="4357" width="6.28515625" style="3" customWidth="1"/>
    <col min="4358" max="4358" width="6" style="3" customWidth="1"/>
    <col min="4359" max="4359" width="7.42578125" style="3" customWidth="1"/>
    <col min="4360" max="4360" width="5.7109375" style="3" customWidth="1"/>
    <col min="4361" max="4361" width="5.28515625" style="3" customWidth="1"/>
    <col min="4362" max="4362" width="10" style="3" customWidth="1"/>
    <col min="4363" max="4363" width="6.28515625" style="3" customWidth="1"/>
    <col min="4364" max="4364" width="8.28515625" style="3" customWidth="1"/>
    <col min="4365" max="4365" width="12.42578125" style="3" customWidth="1"/>
    <col min="4366" max="4366" width="5.28515625" style="3" customWidth="1"/>
    <col min="4367" max="4367" width="10.85546875" style="3" customWidth="1"/>
    <col min="4368" max="4368" width="4.85546875" style="3" customWidth="1"/>
    <col min="4369" max="4369" width="5.140625" style="3" customWidth="1"/>
    <col min="4370" max="4370" width="10.5703125" style="3" customWidth="1"/>
    <col min="4371" max="4371" width="6.28515625" style="3" customWidth="1"/>
    <col min="4372" max="4372" width="6.5703125" style="3" customWidth="1"/>
    <col min="4373" max="4373" width="7.42578125" style="3" customWidth="1"/>
    <col min="4374" max="4374" width="6.85546875" style="3" customWidth="1"/>
    <col min="4375" max="4375" width="10.7109375" style="3" customWidth="1"/>
    <col min="4376" max="4376" width="5.140625" style="3" customWidth="1"/>
    <col min="4377" max="4608" width="11.42578125" style="3"/>
    <col min="4609" max="4609" width="23.7109375" style="3" customWidth="1"/>
    <col min="4610" max="4610" width="0" style="3" hidden="1" customWidth="1"/>
    <col min="4611" max="4611" width="41.42578125" style="3" customWidth="1"/>
    <col min="4612" max="4612" width="19.140625" style="3" customWidth="1"/>
    <col min="4613" max="4613" width="6.28515625" style="3" customWidth="1"/>
    <col min="4614" max="4614" width="6" style="3" customWidth="1"/>
    <col min="4615" max="4615" width="7.42578125" style="3" customWidth="1"/>
    <col min="4616" max="4616" width="5.7109375" style="3" customWidth="1"/>
    <col min="4617" max="4617" width="5.28515625" style="3" customWidth="1"/>
    <col min="4618" max="4618" width="10" style="3" customWidth="1"/>
    <col min="4619" max="4619" width="6.28515625" style="3" customWidth="1"/>
    <col min="4620" max="4620" width="8.28515625" style="3" customWidth="1"/>
    <col min="4621" max="4621" width="12.42578125" style="3" customWidth="1"/>
    <col min="4622" max="4622" width="5.28515625" style="3" customWidth="1"/>
    <col min="4623" max="4623" width="10.85546875" style="3" customWidth="1"/>
    <col min="4624" max="4624" width="4.85546875" style="3" customWidth="1"/>
    <col min="4625" max="4625" width="5.140625" style="3" customWidth="1"/>
    <col min="4626" max="4626" width="10.5703125" style="3" customWidth="1"/>
    <col min="4627" max="4627" width="6.28515625" style="3" customWidth="1"/>
    <col min="4628" max="4628" width="6.5703125" style="3" customWidth="1"/>
    <col min="4629" max="4629" width="7.42578125" style="3" customWidth="1"/>
    <col min="4630" max="4630" width="6.85546875" style="3" customWidth="1"/>
    <col min="4631" max="4631" width="10.7109375" style="3" customWidth="1"/>
    <col min="4632" max="4632" width="5.140625" style="3" customWidth="1"/>
    <col min="4633" max="4864" width="11.42578125" style="3"/>
    <col min="4865" max="4865" width="23.7109375" style="3" customWidth="1"/>
    <col min="4866" max="4866" width="0" style="3" hidden="1" customWidth="1"/>
    <col min="4867" max="4867" width="41.42578125" style="3" customWidth="1"/>
    <col min="4868" max="4868" width="19.140625" style="3" customWidth="1"/>
    <col min="4869" max="4869" width="6.28515625" style="3" customWidth="1"/>
    <col min="4870" max="4870" width="6" style="3" customWidth="1"/>
    <col min="4871" max="4871" width="7.42578125" style="3" customWidth="1"/>
    <col min="4872" max="4872" width="5.7109375" style="3" customWidth="1"/>
    <col min="4873" max="4873" width="5.28515625" style="3" customWidth="1"/>
    <col min="4874" max="4874" width="10" style="3" customWidth="1"/>
    <col min="4875" max="4875" width="6.28515625" style="3" customWidth="1"/>
    <col min="4876" max="4876" width="8.28515625" style="3" customWidth="1"/>
    <col min="4877" max="4877" width="12.42578125" style="3" customWidth="1"/>
    <col min="4878" max="4878" width="5.28515625" style="3" customWidth="1"/>
    <col min="4879" max="4879" width="10.85546875" style="3" customWidth="1"/>
    <col min="4880" max="4880" width="4.85546875" style="3" customWidth="1"/>
    <col min="4881" max="4881" width="5.140625" style="3" customWidth="1"/>
    <col min="4882" max="4882" width="10.5703125" style="3" customWidth="1"/>
    <col min="4883" max="4883" width="6.28515625" style="3" customWidth="1"/>
    <col min="4884" max="4884" width="6.5703125" style="3" customWidth="1"/>
    <col min="4885" max="4885" width="7.42578125" style="3" customWidth="1"/>
    <col min="4886" max="4886" width="6.85546875" style="3" customWidth="1"/>
    <col min="4887" max="4887" width="10.7109375" style="3" customWidth="1"/>
    <col min="4888" max="4888" width="5.140625" style="3" customWidth="1"/>
    <col min="4889" max="5120" width="11.42578125" style="3"/>
    <col min="5121" max="5121" width="23.7109375" style="3" customWidth="1"/>
    <col min="5122" max="5122" width="0" style="3" hidden="1" customWidth="1"/>
    <col min="5123" max="5123" width="41.42578125" style="3" customWidth="1"/>
    <col min="5124" max="5124" width="19.140625" style="3" customWidth="1"/>
    <col min="5125" max="5125" width="6.28515625" style="3" customWidth="1"/>
    <col min="5126" max="5126" width="6" style="3" customWidth="1"/>
    <col min="5127" max="5127" width="7.42578125" style="3" customWidth="1"/>
    <col min="5128" max="5128" width="5.7109375" style="3" customWidth="1"/>
    <col min="5129" max="5129" width="5.28515625" style="3" customWidth="1"/>
    <col min="5130" max="5130" width="10" style="3" customWidth="1"/>
    <col min="5131" max="5131" width="6.28515625" style="3" customWidth="1"/>
    <col min="5132" max="5132" width="8.28515625" style="3" customWidth="1"/>
    <col min="5133" max="5133" width="12.42578125" style="3" customWidth="1"/>
    <col min="5134" max="5134" width="5.28515625" style="3" customWidth="1"/>
    <col min="5135" max="5135" width="10.85546875" style="3" customWidth="1"/>
    <col min="5136" max="5136" width="4.85546875" style="3" customWidth="1"/>
    <col min="5137" max="5137" width="5.140625" style="3" customWidth="1"/>
    <col min="5138" max="5138" width="10.5703125" style="3" customWidth="1"/>
    <col min="5139" max="5139" width="6.28515625" style="3" customWidth="1"/>
    <col min="5140" max="5140" width="6.5703125" style="3" customWidth="1"/>
    <col min="5141" max="5141" width="7.42578125" style="3" customWidth="1"/>
    <col min="5142" max="5142" width="6.85546875" style="3" customWidth="1"/>
    <col min="5143" max="5143" width="10.7109375" style="3" customWidth="1"/>
    <col min="5144" max="5144" width="5.140625" style="3" customWidth="1"/>
    <col min="5145" max="5376" width="11.42578125" style="3"/>
    <col min="5377" max="5377" width="23.7109375" style="3" customWidth="1"/>
    <col min="5378" max="5378" width="0" style="3" hidden="1" customWidth="1"/>
    <col min="5379" max="5379" width="41.42578125" style="3" customWidth="1"/>
    <col min="5380" max="5380" width="19.140625" style="3" customWidth="1"/>
    <col min="5381" max="5381" width="6.28515625" style="3" customWidth="1"/>
    <col min="5382" max="5382" width="6" style="3" customWidth="1"/>
    <col min="5383" max="5383" width="7.42578125" style="3" customWidth="1"/>
    <col min="5384" max="5384" width="5.7109375" style="3" customWidth="1"/>
    <col min="5385" max="5385" width="5.28515625" style="3" customWidth="1"/>
    <col min="5386" max="5386" width="10" style="3" customWidth="1"/>
    <col min="5387" max="5387" width="6.28515625" style="3" customWidth="1"/>
    <col min="5388" max="5388" width="8.28515625" style="3" customWidth="1"/>
    <col min="5389" max="5389" width="12.42578125" style="3" customWidth="1"/>
    <col min="5390" max="5390" width="5.28515625" style="3" customWidth="1"/>
    <col min="5391" max="5391" width="10.85546875" style="3" customWidth="1"/>
    <col min="5392" max="5392" width="4.85546875" style="3" customWidth="1"/>
    <col min="5393" max="5393" width="5.140625" style="3" customWidth="1"/>
    <col min="5394" max="5394" width="10.5703125" style="3" customWidth="1"/>
    <col min="5395" max="5395" width="6.28515625" style="3" customWidth="1"/>
    <col min="5396" max="5396" width="6.5703125" style="3" customWidth="1"/>
    <col min="5397" max="5397" width="7.42578125" style="3" customWidth="1"/>
    <col min="5398" max="5398" width="6.85546875" style="3" customWidth="1"/>
    <col min="5399" max="5399" width="10.7109375" style="3" customWidth="1"/>
    <col min="5400" max="5400" width="5.140625" style="3" customWidth="1"/>
    <col min="5401" max="5632" width="11.42578125" style="3"/>
    <col min="5633" max="5633" width="23.7109375" style="3" customWidth="1"/>
    <col min="5634" max="5634" width="0" style="3" hidden="1" customWidth="1"/>
    <col min="5635" max="5635" width="41.42578125" style="3" customWidth="1"/>
    <col min="5636" max="5636" width="19.140625" style="3" customWidth="1"/>
    <col min="5637" max="5637" width="6.28515625" style="3" customWidth="1"/>
    <col min="5638" max="5638" width="6" style="3" customWidth="1"/>
    <col min="5639" max="5639" width="7.42578125" style="3" customWidth="1"/>
    <col min="5640" max="5640" width="5.7109375" style="3" customWidth="1"/>
    <col min="5641" max="5641" width="5.28515625" style="3" customWidth="1"/>
    <col min="5642" max="5642" width="10" style="3" customWidth="1"/>
    <col min="5643" max="5643" width="6.28515625" style="3" customWidth="1"/>
    <col min="5644" max="5644" width="8.28515625" style="3" customWidth="1"/>
    <col min="5645" max="5645" width="12.42578125" style="3" customWidth="1"/>
    <col min="5646" max="5646" width="5.28515625" style="3" customWidth="1"/>
    <col min="5647" max="5647" width="10.85546875" style="3" customWidth="1"/>
    <col min="5648" max="5648" width="4.85546875" style="3" customWidth="1"/>
    <col min="5649" max="5649" width="5.140625" style="3" customWidth="1"/>
    <col min="5650" max="5650" width="10.5703125" style="3" customWidth="1"/>
    <col min="5651" max="5651" width="6.28515625" style="3" customWidth="1"/>
    <col min="5652" max="5652" width="6.5703125" style="3" customWidth="1"/>
    <col min="5653" max="5653" width="7.42578125" style="3" customWidth="1"/>
    <col min="5654" max="5654" width="6.85546875" style="3" customWidth="1"/>
    <col min="5655" max="5655" width="10.7109375" style="3" customWidth="1"/>
    <col min="5656" max="5656" width="5.140625" style="3" customWidth="1"/>
    <col min="5657" max="5888" width="11.42578125" style="3"/>
    <col min="5889" max="5889" width="23.7109375" style="3" customWidth="1"/>
    <col min="5890" max="5890" width="0" style="3" hidden="1" customWidth="1"/>
    <col min="5891" max="5891" width="41.42578125" style="3" customWidth="1"/>
    <col min="5892" max="5892" width="19.140625" style="3" customWidth="1"/>
    <col min="5893" max="5893" width="6.28515625" style="3" customWidth="1"/>
    <col min="5894" max="5894" width="6" style="3" customWidth="1"/>
    <col min="5895" max="5895" width="7.42578125" style="3" customWidth="1"/>
    <col min="5896" max="5896" width="5.7109375" style="3" customWidth="1"/>
    <col min="5897" max="5897" width="5.28515625" style="3" customWidth="1"/>
    <col min="5898" max="5898" width="10" style="3" customWidth="1"/>
    <col min="5899" max="5899" width="6.28515625" style="3" customWidth="1"/>
    <col min="5900" max="5900" width="8.28515625" style="3" customWidth="1"/>
    <col min="5901" max="5901" width="12.42578125" style="3" customWidth="1"/>
    <col min="5902" max="5902" width="5.28515625" style="3" customWidth="1"/>
    <col min="5903" max="5903" width="10.85546875" style="3" customWidth="1"/>
    <col min="5904" max="5904" width="4.85546875" style="3" customWidth="1"/>
    <col min="5905" max="5905" width="5.140625" style="3" customWidth="1"/>
    <col min="5906" max="5906" width="10.5703125" style="3" customWidth="1"/>
    <col min="5907" max="5907" width="6.28515625" style="3" customWidth="1"/>
    <col min="5908" max="5908" width="6.5703125" style="3" customWidth="1"/>
    <col min="5909" max="5909" width="7.42578125" style="3" customWidth="1"/>
    <col min="5910" max="5910" width="6.85546875" style="3" customWidth="1"/>
    <col min="5911" max="5911" width="10.7109375" style="3" customWidth="1"/>
    <col min="5912" max="5912" width="5.140625" style="3" customWidth="1"/>
    <col min="5913" max="6144" width="11.42578125" style="3"/>
    <col min="6145" max="6145" width="23.7109375" style="3" customWidth="1"/>
    <col min="6146" max="6146" width="0" style="3" hidden="1" customWidth="1"/>
    <col min="6147" max="6147" width="41.42578125" style="3" customWidth="1"/>
    <col min="6148" max="6148" width="19.140625" style="3" customWidth="1"/>
    <col min="6149" max="6149" width="6.28515625" style="3" customWidth="1"/>
    <col min="6150" max="6150" width="6" style="3" customWidth="1"/>
    <col min="6151" max="6151" width="7.42578125" style="3" customWidth="1"/>
    <col min="6152" max="6152" width="5.7109375" style="3" customWidth="1"/>
    <col min="6153" max="6153" width="5.28515625" style="3" customWidth="1"/>
    <col min="6154" max="6154" width="10" style="3" customWidth="1"/>
    <col min="6155" max="6155" width="6.28515625" style="3" customWidth="1"/>
    <col min="6156" max="6156" width="8.28515625" style="3" customWidth="1"/>
    <col min="6157" max="6157" width="12.42578125" style="3" customWidth="1"/>
    <col min="6158" max="6158" width="5.28515625" style="3" customWidth="1"/>
    <col min="6159" max="6159" width="10.85546875" style="3" customWidth="1"/>
    <col min="6160" max="6160" width="4.85546875" style="3" customWidth="1"/>
    <col min="6161" max="6161" width="5.140625" style="3" customWidth="1"/>
    <col min="6162" max="6162" width="10.5703125" style="3" customWidth="1"/>
    <col min="6163" max="6163" width="6.28515625" style="3" customWidth="1"/>
    <col min="6164" max="6164" width="6.5703125" style="3" customWidth="1"/>
    <col min="6165" max="6165" width="7.42578125" style="3" customWidth="1"/>
    <col min="6166" max="6166" width="6.85546875" style="3" customWidth="1"/>
    <col min="6167" max="6167" width="10.7109375" style="3" customWidth="1"/>
    <col min="6168" max="6168" width="5.140625" style="3" customWidth="1"/>
    <col min="6169" max="6400" width="11.42578125" style="3"/>
    <col min="6401" max="6401" width="23.7109375" style="3" customWidth="1"/>
    <col min="6402" max="6402" width="0" style="3" hidden="1" customWidth="1"/>
    <col min="6403" max="6403" width="41.42578125" style="3" customWidth="1"/>
    <col min="6404" max="6404" width="19.140625" style="3" customWidth="1"/>
    <col min="6405" max="6405" width="6.28515625" style="3" customWidth="1"/>
    <col min="6406" max="6406" width="6" style="3" customWidth="1"/>
    <col min="6407" max="6407" width="7.42578125" style="3" customWidth="1"/>
    <col min="6408" max="6408" width="5.7109375" style="3" customWidth="1"/>
    <col min="6409" max="6409" width="5.28515625" style="3" customWidth="1"/>
    <col min="6410" max="6410" width="10" style="3" customWidth="1"/>
    <col min="6411" max="6411" width="6.28515625" style="3" customWidth="1"/>
    <col min="6412" max="6412" width="8.28515625" style="3" customWidth="1"/>
    <col min="6413" max="6413" width="12.42578125" style="3" customWidth="1"/>
    <col min="6414" max="6414" width="5.28515625" style="3" customWidth="1"/>
    <col min="6415" max="6415" width="10.85546875" style="3" customWidth="1"/>
    <col min="6416" max="6416" width="4.85546875" style="3" customWidth="1"/>
    <col min="6417" max="6417" width="5.140625" style="3" customWidth="1"/>
    <col min="6418" max="6418" width="10.5703125" style="3" customWidth="1"/>
    <col min="6419" max="6419" width="6.28515625" style="3" customWidth="1"/>
    <col min="6420" max="6420" width="6.5703125" style="3" customWidth="1"/>
    <col min="6421" max="6421" width="7.42578125" style="3" customWidth="1"/>
    <col min="6422" max="6422" width="6.85546875" style="3" customWidth="1"/>
    <col min="6423" max="6423" width="10.7109375" style="3" customWidth="1"/>
    <col min="6424" max="6424" width="5.140625" style="3" customWidth="1"/>
    <col min="6425" max="6656" width="11.42578125" style="3"/>
    <col min="6657" max="6657" width="23.7109375" style="3" customWidth="1"/>
    <col min="6658" max="6658" width="0" style="3" hidden="1" customWidth="1"/>
    <col min="6659" max="6659" width="41.42578125" style="3" customWidth="1"/>
    <col min="6660" max="6660" width="19.140625" style="3" customWidth="1"/>
    <col min="6661" max="6661" width="6.28515625" style="3" customWidth="1"/>
    <col min="6662" max="6662" width="6" style="3" customWidth="1"/>
    <col min="6663" max="6663" width="7.42578125" style="3" customWidth="1"/>
    <col min="6664" max="6664" width="5.7109375" style="3" customWidth="1"/>
    <col min="6665" max="6665" width="5.28515625" style="3" customWidth="1"/>
    <col min="6666" max="6666" width="10" style="3" customWidth="1"/>
    <col min="6667" max="6667" width="6.28515625" style="3" customWidth="1"/>
    <col min="6668" max="6668" width="8.28515625" style="3" customWidth="1"/>
    <col min="6669" max="6669" width="12.42578125" style="3" customWidth="1"/>
    <col min="6670" max="6670" width="5.28515625" style="3" customWidth="1"/>
    <col min="6671" max="6671" width="10.85546875" style="3" customWidth="1"/>
    <col min="6672" max="6672" width="4.85546875" style="3" customWidth="1"/>
    <col min="6673" max="6673" width="5.140625" style="3" customWidth="1"/>
    <col min="6674" max="6674" width="10.5703125" style="3" customWidth="1"/>
    <col min="6675" max="6675" width="6.28515625" style="3" customWidth="1"/>
    <col min="6676" max="6676" width="6.5703125" style="3" customWidth="1"/>
    <col min="6677" max="6677" width="7.42578125" style="3" customWidth="1"/>
    <col min="6678" max="6678" width="6.85546875" style="3" customWidth="1"/>
    <col min="6679" max="6679" width="10.7109375" style="3" customWidth="1"/>
    <col min="6680" max="6680" width="5.140625" style="3" customWidth="1"/>
    <col min="6681" max="6912" width="11.42578125" style="3"/>
    <col min="6913" max="6913" width="23.7109375" style="3" customWidth="1"/>
    <col min="6914" max="6914" width="0" style="3" hidden="1" customWidth="1"/>
    <col min="6915" max="6915" width="41.42578125" style="3" customWidth="1"/>
    <col min="6916" max="6916" width="19.140625" style="3" customWidth="1"/>
    <col min="6917" max="6917" width="6.28515625" style="3" customWidth="1"/>
    <col min="6918" max="6918" width="6" style="3" customWidth="1"/>
    <col min="6919" max="6919" width="7.42578125" style="3" customWidth="1"/>
    <col min="6920" max="6920" width="5.7109375" style="3" customWidth="1"/>
    <col min="6921" max="6921" width="5.28515625" style="3" customWidth="1"/>
    <col min="6922" max="6922" width="10" style="3" customWidth="1"/>
    <col min="6923" max="6923" width="6.28515625" style="3" customWidth="1"/>
    <col min="6924" max="6924" width="8.28515625" style="3" customWidth="1"/>
    <col min="6925" max="6925" width="12.42578125" style="3" customWidth="1"/>
    <col min="6926" max="6926" width="5.28515625" style="3" customWidth="1"/>
    <col min="6927" max="6927" width="10.85546875" style="3" customWidth="1"/>
    <col min="6928" max="6928" width="4.85546875" style="3" customWidth="1"/>
    <col min="6929" max="6929" width="5.140625" style="3" customWidth="1"/>
    <col min="6930" max="6930" width="10.5703125" style="3" customWidth="1"/>
    <col min="6931" max="6931" width="6.28515625" style="3" customWidth="1"/>
    <col min="6932" max="6932" width="6.5703125" style="3" customWidth="1"/>
    <col min="6933" max="6933" width="7.42578125" style="3" customWidth="1"/>
    <col min="6934" max="6934" width="6.85546875" style="3" customWidth="1"/>
    <col min="6935" max="6935" width="10.7109375" style="3" customWidth="1"/>
    <col min="6936" max="6936" width="5.140625" style="3" customWidth="1"/>
    <col min="6937" max="7168" width="11.42578125" style="3"/>
    <col min="7169" max="7169" width="23.7109375" style="3" customWidth="1"/>
    <col min="7170" max="7170" width="0" style="3" hidden="1" customWidth="1"/>
    <col min="7171" max="7171" width="41.42578125" style="3" customWidth="1"/>
    <col min="7172" max="7172" width="19.140625" style="3" customWidth="1"/>
    <col min="7173" max="7173" width="6.28515625" style="3" customWidth="1"/>
    <col min="7174" max="7174" width="6" style="3" customWidth="1"/>
    <col min="7175" max="7175" width="7.42578125" style="3" customWidth="1"/>
    <col min="7176" max="7176" width="5.7109375" style="3" customWidth="1"/>
    <col min="7177" max="7177" width="5.28515625" style="3" customWidth="1"/>
    <col min="7178" max="7178" width="10" style="3" customWidth="1"/>
    <col min="7179" max="7179" width="6.28515625" style="3" customWidth="1"/>
    <col min="7180" max="7180" width="8.28515625" style="3" customWidth="1"/>
    <col min="7181" max="7181" width="12.42578125" style="3" customWidth="1"/>
    <col min="7182" max="7182" width="5.28515625" style="3" customWidth="1"/>
    <col min="7183" max="7183" width="10.85546875" style="3" customWidth="1"/>
    <col min="7184" max="7184" width="4.85546875" style="3" customWidth="1"/>
    <col min="7185" max="7185" width="5.140625" style="3" customWidth="1"/>
    <col min="7186" max="7186" width="10.5703125" style="3" customWidth="1"/>
    <col min="7187" max="7187" width="6.28515625" style="3" customWidth="1"/>
    <col min="7188" max="7188" width="6.5703125" style="3" customWidth="1"/>
    <col min="7189" max="7189" width="7.42578125" style="3" customWidth="1"/>
    <col min="7190" max="7190" width="6.85546875" style="3" customWidth="1"/>
    <col min="7191" max="7191" width="10.7109375" style="3" customWidth="1"/>
    <col min="7192" max="7192" width="5.140625" style="3" customWidth="1"/>
    <col min="7193" max="7424" width="11.42578125" style="3"/>
    <col min="7425" max="7425" width="23.7109375" style="3" customWidth="1"/>
    <col min="7426" max="7426" width="0" style="3" hidden="1" customWidth="1"/>
    <col min="7427" max="7427" width="41.42578125" style="3" customWidth="1"/>
    <col min="7428" max="7428" width="19.140625" style="3" customWidth="1"/>
    <col min="7429" max="7429" width="6.28515625" style="3" customWidth="1"/>
    <col min="7430" max="7430" width="6" style="3" customWidth="1"/>
    <col min="7431" max="7431" width="7.42578125" style="3" customWidth="1"/>
    <col min="7432" max="7432" width="5.7109375" style="3" customWidth="1"/>
    <col min="7433" max="7433" width="5.28515625" style="3" customWidth="1"/>
    <col min="7434" max="7434" width="10" style="3" customWidth="1"/>
    <col min="7435" max="7435" width="6.28515625" style="3" customWidth="1"/>
    <col min="7436" max="7436" width="8.28515625" style="3" customWidth="1"/>
    <col min="7437" max="7437" width="12.42578125" style="3" customWidth="1"/>
    <col min="7438" max="7438" width="5.28515625" style="3" customWidth="1"/>
    <col min="7439" max="7439" width="10.85546875" style="3" customWidth="1"/>
    <col min="7440" max="7440" width="4.85546875" style="3" customWidth="1"/>
    <col min="7441" max="7441" width="5.140625" style="3" customWidth="1"/>
    <col min="7442" max="7442" width="10.5703125" style="3" customWidth="1"/>
    <col min="7443" max="7443" width="6.28515625" style="3" customWidth="1"/>
    <col min="7444" max="7444" width="6.5703125" style="3" customWidth="1"/>
    <col min="7445" max="7445" width="7.42578125" style="3" customWidth="1"/>
    <col min="7446" max="7446" width="6.85546875" style="3" customWidth="1"/>
    <col min="7447" max="7447" width="10.7109375" style="3" customWidth="1"/>
    <col min="7448" max="7448" width="5.140625" style="3" customWidth="1"/>
    <col min="7449" max="7680" width="11.42578125" style="3"/>
    <col min="7681" max="7681" width="23.7109375" style="3" customWidth="1"/>
    <col min="7682" max="7682" width="0" style="3" hidden="1" customWidth="1"/>
    <col min="7683" max="7683" width="41.42578125" style="3" customWidth="1"/>
    <col min="7684" max="7684" width="19.140625" style="3" customWidth="1"/>
    <col min="7685" max="7685" width="6.28515625" style="3" customWidth="1"/>
    <col min="7686" max="7686" width="6" style="3" customWidth="1"/>
    <col min="7687" max="7687" width="7.42578125" style="3" customWidth="1"/>
    <col min="7688" max="7688" width="5.7109375" style="3" customWidth="1"/>
    <col min="7689" max="7689" width="5.28515625" style="3" customWidth="1"/>
    <col min="7690" max="7690" width="10" style="3" customWidth="1"/>
    <col min="7691" max="7691" width="6.28515625" style="3" customWidth="1"/>
    <col min="7692" max="7692" width="8.28515625" style="3" customWidth="1"/>
    <col min="7693" max="7693" width="12.42578125" style="3" customWidth="1"/>
    <col min="7694" max="7694" width="5.28515625" style="3" customWidth="1"/>
    <col min="7695" max="7695" width="10.85546875" style="3" customWidth="1"/>
    <col min="7696" max="7696" width="4.85546875" style="3" customWidth="1"/>
    <col min="7697" max="7697" width="5.140625" style="3" customWidth="1"/>
    <col min="7698" max="7698" width="10.5703125" style="3" customWidth="1"/>
    <col min="7699" max="7699" width="6.28515625" style="3" customWidth="1"/>
    <col min="7700" max="7700" width="6.5703125" style="3" customWidth="1"/>
    <col min="7701" max="7701" width="7.42578125" style="3" customWidth="1"/>
    <col min="7702" max="7702" width="6.85546875" style="3" customWidth="1"/>
    <col min="7703" max="7703" width="10.7109375" style="3" customWidth="1"/>
    <col min="7704" max="7704" width="5.140625" style="3" customWidth="1"/>
    <col min="7705" max="7936" width="11.42578125" style="3"/>
    <col min="7937" max="7937" width="23.7109375" style="3" customWidth="1"/>
    <col min="7938" max="7938" width="0" style="3" hidden="1" customWidth="1"/>
    <col min="7939" max="7939" width="41.42578125" style="3" customWidth="1"/>
    <col min="7940" max="7940" width="19.140625" style="3" customWidth="1"/>
    <col min="7941" max="7941" width="6.28515625" style="3" customWidth="1"/>
    <col min="7942" max="7942" width="6" style="3" customWidth="1"/>
    <col min="7943" max="7943" width="7.42578125" style="3" customWidth="1"/>
    <col min="7944" max="7944" width="5.7109375" style="3" customWidth="1"/>
    <col min="7945" max="7945" width="5.28515625" style="3" customWidth="1"/>
    <col min="7946" max="7946" width="10" style="3" customWidth="1"/>
    <col min="7947" max="7947" width="6.28515625" style="3" customWidth="1"/>
    <col min="7948" max="7948" width="8.28515625" style="3" customWidth="1"/>
    <col min="7949" max="7949" width="12.42578125" style="3" customWidth="1"/>
    <col min="7950" max="7950" width="5.28515625" style="3" customWidth="1"/>
    <col min="7951" max="7951" width="10.85546875" style="3" customWidth="1"/>
    <col min="7952" max="7952" width="4.85546875" style="3" customWidth="1"/>
    <col min="7953" max="7953" width="5.140625" style="3" customWidth="1"/>
    <col min="7954" max="7954" width="10.5703125" style="3" customWidth="1"/>
    <col min="7955" max="7955" width="6.28515625" style="3" customWidth="1"/>
    <col min="7956" max="7956" width="6.5703125" style="3" customWidth="1"/>
    <col min="7957" max="7957" width="7.42578125" style="3" customWidth="1"/>
    <col min="7958" max="7958" width="6.85546875" style="3" customWidth="1"/>
    <col min="7959" max="7959" width="10.7109375" style="3" customWidth="1"/>
    <col min="7960" max="7960" width="5.140625" style="3" customWidth="1"/>
    <col min="7961" max="8192" width="11.42578125" style="3"/>
    <col min="8193" max="8193" width="23.7109375" style="3" customWidth="1"/>
    <col min="8194" max="8194" width="0" style="3" hidden="1" customWidth="1"/>
    <col min="8195" max="8195" width="41.42578125" style="3" customWidth="1"/>
    <col min="8196" max="8196" width="19.140625" style="3" customWidth="1"/>
    <col min="8197" max="8197" width="6.28515625" style="3" customWidth="1"/>
    <col min="8198" max="8198" width="6" style="3" customWidth="1"/>
    <col min="8199" max="8199" width="7.42578125" style="3" customWidth="1"/>
    <col min="8200" max="8200" width="5.7109375" style="3" customWidth="1"/>
    <col min="8201" max="8201" width="5.28515625" style="3" customWidth="1"/>
    <col min="8202" max="8202" width="10" style="3" customWidth="1"/>
    <col min="8203" max="8203" width="6.28515625" style="3" customWidth="1"/>
    <col min="8204" max="8204" width="8.28515625" style="3" customWidth="1"/>
    <col min="8205" max="8205" width="12.42578125" style="3" customWidth="1"/>
    <col min="8206" max="8206" width="5.28515625" style="3" customWidth="1"/>
    <col min="8207" max="8207" width="10.85546875" style="3" customWidth="1"/>
    <col min="8208" max="8208" width="4.85546875" style="3" customWidth="1"/>
    <col min="8209" max="8209" width="5.140625" style="3" customWidth="1"/>
    <col min="8210" max="8210" width="10.5703125" style="3" customWidth="1"/>
    <col min="8211" max="8211" width="6.28515625" style="3" customWidth="1"/>
    <col min="8212" max="8212" width="6.5703125" style="3" customWidth="1"/>
    <col min="8213" max="8213" width="7.42578125" style="3" customWidth="1"/>
    <col min="8214" max="8214" width="6.85546875" style="3" customWidth="1"/>
    <col min="8215" max="8215" width="10.7109375" style="3" customWidth="1"/>
    <col min="8216" max="8216" width="5.140625" style="3" customWidth="1"/>
    <col min="8217" max="8448" width="11.42578125" style="3"/>
    <col min="8449" max="8449" width="23.7109375" style="3" customWidth="1"/>
    <col min="8450" max="8450" width="0" style="3" hidden="1" customWidth="1"/>
    <col min="8451" max="8451" width="41.42578125" style="3" customWidth="1"/>
    <col min="8452" max="8452" width="19.140625" style="3" customWidth="1"/>
    <col min="8453" max="8453" width="6.28515625" style="3" customWidth="1"/>
    <col min="8454" max="8454" width="6" style="3" customWidth="1"/>
    <col min="8455" max="8455" width="7.42578125" style="3" customWidth="1"/>
    <col min="8456" max="8456" width="5.7109375" style="3" customWidth="1"/>
    <col min="8457" max="8457" width="5.28515625" style="3" customWidth="1"/>
    <col min="8458" max="8458" width="10" style="3" customWidth="1"/>
    <col min="8459" max="8459" width="6.28515625" style="3" customWidth="1"/>
    <col min="8460" max="8460" width="8.28515625" style="3" customWidth="1"/>
    <col min="8461" max="8461" width="12.42578125" style="3" customWidth="1"/>
    <col min="8462" max="8462" width="5.28515625" style="3" customWidth="1"/>
    <col min="8463" max="8463" width="10.85546875" style="3" customWidth="1"/>
    <col min="8464" max="8464" width="4.85546875" style="3" customWidth="1"/>
    <col min="8465" max="8465" width="5.140625" style="3" customWidth="1"/>
    <col min="8466" max="8466" width="10.5703125" style="3" customWidth="1"/>
    <col min="8467" max="8467" width="6.28515625" style="3" customWidth="1"/>
    <col min="8468" max="8468" width="6.5703125" style="3" customWidth="1"/>
    <col min="8469" max="8469" width="7.42578125" style="3" customWidth="1"/>
    <col min="8470" max="8470" width="6.85546875" style="3" customWidth="1"/>
    <col min="8471" max="8471" width="10.7109375" style="3" customWidth="1"/>
    <col min="8472" max="8472" width="5.140625" style="3" customWidth="1"/>
    <col min="8473" max="8704" width="11.42578125" style="3"/>
    <col min="8705" max="8705" width="23.7109375" style="3" customWidth="1"/>
    <col min="8706" max="8706" width="0" style="3" hidden="1" customWidth="1"/>
    <col min="8707" max="8707" width="41.42578125" style="3" customWidth="1"/>
    <col min="8708" max="8708" width="19.140625" style="3" customWidth="1"/>
    <col min="8709" max="8709" width="6.28515625" style="3" customWidth="1"/>
    <col min="8710" max="8710" width="6" style="3" customWidth="1"/>
    <col min="8711" max="8711" width="7.42578125" style="3" customWidth="1"/>
    <col min="8712" max="8712" width="5.7109375" style="3" customWidth="1"/>
    <col min="8713" max="8713" width="5.28515625" style="3" customWidth="1"/>
    <col min="8714" max="8714" width="10" style="3" customWidth="1"/>
    <col min="8715" max="8715" width="6.28515625" style="3" customWidth="1"/>
    <col min="8716" max="8716" width="8.28515625" style="3" customWidth="1"/>
    <col min="8717" max="8717" width="12.42578125" style="3" customWidth="1"/>
    <col min="8718" max="8718" width="5.28515625" style="3" customWidth="1"/>
    <col min="8719" max="8719" width="10.85546875" style="3" customWidth="1"/>
    <col min="8720" max="8720" width="4.85546875" style="3" customWidth="1"/>
    <col min="8721" max="8721" width="5.140625" style="3" customWidth="1"/>
    <col min="8722" max="8722" width="10.5703125" style="3" customWidth="1"/>
    <col min="8723" max="8723" width="6.28515625" style="3" customWidth="1"/>
    <col min="8724" max="8724" width="6.5703125" style="3" customWidth="1"/>
    <col min="8725" max="8725" width="7.42578125" style="3" customWidth="1"/>
    <col min="8726" max="8726" width="6.85546875" style="3" customWidth="1"/>
    <col min="8727" max="8727" width="10.7109375" style="3" customWidth="1"/>
    <col min="8728" max="8728" width="5.140625" style="3" customWidth="1"/>
    <col min="8729" max="8960" width="11.42578125" style="3"/>
    <col min="8961" max="8961" width="23.7109375" style="3" customWidth="1"/>
    <col min="8962" max="8962" width="0" style="3" hidden="1" customWidth="1"/>
    <col min="8963" max="8963" width="41.42578125" style="3" customWidth="1"/>
    <col min="8964" max="8964" width="19.140625" style="3" customWidth="1"/>
    <col min="8965" max="8965" width="6.28515625" style="3" customWidth="1"/>
    <col min="8966" max="8966" width="6" style="3" customWidth="1"/>
    <col min="8967" max="8967" width="7.42578125" style="3" customWidth="1"/>
    <col min="8968" max="8968" width="5.7109375" style="3" customWidth="1"/>
    <col min="8969" max="8969" width="5.28515625" style="3" customWidth="1"/>
    <col min="8970" max="8970" width="10" style="3" customWidth="1"/>
    <col min="8971" max="8971" width="6.28515625" style="3" customWidth="1"/>
    <col min="8972" max="8972" width="8.28515625" style="3" customWidth="1"/>
    <col min="8973" max="8973" width="12.42578125" style="3" customWidth="1"/>
    <col min="8974" max="8974" width="5.28515625" style="3" customWidth="1"/>
    <col min="8975" max="8975" width="10.85546875" style="3" customWidth="1"/>
    <col min="8976" max="8976" width="4.85546875" style="3" customWidth="1"/>
    <col min="8977" max="8977" width="5.140625" style="3" customWidth="1"/>
    <col min="8978" max="8978" width="10.5703125" style="3" customWidth="1"/>
    <col min="8979" max="8979" width="6.28515625" style="3" customWidth="1"/>
    <col min="8980" max="8980" width="6.5703125" style="3" customWidth="1"/>
    <col min="8981" max="8981" width="7.42578125" style="3" customWidth="1"/>
    <col min="8982" max="8982" width="6.85546875" style="3" customWidth="1"/>
    <col min="8983" max="8983" width="10.7109375" style="3" customWidth="1"/>
    <col min="8984" max="8984" width="5.140625" style="3" customWidth="1"/>
    <col min="8985" max="9216" width="11.42578125" style="3"/>
    <col min="9217" max="9217" width="23.7109375" style="3" customWidth="1"/>
    <col min="9218" max="9218" width="0" style="3" hidden="1" customWidth="1"/>
    <col min="9219" max="9219" width="41.42578125" style="3" customWidth="1"/>
    <col min="9220" max="9220" width="19.140625" style="3" customWidth="1"/>
    <col min="9221" max="9221" width="6.28515625" style="3" customWidth="1"/>
    <col min="9222" max="9222" width="6" style="3" customWidth="1"/>
    <col min="9223" max="9223" width="7.42578125" style="3" customWidth="1"/>
    <col min="9224" max="9224" width="5.7109375" style="3" customWidth="1"/>
    <col min="9225" max="9225" width="5.28515625" style="3" customWidth="1"/>
    <col min="9226" max="9226" width="10" style="3" customWidth="1"/>
    <col min="9227" max="9227" width="6.28515625" style="3" customWidth="1"/>
    <col min="9228" max="9228" width="8.28515625" style="3" customWidth="1"/>
    <col min="9229" max="9229" width="12.42578125" style="3" customWidth="1"/>
    <col min="9230" max="9230" width="5.28515625" style="3" customWidth="1"/>
    <col min="9231" max="9231" width="10.85546875" style="3" customWidth="1"/>
    <col min="9232" max="9232" width="4.85546875" style="3" customWidth="1"/>
    <col min="9233" max="9233" width="5.140625" style="3" customWidth="1"/>
    <col min="9234" max="9234" width="10.5703125" style="3" customWidth="1"/>
    <col min="9235" max="9235" width="6.28515625" style="3" customWidth="1"/>
    <col min="9236" max="9236" width="6.5703125" style="3" customWidth="1"/>
    <col min="9237" max="9237" width="7.42578125" style="3" customWidth="1"/>
    <col min="9238" max="9238" width="6.85546875" style="3" customWidth="1"/>
    <col min="9239" max="9239" width="10.7109375" style="3" customWidth="1"/>
    <col min="9240" max="9240" width="5.140625" style="3" customWidth="1"/>
    <col min="9241" max="9472" width="11.42578125" style="3"/>
    <col min="9473" max="9473" width="23.7109375" style="3" customWidth="1"/>
    <col min="9474" max="9474" width="0" style="3" hidden="1" customWidth="1"/>
    <col min="9475" max="9475" width="41.42578125" style="3" customWidth="1"/>
    <col min="9476" max="9476" width="19.140625" style="3" customWidth="1"/>
    <col min="9477" max="9477" width="6.28515625" style="3" customWidth="1"/>
    <col min="9478" max="9478" width="6" style="3" customWidth="1"/>
    <col min="9479" max="9479" width="7.42578125" style="3" customWidth="1"/>
    <col min="9480" max="9480" width="5.7109375" style="3" customWidth="1"/>
    <col min="9481" max="9481" width="5.28515625" style="3" customWidth="1"/>
    <col min="9482" max="9482" width="10" style="3" customWidth="1"/>
    <col min="9483" max="9483" width="6.28515625" style="3" customWidth="1"/>
    <col min="9484" max="9484" width="8.28515625" style="3" customWidth="1"/>
    <col min="9485" max="9485" width="12.42578125" style="3" customWidth="1"/>
    <col min="9486" max="9486" width="5.28515625" style="3" customWidth="1"/>
    <col min="9487" max="9487" width="10.85546875" style="3" customWidth="1"/>
    <col min="9488" max="9488" width="4.85546875" style="3" customWidth="1"/>
    <col min="9489" max="9489" width="5.140625" style="3" customWidth="1"/>
    <col min="9490" max="9490" width="10.5703125" style="3" customWidth="1"/>
    <col min="9491" max="9491" width="6.28515625" style="3" customWidth="1"/>
    <col min="9492" max="9492" width="6.5703125" style="3" customWidth="1"/>
    <col min="9493" max="9493" width="7.42578125" style="3" customWidth="1"/>
    <col min="9494" max="9494" width="6.85546875" style="3" customWidth="1"/>
    <col min="9495" max="9495" width="10.7109375" style="3" customWidth="1"/>
    <col min="9496" max="9496" width="5.140625" style="3" customWidth="1"/>
    <col min="9497" max="9728" width="11.42578125" style="3"/>
    <col min="9729" max="9729" width="23.7109375" style="3" customWidth="1"/>
    <col min="9730" max="9730" width="0" style="3" hidden="1" customWidth="1"/>
    <col min="9731" max="9731" width="41.42578125" style="3" customWidth="1"/>
    <col min="9732" max="9732" width="19.140625" style="3" customWidth="1"/>
    <col min="9733" max="9733" width="6.28515625" style="3" customWidth="1"/>
    <col min="9734" max="9734" width="6" style="3" customWidth="1"/>
    <col min="9735" max="9735" width="7.42578125" style="3" customWidth="1"/>
    <col min="9736" max="9736" width="5.7109375" style="3" customWidth="1"/>
    <col min="9737" max="9737" width="5.28515625" style="3" customWidth="1"/>
    <col min="9738" max="9738" width="10" style="3" customWidth="1"/>
    <col min="9739" max="9739" width="6.28515625" style="3" customWidth="1"/>
    <col min="9740" max="9740" width="8.28515625" style="3" customWidth="1"/>
    <col min="9741" max="9741" width="12.42578125" style="3" customWidth="1"/>
    <col min="9742" max="9742" width="5.28515625" style="3" customWidth="1"/>
    <col min="9743" max="9743" width="10.85546875" style="3" customWidth="1"/>
    <col min="9744" max="9744" width="4.85546875" style="3" customWidth="1"/>
    <col min="9745" max="9745" width="5.140625" style="3" customWidth="1"/>
    <col min="9746" max="9746" width="10.5703125" style="3" customWidth="1"/>
    <col min="9747" max="9747" width="6.28515625" style="3" customWidth="1"/>
    <col min="9748" max="9748" width="6.5703125" style="3" customWidth="1"/>
    <col min="9749" max="9749" width="7.42578125" style="3" customWidth="1"/>
    <col min="9750" max="9750" width="6.85546875" style="3" customWidth="1"/>
    <col min="9751" max="9751" width="10.7109375" style="3" customWidth="1"/>
    <col min="9752" max="9752" width="5.140625" style="3" customWidth="1"/>
    <col min="9753" max="9984" width="11.42578125" style="3"/>
    <col min="9985" max="9985" width="23.7109375" style="3" customWidth="1"/>
    <col min="9986" max="9986" width="0" style="3" hidden="1" customWidth="1"/>
    <col min="9987" max="9987" width="41.42578125" style="3" customWidth="1"/>
    <col min="9988" max="9988" width="19.140625" style="3" customWidth="1"/>
    <col min="9989" max="9989" width="6.28515625" style="3" customWidth="1"/>
    <col min="9990" max="9990" width="6" style="3" customWidth="1"/>
    <col min="9991" max="9991" width="7.42578125" style="3" customWidth="1"/>
    <col min="9992" max="9992" width="5.7109375" style="3" customWidth="1"/>
    <col min="9993" max="9993" width="5.28515625" style="3" customWidth="1"/>
    <col min="9994" max="9994" width="10" style="3" customWidth="1"/>
    <col min="9995" max="9995" width="6.28515625" style="3" customWidth="1"/>
    <col min="9996" max="9996" width="8.28515625" style="3" customWidth="1"/>
    <col min="9997" max="9997" width="12.42578125" style="3" customWidth="1"/>
    <col min="9998" max="9998" width="5.28515625" style="3" customWidth="1"/>
    <col min="9999" max="9999" width="10.85546875" style="3" customWidth="1"/>
    <col min="10000" max="10000" width="4.85546875" style="3" customWidth="1"/>
    <col min="10001" max="10001" width="5.140625" style="3" customWidth="1"/>
    <col min="10002" max="10002" width="10.5703125" style="3" customWidth="1"/>
    <col min="10003" max="10003" width="6.28515625" style="3" customWidth="1"/>
    <col min="10004" max="10004" width="6.5703125" style="3" customWidth="1"/>
    <col min="10005" max="10005" width="7.42578125" style="3" customWidth="1"/>
    <col min="10006" max="10006" width="6.85546875" style="3" customWidth="1"/>
    <col min="10007" max="10007" width="10.7109375" style="3" customWidth="1"/>
    <col min="10008" max="10008" width="5.140625" style="3" customWidth="1"/>
    <col min="10009" max="10240" width="11.42578125" style="3"/>
    <col min="10241" max="10241" width="23.7109375" style="3" customWidth="1"/>
    <col min="10242" max="10242" width="0" style="3" hidden="1" customWidth="1"/>
    <col min="10243" max="10243" width="41.42578125" style="3" customWidth="1"/>
    <col min="10244" max="10244" width="19.140625" style="3" customWidth="1"/>
    <col min="10245" max="10245" width="6.28515625" style="3" customWidth="1"/>
    <col min="10246" max="10246" width="6" style="3" customWidth="1"/>
    <col min="10247" max="10247" width="7.42578125" style="3" customWidth="1"/>
    <col min="10248" max="10248" width="5.7109375" style="3" customWidth="1"/>
    <col min="10249" max="10249" width="5.28515625" style="3" customWidth="1"/>
    <col min="10250" max="10250" width="10" style="3" customWidth="1"/>
    <col min="10251" max="10251" width="6.28515625" style="3" customWidth="1"/>
    <col min="10252" max="10252" width="8.28515625" style="3" customWidth="1"/>
    <col min="10253" max="10253" width="12.42578125" style="3" customWidth="1"/>
    <col min="10254" max="10254" width="5.28515625" style="3" customWidth="1"/>
    <col min="10255" max="10255" width="10.85546875" style="3" customWidth="1"/>
    <col min="10256" max="10256" width="4.85546875" style="3" customWidth="1"/>
    <col min="10257" max="10257" width="5.140625" style="3" customWidth="1"/>
    <col min="10258" max="10258" width="10.5703125" style="3" customWidth="1"/>
    <col min="10259" max="10259" width="6.28515625" style="3" customWidth="1"/>
    <col min="10260" max="10260" width="6.5703125" style="3" customWidth="1"/>
    <col min="10261" max="10261" width="7.42578125" style="3" customWidth="1"/>
    <col min="10262" max="10262" width="6.85546875" style="3" customWidth="1"/>
    <col min="10263" max="10263" width="10.7109375" style="3" customWidth="1"/>
    <col min="10264" max="10264" width="5.140625" style="3" customWidth="1"/>
    <col min="10265" max="10496" width="11.42578125" style="3"/>
    <col min="10497" max="10497" width="23.7109375" style="3" customWidth="1"/>
    <col min="10498" max="10498" width="0" style="3" hidden="1" customWidth="1"/>
    <col min="10499" max="10499" width="41.42578125" style="3" customWidth="1"/>
    <col min="10500" max="10500" width="19.140625" style="3" customWidth="1"/>
    <col min="10501" max="10501" width="6.28515625" style="3" customWidth="1"/>
    <col min="10502" max="10502" width="6" style="3" customWidth="1"/>
    <col min="10503" max="10503" width="7.42578125" style="3" customWidth="1"/>
    <col min="10504" max="10504" width="5.7109375" style="3" customWidth="1"/>
    <col min="10505" max="10505" width="5.28515625" style="3" customWidth="1"/>
    <col min="10506" max="10506" width="10" style="3" customWidth="1"/>
    <col min="10507" max="10507" width="6.28515625" style="3" customWidth="1"/>
    <col min="10508" max="10508" width="8.28515625" style="3" customWidth="1"/>
    <col min="10509" max="10509" width="12.42578125" style="3" customWidth="1"/>
    <col min="10510" max="10510" width="5.28515625" style="3" customWidth="1"/>
    <col min="10511" max="10511" width="10.85546875" style="3" customWidth="1"/>
    <col min="10512" max="10512" width="4.85546875" style="3" customWidth="1"/>
    <col min="10513" max="10513" width="5.140625" style="3" customWidth="1"/>
    <col min="10514" max="10514" width="10.5703125" style="3" customWidth="1"/>
    <col min="10515" max="10515" width="6.28515625" style="3" customWidth="1"/>
    <col min="10516" max="10516" width="6.5703125" style="3" customWidth="1"/>
    <col min="10517" max="10517" width="7.42578125" style="3" customWidth="1"/>
    <col min="10518" max="10518" width="6.85546875" style="3" customWidth="1"/>
    <col min="10519" max="10519" width="10.7109375" style="3" customWidth="1"/>
    <col min="10520" max="10520" width="5.140625" style="3" customWidth="1"/>
    <col min="10521" max="10752" width="11.42578125" style="3"/>
    <col min="10753" max="10753" width="23.7109375" style="3" customWidth="1"/>
    <col min="10754" max="10754" width="0" style="3" hidden="1" customWidth="1"/>
    <col min="10755" max="10755" width="41.42578125" style="3" customWidth="1"/>
    <col min="10756" max="10756" width="19.140625" style="3" customWidth="1"/>
    <col min="10757" max="10757" width="6.28515625" style="3" customWidth="1"/>
    <col min="10758" max="10758" width="6" style="3" customWidth="1"/>
    <col min="10759" max="10759" width="7.42578125" style="3" customWidth="1"/>
    <col min="10760" max="10760" width="5.7109375" style="3" customWidth="1"/>
    <col min="10761" max="10761" width="5.28515625" style="3" customWidth="1"/>
    <col min="10762" max="10762" width="10" style="3" customWidth="1"/>
    <col min="10763" max="10763" width="6.28515625" style="3" customWidth="1"/>
    <col min="10764" max="10764" width="8.28515625" style="3" customWidth="1"/>
    <col min="10765" max="10765" width="12.42578125" style="3" customWidth="1"/>
    <col min="10766" max="10766" width="5.28515625" style="3" customWidth="1"/>
    <col min="10767" max="10767" width="10.85546875" style="3" customWidth="1"/>
    <col min="10768" max="10768" width="4.85546875" style="3" customWidth="1"/>
    <col min="10769" max="10769" width="5.140625" style="3" customWidth="1"/>
    <col min="10770" max="10770" width="10.5703125" style="3" customWidth="1"/>
    <col min="10771" max="10771" width="6.28515625" style="3" customWidth="1"/>
    <col min="10772" max="10772" width="6.5703125" style="3" customWidth="1"/>
    <col min="10773" max="10773" width="7.42578125" style="3" customWidth="1"/>
    <col min="10774" max="10774" width="6.85546875" style="3" customWidth="1"/>
    <col min="10775" max="10775" width="10.7109375" style="3" customWidth="1"/>
    <col min="10776" max="10776" width="5.140625" style="3" customWidth="1"/>
    <col min="10777" max="11008" width="11.42578125" style="3"/>
    <col min="11009" max="11009" width="23.7109375" style="3" customWidth="1"/>
    <col min="11010" max="11010" width="0" style="3" hidden="1" customWidth="1"/>
    <col min="11011" max="11011" width="41.42578125" style="3" customWidth="1"/>
    <col min="11012" max="11012" width="19.140625" style="3" customWidth="1"/>
    <col min="11013" max="11013" width="6.28515625" style="3" customWidth="1"/>
    <col min="11014" max="11014" width="6" style="3" customWidth="1"/>
    <col min="11015" max="11015" width="7.42578125" style="3" customWidth="1"/>
    <col min="11016" max="11016" width="5.7109375" style="3" customWidth="1"/>
    <col min="11017" max="11017" width="5.28515625" style="3" customWidth="1"/>
    <col min="11018" max="11018" width="10" style="3" customWidth="1"/>
    <col min="11019" max="11019" width="6.28515625" style="3" customWidth="1"/>
    <col min="11020" max="11020" width="8.28515625" style="3" customWidth="1"/>
    <col min="11021" max="11021" width="12.42578125" style="3" customWidth="1"/>
    <col min="11022" max="11022" width="5.28515625" style="3" customWidth="1"/>
    <col min="11023" max="11023" width="10.85546875" style="3" customWidth="1"/>
    <col min="11024" max="11024" width="4.85546875" style="3" customWidth="1"/>
    <col min="11025" max="11025" width="5.140625" style="3" customWidth="1"/>
    <col min="11026" max="11026" width="10.5703125" style="3" customWidth="1"/>
    <col min="11027" max="11027" width="6.28515625" style="3" customWidth="1"/>
    <col min="11028" max="11028" width="6.5703125" style="3" customWidth="1"/>
    <col min="11029" max="11029" width="7.42578125" style="3" customWidth="1"/>
    <col min="11030" max="11030" width="6.85546875" style="3" customWidth="1"/>
    <col min="11031" max="11031" width="10.7109375" style="3" customWidth="1"/>
    <col min="11032" max="11032" width="5.140625" style="3" customWidth="1"/>
    <col min="11033" max="11264" width="11.42578125" style="3"/>
    <col min="11265" max="11265" width="23.7109375" style="3" customWidth="1"/>
    <col min="11266" max="11266" width="0" style="3" hidden="1" customWidth="1"/>
    <col min="11267" max="11267" width="41.42578125" style="3" customWidth="1"/>
    <col min="11268" max="11268" width="19.140625" style="3" customWidth="1"/>
    <col min="11269" max="11269" width="6.28515625" style="3" customWidth="1"/>
    <col min="11270" max="11270" width="6" style="3" customWidth="1"/>
    <col min="11271" max="11271" width="7.42578125" style="3" customWidth="1"/>
    <col min="11272" max="11272" width="5.7109375" style="3" customWidth="1"/>
    <col min="11273" max="11273" width="5.28515625" style="3" customWidth="1"/>
    <col min="11274" max="11274" width="10" style="3" customWidth="1"/>
    <col min="11275" max="11275" width="6.28515625" style="3" customWidth="1"/>
    <col min="11276" max="11276" width="8.28515625" style="3" customWidth="1"/>
    <col min="11277" max="11277" width="12.42578125" style="3" customWidth="1"/>
    <col min="11278" max="11278" width="5.28515625" style="3" customWidth="1"/>
    <col min="11279" max="11279" width="10.85546875" style="3" customWidth="1"/>
    <col min="11280" max="11280" width="4.85546875" style="3" customWidth="1"/>
    <col min="11281" max="11281" width="5.140625" style="3" customWidth="1"/>
    <col min="11282" max="11282" width="10.5703125" style="3" customWidth="1"/>
    <col min="11283" max="11283" width="6.28515625" style="3" customWidth="1"/>
    <col min="11284" max="11284" width="6.5703125" style="3" customWidth="1"/>
    <col min="11285" max="11285" width="7.42578125" style="3" customWidth="1"/>
    <col min="11286" max="11286" width="6.85546875" style="3" customWidth="1"/>
    <col min="11287" max="11287" width="10.7109375" style="3" customWidth="1"/>
    <col min="11288" max="11288" width="5.140625" style="3" customWidth="1"/>
    <col min="11289" max="11520" width="11.42578125" style="3"/>
    <col min="11521" max="11521" width="23.7109375" style="3" customWidth="1"/>
    <col min="11522" max="11522" width="0" style="3" hidden="1" customWidth="1"/>
    <col min="11523" max="11523" width="41.42578125" style="3" customWidth="1"/>
    <col min="11524" max="11524" width="19.140625" style="3" customWidth="1"/>
    <col min="11525" max="11525" width="6.28515625" style="3" customWidth="1"/>
    <col min="11526" max="11526" width="6" style="3" customWidth="1"/>
    <col min="11527" max="11527" width="7.42578125" style="3" customWidth="1"/>
    <col min="11528" max="11528" width="5.7109375" style="3" customWidth="1"/>
    <col min="11529" max="11529" width="5.28515625" style="3" customWidth="1"/>
    <col min="11530" max="11530" width="10" style="3" customWidth="1"/>
    <col min="11531" max="11531" width="6.28515625" style="3" customWidth="1"/>
    <col min="11532" max="11532" width="8.28515625" style="3" customWidth="1"/>
    <col min="11533" max="11533" width="12.42578125" style="3" customWidth="1"/>
    <col min="11534" max="11534" width="5.28515625" style="3" customWidth="1"/>
    <col min="11535" max="11535" width="10.85546875" style="3" customWidth="1"/>
    <col min="11536" max="11536" width="4.85546875" style="3" customWidth="1"/>
    <col min="11537" max="11537" width="5.140625" style="3" customWidth="1"/>
    <col min="11538" max="11538" width="10.5703125" style="3" customWidth="1"/>
    <col min="11539" max="11539" width="6.28515625" style="3" customWidth="1"/>
    <col min="11540" max="11540" width="6.5703125" style="3" customWidth="1"/>
    <col min="11541" max="11541" width="7.42578125" style="3" customWidth="1"/>
    <col min="11542" max="11542" width="6.85546875" style="3" customWidth="1"/>
    <col min="11543" max="11543" width="10.7109375" style="3" customWidth="1"/>
    <col min="11544" max="11544" width="5.140625" style="3" customWidth="1"/>
    <col min="11545" max="11776" width="11.42578125" style="3"/>
    <col min="11777" max="11777" width="23.7109375" style="3" customWidth="1"/>
    <col min="11778" max="11778" width="0" style="3" hidden="1" customWidth="1"/>
    <col min="11779" max="11779" width="41.42578125" style="3" customWidth="1"/>
    <col min="11780" max="11780" width="19.140625" style="3" customWidth="1"/>
    <col min="11781" max="11781" width="6.28515625" style="3" customWidth="1"/>
    <col min="11782" max="11782" width="6" style="3" customWidth="1"/>
    <col min="11783" max="11783" width="7.42578125" style="3" customWidth="1"/>
    <col min="11784" max="11784" width="5.7109375" style="3" customWidth="1"/>
    <col min="11785" max="11785" width="5.28515625" style="3" customWidth="1"/>
    <col min="11786" max="11786" width="10" style="3" customWidth="1"/>
    <col min="11787" max="11787" width="6.28515625" style="3" customWidth="1"/>
    <col min="11788" max="11788" width="8.28515625" style="3" customWidth="1"/>
    <col min="11789" max="11789" width="12.42578125" style="3" customWidth="1"/>
    <col min="11790" max="11790" width="5.28515625" style="3" customWidth="1"/>
    <col min="11791" max="11791" width="10.85546875" style="3" customWidth="1"/>
    <col min="11792" max="11792" width="4.85546875" style="3" customWidth="1"/>
    <col min="11793" max="11793" width="5.140625" style="3" customWidth="1"/>
    <col min="11794" max="11794" width="10.5703125" style="3" customWidth="1"/>
    <col min="11795" max="11795" width="6.28515625" style="3" customWidth="1"/>
    <col min="11796" max="11796" width="6.5703125" style="3" customWidth="1"/>
    <col min="11797" max="11797" width="7.42578125" style="3" customWidth="1"/>
    <col min="11798" max="11798" width="6.85546875" style="3" customWidth="1"/>
    <col min="11799" max="11799" width="10.7109375" style="3" customWidth="1"/>
    <col min="11800" max="11800" width="5.140625" style="3" customWidth="1"/>
    <col min="11801" max="12032" width="11.42578125" style="3"/>
    <col min="12033" max="12033" width="23.7109375" style="3" customWidth="1"/>
    <col min="12034" max="12034" width="0" style="3" hidden="1" customWidth="1"/>
    <col min="12035" max="12035" width="41.42578125" style="3" customWidth="1"/>
    <col min="12036" max="12036" width="19.140625" style="3" customWidth="1"/>
    <col min="12037" max="12037" width="6.28515625" style="3" customWidth="1"/>
    <col min="12038" max="12038" width="6" style="3" customWidth="1"/>
    <col min="12039" max="12039" width="7.42578125" style="3" customWidth="1"/>
    <col min="12040" max="12040" width="5.7109375" style="3" customWidth="1"/>
    <col min="12041" max="12041" width="5.28515625" style="3" customWidth="1"/>
    <col min="12042" max="12042" width="10" style="3" customWidth="1"/>
    <col min="12043" max="12043" width="6.28515625" style="3" customWidth="1"/>
    <col min="12044" max="12044" width="8.28515625" style="3" customWidth="1"/>
    <col min="12045" max="12045" width="12.42578125" style="3" customWidth="1"/>
    <col min="12046" max="12046" width="5.28515625" style="3" customWidth="1"/>
    <col min="12047" max="12047" width="10.85546875" style="3" customWidth="1"/>
    <col min="12048" max="12048" width="4.85546875" style="3" customWidth="1"/>
    <col min="12049" max="12049" width="5.140625" style="3" customWidth="1"/>
    <col min="12050" max="12050" width="10.5703125" style="3" customWidth="1"/>
    <col min="12051" max="12051" width="6.28515625" style="3" customWidth="1"/>
    <col min="12052" max="12052" width="6.5703125" style="3" customWidth="1"/>
    <col min="12053" max="12053" width="7.42578125" style="3" customWidth="1"/>
    <col min="12054" max="12054" width="6.85546875" style="3" customWidth="1"/>
    <col min="12055" max="12055" width="10.7109375" style="3" customWidth="1"/>
    <col min="12056" max="12056" width="5.140625" style="3" customWidth="1"/>
    <col min="12057" max="12288" width="11.42578125" style="3"/>
    <col min="12289" max="12289" width="23.7109375" style="3" customWidth="1"/>
    <col min="12290" max="12290" width="0" style="3" hidden="1" customWidth="1"/>
    <col min="12291" max="12291" width="41.42578125" style="3" customWidth="1"/>
    <col min="12292" max="12292" width="19.140625" style="3" customWidth="1"/>
    <col min="12293" max="12293" width="6.28515625" style="3" customWidth="1"/>
    <col min="12294" max="12294" width="6" style="3" customWidth="1"/>
    <col min="12295" max="12295" width="7.42578125" style="3" customWidth="1"/>
    <col min="12296" max="12296" width="5.7109375" style="3" customWidth="1"/>
    <col min="12297" max="12297" width="5.28515625" style="3" customWidth="1"/>
    <col min="12298" max="12298" width="10" style="3" customWidth="1"/>
    <col min="12299" max="12299" width="6.28515625" style="3" customWidth="1"/>
    <col min="12300" max="12300" width="8.28515625" style="3" customWidth="1"/>
    <col min="12301" max="12301" width="12.42578125" style="3" customWidth="1"/>
    <col min="12302" max="12302" width="5.28515625" style="3" customWidth="1"/>
    <col min="12303" max="12303" width="10.85546875" style="3" customWidth="1"/>
    <col min="12304" max="12304" width="4.85546875" style="3" customWidth="1"/>
    <col min="12305" max="12305" width="5.140625" style="3" customWidth="1"/>
    <col min="12306" max="12306" width="10.5703125" style="3" customWidth="1"/>
    <col min="12307" max="12307" width="6.28515625" style="3" customWidth="1"/>
    <col min="12308" max="12308" width="6.5703125" style="3" customWidth="1"/>
    <col min="12309" max="12309" width="7.42578125" style="3" customWidth="1"/>
    <col min="12310" max="12310" width="6.85546875" style="3" customWidth="1"/>
    <col min="12311" max="12311" width="10.7109375" style="3" customWidth="1"/>
    <col min="12312" max="12312" width="5.140625" style="3" customWidth="1"/>
    <col min="12313" max="12544" width="11.42578125" style="3"/>
    <col min="12545" max="12545" width="23.7109375" style="3" customWidth="1"/>
    <col min="12546" max="12546" width="0" style="3" hidden="1" customWidth="1"/>
    <col min="12547" max="12547" width="41.42578125" style="3" customWidth="1"/>
    <col min="12548" max="12548" width="19.140625" style="3" customWidth="1"/>
    <col min="12549" max="12549" width="6.28515625" style="3" customWidth="1"/>
    <col min="12550" max="12550" width="6" style="3" customWidth="1"/>
    <col min="12551" max="12551" width="7.42578125" style="3" customWidth="1"/>
    <col min="12552" max="12552" width="5.7109375" style="3" customWidth="1"/>
    <col min="12553" max="12553" width="5.28515625" style="3" customWidth="1"/>
    <col min="12554" max="12554" width="10" style="3" customWidth="1"/>
    <col min="12555" max="12555" width="6.28515625" style="3" customWidth="1"/>
    <col min="12556" max="12556" width="8.28515625" style="3" customWidth="1"/>
    <col min="12557" max="12557" width="12.42578125" style="3" customWidth="1"/>
    <col min="12558" max="12558" width="5.28515625" style="3" customWidth="1"/>
    <col min="12559" max="12559" width="10.85546875" style="3" customWidth="1"/>
    <col min="12560" max="12560" width="4.85546875" style="3" customWidth="1"/>
    <col min="12561" max="12561" width="5.140625" style="3" customWidth="1"/>
    <col min="12562" max="12562" width="10.5703125" style="3" customWidth="1"/>
    <col min="12563" max="12563" width="6.28515625" style="3" customWidth="1"/>
    <col min="12564" max="12564" width="6.5703125" style="3" customWidth="1"/>
    <col min="12565" max="12565" width="7.42578125" style="3" customWidth="1"/>
    <col min="12566" max="12566" width="6.85546875" style="3" customWidth="1"/>
    <col min="12567" max="12567" width="10.7109375" style="3" customWidth="1"/>
    <col min="12568" max="12568" width="5.140625" style="3" customWidth="1"/>
    <col min="12569" max="12800" width="11.42578125" style="3"/>
    <col min="12801" max="12801" width="23.7109375" style="3" customWidth="1"/>
    <col min="12802" max="12802" width="0" style="3" hidden="1" customWidth="1"/>
    <col min="12803" max="12803" width="41.42578125" style="3" customWidth="1"/>
    <col min="12804" max="12804" width="19.140625" style="3" customWidth="1"/>
    <col min="12805" max="12805" width="6.28515625" style="3" customWidth="1"/>
    <col min="12806" max="12806" width="6" style="3" customWidth="1"/>
    <col min="12807" max="12807" width="7.42578125" style="3" customWidth="1"/>
    <col min="12808" max="12808" width="5.7109375" style="3" customWidth="1"/>
    <col min="12809" max="12809" width="5.28515625" style="3" customWidth="1"/>
    <col min="12810" max="12810" width="10" style="3" customWidth="1"/>
    <col min="12811" max="12811" width="6.28515625" style="3" customWidth="1"/>
    <col min="12812" max="12812" width="8.28515625" style="3" customWidth="1"/>
    <col min="12813" max="12813" width="12.42578125" style="3" customWidth="1"/>
    <col min="12814" max="12814" width="5.28515625" style="3" customWidth="1"/>
    <col min="12815" max="12815" width="10.85546875" style="3" customWidth="1"/>
    <col min="12816" max="12816" width="4.85546875" style="3" customWidth="1"/>
    <col min="12817" max="12817" width="5.140625" style="3" customWidth="1"/>
    <col min="12818" max="12818" width="10.5703125" style="3" customWidth="1"/>
    <col min="12819" max="12819" width="6.28515625" style="3" customWidth="1"/>
    <col min="12820" max="12820" width="6.5703125" style="3" customWidth="1"/>
    <col min="12821" max="12821" width="7.42578125" style="3" customWidth="1"/>
    <col min="12822" max="12822" width="6.85546875" style="3" customWidth="1"/>
    <col min="12823" max="12823" width="10.7109375" style="3" customWidth="1"/>
    <col min="12824" max="12824" width="5.140625" style="3" customWidth="1"/>
    <col min="12825" max="13056" width="11.42578125" style="3"/>
    <col min="13057" max="13057" width="23.7109375" style="3" customWidth="1"/>
    <col min="13058" max="13058" width="0" style="3" hidden="1" customWidth="1"/>
    <col min="13059" max="13059" width="41.42578125" style="3" customWidth="1"/>
    <col min="13060" max="13060" width="19.140625" style="3" customWidth="1"/>
    <col min="13061" max="13061" width="6.28515625" style="3" customWidth="1"/>
    <col min="13062" max="13062" width="6" style="3" customWidth="1"/>
    <col min="13063" max="13063" width="7.42578125" style="3" customWidth="1"/>
    <col min="13064" max="13064" width="5.7109375" style="3" customWidth="1"/>
    <col min="13065" max="13065" width="5.28515625" style="3" customWidth="1"/>
    <col min="13066" max="13066" width="10" style="3" customWidth="1"/>
    <col min="13067" max="13067" width="6.28515625" style="3" customWidth="1"/>
    <col min="13068" max="13068" width="8.28515625" style="3" customWidth="1"/>
    <col min="13069" max="13069" width="12.42578125" style="3" customWidth="1"/>
    <col min="13070" max="13070" width="5.28515625" style="3" customWidth="1"/>
    <col min="13071" max="13071" width="10.85546875" style="3" customWidth="1"/>
    <col min="13072" max="13072" width="4.85546875" style="3" customWidth="1"/>
    <col min="13073" max="13073" width="5.140625" style="3" customWidth="1"/>
    <col min="13074" max="13074" width="10.5703125" style="3" customWidth="1"/>
    <col min="13075" max="13075" width="6.28515625" style="3" customWidth="1"/>
    <col min="13076" max="13076" width="6.5703125" style="3" customWidth="1"/>
    <col min="13077" max="13077" width="7.42578125" style="3" customWidth="1"/>
    <col min="13078" max="13078" width="6.85546875" style="3" customWidth="1"/>
    <col min="13079" max="13079" width="10.7109375" style="3" customWidth="1"/>
    <col min="13080" max="13080" width="5.140625" style="3" customWidth="1"/>
    <col min="13081" max="13312" width="11.42578125" style="3"/>
    <col min="13313" max="13313" width="23.7109375" style="3" customWidth="1"/>
    <col min="13314" max="13314" width="0" style="3" hidden="1" customWidth="1"/>
    <col min="13315" max="13315" width="41.42578125" style="3" customWidth="1"/>
    <col min="13316" max="13316" width="19.140625" style="3" customWidth="1"/>
    <col min="13317" max="13317" width="6.28515625" style="3" customWidth="1"/>
    <col min="13318" max="13318" width="6" style="3" customWidth="1"/>
    <col min="13319" max="13319" width="7.42578125" style="3" customWidth="1"/>
    <col min="13320" max="13320" width="5.7109375" style="3" customWidth="1"/>
    <col min="13321" max="13321" width="5.28515625" style="3" customWidth="1"/>
    <col min="13322" max="13322" width="10" style="3" customWidth="1"/>
    <col min="13323" max="13323" width="6.28515625" style="3" customWidth="1"/>
    <col min="13324" max="13324" width="8.28515625" style="3" customWidth="1"/>
    <col min="13325" max="13325" width="12.42578125" style="3" customWidth="1"/>
    <col min="13326" max="13326" width="5.28515625" style="3" customWidth="1"/>
    <col min="13327" max="13327" width="10.85546875" style="3" customWidth="1"/>
    <col min="13328" max="13328" width="4.85546875" style="3" customWidth="1"/>
    <col min="13329" max="13329" width="5.140625" style="3" customWidth="1"/>
    <col min="13330" max="13330" width="10.5703125" style="3" customWidth="1"/>
    <col min="13331" max="13331" width="6.28515625" style="3" customWidth="1"/>
    <col min="13332" max="13332" width="6.5703125" style="3" customWidth="1"/>
    <col min="13333" max="13333" width="7.42578125" style="3" customWidth="1"/>
    <col min="13334" max="13334" width="6.85546875" style="3" customWidth="1"/>
    <col min="13335" max="13335" width="10.7109375" style="3" customWidth="1"/>
    <col min="13336" max="13336" width="5.140625" style="3" customWidth="1"/>
    <col min="13337" max="13568" width="11.42578125" style="3"/>
    <col min="13569" max="13569" width="23.7109375" style="3" customWidth="1"/>
    <col min="13570" max="13570" width="0" style="3" hidden="1" customWidth="1"/>
    <col min="13571" max="13571" width="41.42578125" style="3" customWidth="1"/>
    <col min="13572" max="13572" width="19.140625" style="3" customWidth="1"/>
    <col min="13573" max="13573" width="6.28515625" style="3" customWidth="1"/>
    <col min="13574" max="13574" width="6" style="3" customWidth="1"/>
    <col min="13575" max="13575" width="7.42578125" style="3" customWidth="1"/>
    <col min="13576" max="13576" width="5.7109375" style="3" customWidth="1"/>
    <col min="13577" max="13577" width="5.28515625" style="3" customWidth="1"/>
    <col min="13578" max="13578" width="10" style="3" customWidth="1"/>
    <col min="13579" max="13579" width="6.28515625" style="3" customWidth="1"/>
    <col min="13580" max="13580" width="8.28515625" style="3" customWidth="1"/>
    <col min="13581" max="13581" width="12.42578125" style="3" customWidth="1"/>
    <col min="13582" max="13582" width="5.28515625" style="3" customWidth="1"/>
    <col min="13583" max="13583" width="10.85546875" style="3" customWidth="1"/>
    <col min="13584" max="13584" width="4.85546875" style="3" customWidth="1"/>
    <col min="13585" max="13585" width="5.140625" style="3" customWidth="1"/>
    <col min="13586" max="13586" width="10.5703125" style="3" customWidth="1"/>
    <col min="13587" max="13587" width="6.28515625" style="3" customWidth="1"/>
    <col min="13588" max="13588" width="6.5703125" style="3" customWidth="1"/>
    <col min="13589" max="13589" width="7.42578125" style="3" customWidth="1"/>
    <col min="13590" max="13590" width="6.85546875" style="3" customWidth="1"/>
    <col min="13591" max="13591" width="10.7109375" style="3" customWidth="1"/>
    <col min="13592" max="13592" width="5.140625" style="3" customWidth="1"/>
    <col min="13593" max="13824" width="11.42578125" style="3"/>
    <col min="13825" max="13825" width="23.7109375" style="3" customWidth="1"/>
    <col min="13826" max="13826" width="0" style="3" hidden="1" customWidth="1"/>
    <col min="13827" max="13827" width="41.42578125" style="3" customWidth="1"/>
    <col min="13828" max="13828" width="19.140625" style="3" customWidth="1"/>
    <col min="13829" max="13829" width="6.28515625" style="3" customWidth="1"/>
    <col min="13830" max="13830" width="6" style="3" customWidth="1"/>
    <col min="13831" max="13831" width="7.42578125" style="3" customWidth="1"/>
    <col min="13832" max="13832" width="5.7109375" style="3" customWidth="1"/>
    <col min="13833" max="13833" width="5.28515625" style="3" customWidth="1"/>
    <col min="13834" max="13834" width="10" style="3" customWidth="1"/>
    <col min="13835" max="13835" width="6.28515625" style="3" customWidth="1"/>
    <col min="13836" max="13836" width="8.28515625" style="3" customWidth="1"/>
    <col min="13837" max="13837" width="12.42578125" style="3" customWidth="1"/>
    <col min="13838" max="13838" width="5.28515625" style="3" customWidth="1"/>
    <col min="13839" max="13839" width="10.85546875" style="3" customWidth="1"/>
    <col min="13840" max="13840" width="4.85546875" style="3" customWidth="1"/>
    <col min="13841" max="13841" width="5.140625" style="3" customWidth="1"/>
    <col min="13842" max="13842" width="10.5703125" style="3" customWidth="1"/>
    <col min="13843" max="13843" width="6.28515625" style="3" customWidth="1"/>
    <col min="13844" max="13844" width="6.5703125" style="3" customWidth="1"/>
    <col min="13845" max="13845" width="7.42578125" style="3" customWidth="1"/>
    <col min="13846" max="13846" width="6.85546875" style="3" customWidth="1"/>
    <col min="13847" max="13847" width="10.7109375" style="3" customWidth="1"/>
    <col min="13848" max="13848" width="5.140625" style="3" customWidth="1"/>
    <col min="13849" max="14080" width="11.42578125" style="3"/>
    <col min="14081" max="14081" width="23.7109375" style="3" customWidth="1"/>
    <col min="14082" max="14082" width="0" style="3" hidden="1" customWidth="1"/>
    <col min="14083" max="14083" width="41.42578125" style="3" customWidth="1"/>
    <col min="14084" max="14084" width="19.140625" style="3" customWidth="1"/>
    <col min="14085" max="14085" width="6.28515625" style="3" customWidth="1"/>
    <col min="14086" max="14086" width="6" style="3" customWidth="1"/>
    <col min="14087" max="14087" width="7.42578125" style="3" customWidth="1"/>
    <col min="14088" max="14088" width="5.7109375" style="3" customWidth="1"/>
    <col min="14089" max="14089" width="5.28515625" style="3" customWidth="1"/>
    <col min="14090" max="14090" width="10" style="3" customWidth="1"/>
    <col min="14091" max="14091" width="6.28515625" style="3" customWidth="1"/>
    <col min="14092" max="14092" width="8.28515625" style="3" customWidth="1"/>
    <col min="14093" max="14093" width="12.42578125" style="3" customWidth="1"/>
    <col min="14094" max="14094" width="5.28515625" style="3" customWidth="1"/>
    <col min="14095" max="14095" width="10.85546875" style="3" customWidth="1"/>
    <col min="14096" max="14096" width="4.85546875" style="3" customWidth="1"/>
    <col min="14097" max="14097" width="5.140625" style="3" customWidth="1"/>
    <col min="14098" max="14098" width="10.5703125" style="3" customWidth="1"/>
    <col min="14099" max="14099" width="6.28515625" style="3" customWidth="1"/>
    <col min="14100" max="14100" width="6.5703125" style="3" customWidth="1"/>
    <col min="14101" max="14101" width="7.42578125" style="3" customWidth="1"/>
    <col min="14102" max="14102" width="6.85546875" style="3" customWidth="1"/>
    <col min="14103" max="14103" width="10.7109375" style="3" customWidth="1"/>
    <col min="14104" max="14104" width="5.140625" style="3" customWidth="1"/>
    <col min="14105" max="14336" width="11.42578125" style="3"/>
    <col min="14337" max="14337" width="23.7109375" style="3" customWidth="1"/>
    <col min="14338" max="14338" width="0" style="3" hidden="1" customWidth="1"/>
    <col min="14339" max="14339" width="41.42578125" style="3" customWidth="1"/>
    <col min="14340" max="14340" width="19.140625" style="3" customWidth="1"/>
    <col min="14341" max="14341" width="6.28515625" style="3" customWidth="1"/>
    <col min="14342" max="14342" width="6" style="3" customWidth="1"/>
    <col min="14343" max="14343" width="7.42578125" style="3" customWidth="1"/>
    <col min="14344" max="14344" width="5.7109375" style="3" customWidth="1"/>
    <col min="14345" max="14345" width="5.28515625" style="3" customWidth="1"/>
    <col min="14346" max="14346" width="10" style="3" customWidth="1"/>
    <col min="14347" max="14347" width="6.28515625" style="3" customWidth="1"/>
    <col min="14348" max="14348" width="8.28515625" style="3" customWidth="1"/>
    <col min="14349" max="14349" width="12.42578125" style="3" customWidth="1"/>
    <col min="14350" max="14350" width="5.28515625" style="3" customWidth="1"/>
    <col min="14351" max="14351" width="10.85546875" style="3" customWidth="1"/>
    <col min="14352" max="14352" width="4.85546875" style="3" customWidth="1"/>
    <col min="14353" max="14353" width="5.140625" style="3" customWidth="1"/>
    <col min="14354" max="14354" width="10.5703125" style="3" customWidth="1"/>
    <col min="14355" max="14355" width="6.28515625" style="3" customWidth="1"/>
    <col min="14356" max="14356" width="6.5703125" style="3" customWidth="1"/>
    <col min="14357" max="14357" width="7.42578125" style="3" customWidth="1"/>
    <col min="14358" max="14358" width="6.85546875" style="3" customWidth="1"/>
    <col min="14359" max="14359" width="10.7109375" style="3" customWidth="1"/>
    <col min="14360" max="14360" width="5.140625" style="3" customWidth="1"/>
    <col min="14361" max="14592" width="11.42578125" style="3"/>
    <col min="14593" max="14593" width="23.7109375" style="3" customWidth="1"/>
    <col min="14594" max="14594" width="0" style="3" hidden="1" customWidth="1"/>
    <col min="14595" max="14595" width="41.42578125" style="3" customWidth="1"/>
    <col min="14596" max="14596" width="19.140625" style="3" customWidth="1"/>
    <col min="14597" max="14597" width="6.28515625" style="3" customWidth="1"/>
    <col min="14598" max="14598" width="6" style="3" customWidth="1"/>
    <col min="14599" max="14599" width="7.42578125" style="3" customWidth="1"/>
    <col min="14600" max="14600" width="5.7109375" style="3" customWidth="1"/>
    <col min="14601" max="14601" width="5.28515625" style="3" customWidth="1"/>
    <col min="14602" max="14602" width="10" style="3" customWidth="1"/>
    <col min="14603" max="14603" width="6.28515625" style="3" customWidth="1"/>
    <col min="14604" max="14604" width="8.28515625" style="3" customWidth="1"/>
    <col min="14605" max="14605" width="12.42578125" style="3" customWidth="1"/>
    <col min="14606" max="14606" width="5.28515625" style="3" customWidth="1"/>
    <col min="14607" max="14607" width="10.85546875" style="3" customWidth="1"/>
    <col min="14608" max="14608" width="4.85546875" style="3" customWidth="1"/>
    <col min="14609" max="14609" width="5.140625" style="3" customWidth="1"/>
    <col min="14610" max="14610" width="10.5703125" style="3" customWidth="1"/>
    <col min="14611" max="14611" width="6.28515625" style="3" customWidth="1"/>
    <col min="14612" max="14612" width="6.5703125" style="3" customWidth="1"/>
    <col min="14613" max="14613" width="7.42578125" style="3" customWidth="1"/>
    <col min="14614" max="14614" width="6.85546875" style="3" customWidth="1"/>
    <col min="14615" max="14615" width="10.7109375" style="3" customWidth="1"/>
    <col min="14616" max="14616" width="5.140625" style="3" customWidth="1"/>
    <col min="14617" max="14848" width="11.42578125" style="3"/>
    <col min="14849" max="14849" width="23.7109375" style="3" customWidth="1"/>
    <col min="14850" max="14850" width="0" style="3" hidden="1" customWidth="1"/>
    <col min="14851" max="14851" width="41.42578125" style="3" customWidth="1"/>
    <col min="14852" max="14852" width="19.140625" style="3" customWidth="1"/>
    <col min="14853" max="14853" width="6.28515625" style="3" customWidth="1"/>
    <col min="14854" max="14854" width="6" style="3" customWidth="1"/>
    <col min="14855" max="14855" width="7.42578125" style="3" customWidth="1"/>
    <col min="14856" max="14856" width="5.7109375" style="3" customWidth="1"/>
    <col min="14857" max="14857" width="5.28515625" style="3" customWidth="1"/>
    <col min="14858" max="14858" width="10" style="3" customWidth="1"/>
    <col min="14859" max="14859" width="6.28515625" style="3" customWidth="1"/>
    <col min="14860" max="14860" width="8.28515625" style="3" customWidth="1"/>
    <col min="14861" max="14861" width="12.42578125" style="3" customWidth="1"/>
    <col min="14862" max="14862" width="5.28515625" style="3" customWidth="1"/>
    <col min="14863" max="14863" width="10.85546875" style="3" customWidth="1"/>
    <col min="14864" max="14864" width="4.85546875" style="3" customWidth="1"/>
    <col min="14865" max="14865" width="5.140625" style="3" customWidth="1"/>
    <col min="14866" max="14866" width="10.5703125" style="3" customWidth="1"/>
    <col min="14867" max="14867" width="6.28515625" style="3" customWidth="1"/>
    <col min="14868" max="14868" width="6.5703125" style="3" customWidth="1"/>
    <col min="14869" max="14869" width="7.42578125" style="3" customWidth="1"/>
    <col min="14870" max="14870" width="6.85546875" style="3" customWidth="1"/>
    <col min="14871" max="14871" width="10.7109375" style="3" customWidth="1"/>
    <col min="14872" max="14872" width="5.140625" style="3" customWidth="1"/>
    <col min="14873" max="15104" width="11.42578125" style="3"/>
    <col min="15105" max="15105" width="23.7109375" style="3" customWidth="1"/>
    <col min="15106" max="15106" width="0" style="3" hidden="1" customWidth="1"/>
    <col min="15107" max="15107" width="41.42578125" style="3" customWidth="1"/>
    <col min="15108" max="15108" width="19.140625" style="3" customWidth="1"/>
    <col min="15109" max="15109" width="6.28515625" style="3" customWidth="1"/>
    <col min="15110" max="15110" width="6" style="3" customWidth="1"/>
    <col min="15111" max="15111" width="7.42578125" style="3" customWidth="1"/>
    <col min="15112" max="15112" width="5.7109375" style="3" customWidth="1"/>
    <col min="15113" max="15113" width="5.28515625" style="3" customWidth="1"/>
    <col min="15114" max="15114" width="10" style="3" customWidth="1"/>
    <col min="15115" max="15115" width="6.28515625" style="3" customWidth="1"/>
    <col min="15116" max="15116" width="8.28515625" style="3" customWidth="1"/>
    <col min="15117" max="15117" width="12.42578125" style="3" customWidth="1"/>
    <col min="15118" max="15118" width="5.28515625" style="3" customWidth="1"/>
    <col min="15119" max="15119" width="10.85546875" style="3" customWidth="1"/>
    <col min="15120" max="15120" width="4.85546875" style="3" customWidth="1"/>
    <col min="15121" max="15121" width="5.140625" style="3" customWidth="1"/>
    <col min="15122" max="15122" width="10.5703125" style="3" customWidth="1"/>
    <col min="15123" max="15123" width="6.28515625" style="3" customWidth="1"/>
    <col min="15124" max="15124" width="6.5703125" style="3" customWidth="1"/>
    <col min="15125" max="15125" width="7.42578125" style="3" customWidth="1"/>
    <col min="15126" max="15126" width="6.85546875" style="3" customWidth="1"/>
    <col min="15127" max="15127" width="10.7109375" style="3" customWidth="1"/>
    <col min="15128" max="15128" width="5.140625" style="3" customWidth="1"/>
    <col min="15129" max="15360" width="11.42578125" style="3"/>
    <col min="15361" max="15361" width="23.7109375" style="3" customWidth="1"/>
    <col min="15362" max="15362" width="0" style="3" hidden="1" customWidth="1"/>
    <col min="15363" max="15363" width="41.42578125" style="3" customWidth="1"/>
    <col min="15364" max="15364" width="19.140625" style="3" customWidth="1"/>
    <col min="15365" max="15365" width="6.28515625" style="3" customWidth="1"/>
    <col min="15366" max="15366" width="6" style="3" customWidth="1"/>
    <col min="15367" max="15367" width="7.42578125" style="3" customWidth="1"/>
    <col min="15368" max="15368" width="5.7109375" style="3" customWidth="1"/>
    <col min="15369" max="15369" width="5.28515625" style="3" customWidth="1"/>
    <col min="15370" max="15370" width="10" style="3" customWidth="1"/>
    <col min="15371" max="15371" width="6.28515625" style="3" customWidth="1"/>
    <col min="15372" max="15372" width="8.28515625" style="3" customWidth="1"/>
    <col min="15373" max="15373" width="12.42578125" style="3" customWidth="1"/>
    <col min="15374" max="15374" width="5.28515625" style="3" customWidth="1"/>
    <col min="15375" max="15375" width="10.85546875" style="3" customWidth="1"/>
    <col min="15376" max="15376" width="4.85546875" style="3" customWidth="1"/>
    <col min="15377" max="15377" width="5.140625" style="3" customWidth="1"/>
    <col min="15378" max="15378" width="10.5703125" style="3" customWidth="1"/>
    <col min="15379" max="15379" width="6.28515625" style="3" customWidth="1"/>
    <col min="15380" max="15380" width="6.5703125" style="3" customWidth="1"/>
    <col min="15381" max="15381" width="7.42578125" style="3" customWidth="1"/>
    <col min="15382" max="15382" width="6.85546875" style="3" customWidth="1"/>
    <col min="15383" max="15383" width="10.7109375" style="3" customWidth="1"/>
    <col min="15384" max="15384" width="5.140625" style="3" customWidth="1"/>
    <col min="15385" max="15616" width="11.42578125" style="3"/>
    <col min="15617" max="15617" width="23.7109375" style="3" customWidth="1"/>
    <col min="15618" max="15618" width="0" style="3" hidden="1" customWidth="1"/>
    <col min="15619" max="15619" width="41.42578125" style="3" customWidth="1"/>
    <col min="15620" max="15620" width="19.140625" style="3" customWidth="1"/>
    <col min="15621" max="15621" width="6.28515625" style="3" customWidth="1"/>
    <col min="15622" max="15622" width="6" style="3" customWidth="1"/>
    <col min="15623" max="15623" width="7.42578125" style="3" customWidth="1"/>
    <col min="15624" max="15624" width="5.7109375" style="3" customWidth="1"/>
    <col min="15625" max="15625" width="5.28515625" style="3" customWidth="1"/>
    <col min="15626" max="15626" width="10" style="3" customWidth="1"/>
    <col min="15627" max="15627" width="6.28515625" style="3" customWidth="1"/>
    <col min="15628" max="15628" width="8.28515625" style="3" customWidth="1"/>
    <col min="15629" max="15629" width="12.42578125" style="3" customWidth="1"/>
    <col min="15630" max="15630" width="5.28515625" style="3" customWidth="1"/>
    <col min="15631" max="15631" width="10.85546875" style="3" customWidth="1"/>
    <col min="15632" max="15632" width="4.85546875" style="3" customWidth="1"/>
    <col min="15633" max="15633" width="5.140625" style="3" customWidth="1"/>
    <col min="15634" max="15634" width="10.5703125" style="3" customWidth="1"/>
    <col min="15635" max="15635" width="6.28515625" style="3" customWidth="1"/>
    <col min="15636" max="15636" width="6.5703125" style="3" customWidth="1"/>
    <col min="15637" max="15637" width="7.42578125" style="3" customWidth="1"/>
    <col min="15638" max="15638" width="6.85546875" style="3" customWidth="1"/>
    <col min="15639" max="15639" width="10.7109375" style="3" customWidth="1"/>
    <col min="15640" max="15640" width="5.140625" style="3" customWidth="1"/>
    <col min="15641" max="15872" width="11.42578125" style="3"/>
    <col min="15873" max="15873" width="23.7109375" style="3" customWidth="1"/>
    <col min="15874" max="15874" width="0" style="3" hidden="1" customWidth="1"/>
    <col min="15875" max="15875" width="41.42578125" style="3" customWidth="1"/>
    <col min="15876" max="15876" width="19.140625" style="3" customWidth="1"/>
    <col min="15877" max="15877" width="6.28515625" style="3" customWidth="1"/>
    <col min="15878" max="15878" width="6" style="3" customWidth="1"/>
    <col min="15879" max="15879" width="7.42578125" style="3" customWidth="1"/>
    <col min="15880" max="15880" width="5.7109375" style="3" customWidth="1"/>
    <col min="15881" max="15881" width="5.28515625" style="3" customWidth="1"/>
    <col min="15882" max="15882" width="10" style="3" customWidth="1"/>
    <col min="15883" max="15883" width="6.28515625" style="3" customWidth="1"/>
    <col min="15884" max="15884" width="8.28515625" style="3" customWidth="1"/>
    <col min="15885" max="15885" width="12.42578125" style="3" customWidth="1"/>
    <col min="15886" max="15886" width="5.28515625" style="3" customWidth="1"/>
    <col min="15887" max="15887" width="10.85546875" style="3" customWidth="1"/>
    <col min="15888" max="15888" width="4.85546875" style="3" customWidth="1"/>
    <col min="15889" max="15889" width="5.140625" style="3" customWidth="1"/>
    <col min="15890" max="15890" width="10.5703125" style="3" customWidth="1"/>
    <col min="15891" max="15891" width="6.28515625" style="3" customWidth="1"/>
    <col min="15892" max="15892" width="6.5703125" style="3" customWidth="1"/>
    <col min="15893" max="15893" width="7.42578125" style="3" customWidth="1"/>
    <col min="15894" max="15894" width="6.85546875" style="3" customWidth="1"/>
    <col min="15895" max="15895" width="10.7109375" style="3" customWidth="1"/>
    <col min="15896" max="15896" width="5.140625" style="3" customWidth="1"/>
    <col min="15897" max="16128" width="11.42578125" style="3"/>
    <col min="16129" max="16129" width="23.7109375" style="3" customWidth="1"/>
    <col min="16130" max="16130" width="0" style="3" hidden="1" customWidth="1"/>
    <col min="16131" max="16131" width="41.42578125" style="3" customWidth="1"/>
    <col min="16132" max="16132" width="19.140625" style="3" customWidth="1"/>
    <col min="16133" max="16133" width="6.28515625" style="3" customWidth="1"/>
    <col min="16134" max="16134" width="6" style="3" customWidth="1"/>
    <col min="16135" max="16135" width="7.42578125" style="3" customWidth="1"/>
    <col min="16136" max="16136" width="5.7109375" style="3" customWidth="1"/>
    <col min="16137" max="16137" width="5.28515625" style="3" customWidth="1"/>
    <col min="16138" max="16138" width="10" style="3" customWidth="1"/>
    <col min="16139" max="16139" width="6.28515625" style="3" customWidth="1"/>
    <col min="16140" max="16140" width="8.28515625" style="3" customWidth="1"/>
    <col min="16141" max="16141" width="12.42578125" style="3" customWidth="1"/>
    <col min="16142" max="16142" width="5.28515625" style="3" customWidth="1"/>
    <col min="16143" max="16143" width="10.85546875" style="3" customWidth="1"/>
    <col min="16144" max="16144" width="4.85546875" style="3" customWidth="1"/>
    <col min="16145" max="16145" width="5.140625" style="3" customWidth="1"/>
    <col min="16146" max="16146" width="10.5703125" style="3" customWidth="1"/>
    <col min="16147" max="16147" width="6.28515625" style="3" customWidth="1"/>
    <col min="16148" max="16148" width="6.5703125" style="3" customWidth="1"/>
    <col min="16149" max="16149" width="7.42578125" style="3" customWidth="1"/>
    <col min="16150" max="16150" width="6.85546875" style="3" customWidth="1"/>
    <col min="16151" max="16151" width="10.7109375" style="3" customWidth="1"/>
    <col min="16152" max="16152" width="5.140625" style="3" customWidth="1"/>
    <col min="16153" max="16384" width="11.42578125" style="3"/>
  </cols>
  <sheetData>
    <row r="1" spans="1:27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5"/>
    </row>
    <row r="2" spans="1:27" s="2" customFormat="1" ht="22.5" customHeight="1">
      <c r="A2" s="6"/>
      <c r="B2" s="194"/>
      <c r="C2" s="1801" t="s">
        <v>4</v>
      </c>
      <c r="D2" s="1802"/>
      <c r="E2" s="1789" t="s">
        <v>5</v>
      </c>
      <c r="F2" s="195" t="s">
        <v>6</v>
      </c>
      <c r="G2" s="195"/>
      <c r="H2" s="195"/>
      <c r="I2" s="196"/>
      <c r="J2" s="1520" t="s">
        <v>7</v>
      </c>
      <c r="K2" s="1789" t="s">
        <v>108</v>
      </c>
      <c r="L2" s="1789" t="s">
        <v>1538</v>
      </c>
      <c r="M2" s="1876" t="s">
        <v>110</v>
      </c>
      <c r="N2" s="1525"/>
      <c r="O2" s="1525"/>
      <c r="P2" s="166"/>
      <c r="Q2" s="165"/>
      <c r="R2" s="1525"/>
      <c r="S2" s="167"/>
      <c r="T2" s="168"/>
      <c r="U2" s="168"/>
      <c r="V2" s="169"/>
      <c r="W2" s="1525"/>
      <c r="X2" s="14"/>
    </row>
    <row r="3" spans="1:27" s="2" customFormat="1" ht="22.5" customHeight="1">
      <c r="A3" s="6"/>
      <c r="B3" s="176" t="s">
        <v>228</v>
      </c>
      <c r="C3" s="1789" t="s">
        <v>14</v>
      </c>
      <c r="D3" s="177" t="s">
        <v>15</v>
      </c>
      <c r="E3" s="1790"/>
      <c r="F3" s="200" t="s">
        <v>16</v>
      </c>
      <c r="G3" s="201"/>
      <c r="H3" s="199" t="s">
        <v>17</v>
      </c>
      <c r="I3" s="201"/>
      <c r="J3" s="1521" t="s">
        <v>18</v>
      </c>
      <c r="K3" s="1790"/>
      <c r="L3" s="1790"/>
      <c r="M3" s="1877"/>
      <c r="N3" s="1526"/>
      <c r="O3" s="1526"/>
      <c r="P3" s="172"/>
      <c r="Q3" s="173"/>
      <c r="R3" s="1526"/>
      <c r="S3" s="1525"/>
      <c r="T3" s="1525"/>
      <c r="U3" s="1525"/>
      <c r="V3" s="1525"/>
      <c r="W3" s="1526"/>
      <c r="X3" s="14"/>
    </row>
    <row r="4" spans="1:27" s="2" customFormat="1" ht="22.5" customHeight="1">
      <c r="A4" s="6"/>
      <c r="B4" s="333"/>
      <c r="C4" s="1790"/>
      <c r="D4" s="177" t="s">
        <v>31</v>
      </c>
      <c r="E4" s="1790"/>
      <c r="F4" s="178" t="s">
        <v>32</v>
      </c>
      <c r="G4" s="1520" t="s">
        <v>33</v>
      </c>
      <c r="H4" s="1520" t="s">
        <v>32</v>
      </c>
      <c r="I4" s="1520" t="s">
        <v>33</v>
      </c>
      <c r="J4" s="1521" t="s">
        <v>34</v>
      </c>
      <c r="K4" s="1521" t="s">
        <v>34</v>
      </c>
      <c r="L4" s="1521" t="s">
        <v>34</v>
      </c>
      <c r="M4" s="1521" t="s">
        <v>34</v>
      </c>
      <c r="N4" s="1526"/>
      <c r="O4" s="1526"/>
      <c r="P4" s="172"/>
      <c r="Q4" s="173"/>
      <c r="R4" s="1526"/>
      <c r="S4" s="1526"/>
      <c r="T4" s="1526"/>
      <c r="U4" s="1526"/>
      <c r="V4" s="1526"/>
      <c r="W4" s="1526"/>
      <c r="X4" s="14"/>
    </row>
    <row r="5" spans="1:27" s="2" customFormat="1" ht="24.75" customHeight="1">
      <c r="A5" s="6"/>
      <c r="B5" s="1820" t="s">
        <v>149</v>
      </c>
      <c r="C5" s="38"/>
      <c r="D5" s="39"/>
      <c r="E5" s="38" t="s">
        <v>69</v>
      </c>
      <c r="F5" s="39">
        <v>15</v>
      </c>
      <c r="G5" s="40">
        <v>9.67</v>
      </c>
      <c r="H5" s="39">
        <v>176</v>
      </c>
      <c r="I5" s="40">
        <v>12.12</v>
      </c>
      <c r="J5" s="41">
        <f t="shared" ref="J5" si="0">IF(F5="","",((H5-F5)*20)+I5-G5)</f>
        <v>3222.45</v>
      </c>
      <c r="K5" s="40">
        <v>5</v>
      </c>
      <c r="L5" s="41" t="s">
        <v>1539</v>
      </c>
      <c r="M5" s="41">
        <v>8204.5499999999993</v>
      </c>
      <c r="N5" s="42"/>
      <c r="O5" s="41"/>
      <c r="P5" s="44"/>
      <c r="Q5" s="45"/>
      <c r="R5" s="42"/>
      <c r="S5" s="40"/>
      <c r="T5" s="46"/>
      <c r="U5" s="46"/>
      <c r="V5" s="46"/>
      <c r="W5" s="42"/>
      <c r="X5" s="29"/>
      <c r="Z5" s="2">
        <f>7.2+2.5+0.6</f>
        <v>10.299999999999999</v>
      </c>
      <c r="AA5" s="2" t="e">
        <f>(J5/K5)*L5</f>
        <v>#VALUE!</v>
      </c>
    </row>
    <row r="6" spans="1:27" s="2" customFormat="1" ht="18" customHeight="1">
      <c r="A6" s="6"/>
      <c r="B6" s="1820"/>
      <c r="C6" s="184"/>
      <c r="D6" s="185"/>
      <c r="E6" s="184" t="s">
        <v>69</v>
      </c>
      <c r="F6" s="185">
        <v>15</v>
      </c>
      <c r="G6" s="186">
        <v>9.67</v>
      </c>
      <c r="H6" s="185">
        <v>176</v>
      </c>
      <c r="I6" s="186">
        <v>12.12</v>
      </c>
      <c r="J6" s="187">
        <v>3222.45</v>
      </c>
      <c r="K6" s="186"/>
      <c r="L6" s="187" t="s">
        <v>1540</v>
      </c>
      <c r="M6" s="187">
        <v>11475.09</v>
      </c>
      <c r="N6" s="188"/>
      <c r="O6" s="187"/>
      <c r="P6" s="190"/>
      <c r="Q6" s="191"/>
      <c r="R6" s="188"/>
      <c r="S6" s="186"/>
      <c r="T6" s="192"/>
      <c r="U6" s="192"/>
      <c r="V6" s="192"/>
      <c r="W6" s="188"/>
      <c r="X6" s="29"/>
    </row>
    <row r="7" spans="1:27" s="2" customFormat="1" ht="18" hidden="1" customHeight="1">
      <c r="A7" s="6"/>
      <c r="B7" s="1850"/>
      <c r="C7" s="38"/>
      <c r="D7" s="39"/>
      <c r="E7" s="38"/>
      <c r="F7" s="39"/>
      <c r="G7" s="40"/>
      <c r="H7" s="39"/>
      <c r="I7" s="40"/>
      <c r="J7" s="41"/>
      <c r="K7" s="40"/>
      <c r="L7" s="41"/>
      <c r="M7" s="41"/>
      <c r="N7" s="42"/>
      <c r="O7" s="41"/>
      <c r="P7" s="44"/>
      <c r="Q7" s="45"/>
      <c r="R7" s="42"/>
      <c r="S7" s="40"/>
      <c r="T7" s="46"/>
      <c r="U7" s="46"/>
      <c r="V7" s="46"/>
      <c r="W7" s="42"/>
      <c r="X7" s="29"/>
    </row>
    <row r="8" spans="1:27" s="2" customFormat="1" hidden="1">
      <c r="A8" s="6"/>
      <c r="B8" s="1850"/>
      <c r="C8" s="184"/>
      <c r="D8" s="185"/>
      <c r="E8" s="184"/>
      <c r="F8" s="185"/>
      <c r="G8" s="186"/>
      <c r="H8" s="185"/>
      <c r="I8" s="186"/>
      <c r="J8" s="187"/>
      <c r="K8" s="186"/>
      <c r="L8" s="187"/>
      <c r="M8" s="187"/>
      <c r="N8" s="188"/>
      <c r="O8" s="187"/>
      <c r="P8" s="190"/>
      <c r="Q8" s="191"/>
      <c r="R8" s="188"/>
      <c r="S8" s="186"/>
      <c r="T8" s="192"/>
      <c r="U8" s="192"/>
      <c r="V8" s="192"/>
      <c r="W8" s="188"/>
      <c r="X8" s="29"/>
      <c r="Z8" s="117" t="e">
        <f>+#REF!+#REF!+#REF!</f>
        <v>#REF!</v>
      </c>
    </row>
    <row r="9" spans="1:27" s="2" customFormat="1" ht="18" hidden="1" customHeight="1">
      <c r="A9" s="6"/>
      <c r="B9" s="1850"/>
      <c r="C9" s="38"/>
      <c r="D9" s="39"/>
      <c r="E9" s="38"/>
      <c r="F9" s="39"/>
      <c r="G9" s="40"/>
      <c r="H9" s="39"/>
      <c r="I9" s="40"/>
      <c r="J9" s="41"/>
      <c r="K9" s="40"/>
      <c r="L9" s="41"/>
      <c r="M9" s="41"/>
      <c r="N9" s="42"/>
      <c r="O9" s="41"/>
      <c r="P9" s="44"/>
      <c r="Q9" s="45"/>
      <c r="R9" s="42"/>
      <c r="S9" s="40"/>
      <c r="T9" s="46"/>
      <c r="U9" s="46"/>
      <c r="V9" s="46"/>
      <c r="W9" s="42"/>
      <c r="X9" s="29"/>
      <c r="Z9" s="2">
        <v>8.6</v>
      </c>
    </row>
    <row r="10" spans="1:27" s="2" customFormat="1" ht="18" hidden="1" customHeight="1">
      <c r="A10" s="6"/>
      <c r="B10" s="48"/>
      <c r="C10" s="184"/>
      <c r="D10" s="185"/>
      <c r="E10" s="184"/>
      <c r="F10" s="185"/>
      <c r="G10" s="186"/>
      <c r="H10" s="185"/>
      <c r="I10" s="186"/>
      <c r="J10" s="187"/>
      <c r="K10" s="186"/>
      <c r="L10" s="187"/>
      <c r="M10" s="187"/>
      <c r="N10" s="188"/>
      <c r="O10" s="187"/>
      <c r="P10" s="190"/>
      <c r="Q10" s="191"/>
      <c r="R10" s="188"/>
      <c r="S10" s="186"/>
      <c r="T10" s="192"/>
      <c r="U10" s="192"/>
      <c r="V10" s="192"/>
      <c r="W10" s="188"/>
      <c r="X10" s="29"/>
      <c r="Z10" s="2">
        <v>0.3</v>
      </c>
    </row>
    <row r="11" spans="1:27" s="2" customFormat="1" ht="18" hidden="1" customHeight="1">
      <c r="A11" s="6"/>
      <c r="B11" s="48"/>
      <c r="C11" s="38"/>
      <c r="D11" s="39"/>
      <c r="E11" s="38"/>
      <c r="F11" s="39"/>
      <c r="G11" s="40"/>
      <c r="H11" s="39"/>
      <c r="I11" s="40"/>
      <c r="J11" s="41"/>
      <c r="K11" s="40"/>
      <c r="L11" s="41"/>
      <c r="M11" s="41"/>
      <c r="N11" s="42"/>
      <c r="O11" s="41"/>
      <c r="P11" s="44"/>
      <c r="Q11" s="45"/>
      <c r="R11" s="42"/>
      <c r="S11" s="40"/>
      <c r="T11" s="46"/>
      <c r="U11" s="46"/>
      <c r="V11" s="46"/>
      <c r="W11" s="42"/>
      <c r="X11" s="29"/>
      <c r="Z11" s="2" t="e">
        <f>+Z8*Z9*Z10</f>
        <v>#REF!</v>
      </c>
    </row>
    <row r="12" spans="1:27" s="2" customFormat="1" ht="18" hidden="1" customHeight="1">
      <c r="A12" s="6"/>
      <c r="B12" s="48"/>
      <c r="C12" s="184"/>
      <c r="D12" s="185"/>
      <c r="E12" s="184"/>
      <c r="F12" s="185"/>
      <c r="G12" s="186"/>
      <c r="H12" s="185"/>
      <c r="I12" s="186"/>
      <c r="J12" s="187"/>
      <c r="K12" s="186"/>
      <c r="L12" s="187"/>
      <c r="M12" s="187"/>
      <c r="N12" s="188"/>
      <c r="O12" s="187"/>
      <c r="P12" s="190"/>
      <c r="Q12" s="191"/>
      <c r="R12" s="188"/>
      <c r="S12" s="186"/>
      <c r="T12" s="192"/>
      <c r="U12" s="192"/>
      <c r="V12" s="192"/>
      <c r="W12" s="188"/>
      <c r="X12" s="29"/>
    </row>
    <row r="13" spans="1:27" s="2" customFormat="1" ht="18" hidden="1" customHeight="1">
      <c r="A13" s="6"/>
      <c r="B13" s="48"/>
      <c r="C13" s="38"/>
      <c r="D13" s="39"/>
      <c r="E13" s="38"/>
      <c r="F13" s="39"/>
      <c r="G13" s="40"/>
      <c r="H13" s="39"/>
      <c r="I13" s="40"/>
      <c r="J13" s="41"/>
      <c r="K13" s="40"/>
      <c r="L13" s="41"/>
      <c r="M13" s="41"/>
      <c r="N13" s="42"/>
      <c r="O13" s="41"/>
      <c r="P13" s="44"/>
      <c r="Q13" s="45"/>
      <c r="R13" s="42"/>
      <c r="S13" s="40"/>
      <c r="T13" s="46"/>
      <c r="U13" s="46"/>
      <c r="V13" s="46"/>
      <c r="W13" s="42"/>
      <c r="X13" s="29"/>
    </row>
    <row r="14" spans="1:27" s="2" customFormat="1" ht="18" hidden="1" customHeight="1">
      <c r="A14" s="6"/>
      <c r="B14" s="48"/>
      <c r="C14" s="184"/>
      <c r="D14" s="185"/>
      <c r="E14" s="184"/>
      <c r="F14" s="185"/>
      <c r="G14" s="186"/>
      <c r="H14" s="185"/>
      <c r="I14" s="186"/>
      <c r="J14" s="187"/>
      <c r="K14" s="186"/>
      <c r="L14" s="187"/>
      <c r="M14" s="187"/>
      <c r="N14" s="188"/>
      <c r="O14" s="187"/>
      <c r="P14" s="190"/>
      <c r="Q14" s="191"/>
      <c r="R14" s="188"/>
      <c r="S14" s="186"/>
      <c r="T14" s="192"/>
      <c r="U14" s="192"/>
      <c r="V14" s="192"/>
      <c r="W14" s="188"/>
      <c r="X14" s="29"/>
    </row>
    <row r="15" spans="1:27" s="2" customFormat="1" ht="18" hidden="1" customHeight="1">
      <c r="A15" s="6"/>
      <c r="B15" s="48"/>
      <c r="C15" s="38"/>
      <c r="D15" s="39"/>
      <c r="E15" s="38"/>
      <c r="F15" s="39"/>
      <c r="G15" s="40"/>
      <c r="H15" s="39"/>
      <c r="I15" s="40"/>
      <c r="J15" s="41"/>
      <c r="K15" s="40"/>
      <c r="L15" s="41"/>
      <c r="M15" s="41"/>
      <c r="N15" s="42"/>
      <c r="O15" s="41"/>
      <c r="P15" s="44"/>
      <c r="Q15" s="45"/>
      <c r="R15" s="42"/>
      <c r="S15" s="40"/>
      <c r="T15" s="46"/>
      <c r="U15" s="46"/>
      <c r="V15" s="46"/>
      <c r="W15" s="42"/>
      <c r="X15" s="29"/>
    </row>
    <row r="16" spans="1:27" s="2" customFormat="1" ht="18" hidden="1" customHeight="1">
      <c r="A16" s="6"/>
      <c r="B16" s="48"/>
      <c r="C16" s="184"/>
      <c r="D16" s="185"/>
      <c r="E16" s="184"/>
      <c r="F16" s="185"/>
      <c r="G16" s="186"/>
      <c r="H16" s="185"/>
      <c r="I16" s="186"/>
      <c r="J16" s="187"/>
      <c r="K16" s="186"/>
      <c r="L16" s="187"/>
      <c r="M16" s="187"/>
      <c r="N16" s="188"/>
      <c r="O16" s="187"/>
      <c r="P16" s="190"/>
      <c r="Q16" s="191"/>
      <c r="R16" s="188"/>
      <c r="S16" s="186"/>
      <c r="T16" s="192"/>
      <c r="U16" s="192"/>
      <c r="V16" s="192"/>
      <c r="W16" s="188"/>
      <c r="X16" s="29"/>
    </row>
    <row r="17" spans="1:24" s="2" customFormat="1" ht="18" hidden="1" customHeight="1">
      <c r="A17" s="6"/>
      <c r="B17" s="48"/>
      <c r="C17" s="38"/>
      <c r="D17" s="39"/>
      <c r="E17" s="38"/>
      <c r="F17" s="39"/>
      <c r="G17" s="40"/>
      <c r="H17" s="39"/>
      <c r="I17" s="40"/>
      <c r="J17" s="41"/>
      <c r="K17" s="40"/>
      <c r="L17" s="41"/>
      <c r="M17" s="41"/>
      <c r="N17" s="42"/>
      <c r="O17" s="41"/>
      <c r="P17" s="44"/>
      <c r="Q17" s="45"/>
      <c r="R17" s="42"/>
      <c r="S17" s="40"/>
      <c r="T17" s="46"/>
      <c r="U17" s="46"/>
      <c r="V17" s="46"/>
      <c r="W17" s="42"/>
      <c r="X17" s="29"/>
    </row>
    <row r="18" spans="1:24" s="2" customFormat="1" ht="18" hidden="1" customHeight="1">
      <c r="A18" s="6"/>
      <c r="B18" s="48"/>
      <c r="C18" s="184"/>
      <c r="D18" s="185"/>
      <c r="E18" s="184"/>
      <c r="F18" s="185"/>
      <c r="G18" s="186"/>
      <c r="H18" s="185"/>
      <c r="I18" s="186"/>
      <c r="J18" s="187"/>
      <c r="K18" s="186"/>
      <c r="L18" s="187"/>
      <c r="M18" s="187"/>
      <c r="N18" s="188"/>
      <c r="O18" s="187"/>
      <c r="P18" s="190"/>
      <c r="Q18" s="191"/>
      <c r="R18" s="188"/>
      <c r="S18" s="186"/>
      <c r="T18" s="192"/>
      <c r="U18" s="192"/>
      <c r="V18" s="192"/>
      <c r="W18" s="188"/>
      <c r="X18" s="29"/>
    </row>
    <row r="19" spans="1:24" s="2" customFormat="1" ht="18" hidden="1" customHeight="1">
      <c r="A19" s="6"/>
      <c r="B19" s="48"/>
      <c r="C19" s="38"/>
      <c r="D19" s="39"/>
      <c r="E19" s="38"/>
      <c r="F19" s="39"/>
      <c r="G19" s="40"/>
      <c r="H19" s="39"/>
      <c r="I19" s="40"/>
      <c r="J19" s="41"/>
      <c r="K19" s="40"/>
      <c r="L19" s="41"/>
      <c r="M19" s="41"/>
      <c r="N19" s="42"/>
      <c r="O19" s="41"/>
      <c r="P19" s="44"/>
      <c r="Q19" s="45"/>
      <c r="R19" s="42"/>
      <c r="S19" s="40"/>
      <c r="T19" s="46"/>
      <c r="U19" s="46"/>
      <c r="V19" s="46"/>
      <c r="W19" s="42"/>
      <c r="X19" s="29"/>
    </row>
    <row r="20" spans="1:24" s="2" customFormat="1" ht="18" hidden="1" customHeight="1">
      <c r="A20" s="6"/>
      <c r="B20" s="48"/>
      <c r="C20" s="184"/>
      <c r="D20" s="185"/>
      <c r="E20" s="184"/>
      <c r="F20" s="185"/>
      <c r="G20" s="186"/>
      <c r="H20" s="185"/>
      <c r="I20" s="186"/>
      <c r="J20" s="187"/>
      <c r="K20" s="186"/>
      <c r="L20" s="187"/>
      <c r="M20" s="187"/>
      <c r="N20" s="188"/>
      <c r="O20" s="187"/>
      <c r="P20" s="190"/>
      <c r="Q20" s="191"/>
      <c r="R20" s="188"/>
      <c r="S20" s="186"/>
      <c r="T20" s="192"/>
      <c r="U20" s="192"/>
      <c r="V20" s="192"/>
      <c r="W20" s="188"/>
      <c r="X20" s="29"/>
    </row>
    <row r="21" spans="1:24" s="2" customFormat="1" ht="18" hidden="1" customHeight="1">
      <c r="A21" s="6"/>
      <c r="B21" s="48"/>
      <c r="C21" s="38"/>
      <c r="D21" s="39"/>
      <c r="E21" s="38"/>
      <c r="F21" s="39"/>
      <c r="G21" s="40"/>
      <c r="H21" s="39"/>
      <c r="I21" s="40"/>
      <c r="J21" s="41"/>
      <c r="K21" s="40"/>
      <c r="L21" s="41"/>
      <c r="M21" s="41"/>
      <c r="N21" s="42"/>
      <c r="O21" s="41"/>
      <c r="P21" s="44"/>
      <c r="Q21" s="45"/>
      <c r="R21" s="42"/>
      <c r="S21" s="40"/>
      <c r="T21" s="46"/>
      <c r="U21" s="46"/>
      <c r="V21" s="46"/>
      <c r="W21" s="42"/>
      <c r="X21" s="29"/>
    </row>
    <row r="22" spans="1:24" s="2" customFormat="1" ht="18" hidden="1" customHeight="1">
      <c r="A22" s="6"/>
      <c r="B22" s="48"/>
      <c r="C22" s="184"/>
      <c r="D22" s="185"/>
      <c r="E22" s="184"/>
      <c r="F22" s="185"/>
      <c r="G22" s="186"/>
      <c r="H22" s="185"/>
      <c r="I22" s="186"/>
      <c r="J22" s="187"/>
      <c r="K22" s="186"/>
      <c r="L22" s="187"/>
      <c r="M22" s="187"/>
      <c r="N22" s="188"/>
      <c r="O22" s="187"/>
      <c r="P22" s="190"/>
      <c r="Q22" s="191"/>
      <c r="R22" s="188"/>
      <c r="S22" s="186"/>
      <c r="T22" s="192"/>
      <c r="U22" s="192"/>
      <c r="V22" s="192"/>
      <c r="W22" s="188"/>
      <c r="X22" s="29"/>
    </row>
    <row r="23" spans="1:24" s="2" customFormat="1" ht="18" hidden="1" customHeight="1">
      <c r="A23" s="6"/>
      <c r="B23" s="48"/>
      <c r="C23" s="38"/>
      <c r="D23" s="39"/>
      <c r="E23" s="38"/>
      <c r="F23" s="39"/>
      <c r="G23" s="40"/>
      <c r="H23" s="39"/>
      <c r="I23" s="40"/>
      <c r="J23" s="41"/>
      <c r="K23" s="40"/>
      <c r="L23" s="41"/>
      <c r="M23" s="41"/>
      <c r="N23" s="42"/>
      <c r="O23" s="41"/>
      <c r="P23" s="44"/>
      <c r="Q23" s="45"/>
      <c r="R23" s="42"/>
      <c r="S23" s="40"/>
      <c r="T23" s="46"/>
      <c r="U23" s="46"/>
      <c r="V23" s="46"/>
      <c r="W23" s="42"/>
      <c r="X23" s="29"/>
    </row>
    <row r="24" spans="1:24" s="2" customFormat="1" ht="18" hidden="1" customHeight="1">
      <c r="A24" s="6"/>
      <c r="B24" s="48"/>
      <c r="C24" s="184"/>
      <c r="D24" s="185"/>
      <c r="E24" s="184"/>
      <c r="F24" s="185"/>
      <c r="G24" s="186"/>
      <c r="H24" s="185"/>
      <c r="I24" s="186"/>
      <c r="J24" s="187"/>
      <c r="K24" s="186"/>
      <c r="L24" s="187"/>
      <c r="M24" s="187"/>
      <c r="N24" s="188"/>
      <c r="O24" s="187"/>
      <c r="P24" s="190"/>
      <c r="Q24" s="191"/>
      <c r="R24" s="188"/>
      <c r="S24" s="186"/>
      <c r="T24" s="192"/>
      <c r="U24" s="192"/>
      <c r="V24" s="192"/>
      <c r="W24" s="188"/>
      <c r="X24" s="29"/>
    </row>
    <row r="25" spans="1:24" s="2" customFormat="1" ht="18" hidden="1" customHeight="1">
      <c r="A25" s="6"/>
      <c r="B25" s="48"/>
      <c r="C25" s="38"/>
      <c r="D25" s="39"/>
      <c r="E25" s="38"/>
      <c r="F25" s="39"/>
      <c r="G25" s="40"/>
      <c r="H25" s="39"/>
      <c r="I25" s="40"/>
      <c r="J25" s="41"/>
      <c r="K25" s="40"/>
      <c r="L25" s="41"/>
      <c r="M25" s="41"/>
      <c r="N25" s="42"/>
      <c r="O25" s="41"/>
      <c r="P25" s="44"/>
      <c r="Q25" s="45"/>
      <c r="R25" s="42"/>
      <c r="S25" s="40"/>
      <c r="T25" s="46"/>
      <c r="U25" s="46"/>
      <c r="V25" s="46"/>
      <c r="W25" s="42"/>
      <c r="X25" s="29"/>
    </row>
    <row r="26" spans="1:24" s="2" customFormat="1" ht="18" hidden="1" customHeight="1">
      <c r="A26" s="6"/>
      <c r="B26" s="48"/>
      <c r="C26" s="184"/>
      <c r="D26" s="185"/>
      <c r="E26" s="184"/>
      <c r="F26" s="185"/>
      <c r="G26" s="186"/>
      <c r="H26" s="185"/>
      <c r="I26" s="186"/>
      <c r="J26" s="187"/>
      <c r="K26" s="186"/>
      <c r="L26" s="187"/>
      <c r="M26" s="187"/>
      <c r="N26" s="188"/>
      <c r="O26" s="187"/>
      <c r="P26" s="190"/>
      <c r="Q26" s="191"/>
      <c r="R26" s="188"/>
      <c r="S26" s="186"/>
      <c r="T26" s="192"/>
      <c r="U26" s="192"/>
      <c r="V26" s="192"/>
      <c r="W26" s="188"/>
      <c r="X26" s="29"/>
    </row>
    <row r="27" spans="1:24" s="2" customFormat="1" ht="18" hidden="1" customHeight="1">
      <c r="A27" s="6"/>
      <c r="B27" s="48"/>
      <c r="C27" s="38"/>
      <c r="D27" s="39"/>
      <c r="E27" s="38"/>
      <c r="F27" s="39"/>
      <c r="G27" s="40"/>
      <c r="H27" s="39"/>
      <c r="I27" s="40"/>
      <c r="J27" s="41"/>
      <c r="K27" s="40"/>
      <c r="L27" s="41"/>
      <c r="M27" s="41"/>
      <c r="N27" s="42"/>
      <c r="O27" s="41"/>
      <c r="P27" s="44"/>
      <c r="Q27" s="45"/>
      <c r="R27" s="42"/>
      <c r="S27" s="40"/>
      <c r="T27" s="46"/>
      <c r="U27" s="46"/>
      <c r="V27" s="46"/>
      <c r="W27" s="42"/>
      <c r="X27" s="29"/>
    </row>
    <row r="28" spans="1:24" s="2" customFormat="1" ht="18" hidden="1" customHeight="1">
      <c r="A28" s="6"/>
      <c r="B28" s="48"/>
      <c r="C28" s="184"/>
      <c r="D28" s="185"/>
      <c r="E28" s="184"/>
      <c r="F28" s="185"/>
      <c r="G28" s="186"/>
      <c r="H28" s="185"/>
      <c r="I28" s="186"/>
      <c r="J28" s="187"/>
      <c r="K28" s="186"/>
      <c r="L28" s="187"/>
      <c r="M28" s="187"/>
      <c r="N28" s="188"/>
      <c r="O28" s="187"/>
      <c r="P28" s="190"/>
      <c r="Q28" s="191"/>
      <c r="R28" s="188"/>
      <c r="S28" s="186"/>
      <c r="T28" s="192"/>
      <c r="U28" s="192"/>
      <c r="V28" s="192"/>
      <c r="W28" s="188"/>
      <c r="X28" s="29"/>
    </row>
    <row r="29" spans="1:24" s="2" customFormat="1" ht="18" hidden="1" customHeight="1">
      <c r="A29" s="6"/>
      <c r="B29" s="48"/>
      <c r="C29" s="38"/>
      <c r="D29" s="39"/>
      <c r="E29" s="38"/>
      <c r="F29" s="39"/>
      <c r="G29" s="40"/>
      <c r="H29" s="39"/>
      <c r="I29" s="40"/>
      <c r="J29" s="41"/>
      <c r="K29" s="40"/>
      <c r="L29" s="41"/>
      <c r="M29" s="41"/>
      <c r="N29" s="42"/>
      <c r="O29" s="41"/>
      <c r="P29" s="44"/>
      <c r="Q29" s="45"/>
      <c r="R29" s="42"/>
      <c r="S29" s="40"/>
      <c r="T29" s="46"/>
      <c r="U29" s="46"/>
      <c r="V29" s="46"/>
      <c r="W29" s="42"/>
      <c r="X29" s="29"/>
    </row>
    <row r="30" spans="1:24" s="2" customFormat="1" ht="18" hidden="1" customHeight="1">
      <c r="A30" s="6"/>
      <c r="B30" s="48"/>
      <c r="C30" s="184"/>
      <c r="D30" s="185"/>
      <c r="E30" s="184"/>
      <c r="F30" s="185"/>
      <c r="G30" s="186"/>
      <c r="H30" s="185"/>
      <c r="I30" s="186"/>
      <c r="J30" s="187"/>
      <c r="K30" s="186"/>
      <c r="L30" s="187"/>
      <c r="M30" s="187"/>
      <c r="N30" s="188"/>
      <c r="O30" s="187"/>
      <c r="P30" s="190"/>
      <c r="Q30" s="191"/>
      <c r="R30" s="188"/>
      <c r="S30" s="186"/>
      <c r="T30" s="192"/>
      <c r="U30" s="192"/>
      <c r="V30" s="192"/>
      <c r="W30" s="188"/>
      <c r="X30" s="29"/>
    </row>
    <row r="31" spans="1:24" s="2" customFormat="1" ht="18" hidden="1" customHeight="1">
      <c r="A31" s="6"/>
      <c r="B31" s="48"/>
      <c r="C31" s="38"/>
      <c r="D31" s="39"/>
      <c r="E31" s="38"/>
      <c r="F31" s="39"/>
      <c r="G31" s="40"/>
      <c r="H31" s="39"/>
      <c r="I31" s="40"/>
      <c r="J31" s="41"/>
      <c r="K31" s="40"/>
      <c r="L31" s="41"/>
      <c r="M31" s="41"/>
      <c r="N31" s="42"/>
      <c r="O31" s="41"/>
      <c r="P31" s="44"/>
      <c r="Q31" s="45"/>
      <c r="R31" s="42"/>
      <c r="S31" s="40"/>
      <c r="T31" s="46"/>
      <c r="U31" s="46"/>
      <c r="V31" s="46"/>
      <c r="W31" s="42"/>
      <c r="X31" s="29"/>
    </row>
    <row r="32" spans="1:24" s="2" customFormat="1" ht="18" hidden="1" customHeight="1">
      <c r="A32" s="6"/>
      <c r="B32" s="48"/>
      <c r="C32" s="184"/>
      <c r="D32" s="185"/>
      <c r="E32" s="184"/>
      <c r="F32" s="185"/>
      <c r="G32" s="186"/>
      <c r="H32" s="185"/>
      <c r="I32" s="186"/>
      <c r="J32" s="187"/>
      <c r="K32" s="186"/>
      <c r="L32" s="187"/>
      <c r="M32" s="187"/>
      <c r="N32" s="188"/>
      <c r="O32" s="187"/>
      <c r="P32" s="190"/>
      <c r="Q32" s="191"/>
      <c r="R32" s="188"/>
      <c r="S32" s="186"/>
      <c r="T32" s="192"/>
      <c r="U32" s="192"/>
      <c r="V32" s="192"/>
      <c r="W32" s="188"/>
      <c r="X32" s="29"/>
    </row>
    <row r="33" spans="1:29" s="2" customFormat="1" ht="18" hidden="1" customHeight="1">
      <c r="A33" s="6"/>
      <c r="B33" s="48"/>
      <c r="C33" s="38"/>
      <c r="D33" s="39"/>
      <c r="E33" s="38"/>
      <c r="F33" s="39"/>
      <c r="G33" s="40"/>
      <c r="H33" s="39"/>
      <c r="I33" s="40"/>
      <c r="J33" s="41"/>
      <c r="K33" s="40"/>
      <c r="L33" s="41"/>
      <c r="M33" s="41"/>
      <c r="N33" s="42"/>
      <c r="O33" s="41"/>
      <c r="P33" s="44"/>
      <c r="Q33" s="45"/>
      <c r="R33" s="42"/>
      <c r="S33" s="40"/>
      <c r="T33" s="46"/>
      <c r="U33" s="46"/>
      <c r="V33" s="46"/>
      <c r="W33" s="42"/>
      <c r="X33" s="29"/>
    </row>
    <row r="34" spans="1:29" s="2" customFormat="1" ht="18" customHeight="1">
      <c r="A34" s="6"/>
      <c r="B34" s="66"/>
      <c r="C34" s="1793"/>
      <c r="D34" s="1793"/>
      <c r="E34" s="1793"/>
      <c r="F34" s="1793"/>
      <c r="G34" s="1793"/>
      <c r="H34" s="1793"/>
      <c r="I34" s="1794"/>
      <c r="J34" s="114">
        <f>J5</f>
        <v>3222.45</v>
      </c>
      <c r="K34" s="114">
        <f>K5</f>
        <v>5</v>
      </c>
      <c r="L34" s="114">
        <f>SUM(L5:L33)</f>
        <v>0</v>
      </c>
      <c r="M34" s="114">
        <f>SUM(M5:M33)</f>
        <v>19679.64</v>
      </c>
      <c r="N34" s="115"/>
      <c r="O34" s="114"/>
      <c r="P34" s="1528"/>
      <c r="Q34" s="1529"/>
      <c r="R34" s="60"/>
      <c r="S34" s="181"/>
      <c r="T34" s="182"/>
      <c r="U34" s="116"/>
      <c r="V34" s="183"/>
      <c r="W34" s="146"/>
      <c r="X34" s="29"/>
    </row>
    <row r="35" spans="1:29" s="2" customFormat="1" ht="18" customHeight="1">
      <c r="A35" s="6"/>
      <c r="B35" s="66"/>
      <c r="C35" s="1869"/>
      <c r="D35" s="1870"/>
      <c r="E35" s="1870"/>
      <c r="F35" s="1870"/>
      <c r="G35" s="1870"/>
      <c r="H35" s="1870"/>
      <c r="I35" s="1870"/>
      <c r="J35" s="1870"/>
      <c r="K35" s="1870"/>
      <c r="L35" s="1870"/>
      <c r="M35" s="1870"/>
      <c r="N35" s="1870"/>
      <c r="O35" s="67"/>
      <c r="P35" s="68"/>
      <c r="Q35" s="69"/>
      <c r="R35" s="70"/>
      <c r="S35" s="1860"/>
      <c r="T35" s="1861"/>
      <c r="U35" s="1861"/>
      <c r="V35" s="1861"/>
      <c r="W35" s="1862"/>
      <c r="X35" s="29"/>
    </row>
    <row r="36" spans="1:29" s="76" customFormat="1" ht="6" customHeight="1">
      <c r="A36" s="71"/>
      <c r="B36" s="98"/>
      <c r="C36" s="73"/>
      <c r="D36" s="73"/>
      <c r="E36" s="73"/>
      <c r="F36" s="73"/>
      <c r="G36" s="73"/>
      <c r="H36" s="73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324"/>
      <c r="X36" s="29"/>
      <c r="Y36" s="2"/>
      <c r="Z36" s="2"/>
      <c r="AA36" s="2"/>
      <c r="AB36" s="2"/>
      <c r="AC36" s="2"/>
    </row>
    <row r="37" spans="1:29" s="76" customFormat="1">
      <c r="A37" s="71"/>
      <c r="B37" s="1795" t="s">
        <v>1541</v>
      </c>
      <c r="C37" s="1796"/>
      <c r="D37" s="1796"/>
      <c r="E37" s="1796"/>
      <c r="F37" s="1796"/>
      <c r="G37" s="1796"/>
      <c r="H37" s="1796"/>
      <c r="I37" s="1796"/>
      <c r="J37" s="1796"/>
      <c r="K37" s="1796"/>
      <c r="L37" s="1796"/>
      <c r="M37" s="1796"/>
      <c r="N37" s="1796"/>
      <c r="O37" s="1796"/>
      <c r="P37" s="1796"/>
      <c r="Q37" s="1796"/>
      <c r="R37" s="1796"/>
      <c r="S37" s="1796"/>
      <c r="T37" s="1796"/>
      <c r="U37" s="1796"/>
      <c r="V37" s="1796"/>
      <c r="W37" s="1797"/>
      <c r="X37" s="29"/>
      <c r="Y37" s="2"/>
      <c r="Z37" s="2"/>
      <c r="AA37" s="2"/>
      <c r="AB37" s="2"/>
      <c r="AC37" s="2"/>
    </row>
    <row r="38" spans="1:29" s="76" customFormat="1">
      <c r="A38" s="71"/>
      <c r="B38" s="1798"/>
      <c r="C38" s="1799"/>
      <c r="D38" s="1799"/>
      <c r="E38" s="1799"/>
      <c r="F38" s="1799"/>
      <c r="G38" s="1799"/>
      <c r="H38" s="1799"/>
      <c r="I38" s="1799"/>
      <c r="J38" s="1799"/>
      <c r="K38" s="1799"/>
      <c r="L38" s="1799"/>
      <c r="M38" s="1799"/>
      <c r="N38" s="1799"/>
      <c r="O38" s="1799"/>
      <c r="P38" s="1799"/>
      <c r="Q38" s="1799"/>
      <c r="R38" s="1799"/>
      <c r="S38" s="1799"/>
      <c r="T38" s="1799"/>
      <c r="U38" s="1799"/>
      <c r="V38" s="1799"/>
      <c r="W38" s="1800"/>
      <c r="X38" s="29"/>
      <c r="Y38" s="2"/>
      <c r="Z38" s="2"/>
      <c r="AA38" s="2"/>
      <c r="AB38" s="2"/>
      <c r="AC38" s="2"/>
    </row>
    <row r="39" spans="1:29" s="76" customFormat="1" ht="5.0999999999999996" customHeight="1">
      <c r="A39" s="71"/>
      <c r="B39" s="82"/>
      <c r="C39" s="82"/>
      <c r="D39" s="82"/>
      <c r="E39" s="82"/>
      <c r="F39" s="82"/>
      <c r="G39" s="82"/>
      <c r="H39" s="332"/>
      <c r="I39" s="332"/>
      <c r="J39" s="332"/>
      <c r="K39" s="332"/>
      <c r="L39" s="332"/>
      <c r="M39" s="332"/>
      <c r="N39" s="77"/>
      <c r="O39" s="77"/>
      <c r="P39" s="77"/>
      <c r="Q39" s="77"/>
      <c r="R39" s="77"/>
      <c r="S39" s="77"/>
      <c r="T39" s="77"/>
      <c r="U39" s="77"/>
      <c r="V39" s="78"/>
      <c r="W39" s="78"/>
      <c r="X39" s="29"/>
      <c r="Y39" s="2"/>
      <c r="Z39" s="2"/>
      <c r="AA39" s="2"/>
      <c r="AB39" s="2"/>
      <c r="AC39" s="2"/>
    </row>
    <row r="40" spans="1:29" s="106" customFormat="1" ht="8.1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4"/>
      <c r="Y40" s="105"/>
      <c r="Z40" s="105"/>
      <c r="AA40" s="105"/>
      <c r="AB40" s="105"/>
      <c r="AC40" s="105"/>
    </row>
    <row r="41" spans="1:29" ht="8.1" customHeight="1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5"/>
    </row>
    <row r="42" spans="1:29" s="2" customFormat="1" ht="22.5" customHeight="1">
      <c r="A42" s="6"/>
      <c r="B42" s="7"/>
      <c r="C42" s="1856" t="s">
        <v>4</v>
      </c>
      <c r="D42" s="1857"/>
      <c r="E42" s="1858" t="s">
        <v>5</v>
      </c>
      <c r="F42" s="8" t="s">
        <v>6</v>
      </c>
      <c r="G42" s="8"/>
      <c r="H42" s="8"/>
      <c r="I42" s="9"/>
      <c r="J42" s="1532" t="s">
        <v>7</v>
      </c>
      <c r="K42" s="1532" t="s">
        <v>8</v>
      </c>
      <c r="L42" s="1532" t="s">
        <v>9</v>
      </c>
      <c r="M42" s="1532" t="s">
        <v>9</v>
      </c>
      <c r="N42" s="1532" t="s">
        <v>9</v>
      </c>
      <c r="O42" s="1532"/>
      <c r="P42" s="10" t="s">
        <v>10</v>
      </c>
      <c r="Q42" s="9"/>
      <c r="R42" s="1532"/>
      <c r="S42" s="11" t="s">
        <v>11</v>
      </c>
      <c r="T42" s="12"/>
      <c r="U42" s="12"/>
      <c r="V42" s="13"/>
      <c r="W42" s="1532" t="s">
        <v>12</v>
      </c>
      <c r="X42" s="14"/>
    </row>
    <row r="43" spans="1:29" s="2" customFormat="1" ht="22.5" customHeight="1">
      <c r="A43" s="6"/>
      <c r="B43" s="15" t="s">
        <v>13</v>
      </c>
      <c r="C43" s="1858" t="s">
        <v>14</v>
      </c>
      <c r="D43" s="16" t="s">
        <v>15</v>
      </c>
      <c r="E43" s="1859"/>
      <c r="F43" s="12" t="s">
        <v>16</v>
      </c>
      <c r="G43" s="13"/>
      <c r="H43" s="11" t="s">
        <v>17</v>
      </c>
      <c r="I43" s="13"/>
      <c r="J43" s="1533" t="s">
        <v>18</v>
      </c>
      <c r="K43" s="1533" t="s">
        <v>19</v>
      </c>
      <c r="L43" s="17" t="s">
        <v>20</v>
      </c>
      <c r="M43" s="1533" t="s">
        <v>56</v>
      </c>
      <c r="N43" s="1533" t="s">
        <v>0</v>
      </c>
      <c r="O43" s="1533" t="s">
        <v>22</v>
      </c>
      <c r="P43" s="18" t="s">
        <v>23</v>
      </c>
      <c r="Q43" s="19"/>
      <c r="R43" s="1533" t="s">
        <v>24</v>
      </c>
      <c r="S43" s="1532" t="s">
        <v>25</v>
      </c>
      <c r="T43" s="1532" t="s">
        <v>26</v>
      </c>
      <c r="U43" s="1532" t="s">
        <v>27</v>
      </c>
      <c r="V43" s="1532" t="s">
        <v>28</v>
      </c>
      <c r="W43" s="1533" t="s">
        <v>29</v>
      </c>
      <c r="X43" s="14"/>
    </row>
    <row r="44" spans="1:29" s="2" customFormat="1" ht="22.5" customHeight="1">
      <c r="A44" s="6"/>
      <c r="B44" s="15" t="s">
        <v>30</v>
      </c>
      <c r="C44" s="1859"/>
      <c r="D44" s="16" t="s">
        <v>31</v>
      </c>
      <c r="E44" s="1859"/>
      <c r="F44" s="20" t="s">
        <v>32</v>
      </c>
      <c r="G44" s="1532" t="s">
        <v>33</v>
      </c>
      <c r="H44" s="1532" t="s">
        <v>32</v>
      </c>
      <c r="I44" s="1532" t="s">
        <v>33</v>
      </c>
      <c r="J44" s="1533" t="s">
        <v>34</v>
      </c>
      <c r="K44" s="1533" t="s">
        <v>34</v>
      </c>
      <c r="L44" s="1533" t="s">
        <v>35</v>
      </c>
      <c r="M44" s="1533" t="s">
        <v>35</v>
      </c>
      <c r="N44" s="1533" t="s">
        <v>35</v>
      </c>
      <c r="O44" s="1533" t="s">
        <v>37</v>
      </c>
      <c r="P44" s="18" t="s">
        <v>38</v>
      </c>
      <c r="Q44" s="19"/>
      <c r="R44" s="1533" t="s">
        <v>39</v>
      </c>
      <c r="S44" s="1533"/>
      <c r="T44" s="1533" t="s">
        <v>40</v>
      </c>
      <c r="U44" s="1533" t="s">
        <v>41</v>
      </c>
      <c r="V44" s="1533" t="s">
        <v>41</v>
      </c>
      <c r="W44" s="1533" t="s">
        <v>42</v>
      </c>
      <c r="X44" s="14"/>
    </row>
    <row r="45" spans="1:29" s="2" customFormat="1" ht="18" customHeight="1">
      <c r="A45" s="6"/>
      <c r="B45" s="1791" t="e">
        <f>+#REF!</f>
        <v>#REF!</v>
      </c>
      <c r="C45" s="21" t="s">
        <v>67</v>
      </c>
      <c r="D45" s="22"/>
      <c r="E45" s="21"/>
      <c r="F45" s="22"/>
      <c r="G45" s="23"/>
      <c r="H45" s="22"/>
      <c r="I45" s="23"/>
      <c r="J45" s="24"/>
      <c r="K45" s="23"/>
      <c r="L45" s="24"/>
      <c r="M45" s="24"/>
      <c r="N45" s="25"/>
      <c r="O45" s="25"/>
      <c r="P45" s="26"/>
      <c r="Q45" s="27"/>
      <c r="R45" s="25"/>
      <c r="S45" s="28"/>
      <c r="T45" s="28"/>
      <c r="U45" s="28"/>
      <c r="V45" s="28"/>
      <c r="W45" s="25"/>
      <c r="X45" s="29"/>
    </row>
    <row r="46" spans="1:29" s="2" customFormat="1" ht="18" customHeight="1">
      <c r="A46" s="6"/>
      <c r="B46" s="1792"/>
      <c r="C46" s="38" t="s">
        <v>67</v>
      </c>
      <c r="D46" s="39"/>
      <c r="E46" s="38"/>
      <c r="F46" s="39"/>
      <c r="G46" s="40"/>
      <c r="H46" s="39"/>
      <c r="I46" s="40"/>
      <c r="J46" s="41"/>
      <c r="K46" s="40"/>
      <c r="L46" s="41"/>
      <c r="M46" s="41"/>
      <c r="N46" s="42"/>
      <c r="O46" s="42"/>
      <c r="P46" s="44"/>
      <c r="Q46" s="45"/>
      <c r="R46" s="42"/>
      <c r="S46" s="46"/>
      <c r="T46" s="46"/>
      <c r="U46" s="46"/>
      <c r="V46" s="46"/>
      <c r="W46" s="42"/>
      <c r="X46" s="29"/>
    </row>
    <row r="47" spans="1:29" s="2" customFormat="1" ht="18" customHeight="1">
      <c r="A47" s="6"/>
      <c r="B47" s="1837" t="e">
        <f>+#REF!</f>
        <v>#REF!</v>
      </c>
      <c r="C47" s="30" t="s">
        <v>67</v>
      </c>
      <c r="D47" s="31"/>
      <c r="E47" s="30"/>
      <c r="F47" s="31"/>
      <c r="G47" s="32"/>
      <c r="H47" s="31"/>
      <c r="I47" s="32"/>
      <c r="J47" s="33"/>
      <c r="K47" s="32"/>
      <c r="L47" s="33"/>
      <c r="M47" s="33"/>
      <c r="N47" s="34"/>
      <c r="O47" s="34"/>
      <c r="P47" s="35"/>
      <c r="Q47" s="36"/>
      <c r="R47" s="34"/>
      <c r="S47" s="37"/>
      <c r="T47" s="37"/>
      <c r="U47" s="37"/>
      <c r="V47" s="37"/>
      <c r="W47" s="34"/>
      <c r="X47" s="29"/>
    </row>
    <row r="48" spans="1:29" s="2" customFormat="1" ht="18" customHeight="1">
      <c r="A48" s="6"/>
      <c r="B48" s="1837"/>
      <c r="C48" s="38" t="s">
        <v>67</v>
      </c>
      <c r="D48" s="39"/>
      <c r="E48" s="38"/>
      <c r="F48" s="39"/>
      <c r="G48" s="40"/>
      <c r="H48" s="39"/>
      <c r="I48" s="40"/>
      <c r="J48" s="41"/>
      <c r="K48" s="40"/>
      <c r="L48" s="41"/>
      <c r="M48" s="41"/>
      <c r="N48" s="42"/>
      <c r="O48" s="42"/>
      <c r="P48" s="44"/>
      <c r="Q48" s="45"/>
      <c r="R48" s="42"/>
      <c r="S48" s="46"/>
      <c r="T48" s="46"/>
      <c r="U48" s="46"/>
      <c r="V48" s="46"/>
      <c r="W48" s="42"/>
      <c r="X48" s="29"/>
    </row>
    <row r="49" spans="1:24" s="2" customFormat="1" ht="18" customHeight="1">
      <c r="A49" s="6"/>
      <c r="B49" s="1837"/>
      <c r="C49" s="30" t="s">
        <v>67</v>
      </c>
      <c r="D49" s="31"/>
      <c r="E49" s="30"/>
      <c r="F49" s="31"/>
      <c r="G49" s="32"/>
      <c r="H49" s="31"/>
      <c r="I49" s="32"/>
      <c r="J49" s="33"/>
      <c r="K49" s="32"/>
      <c r="L49" s="33"/>
      <c r="M49" s="33"/>
      <c r="N49" s="34"/>
      <c r="O49" s="34"/>
      <c r="P49" s="35"/>
      <c r="Q49" s="36"/>
      <c r="R49" s="34"/>
      <c r="S49" s="37"/>
      <c r="T49" s="37"/>
      <c r="U49" s="37"/>
      <c r="V49" s="37"/>
      <c r="W49" s="34"/>
      <c r="X49" s="29"/>
    </row>
    <row r="50" spans="1:24" s="2" customFormat="1" ht="18" customHeight="1">
      <c r="A50" s="6"/>
      <c r="B50" s="47"/>
      <c r="C50" s="38" t="s">
        <v>67</v>
      </c>
      <c r="D50" s="39"/>
      <c r="E50" s="38"/>
      <c r="F50" s="39"/>
      <c r="G50" s="40"/>
      <c r="H50" s="39"/>
      <c r="I50" s="40"/>
      <c r="J50" s="41"/>
      <c r="K50" s="40"/>
      <c r="L50" s="41"/>
      <c r="M50" s="41"/>
      <c r="N50" s="42"/>
      <c r="O50" s="42"/>
      <c r="P50" s="44"/>
      <c r="Q50" s="45"/>
      <c r="R50" s="42"/>
      <c r="S50" s="46"/>
      <c r="T50" s="46"/>
      <c r="U50" s="46"/>
      <c r="V50" s="46"/>
      <c r="W50" s="42"/>
      <c r="X50" s="29"/>
    </row>
    <row r="51" spans="1:24" s="2" customFormat="1" ht="18" customHeight="1">
      <c r="A51" s="6"/>
      <c r="B51" s="47"/>
      <c r="C51" s="30" t="s">
        <v>67</v>
      </c>
      <c r="D51" s="31" t="s">
        <v>67</v>
      </c>
      <c r="E51" s="30" t="str">
        <f t="shared" ref="E51:E79" si="1">IF(F51="","","Acost. LD")</f>
        <v/>
      </c>
      <c r="F51" s="31" t="s">
        <v>67</v>
      </c>
      <c r="G51" s="32" t="s">
        <v>67</v>
      </c>
      <c r="H51" s="31" t="s">
        <v>67</v>
      </c>
      <c r="I51" s="32" t="s">
        <v>67</v>
      </c>
      <c r="J51" s="33" t="str">
        <f t="shared" ref="J51:J79" si="2">IF(F51="","",((H51-F51)*20)+I51-G51)</f>
        <v/>
      </c>
      <c r="K51" s="32" t="s">
        <v>67</v>
      </c>
      <c r="L51" s="33"/>
      <c r="M51" s="33"/>
      <c r="N51" s="34" t="str">
        <f t="shared" ref="N51:N79" si="3">IF(F51="","",(J51*K51)+M51+L51)</f>
        <v/>
      </c>
      <c r="O51" s="34" t="str">
        <f>IF(F51="","",N51*#REF!/100)</f>
        <v/>
      </c>
      <c r="P51" s="35" t="s">
        <v>67</v>
      </c>
      <c r="Q51" s="36" t="str">
        <f t="shared" ref="Q51:Q79" si="4">IF(F51="","","t/m3")</f>
        <v/>
      </c>
      <c r="R51" s="34" t="str">
        <f t="shared" ref="R51:R79" si="5">IF(F51="","",O51*P51)</f>
        <v/>
      </c>
      <c r="S51" s="37" t="s">
        <v>67</v>
      </c>
      <c r="T51" s="37" t="str">
        <f t="shared" ref="T51:T79" si="6">IF(F51="","",IF(D51&gt;H51,((D51-H51)*0.02),IF(D51&lt;F51,((F51-D51)*0.02),IF(F51="","",0))))</f>
        <v/>
      </c>
      <c r="U51" s="37" t="str">
        <f t="shared" ref="U51:U79" si="7">IF(F51="","",IF(D51&gt;H51,((((H51-F51)*20)+I51-G51)/2000),IF(D51&gt;F51,((((D51-F51)*0.02)^2)+(((H51-D51)*0.02)^2))/(2*((H51-F51)*0.02)),((((H51-F51)*20)+I51-G51)/2000))))</f>
        <v/>
      </c>
      <c r="V51" s="37" t="str">
        <f t="shared" ref="V51:V79" si="8">IF(F51="","",S51+T51+U51)</f>
        <v/>
      </c>
      <c r="W51" s="34" t="str">
        <f t="shared" ref="W51:W79" si="9">IF(F51="","",O51*V51)</f>
        <v/>
      </c>
      <c r="X51" s="29"/>
    </row>
    <row r="52" spans="1:24" s="2" customFormat="1" ht="18" customHeight="1">
      <c r="A52" s="6"/>
      <c r="B52" s="48"/>
      <c r="C52" s="38" t="s">
        <v>67</v>
      </c>
      <c r="D52" s="39" t="s">
        <v>67</v>
      </c>
      <c r="E52" s="38" t="str">
        <f t="shared" si="1"/>
        <v/>
      </c>
      <c r="F52" s="39" t="s">
        <v>67</v>
      </c>
      <c r="G52" s="40" t="s">
        <v>67</v>
      </c>
      <c r="H52" s="39" t="s">
        <v>67</v>
      </c>
      <c r="I52" s="40" t="s">
        <v>67</v>
      </c>
      <c r="J52" s="41" t="str">
        <f t="shared" si="2"/>
        <v/>
      </c>
      <c r="K52" s="40" t="s">
        <v>67</v>
      </c>
      <c r="L52" s="41"/>
      <c r="M52" s="41"/>
      <c r="N52" s="42" t="str">
        <f t="shared" si="3"/>
        <v/>
      </c>
      <c r="O52" s="42" t="str">
        <f>IF(F52="","",N52*#REF!/100)</f>
        <v/>
      </c>
      <c r="P52" s="44" t="s">
        <v>67</v>
      </c>
      <c r="Q52" s="45" t="str">
        <f t="shared" si="4"/>
        <v/>
      </c>
      <c r="R52" s="42" t="str">
        <f t="shared" si="5"/>
        <v/>
      </c>
      <c r="S52" s="46" t="s">
        <v>67</v>
      </c>
      <c r="T52" s="46" t="str">
        <f t="shared" si="6"/>
        <v/>
      </c>
      <c r="U52" s="46" t="str">
        <f t="shared" si="7"/>
        <v/>
      </c>
      <c r="V52" s="46" t="str">
        <f t="shared" si="8"/>
        <v/>
      </c>
      <c r="W52" s="42" t="str">
        <f t="shared" si="9"/>
        <v/>
      </c>
      <c r="X52" s="29"/>
    </row>
    <row r="53" spans="1:24" s="2" customFormat="1" ht="18" customHeight="1">
      <c r="A53" s="6"/>
      <c r="B53" s="48"/>
      <c r="C53" s="30" t="s">
        <v>67</v>
      </c>
      <c r="D53" s="31" t="s">
        <v>67</v>
      </c>
      <c r="E53" s="30" t="str">
        <f t="shared" si="1"/>
        <v/>
      </c>
      <c r="F53" s="31" t="s">
        <v>67</v>
      </c>
      <c r="G53" s="32" t="s">
        <v>67</v>
      </c>
      <c r="H53" s="31" t="s">
        <v>67</v>
      </c>
      <c r="I53" s="32" t="s">
        <v>67</v>
      </c>
      <c r="J53" s="33" t="str">
        <f t="shared" si="2"/>
        <v/>
      </c>
      <c r="K53" s="32" t="s">
        <v>67</v>
      </c>
      <c r="L53" s="33"/>
      <c r="M53" s="33"/>
      <c r="N53" s="34" t="str">
        <f t="shared" si="3"/>
        <v/>
      </c>
      <c r="O53" s="34" t="str">
        <f>IF(F53="","",N53*#REF!/100)</f>
        <v/>
      </c>
      <c r="P53" s="35" t="s">
        <v>67</v>
      </c>
      <c r="Q53" s="36" t="str">
        <f t="shared" si="4"/>
        <v/>
      </c>
      <c r="R53" s="34" t="str">
        <f t="shared" si="5"/>
        <v/>
      </c>
      <c r="S53" s="37" t="s">
        <v>67</v>
      </c>
      <c r="T53" s="37" t="str">
        <f t="shared" si="6"/>
        <v/>
      </c>
      <c r="U53" s="37" t="str">
        <f t="shared" si="7"/>
        <v/>
      </c>
      <c r="V53" s="37" t="str">
        <f t="shared" si="8"/>
        <v/>
      </c>
      <c r="W53" s="34" t="str">
        <f t="shared" si="9"/>
        <v/>
      </c>
      <c r="X53" s="29"/>
    </row>
    <row r="54" spans="1:24" s="2" customFormat="1" ht="18" customHeight="1">
      <c r="A54" s="6"/>
      <c r="B54" s="48"/>
      <c r="C54" s="38" t="s">
        <v>67</v>
      </c>
      <c r="D54" s="39" t="s">
        <v>67</v>
      </c>
      <c r="E54" s="38" t="str">
        <f t="shared" si="1"/>
        <v/>
      </c>
      <c r="F54" s="39" t="s">
        <v>67</v>
      </c>
      <c r="G54" s="40" t="s">
        <v>67</v>
      </c>
      <c r="H54" s="39" t="s">
        <v>67</v>
      </c>
      <c r="I54" s="40" t="s">
        <v>67</v>
      </c>
      <c r="J54" s="41" t="str">
        <f t="shared" si="2"/>
        <v/>
      </c>
      <c r="K54" s="40" t="s">
        <v>67</v>
      </c>
      <c r="L54" s="41"/>
      <c r="M54" s="41"/>
      <c r="N54" s="42" t="str">
        <f t="shared" si="3"/>
        <v/>
      </c>
      <c r="O54" s="42" t="str">
        <f>IF(F54="","",N54*#REF!/100)</f>
        <v/>
      </c>
      <c r="P54" s="44" t="s">
        <v>67</v>
      </c>
      <c r="Q54" s="45" t="str">
        <f t="shared" si="4"/>
        <v/>
      </c>
      <c r="R54" s="42" t="str">
        <f t="shared" si="5"/>
        <v/>
      </c>
      <c r="S54" s="46" t="s">
        <v>67</v>
      </c>
      <c r="T54" s="46" t="str">
        <f t="shared" si="6"/>
        <v/>
      </c>
      <c r="U54" s="46" t="str">
        <f t="shared" si="7"/>
        <v/>
      </c>
      <c r="V54" s="46" t="str">
        <f t="shared" si="8"/>
        <v/>
      </c>
      <c r="W54" s="42" t="str">
        <f t="shared" si="9"/>
        <v/>
      </c>
      <c r="X54" s="29"/>
    </row>
    <row r="55" spans="1:24" s="2" customFormat="1" ht="18" customHeight="1">
      <c r="A55" s="6"/>
      <c r="B55" s="48"/>
      <c r="C55" s="30" t="s">
        <v>67</v>
      </c>
      <c r="D55" s="31" t="s">
        <v>67</v>
      </c>
      <c r="E55" s="30" t="str">
        <f t="shared" si="1"/>
        <v/>
      </c>
      <c r="F55" s="31" t="s">
        <v>67</v>
      </c>
      <c r="G55" s="32" t="s">
        <v>67</v>
      </c>
      <c r="H55" s="31" t="s">
        <v>67</v>
      </c>
      <c r="I55" s="32" t="s">
        <v>67</v>
      </c>
      <c r="J55" s="33" t="str">
        <f t="shared" si="2"/>
        <v/>
      </c>
      <c r="K55" s="32" t="s">
        <v>67</v>
      </c>
      <c r="L55" s="33"/>
      <c r="M55" s="33"/>
      <c r="N55" s="34" t="str">
        <f t="shared" si="3"/>
        <v/>
      </c>
      <c r="O55" s="34" t="str">
        <f>IF(F55="","",N55*#REF!/100)</f>
        <v/>
      </c>
      <c r="P55" s="35" t="s">
        <v>67</v>
      </c>
      <c r="Q55" s="36" t="str">
        <f t="shared" si="4"/>
        <v/>
      </c>
      <c r="R55" s="34" t="str">
        <f t="shared" si="5"/>
        <v/>
      </c>
      <c r="S55" s="37" t="s">
        <v>67</v>
      </c>
      <c r="T55" s="37" t="str">
        <f t="shared" si="6"/>
        <v/>
      </c>
      <c r="U55" s="37" t="str">
        <f t="shared" si="7"/>
        <v/>
      </c>
      <c r="V55" s="37" t="str">
        <f t="shared" si="8"/>
        <v/>
      </c>
      <c r="W55" s="34" t="str">
        <f t="shared" si="9"/>
        <v/>
      </c>
      <c r="X55" s="29"/>
    </row>
    <row r="56" spans="1:24" s="2" customFormat="1" ht="18" customHeight="1">
      <c r="A56" s="6"/>
      <c r="B56" s="48"/>
      <c r="C56" s="38" t="s">
        <v>67</v>
      </c>
      <c r="D56" s="39" t="s">
        <v>67</v>
      </c>
      <c r="E56" s="38" t="str">
        <f t="shared" si="1"/>
        <v/>
      </c>
      <c r="F56" s="39" t="s">
        <v>67</v>
      </c>
      <c r="G56" s="40" t="s">
        <v>67</v>
      </c>
      <c r="H56" s="39" t="s">
        <v>67</v>
      </c>
      <c r="I56" s="40" t="s">
        <v>67</v>
      </c>
      <c r="J56" s="41" t="str">
        <f t="shared" si="2"/>
        <v/>
      </c>
      <c r="K56" s="40" t="s">
        <v>67</v>
      </c>
      <c r="L56" s="41"/>
      <c r="M56" s="41"/>
      <c r="N56" s="42" t="str">
        <f t="shared" si="3"/>
        <v/>
      </c>
      <c r="O56" s="42" t="str">
        <f>IF(F56="","",N56*#REF!/100)</f>
        <v/>
      </c>
      <c r="P56" s="44" t="s">
        <v>67</v>
      </c>
      <c r="Q56" s="45" t="str">
        <f t="shared" si="4"/>
        <v/>
      </c>
      <c r="R56" s="42" t="str">
        <f t="shared" si="5"/>
        <v/>
      </c>
      <c r="S56" s="46" t="s">
        <v>67</v>
      </c>
      <c r="T56" s="46" t="str">
        <f t="shared" si="6"/>
        <v/>
      </c>
      <c r="U56" s="46" t="str">
        <f t="shared" si="7"/>
        <v/>
      </c>
      <c r="V56" s="46" t="str">
        <f t="shared" si="8"/>
        <v/>
      </c>
      <c r="W56" s="42" t="str">
        <f t="shared" si="9"/>
        <v/>
      </c>
      <c r="X56" s="29"/>
    </row>
    <row r="57" spans="1:24" s="2" customFormat="1" ht="18" customHeight="1">
      <c r="A57" s="6"/>
      <c r="B57" s="48"/>
      <c r="C57" s="30" t="s">
        <v>67</v>
      </c>
      <c r="D57" s="31" t="s">
        <v>67</v>
      </c>
      <c r="E57" s="30" t="str">
        <f t="shared" si="1"/>
        <v/>
      </c>
      <c r="F57" s="31" t="s">
        <v>67</v>
      </c>
      <c r="G57" s="32" t="s">
        <v>67</v>
      </c>
      <c r="H57" s="31" t="s">
        <v>67</v>
      </c>
      <c r="I57" s="32" t="s">
        <v>67</v>
      </c>
      <c r="J57" s="33" t="str">
        <f t="shared" si="2"/>
        <v/>
      </c>
      <c r="K57" s="32" t="s">
        <v>67</v>
      </c>
      <c r="L57" s="33"/>
      <c r="M57" s="33"/>
      <c r="N57" s="34" t="str">
        <f t="shared" si="3"/>
        <v/>
      </c>
      <c r="O57" s="34" t="str">
        <f>IF(F57="","",N57*#REF!/100)</f>
        <v/>
      </c>
      <c r="P57" s="35" t="s">
        <v>67</v>
      </c>
      <c r="Q57" s="36" t="str">
        <f t="shared" si="4"/>
        <v/>
      </c>
      <c r="R57" s="34" t="str">
        <f t="shared" si="5"/>
        <v/>
      </c>
      <c r="S57" s="37" t="s">
        <v>67</v>
      </c>
      <c r="T57" s="37" t="str">
        <f t="shared" si="6"/>
        <v/>
      </c>
      <c r="U57" s="37" t="str">
        <f t="shared" si="7"/>
        <v/>
      </c>
      <c r="V57" s="37" t="str">
        <f t="shared" si="8"/>
        <v/>
      </c>
      <c r="W57" s="34" t="str">
        <f t="shared" si="9"/>
        <v/>
      </c>
      <c r="X57" s="29"/>
    </row>
    <row r="58" spans="1:24" s="2" customFormat="1" ht="18" customHeight="1">
      <c r="A58" s="6"/>
      <c r="B58" s="48"/>
      <c r="C58" s="38" t="s">
        <v>67</v>
      </c>
      <c r="D58" s="39" t="s">
        <v>67</v>
      </c>
      <c r="E58" s="38" t="str">
        <f t="shared" si="1"/>
        <v/>
      </c>
      <c r="F58" s="39" t="s">
        <v>67</v>
      </c>
      <c r="G58" s="40" t="s">
        <v>67</v>
      </c>
      <c r="H58" s="39" t="s">
        <v>67</v>
      </c>
      <c r="I58" s="40" t="s">
        <v>67</v>
      </c>
      <c r="J58" s="41" t="str">
        <f t="shared" si="2"/>
        <v/>
      </c>
      <c r="K58" s="40" t="s">
        <v>67</v>
      </c>
      <c r="L58" s="41"/>
      <c r="M58" s="41"/>
      <c r="N58" s="42" t="str">
        <f t="shared" si="3"/>
        <v/>
      </c>
      <c r="O58" s="42" t="str">
        <f>IF(F58="","",N58*#REF!/100)</f>
        <v/>
      </c>
      <c r="P58" s="44" t="s">
        <v>67</v>
      </c>
      <c r="Q58" s="45" t="str">
        <f t="shared" si="4"/>
        <v/>
      </c>
      <c r="R58" s="42" t="str">
        <f t="shared" si="5"/>
        <v/>
      </c>
      <c r="S58" s="46" t="s">
        <v>67</v>
      </c>
      <c r="T58" s="46" t="str">
        <f t="shared" si="6"/>
        <v/>
      </c>
      <c r="U58" s="46" t="str">
        <f t="shared" si="7"/>
        <v/>
      </c>
      <c r="V58" s="46" t="str">
        <f t="shared" si="8"/>
        <v/>
      </c>
      <c r="W58" s="42" t="str">
        <f t="shared" si="9"/>
        <v/>
      </c>
      <c r="X58" s="29"/>
    </row>
    <row r="59" spans="1:24" s="2" customFormat="1" ht="18" customHeight="1">
      <c r="A59" s="6"/>
      <c r="B59" s="48"/>
      <c r="C59" s="30" t="s">
        <v>67</v>
      </c>
      <c r="D59" s="31" t="s">
        <v>67</v>
      </c>
      <c r="E59" s="30" t="str">
        <f t="shared" si="1"/>
        <v/>
      </c>
      <c r="F59" s="31" t="s">
        <v>67</v>
      </c>
      <c r="G59" s="32" t="s">
        <v>67</v>
      </c>
      <c r="H59" s="31" t="s">
        <v>67</v>
      </c>
      <c r="I59" s="32" t="s">
        <v>67</v>
      </c>
      <c r="J59" s="33" t="str">
        <f t="shared" si="2"/>
        <v/>
      </c>
      <c r="K59" s="32" t="s">
        <v>67</v>
      </c>
      <c r="L59" s="33"/>
      <c r="M59" s="33"/>
      <c r="N59" s="34" t="str">
        <f t="shared" si="3"/>
        <v/>
      </c>
      <c r="O59" s="34" t="str">
        <f>IF(F59="","",N59*#REF!/100)</f>
        <v/>
      </c>
      <c r="P59" s="35" t="s">
        <v>67</v>
      </c>
      <c r="Q59" s="36" t="str">
        <f t="shared" si="4"/>
        <v/>
      </c>
      <c r="R59" s="34" t="str">
        <f t="shared" si="5"/>
        <v/>
      </c>
      <c r="S59" s="37" t="s">
        <v>67</v>
      </c>
      <c r="T59" s="37" t="str">
        <f t="shared" si="6"/>
        <v/>
      </c>
      <c r="U59" s="37" t="str">
        <f t="shared" si="7"/>
        <v/>
      </c>
      <c r="V59" s="37" t="str">
        <f t="shared" si="8"/>
        <v/>
      </c>
      <c r="W59" s="34" t="str">
        <f t="shared" si="9"/>
        <v/>
      </c>
      <c r="X59" s="29"/>
    </row>
    <row r="60" spans="1:24" s="2" customFormat="1" ht="18" customHeight="1">
      <c r="A60" s="6"/>
      <c r="B60" s="48"/>
      <c r="C60" s="38" t="s">
        <v>67</v>
      </c>
      <c r="D60" s="39" t="s">
        <v>67</v>
      </c>
      <c r="E60" s="38" t="str">
        <f t="shared" si="1"/>
        <v/>
      </c>
      <c r="F60" s="39" t="s">
        <v>67</v>
      </c>
      <c r="G60" s="40" t="s">
        <v>67</v>
      </c>
      <c r="H60" s="39" t="s">
        <v>67</v>
      </c>
      <c r="I60" s="40" t="s">
        <v>67</v>
      </c>
      <c r="J60" s="41" t="str">
        <f t="shared" si="2"/>
        <v/>
      </c>
      <c r="K60" s="40" t="s">
        <v>67</v>
      </c>
      <c r="L60" s="41"/>
      <c r="M60" s="41"/>
      <c r="N60" s="42" t="str">
        <f t="shared" si="3"/>
        <v/>
      </c>
      <c r="O60" s="42" t="str">
        <f>IF(F60="","",N60*#REF!/100)</f>
        <v/>
      </c>
      <c r="P60" s="44" t="s">
        <v>67</v>
      </c>
      <c r="Q60" s="45" t="str">
        <f t="shared" si="4"/>
        <v/>
      </c>
      <c r="R60" s="42" t="str">
        <f t="shared" si="5"/>
        <v/>
      </c>
      <c r="S60" s="46" t="s">
        <v>67</v>
      </c>
      <c r="T60" s="46" t="str">
        <f t="shared" si="6"/>
        <v/>
      </c>
      <c r="U60" s="46" t="str">
        <f t="shared" si="7"/>
        <v/>
      </c>
      <c r="V60" s="46" t="str">
        <f t="shared" si="8"/>
        <v/>
      </c>
      <c r="W60" s="42" t="str">
        <f t="shared" si="9"/>
        <v/>
      </c>
      <c r="X60" s="29"/>
    </row>
    <row r="61" spans="1:24" s="2" customFormat="1" ht="18" customHeight="1">
      <c r="A61" s="6"/>
      <c r="B61" s="48"/>
      <c r="C61" s="30" t="s">
        <v>67</v>
      </c>
      <c r="D61" s="31" t="s">
        <v>67</v>
      </c>
      <c r="E61" s="30" t="str">
        <f t="shared" si="1"/>
        <v/>
      </c>
      <c r="F61" s="31" t="s">
        <v>67</v>
      </c>
      <c r="G61" s="32" t="s">
        <v>67</v>
      </c>
      <c r="H61" s="31" t="s">
        <v>67</v>
      </c>
      <c r="I61" s="32" t="s">
        <v>67</v>
      </c>
      <c r="J61" s="33" t="str">
        <f t="shared" si="2"/>
        <v/>
      </c>
      <c r="K61" s="32" t="s">
        <v>67</v>
      </c>
      <c r="L61" s="33"/>
      <c r="M61" s="33"/>
      <c r="N61" s="34" t="str">
        <f t="shared" si="3"/>
        <v/>
      </c>
      <c r="O61" s="34" t="str">
        <f>IF(F61="","",N61*#REF!/100)</f>
        <v/>
      </c>
      <c r="P61" s="35" t="s">
        <v>67</v>
      </c>
      <c r="Q61" s="36" t="str">
        <f t="shared" si="4"/>
        <v/>
      </c>
      <c r="R61" s="34" t="str">
        <f t="shared" si="5"/>
        <v/>
      </c>
      <c r="S61" s="37" t="s">
        <v>67</v>
      </c>
      <c r="T61" s="37" t="str">
        <f t="shared" si="6"/>
        <v/>
      </c>
      <c r="U61" s="37" t="str">
        <f t="shared" si="7"/>
        <v/>
      </c>
      <c r="V61" s="37" t="str">
        <f t="shared" si="8"/>
        <v/>
      </c>
      <c r="W61" s="34" t="str">
        <f t="shared" si="9"/>
        <v/>
      </c>
      <c r="X61" s="29"/>
    </row>
    <row r="62" spans="1:24" s="2" customFormat="1" ht="18" customHeight="1">
      <c r="A62" s="6"/>
      <c r="B62" s="48"/>
      <c r="C62" s="38" t="s">
        <v>67</v>
      </c>
      <c r="D62" s="39" t="s">
        <v>67</v>
      </c>
      <c r="E62" s="38" t="str">
        <f t="shared" si="1"/>
        <v/>
      </c>
      <c r="F62" s="39" t="s">
        <v>67</v>
      </c>
      <c r="G62" s="40" t="s">
        <v>67</v>
      </c>
      <c r="H62" s="39" t="s">
        <v>67</v>
      </c>
      <c r="I62" s="40" t="s">
        <v>67</v>
      </c>
      <c r="J62" s="41" t="str">
        <f t="shared" si="2"/>
        <v/>
      </c>
      <c r="K62" s="40" t="s">
        <v>67</v>
      </c>
      <c r="L62" s="41"/>
      <c r="M62" s="41"/>
      <c r="N62" s="42" t="str">
        <f t="shared" si="3"/>
        <v/>
      </c>
      <c r="O62" s="42" t="str">
        <f>IF(F62="","",N62*#REF!/100)</f>
        <v/>
      </c>
      <c r="P62" s="44" t="s">
        <v>67</v>
      </c>
      <c r="Q62" s="45" t="str">
        <f t="shared" si="4"/>
        <v/>
      </c>
      <c r="R62" s="42" t="str">
        <f t="shared" si="5"/>
        <v/>
      </c>
      <c r="S62" s="46" t="s">
        <v>67</v>
      </c>
      <c r="T62" s="46" t="str">
        <f t="shared" si="6"/>
        <v/>
      </c>
      <c r="U62" s="46" t="str">
        <f t="shared" si="7"/>
        <v/>
      </c>
      <c r="V62" s="46" t="str">
        <f t="shared" si="8"/>
        <v/>
      </c>
      <c r="W62" s="42" t="str">
        <f t="shared" si="9"/>
        <v/>
      </c>
      <c r="X62" s="29"/>
    </row>
    <row r="63" spans="1:24" s="2" customFormat="1" ht="18" customHeight="1">
      <c r="A63" s="6"/>
      <c r="B63" s="48"/>
      <c r="C63" s="30" t="s">
        <v>67</v>
      </c>
      <c r="D63" s="31" t="s">
        <v>67</v>
      </c>
      <c r="E63" s="30" t="str">
        <f t="shared" si="1"/>
        <v/>
      </c>
      <c r="F63" s="31" t="s">
        <v>67</v>
      </c>
      <c r="G63" s="32" t="s">
        <v>67</v>
      </c>
      <c r="H63" s="31" t="s">
        <v>67</v>
      </c>
      <c r="I63" s="32" t="s">
        <v>67</v>
      </c>
      <c r="J63" s="33" t="str">
        <f t="shared" si="2"/>
        <v/>
      </c>
      <c r="K63" s="32" t="s">
        <v>67</v>
      </c>
      <c r="L63" s="33"/>
      <c r="M63" s="33"/>
      <c r="N63" s="34" t="str">
        <f t="shared" si="3"/>
        <v/>
      </c>
      <c r="O63" s="34" t="str">
        <f>IF(F63="","",N63*#REF!/100)</f>
        <v/>
      </c>
      <c r="P63" s="35" t="s">
        <v>67</v>
      </c>
      <c r="Q63" s="36" t="str">
        <f t="shared" si="4"/>
        <v/>
      </c>
      <c r="R63" s="34" t="str">
        <f t="shared" si="5"/>
        <v/>
      </c>
      <c r="S63" s="37" t="s">
        <v>67</v>
      </c>
      <c r="T63" s="37" t="str">
        <f t="shared" si="6"/>
        <v/>
      </c>
      <c r="U63" s="37" t="str">
        <f t="shared" si="7"/>
        <v/>
      </c>
      <c r="V63" s="37" t="str">
        <f t="shared" si="8"/>
        <v/>
      </c>
      <c r="W63" s="34" t="str">
        <f t="shared" si="9"/>
        <v/>
      </c>
      <c r="X63" s="29"/>
    </row>
    <row r="64" spans="1:24" s="2" customFormat="1" ht="18" customHeight="1">
      <c r="A64" s="6"/>
      <c r="B64" s="48"/>
      <c r="C64" s="38" t="s">
        <v>67</v>
      </c>
      <c r="D64" s="39" t="s">
        <v>67</v>
      </c>
      <c r="E64" s="38" t="str">
        <f t="shared" si="1"/>
        <v/>
      </c>
      <c r="F64" s="39" t="s">
        <v>67</v>
      </c>
      <c r="G64" s="40" t="s">
        <v>67</v>
      </c>
      <c r="H64" s="39" t="s">
        <v>67</v>
      </c>
      <c r="I64" s="40" t="s">
        <v>67</v>
      </c>
      <c r="J64" s="41" t="str">
        <f t="shared" si="2"/>
        <v/>
      </c>
      <c r="K64" s="40" t="s">
        <v>67</v>
      </c>
      <c r="L64" s="41"/>
      <c r="M64" s="41"/>
      <c r="N64" s="42" t="str">
        <f t="shared" si="3"/>
        <v/>
      </c>
      <c r="O64" s="42" t="str">
        <f>IF(F64="","",N64*#REF!/100)</f>
        <v/>
      </c>
      <c r="P64" s="44" t="s">
        <v>67</v>
      </c>
      <c r="Q64" s="45" t="str">
        <f t="shared" si="4"/>
        <v/>
      </c>
      <c r="R64" s="42" t="str">
        <f t="shared" si="5"/>
        <v/>
      </c>
      <c r="S64" s="46" t="s">
        <v>67</v>
      </c>
      <c r="T64" s="46" t="str">
        <f t="shared" si="6"/>
        <v/>
      </c>
      <c r="U64" s="46" t="str">
        <f t="shared" si="7"/>
        <v/>
      </c>
      <c r="V64" s="46" t="str">
        <f t="shared" si="8"/>
        <v/>
      </c>
      <c r="W64" s="42" t="str">
        <f t="shared" si="9"/>
        <v/>
      </c>
      <c r="X64" s="29"/>
    </row>
    <row r="65" spans="1:24" s="2" customFormat="1" ht="18" customHeight="1">
      <c r="A65" s="6"/>
      <c r="B65" s="48"/>
      <c r="C65" s="30" t="s">
        <v>67</v>
      </c>
      <c r="D65" s="31" t="s">
        <v>67</v>
      </c>
      <c r="E65" s="30" t="str">
        <f t="shared" si="1"/>
        <v/>
      </c>
      <c r="F65" s="31" t="s">
        <v>67</v>
      </c>
      <c r="G65" s="32" t="s">
        <v>67</v>
      </c>
      <c r="H65" s="31" t="s">
        <v>67</v>
      </c>
      <c r="I65" s="32" t="s">
        <v>67</v>
      </c>
      <c r="J65" s="33" t="str">
        <f t="shared" si="2"/>
        <v/>
      </c>
      <c r="K65" s="32" t="s">
        <v>67</v>
      </c>
      <c r="L65" s="33"/>
      <c r="M65" s="33"/>
      <c r="N65" s="34" t="str">
        <f t="shared" si="3"/>
        <v/>
      </c>
      <c r="O65" s="34" t="str">
        <f>IF(F65="","",N65*#REF!/100)</f>
        <v/>
      </c>
      <c r="P65" s="35" t="s">
        <v>67</v>
      </c>
      <c r="Q65" s="36" t="str">
        <f t="shared" si="4"/>
        <v/>
      </c>
      <c r="R65" s="34" t="str">
        <f t="shared" si="5"/>
        <v/>
      </c>
      <c r="S65" s="37" t="s">
        <v>67</v>
      </c>
      <c r="T65" s="37" t="str">
        <f t="shared" si="6"/>
        <v/>
      </c>
      <c r="U65" s="37" t="str">
        <f t="shared" si="7"/>
        <v/>
      </c>
      <c r="V65" s="37" t="str">
        <f t="shared" si="8"/>
        <v/>
      </c>
      <c r="W65" s="34" t="str">
        <f t="shared" si="9"/>
        <v/>
      </c>
      <c r="X65" s="29"/>
    </row>
    <row r="66" spans="1:24" s="2" customFormat="1" ht="18" customHeight="1">
      <c r="A66" s="6"/>
      <c r="B66" s="48"/>
      <c r="C66" s="38" t="s">
        <v>67</v>
      </c>
      <c r="D66" s="39" t="s">
        <v>67</v>
      </c>
      <c r="E66" s="38" t="str">
        <f t="shared" si="1"/>
        <v/>
      </c>
      <c r="F66" s="39" t="s">
        <v>67</v>
      </c>
      <c r="G66" s="40" t="s">
        <v>67</v>
      </c>
      <c r="H66" s="39" t="s">
        <v>67</v>
      </c>
      <c r="I66" s="40" t="s">
        <v>67</v>
      </c>
      <c r="J66" s="41" t="str">
        <f t="shared" si="2"/>
        <v/>
      </c>
      <c r="K66" s="40" t="s">
        <v>67</v>
      </c>
      <c r="L66" s="41"/>
      <c r="M66" s="41"/>
      <c r="N66" s="42" t="str">
        <f t="shared" si="3"/>
        <v/>
      </c>
      <c r="O66" s="42" t="str">
        <f>IF(F66="","",N66*#REF!/100)</f>
        <v/>
      </c>
      <c r="P66" s="44" t="s">
        <v>67</v>
      </c>
      <c r="Q66" s="45" t="str">
        <f t="shared" si="4"/>
        <v/>
      </c>
      <c r="R66" s="42" t="str">
        <f t="shared" si="5"/>
        <v/>
      </c>
      <c r="S66" s="46" t="s">
        <v>67</v>
      </c>
      <c r="T66" s="46" t="str">
        <f t="shared" si="6"/>
        <v/>
      </c>
      <c r="U66" s="46" t="str">
        <f t="shared" si="7"/>
        <v/>
      </c>
      <c r="V66" s="46" t="str">
        <f t="shared" si="8"/>
        <v/>
      </c>
      <c r="W66" s="42" t="str">
        <f t="shared" si="9"/>
        <v/>
      </c>
      <c r="X66" s="29"/>
    </row>
    <row r="67" spans="1:24" s="2" customFormat="1" ht="18" customHeight="1">
      <c r="A67" s="6"/>
      <c r="B67" s="48"/>
      <c r="C67" s="30" t="s">
        <v>67</v>
      </c>
      <c r="D67" s="31" t="s">
        <v>67</v>
      </c>
      <c r="E67" s="30" t="str">
        <f t="shared" si="1"/>
        <v/>
      </c>
      <c r="F67" s="31" t="s">
        <v>67</v>
      </c>
      <c r="G67" s="32" t="s">
        <v>67</v>
      </c>
      <c r="H67" s="31" t="s">
        <v>67</v>
      </c>
      <c r="I67" s="32" t="s">
        <v>67</v>
      </c>
      <c r="J67" s="33" t="str">
        <f t="shared" si="2"/>
        <v/>
      </c>
      <c r="K67" s="32" t="s">
        <v>67</v>
      </c>
      <c r="L67" s="33"/>
      <c r="M67" s="33"/>
      <c r="N67" s="34" t="str">
        <f t="shared" si="3"/>
        <v/>
      </c>
      <c r="O67" s="34" t="str">
        <f>IF(F67="","",N67*#REF!/100)</f>
        <v/>
      </c>
      <c r="P67" s="35" t="s">
        <v>67</v>
      </c>
      <c r="Q67" s="36" t="str">
        <f t="shared" si="4"/>
        <v/>
      </c>
      <c r="R67" s="34" t="str">
        <f t="shared" si="5"/>
        <v/>
      </c>
      <c r="S67" s="37" t="s">
        <v>67</v>
      </c>
      <c r="T67" s="37" t="str">
        <f t="shared" si="6"/>
        <v/>
      </c>
      <c r="U67" s="37" t="str">
        <f t="shared" si="7"/>
        <v/>
      </c>
      <c r="V67" s="37" t="str">
        <f t="shared" si="8"/>
        <v/>
      </c>
      <c r="W67" s="34" t="str">
        <f t="shared" si="9"/>
        <v/>
      </c>
      <c r="X67" s="29"/>
    </row>
    <row r="68" spans="1:24" s="2" customFormat="1" ht="18" customHeight="1">
      <c r="A68" s="6"/>
      <c r="B68" s="48"/>
      <c r="C68" s="38" t="s">
        <v>67</v>
      </c>
      <c r="D68" s="39" t="s">
        <v>67</v>
      </c>
      <c r="E68" s="38" t="str">
        <f t="shared" si="1"/>
        <v/>
      </c>
      <c r="F68" s="39" t="s">
        <v>67</v>
      </c>
      <c r="G68" s="40" t="s">
        <v>67</v>
      </c>
      <c r="H68" s="39" t="s">
        <v>67</v>
      </c>
      <c r="I68" s="40" t="s">
        <v>67</v>
      </c>
      <c r="J68" s="41" t="str">
        <f t="shared" si="2"/>
        <v/>
      </c>
      <c r="K68" s="40" t="s">
        <v>67</v>
      </c>
      <c r="L68" s="41"/>
      <c r="M68" s="41"/>
      <c r="N68" s="42" t="str">
        <f t="shared" si="3"/>
        <v/>
      </c>
      <c r="O68" s="42" t="str">
        <f>IF(F68="","",N68*#REF!/100)</f>
        <v/>
      </c>
      <c r="P68" s="44" t="s">
        <v>67</v>
      </c>
      <c r="Q68" s="45" t="str">
        <f t="shared" si="4"/>
        <v/>
      </c>
      <c r="R68" s="42" t="str">
        <f t="shared" si="5"/>
        <v/>
      </c>
      <c r="S68" s="46" t="s">
        <v>67</v>
      </c>
      <c r="T68" s="46" t="str">
        <f t="shared" si="6"/>
        <v/>
      </c>
      <c r="U68" s="46" t="str">
        <f t="shared" si="7"/>
        <v/>
      </c>
      <c r="V68" s="46" t="str">
        <f t="shared" si="8"/>
        <v/>
      </c>
      <c r="W68" s="42" t="str">
        <f t="shared" si="9"/>
        <v/>
      </c>
      <c r="X68" s="29"/>
    </row>
    <row r="69" spans="1:24" s="2" customFormat="1" ht="18" customHeight="1">
      <c r="A69" s="6"/>
      <c r="B69" s="48"/>
      <c r="C69" s="30" t="s">
        <v>67</v>
      </c>
      <c r="D69" s="31" t="s">
        <v>67</v>
      </c>
      <c r="E69" s="30" t="str">
        <f t="shared" si="1"/>
        <v/>
      </c>
      <c r="F69" s="31" t="s">
        <v>67</v>
      </c>
      <c r="G69" s="32" t="s">
        <v>67</v>
      </c>
      <c r="H69" s="31" t="s">
        <v>67</v>
      </c>
      <c r="I69" s="32" t="s">
        <v>67</v>
      </c>
      <c r="J69" s="33" t="str">
        <f t="shared" si="2"/>
        <v/>
      </c>
      <c r="K69" s="32" t="s">
        <v>67</v>
      </c>
      <c r="L69" s="33"/>
      <c r="M69" s="33"/>
      <c r="N69" s="34" t="str">
        <f t="shared" si="3"/>
        <v/>
      </c>
      <c r="O69" s="34" t="str">
        <f>IF(F69="","",N69*#REF!/100)</f>
        <v/>
      </c>
      <c r="P69" s="35" t="s">
        <v>67</v>
      </c>
      <c r="Q69" s="36" t="str">
        <f t="shared" si="4"/>
        <v/>
      </c>
      <c r="R69" s="34" t="str">
        <f t="shared" si="5"/>
        <v/>
      </c>
      <c r="S69" s="37" t="s">
        <v>67</v>
      </c>
      <c r="T69" s="37" t="str">
        <f t="shared" si="6"/>
        <v/>
      </c>
      <c r="U69" s="37" t="str">
        <f t="shared" si="7"/>
        <v/>
      </c>
      <c r="V69" s="37" t="str">
        <f t="shared" si="8"/>
        <v/>
      </c>
      <c r="W69" s="34" t="str">
        <f t="shared" si="9"/>
        <v/>
      </c>
      <c r="X69" s="29"/>
    </row>
    <row r="70" spans="1:24" s="2" customFormat="1" ht="18" customHeight="1">
      <c r="A70" s="6"/>
      <c r="B70" s="48"/>
      <c r="C70" s="38" t="s">
        <v>67</v>
      </c>
      <c r="D70" s="39" t="s">
        <v>67</v>
      </c>
      <c r="E70" s="38" t="str">
        <f t="shared" si="1"/>
        <v/>
      </c>
      <c r="F70" s="39" t="s">
        <v>67</v>
      </c>
      <c r="G70" s="40" t="s">
        <v>67</v>
      </c>
      <c r="H70" s="39" t="s">
        <v>67</v>
      </c>
      <c r="I70" s="40" t="s">
        <v>67</v>
      </c>
      <c r="J70" s="41" t="str">
        <f t="shared" si="2"/>
        <v/>
      </c>
      <c r="K70" s="40" t="s">
        <v>67</v>
      </c>
      <c r="L70" s="41"/>
      <c r="M70" s="41"/>
      <c r="N70" s="42" t="str">
        <f t="shared" si="3"/>
        <v/>
      </c>
      <c r="O70" s="42" t="str">
        <f>IF(F70="","",N70*#REF!/100)</f>
        <v/>
      </c>
      <c r="P70" s="44" t="s">
        <v>67</v>
      </c>
      <c r="Q70" s="45" t="str">
        <f t="shared" si="4"/>
        <v/>
      </c>
      <c r="R70" s="42" t="str">
        <f t="shared" si="5"/>
        <v/>
      </c>
      <c r="S70" s="46" t="s">
        <v>67</v>
      </c>
      <c r="T70" s="46" t="str">
        <f t="shared" si="6"/>
        <v/>
      </c>
      <c r="U70" s="46" t="str">
        <f t="shared" si="7"/>
        <v/>
      </c>
      <c r="V70" s="46" t="str">
        <f t="shared" si="8"/>
        <v/>
      </c>
      <c r="W70" s="42" t="str">
        <f t="shared" si="9"/>
        <v/>
      </c>
      <c r="X70" s="29"/>
    </row>
    <row r="71" spans="1:24" s="2" customFormat="1" ht="18" customHeight="1">
      <c r="A71" s="6"/>
      <c r="B71" s="48"/>
      <c r="C71" s="30" t="s">
        <v>67</v>
      </c>
      <c r="D71" s="31" t="s">
        <v>67</v>
      </c>
      <c r="E71" s="30" t="str">
        <f t="shared" si="1"/>
        <v/>
      </c>
      <c r="F71" s="31" t="s">
        <v>67</v>
      </c>
      <c r="G71" s="32" t="s">
        <v>67</v>
      </c>
      <c r="H71" s="31" t="s">
        <v>67</v>
      </c>
      <c r="I71" s="32" t="s">
        <v>67</v>
      </c>
      <c r="J71" s="33" t="str">
        <f t="shared" si="2"/>
        <v/>
      </c>
      <c r="K71" s="32" t="s">
        <v>67</v>
      </c>
      <c r="L71" s="33"/>
      <c r="M71" s="33"/>
      <c r="N71" s="34" t="str">
        <f t="shared" si="3"/>
        <v/>
      </c>
      <c r="O71" s="34" t="str">
        <f>IF(F71="","",N71*#REF!/100)</f>
        <v/>
      </c>
      <c r="P71" s="35" t="s">
        <v>67</v>
      </c>
      <c r="Q71" s="36" t="str">
        <f t="shared" si="4"/>
        <v/>
      </c>
      <c r="R71" s="34" t="str">
        <f t="shared" si="5"/>
        <v/>
      </c>
      <c r="S71" s="37" t="s">
        <v>67</v>
      </c>
      <c r="T71" s="37" t="str">
        <f t="shared" si="6"/>
        <v/>
      </c>
      <c r="U71" s="37" t="str">
        <f t="shared" si="7"/>
        <v/>
      </c>
      <c r="V71" s="37" t="str">
        <f t="shared" si="8"/>
        <v/>
      </c>
      <c r="W71" s="34" t="str">
        <f t="shared" si="9"/>
        <v/>
      </c>
      <c r="X71" s="29"/>
    </row>
    <row r="72" spans="1:24" s="2" customFormat="1" ht="18" customHeight="1">
      <c r="A72" s="6"/>
      <c r="B72" s="48"/>
      <c r="C72" s="38" t="s">
        <v>67</v>
      </c>
      <c r="D72" s="39" t="s">
        <v>67</v>
      </c>
      <c r="E72" s="38" t="str">
        <f t="shared" si="1"/>
        <v/>
      </c>
      <c r="F72" s="39" t="s">
        <v>67</v>
      </c>
      <c r="G72" s="40" t="s">
        <v>67</v>
      </c>
      <c r="H72" s="39" t="s">
        <v>67</v>
      </c>
      <c r="I72" s="40" t="s">
        <v>67</v>
      </c>
      <c r="J72" s="41" t="str">
        <f t="shared" si="2"/>
        <v/>
      </c>
      <c r="K72" s="40" t="s">
        <v>67</v>
      </c>
      <c r="L72" s="41"/>
      <c r="M72" s="41"/>
      <c r="N72" s="42" t="str">
        <f t="shared" si="3"/>
        <v/>
      </c>
      <c r="O72" s="42" t="str">
        <f>IF(F72="","",N72*#REF!/100)</f>
        <v/>
      </c>
      <c r="P72" s="44" t="s">
        <v>67</v>
      </c>
      <c r="Q72" s="45" t="str">
        <f t="shared" si="4"/>
        <v/>
      </c>
      <c r="R72" s="42" t="str">
        <f t="shared" si="5"/>
        <v/>
      </c>
      <c r="S72" s="46" t="s">
        <v>67</v>
      </c>
      <c r="T72" s="46" t="str">
        <f t="shared" si="6"/>
        <v/>
      </c>
      <c r="U72" s="46" t="str">
        <f t="shared" si="7"/>
        <v/>
      </c>
      <c r="V72" s="46" t="str">
        <f t="shared" si="8"/>
        <v/>
      </c>
      <c r="W72" s="42" t="str">
        <f t="shared" si="9"/>
        <v/>
      </c>
      <c r="X72" s="29"/>
    </row>
    <row r="73" spans="1:24" s="2" customFormat="1" ht="18" customHeight="1">
      <c r="A73" s="6"/>
      <c r="B73" s="48"/>
      <c r="C73" s="30" t="s">
        <v>67</v>
      </c>
      <c r="D73" s="31" t="s">
        <v>67</v>
      </c>
      <c r="E73" s="30" t="str">
        <f t="shared" si="1"/>
        <v/>
      </c>
      <c r="F73" s="31" t="s">
        <v>67</v>
      </c>
      <c r="G73" s="32" t="s">
        <v>67</v>
      </c>
      <c r="H73" s="31" t="s">
        <v>67</v>
      </c>
      <c r="I73" s="32" t="s">
        <v>67</v>
      </c>
      <c r="J73" s="33" t="str">
        <f t="shared" si="2"/>
        <v/>
      </c>
      <c r="K73" s="32" t="s">
        <v>67</v>
      </c>
      <c r="L73" s="33"/>
      <c r="M73" s="33"/>
      <c r="N73" s="34" t="str">
        <f t="shared" si="3"/>
        <v/>
      </c>
      <c r="O73" s="34" t="str">
        <f>IF(F73="","",N73*#REF!/100)</f>
        <v/>
      </c>
      <c r="P73" s="35" t="s">
        <v>67</v>
      </c>
      <c r="Q73" s="36" t="str">
        <f t="shared" si="4"/>
        <v/>
      </c>
      <c r="R73" s="34" t="str">
        <f t="shared" si="5"/>
        <v/>
      </c>
      <c r="S73" s="37" t="s">
        <v>67</v>
      </c>
      <c r="T73" s="37" t="str">
        <f t="shared" si="6"/>
        <v/>
      </c>
      <c r="U73" s="37" t="str">
        <f t="shared" si="7"/>
        <v/>
      </c>
      <c r="V73" s="37" t="str">
        <f t="shared" si="8"/>
        <v/>
      </c>
      <c r="W73" s="34" t="str">
        <f t="shared" si="9"/>
        <v/>
      </c>
      <c r="X73" s="29"/>
    </row>
    <row r="74" spans="1:24" s="2" customFormat="1" ht="18" customHeight="1">
      <c r="A74" s="6"/>
      <c r="B74" s="48"/>
      <c r="C74" s="38" t="s">
        <v>67</v>
      </c>
      <c r="D74" s="39" t="s">
        <v>67</v>
      </c>
      <c r="E74" s="38" t="str">
        <f t="shared" si="1"/>
        <v/>
      </c>
      <c r="F74" s="39" t="s">
        <v>67</v>
      </c>
      <c r="G74" s="40" t="s">
        <v>67</v>
      </c>
      <c r="H74" s="39" t="s">
        <v>67</v>
      </c>
      <c r="I74" s="40" t="s">
        <v>67</v>
      </c>
      <c r="J74" s="41" t="str">
        <f t="shared" si="2"/>
        <v/>
      </c>
      <c r="K74" s="40" t="s">
        <v>67</v>
      </c>
      <c r="L74" s="41"/>
      <c r="M74" s="41"/>
      <c r="N74" s="42" t="str">
        <f t="shared" si="3"/>
        <v/>
      </c>
      <c r="O74" s="42" t="str">
        <f>IF(F74="","",N74*#REF!/100)</f>
        <v/>
      </c>
      <c r="P74" s="44" t="s">
        <v>67</v>
      </c>
      <c r="Q74" s="45" t="str">
        <f t="shared" si="4"/>
        <v/>
      </c>
      <c r="R74" s="42" t="str">
        <f t="shared" si="5"/>
        <v/>
      </c>
      <c r="S74" s="46" t="s">
        <v>67</v>
      </c>
      <c r="T74" s="46" t="str">
        <f t="shared" si="6"/>
        <v/>
      </c>
      <c r="U74" s="46" t="str">
        <f t="shared" si="7"/>
        <v/>
      </c>
      <c r="V74" s="46" t="str">
        <f t="shared" si="8"/>
        <v/>
      </c>
      <c r="W74" s="42" t="str">
        <f t="shared" si="9"/>
        <v/>
      </c>
      <c r="X74" s="29"/>
    </row>
    <row r="75" spans="1:24" s="2" customFormat="1" ht="18" customHeight="1">
      <c r="A75" s="6"/>
      <c r="B75" s="48"/>
      <c r="C75" s="30" t="s">
        <v>67</v>
      </c>
      <c r="D75" s="31" t="s">
        <v>67</v>
      </c>
      <c r="E75" s="30" t="str">
        <f t="shared" si="1"/>
        <v/>
      </c>
      <c r="F75" s="31" t="s">
        <v>67</v>
      </c>
      <c r="G75" s="32" t="s">
        <v>67</v>
      </c>
      <c r="H75" s="31" t="s">
        <v>67</v>
      </c>
      <c r="I75" s="32" t="s">
        <v>67</v>
      </c>
      <c r="J75" s="33" t="str">
        <f t="shared" si="2"/>
        <v/>
      </c>
      <c r="K75" s="32" t="s">
        <v>67</v>
      </c>
      <c r="L75" s="33"/>
      <c r="M75" s="33"/>
      <c r="N75" s="34" t="str">
        <f t="shared" si="3"/>
        <v/>
      </c>
      <c r="O75" s="34" t="str">
        <f>IF(F75="","",N75*#REF!/100)</f>
        <v/>
      </c>
      <c r="P75" s="35" t="s">
        <v>67</v>
      </c>
      <c r="Q75" s="36" t="str">
        <f t="shared" si="4"/>
        <v/>
      </c>
      <c r="R75" s="34" t="str">
        <f t="shared" si="5"/>
        <v/>
      </c>
      <c r="S75" s="37" t="s">
        <v>67</v>
      </c>
      <c r="T75" s="37" t="str">
        <f t="shared" si="6"/>
        <v/>
      </c>
      <c r="U75" s="37" t="str">
        <f t="shared" si="7"/>
        <v/>
      </c>
      <c r="V75" s="37" t="str">
        <f t="shared" si="8"/>
        <v/>
      </c>
      <c r="W75" s="34" t="str">
        <f t="shared" si="9"/>
        <v/>
      </c>
      <c r="X75" s="29"/>
    </row>
    <row r="76" spans="1:24" s="2" customFormat="1" ht="18" customHeight="1">
      <c r="A76" s="6"/>
      <c r="B76" s="48"/>
      <c r="C76" s="38" t="s">
        <v>67</v>
      </c>
      <c r="D76" s="39" t="s">
        <v>67</v>
      </c>
      <c r="E76" s="38" t="str">
        <f t="shared" si="1"/>
        <v/>
      </c>
      <c r="F76" s="39" t="s">
        <v>67</v>
      </c>
      <c r="G76" s="40" t="s">
        <v>67</v>
      </c>
      <c r="H76" s="39" t="s">
        <v>67</v>
      </c>
      <c r="I76" s="40" t="s">
        <v>67</v>
      </c>
      <c r="J76" s="41" t="str">
        <f t="shared" si="2"/>
        <v/>
      </c>
      <c r="K76" s="40" t="s">
        <v>67</v>
      </c>
      <c r="L76" s="41"/>
      <c r="M76" s="41"/>
      <c r="N76" s="42" t="str">
        <f t="shared" si="3"/>
        <v/>
      </c>
      <c r="O76" s="42" t="str">
        <f>IF(F76="","",N76*#REF!/100)</f>
        <v/>
      </c>
      <c r="P76" s="44" t="s">
        <v>67</v>
      </c>
      <c r="Q76" s="45" t="str">
        <f t="shared" si="4"/>
        <v/>
      </c>
      <c r="R76" s="42" t="str">
        <f t="shared" si="5"/>
        <v/>
      </c>
      <c r="S76" s="46" t="s">
        <v>67</v>
      </c>
      <c r="T76" s="46" t="str">
        <f t="shared" si="6"/>
        <v/>
      </c>
      <c r="U76" s="46" t="str">
        <f t="shared" si="7"/>
        <v/>
      </c>
      <c r="V76" s="46" t="str">
        <f t="shared" si="8"/>
        <v/>
      </c>
      <c r="W76" s="42" t="str">
        <f t="shared" si="9"/>
        <v/>
      </c>
      <c r="X76" s="29"/>
    </row>
    <row r="77" spans="1:24" s="2" customFormat="1" ht="18" customHeight="1">
      <c r="A77" s="6"/>
      <c r="B77" s="48"/>
      <c r="C77" s="30" t="s">
        <v>67</v>
      </c>
      <c r="D77" s="31" t="s">
        <v>67</v>
      </c>
      <c r="E77" s="30" t="str">
        <f t="shared" si="1"/>
        <v/>
      </c>
      <c r="F77" s="31" t="s">
        <v>67</v>
      </c>
      <c r="G77" s="32" t="s">
        <v>67</v>
      </c>
      <c r="H77" s="31" t="s">
        <v>67</v>
      </c>
      <c r="I77" s="32" t="s">
        <v>67</v>
      </c>
      <c r="J77" s="33" t="str">
        <f t="shared" si="2"/>
        <v/>
      </c>
      <c r="K77" s="32" t="s">
        <v>67</v>
      </c>
      <c r="L77" s="33"/>
      <c r="M77" s="33"/>
      <c r="N77" s="34" t="str">
        <f t="shared" si="3"/>
        <v/>
      </c>
      <c r="O77" s="34" t="str">
        <f>IF(F77="","",N77*#REF!/100)</f>
        <v/>
      </c>
      <c r="P77" s="35" t="s">
        <v>67</v>
      </c>
      <c r="Q77" s="36" t="str">
        <f t="shared" si="4"/>
        <v/>
      </c>
      <c r="R77" s="34" t="str">
        <f t="shared" si="5"/>
        <v/>
      </c>
      <c r="S77" s="37" t="s">
        <v>67</v>
      </c>
      <c r="T77" s="37" t="str">
        <f t="shared" si="6"/>
        <v/>
      </c>
      <c r="U77" s="37" t="str">
        <f t="shared" si="7"/>
        <v/>
      </c>
      <c r="V77" s="37" t="str">
        <f t="shared" si="8"/>
        <v/>
      </c>
      <c r="W77" s="34" t="str">
        <f t="shared" si="9"/>
        <v/>
      </c>
      <c r="X77" s="29"/>
    </row>
    <row r="78" spans="1:24" s="2" customFormat="1" ht="18" customHeight="1">
      <c r="A78" s="6"/>
      <c r="B78" s="48"/>
      <c r="C78" s="38" t="s">
        <v>67</v>
      </c>
      <c r="D78" s="39" t="s">
        <v>67</v>
      </c>
      <c r="E78" s="38" t="str">
        <f t="shared" si="1"/>
        <v/>
      </c>
      <c r="F78" s="39" t="s">
        <v>67</v>
      </c>
      <c r="G78" s="40" t="s">
        <v>67</v>
      </c>
      <c r="H78" s="39" t="s">
        <v>67</v>
      </c>
      <c r="I78" s="40" t="s">
        <v>67</v>
      </c>
      <c r="J78" s="41" t="str">
        <f t="shared" si="2"/>
        <v/>
      </c>
      <c r="K78" s="40" t="s">
        <v>67</v>
      </c>
      <c r="L78" s="41"/>
      <c r="M78" s="41"/>
      <c r="N78" s="42" t="str">
        <f t="shared" si="3"/>
        <v/>
      </c>
      <c r="O78" s="42" t="str">
        <f>IF(F78="","",N78*#REF!/100)</f>
        <v/>
      </c>
      <c r="P78" s="44" t="s">
        <v>67</v>
      </c>
      <c r="Q78" s="45" t="str">
        <f t="shared" si="4"/>
        <v/>
      </c>
      <c r="R78" s="42" t="str">
        <f t="shared" si="5"/>
        <v/>
      </c>
      <c r="S78" s="46" t="s">
        <v>67</v>
      </c>
      <c r="T78" s="46" t="str">
        <f t="shared" si="6"/>
        <v/>
      </c>
      <c r="U78" s="46" t="str">
        <f t="shared" si="7"/>
        <v/>
      </c>
      <c r="V78" s="46" t="str">
        <f t="shared" si="8"/>
        <v/>
      </c>
      <c r="W78" s="42" t="str">
        <f t="shared" si="9"/>
        <v/>
      </c>
      <c r="X78" s="29"/>
    </row>
    <row r="79" spans="1:24" s="2" customFormat="1" ht="18" customHeight="1">
      <c r="A79" s="6"/>
      <c r="B79" s="48"/>
      <c r="C79" s="49" t="s">
        <v>67</v>
      </c>
      <c r="D79" s="50" t="s">
        <v>67</v>
      </c>
      <c r="E79" s="49" t="str">
        <f t="shared" si="1"/>
        <v/>
      </c>
      <c r="F79" s="50" t="s">
        <v>67</v>
      </c>
      <c r="G79" s="51" t="s">
        <v>67</v>
      </c>
      <c r="H79" s="50" t="s">
        <v>67</v>
      </c>
      <c r="I79" s="51" t="s">
        <v>67</v>
      </c>
      <c r="J79" s="52" t="str">
        <f t="shared" si="2"/>
        <v/>
      </c>
      <c r="K79" s="51" t="s">
        <v>67</v>
      </c>
      <c r="L79" s="33"/>
      <c r="M79" s="33"/>
      <c r="N79" s="53" t="str">
        <f t="shared" si="3"/>
        <v/>
      </c>
      <c r="O79" s="53" t="str">
        <f>IF(F79="","",N79*#REF!/100)</f>
        <v/>
      </c>
      <c r="P79" s="54" t="s">
        <v>67</v>
      </c>
      <c r="Q79" s="55" t="str">
        <f t="shared" si="4"/>
        <v/>
      </c>
      <c r="R79" s="53" t="str">
        <f t="shared" si="5"/>
        <v/>
      </c>
      <c r="S79" s="56" t="s">
        <v>67</v>
      </c>
      <c r="T79" s="56" t="str">
        <f t="shared" si="6"/>
        <v/>
      </c>
      <c r="U79" s="56" t="str">
        <f t="shared" si="7"/>
        <v/>
      </c>
      <c r="V79" s="56" t="str">
        <f t="shared" si="8"/>
        <v/>
      </c>
      <c r="W79" s="53" t="str">
        <f t="shared" si="9"/>
        <v/>
      </c>
      <c r="X79" s="29"/>
    </row>
    <row r="80" spans="1:24" s="2" customFormat="1" ht="18" customHeight="1">
      <c r="A80" s="6"/>
      <c r="B80" s="48"/>
      <c r="C80" s="1793"/>
      <c r="D80" s="1793"/>
      <c r="E80" s="1793"/>
      <c r="F80" s="1793"/>
      <c r="G80" s="1793"/>
      <c r="H80" s="1793"/>
      <c r="I80" s="1794"/>
      <c r="J80" s="57">
        <f>SUM(J45:J79)</f>
        <v>0</v>
      </c>
      <c r="K80" s="58"/>
      <c r="L80" s="57"/>
      <c r="M80" s="57"/>
      <c r="N80" s="57">
        <f>SUM(N45:N79)</f>
        <v>0</v>
      </c>
      <c r="O80" s="57">
        <f>SUM(O45:O79)</f>
        <v>0</v>
      </c>
      <c r="P80" s="1530"/>
      <c r="Q80" s="1531"/>
      <c r="R80" s="60">
        <f>SUM(R45:R79)</f>
        <v>0</v>
      </c>
      <c r="S80" s="61" t="s">
        <v>44</v>
      </c>
      <c r="T80" s="62"/>
      <c r="U80" s="63" t="e">
        <f>W80/O80</f>
        <v>#DIV/0!</v>
      </c>
      <c r="V80" s="64" t="s">
        <v>45</v>
      </c>
      <c r="W80" s="65">
        <f>SUM(W45:W79)</f>
        <v>0</v>
      </c>
      <c r="X80" s="29"/>
    </row>
    <row r="81" spans="1:29" s="2" customFormat="1" ht="18" customHeight="1">
      <c r="A81" s="6"/>
      <c r="B81" s="66"/>
      <c r="C81" s="1869">
        <f>+C35</f>
        <v>0</v>
      </c>
      <c r="D81" s="1870"/>
      <c r="E81" s="1870"/>
      <c r="F81" s="1870"/>
      <c r="G81" s="1870"/>
      <c r="H81" s="1870"/>
      <c r="I81" s="1870"/>
      <c r="J81" s="1870"/>
      <c r="K81" s="1870"/>
      <c r="L81" s="1870"/>
      <c r="M81" s="1870"/>
      <c r="N81" s="1870"/>
      <c r="O81" s="67">
        <f>R81/1.02</f>
        <v>0</v>
      </c>
      <c r="P81" s="68">
        <f>+P35</f>
        <v>0</v>
      </c>
      <c r="Q81" s="69" t="s">
        <v>46</v>
      </c>
      <c r="R81" s="70">
        <f>+P81*R80/1000</f>
        <v>0</v>
      </c>
      <c r="S81" s="1860"/>
      <c r="T81" s="1861"/>
      <c r="U81" s="1861"/>
      <c r="V81" s="1861"/>
      <c r="W81" s="1862"/>
      <c r="X81" s="29"/>
    </row>
    <row r="82" spans="1:29" s="76" customFormat="1" ht="6" customHeight="1">
      <c r="A82" s="71"/>
      <c r="B82" s="72"/>
      <c r="C82" s="73"/>
      <c r="D82" s="73"/>
      <c r="E82" s="73"/>
      <c r="F82" s="73"/>
      <c r="G82" s="73"/>
      <c r="H82" s="73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5"/>
      <c r="X82" s="29"/>
      <c r="Y82" s="2"/>
      <c r="Z82" s="2"/>
      <c r="AA82" s="2"/>
      <c r="AB82" s="2"/>
      <c r="AC82" s="2"/>
    </row>
    <row r="83" spans="1:29" s="76" customFormat="1" ht="7.5" customHeight="1">
      <c r="A83" s="71"/>
      <c r="B83" s="1863" t="s">
        <v>57</v>
      </c>
      <c r="C83" s="1864"/>
      <c r="D83" s="1864"/>
      <c r="E83" s="1864"/>
      <c r="F83" s="1864"/>
      <c r="G83" s="1864"/>
      <c r="H83" s="1864"/>
      <c r="I83" s="1864"/>
      <c r="J83" s="1864"/>
      <c r="K83" s="1864"/>
      <c r="L83" s="1864"/>
      <c r="M83" s="1864"/>
      <c r="N83" s="1864"/>
      <c r="O83" s="1864"/>
      <c r="P83" s="1864"/>
      <c r="Q83" s="1864"/>
      <c r="R83" s="1864"/>
      <c r="S83" s="1864"/>
      <c r="T83" s="1864"/>
      <c r="U83" s="1864"/>
      <c r="V83" s="1864"/>
      <c r="W83" s="1865"/>
      <c r="X83" s="29"/>
      <c r="Y83" s="2"/>
      <c r="Z83" s="2"/>
      <c r="AA83" s="2"/>
      <c r="AB83" s="2"/>
      <c r="AC83" s="2"/>
    </row>
    <row r="84" spans="1:29" s="76" customFormat="1" ht="7.5" customHeight="1">
      <c r="A84" s="71"/>
      <c r="B84" s="1866"/>
      <c r="C84" s="1867"/>
      <c r="D84" s="1867"/>
      <c r="E84" s="1867"/>
      <c r="F84" s="1867"/>
      <c r="G84" s="1867"/>
      <c r="H84" s="1867"/>
      <c r="I84" s="1867"/>
      <c r="J84" s="1867"/>
      <c r="K84" s="1867"/>
      <c r="L84" s="1867"/>
      <c r="M84" s="1867"/>
      <c r="N84" s="1867"/>
      <c r="O84" s="1867"/>
      <c r="P84" s="1867"/>
      <c r="Q84" s="1867"/>
      <c r="R84" s="1867"/>
      <c r="S84" s="1867"/>
      <c r="T84" s="1867"/>
      <c r="U84" s="1867"/>
      <c r="V84" s="1867"/>
      <c r="W84" s="1868"/>
      <c r="X84" s="29"/>
      <c r="Y84" s="2"/>
      <c r="Z84" s="2"/>
      <c r="AA84" s="2"/>
      <c r="AB84" s="2"/>
      <c r="AC84" s="2"/>
    </row>
    <row r="85" spans="1:29" s="76" customFormat="1" ht="5.0999999999999996" customHeight="1">
      <c r="A85" s="71"/>
      <c r="B85" s="72"/>
      <c r="C85" s="72"/>
      <c r="D85" s="72"/>
      <c r="E85" s="72"/>
      <c r="F85" s="72"/>
      <c r="G85" s="72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8"/>
      <c r="W85" s="78"/>
      <c r="X85" s="29"/>
      <c r="Y85" s="2"/>
      <c r="Z85" s="2"/>
      <c r="AA85" s="2"/>
      <c r="AB85" s="2"/>
      <c r="AC85" s="2"/>
    </row>
    <row r="86" spans="1:29" s="76" customFormat="1" ht="15.6" customHeight="1">
      <c r="A86" s="71"/>
      <c r="B86" s="79" t="s">
        <v>47</v>
      </c>
      <c r="C86" s="80"/>
      <c r="D86" s="80"/>
      <c r="E86" s="81"/>
      <c r="F86" s="82"/>
      <c r="G86" s="82"/>
      <c r="H86" s="83"/>
      <c r="I86" s="84"/>
      <c r="J86" s="84"/>
      <c r="K86" s="85"/>
      <c r="L86" s="86" t="s">
        <v>48</v>
      </c>
      <c r="M86" s="83" t="e">
        <f>+#REF!</f>
        <v>#REF!</v>
      </c>
      <c r="N86" s="82"/>
      <c r="O86" s="84"/>
      <c r="P86" s="83"/>
      <c r="Q86" s="84"/>
      <c r="R86" s="84"/>
      <c r="S86" s="83"/>
      <c r="T86" s="84"/>
      <c r="U86" s="84"/>
      <c r="V86" s="82"/>
      <c r="W86" s="87" t="s">
        <v>49</v>
      </c>
      <c r="X86" s="29"/>
      <c r="Y86" s="2"/>
      <c r="Z86" s="2"/>
      <c r="AA86" s="2"/>
      <c r="AB86" s="2"/>
      <c r="AC86" s="2"/>
    </row>
    <row r="87" spans="1:29" s="76" customFormat="1" ht="15.6" customHeight="1">
      <c r="A87" s="71"/>
      <c r="B87" s="88"/>
      <c r="C87" s="89"/>
      <c r="D87" s="89"/>
      <c r="E87" s="96"/>
      <c r="F87" s="90"/>
      <c r="G87" s="90"/>
      <c r="H87" s="91"/>
      <c r="I87" s="92"/>
      <c r="J87" s="92"/>
      <c r="K87" s="93"/>
      <c r="L87" s="94" t="s">
        <v>50</v>
      </c>
      <c r="M87" s="91" t="e">
        <f>+#REF!</f>
        <v>#REF!</v>
      </c>
      <c r="N87" s="90"/>
      <c r="O87" s="92"/>
      <c r="P87" s="91"/>
      <c r="Q87" s="92"/>
      <c r="R87" s="92"/>
      <c r="S87" s="91"/>
      <c r="T87" s="92"/>
      <c r="U87" s="92"/>
      <c r="V87" s="90"/>
      <c r="W87" s="95"/>
      <c r="X87" s="29"/>
      <c r="Y87" s="2"/>
      <c r="Z87" s="2"/>
      <c r="AA87" s="2"/>
      <c r="AB87" s="2"/>
      <c r="AC87" s="2"/>
    </row>
    <row r="88" spans="1:29" s="76" customFormat="1" ht="15.6" customHeight="1">
      <c r="A88" s="71"/>
      <c r="B88" s="88"/>
      <c r="C88" s="89"/>
      <c r="D88" s="89"/>
      <c r="E88" s="96"/>
      <c r="F88" s="90"/>
      <c r="G88" s="90"/>
      <c r="H88" s="91"/>
      <c r="I88" s="92"/>
      <c r="J88" s="92"/>
      <c r="K88" s="93"/>
      <c r="L88" s="94" t="s">
        <v>51</v>
      </c>
      <c r="M88" s="91" t="e">
        <f>+#REF!</f>
        <v>#REF!</v>
      </c>
      <c r="N88" s="90"/>
      <c r="O88" s="92"/>
      <c r="P88" s="91"/>
      <c r="Q88" s="92"/>
      <c r="R88" s="92"/>
      <c r="S88" s="91"/>
      <c r="T88" s="92"/>
      <c r="U88" s="92"/>
      <c r="V88" s="90"/>
      <c r="W88" s="1871" t="s">
        <v>52</v>
      </c>
      <c r="X88" s="29"/>
      <c r="Y88" s="2"/>
      <c r="Z88" s="2"/>
      <c r="AA88" s="2"/>
      <c r="AB88" s="2"/>
      <c r="AC88" s="2"/>
    </row>
    <row r="89" spans="1:29" s="76" customFormat="1" ht="15.6" customHeight="1">
      <c r="A89" s="71"/>
      <c r="B89" s="88"/>
      <c r="C89" s="89"/>
      <c r="D89" s="89"/>
      <c r="E89" s="96"/>
      <c r="F89" s="90"/>
      <c r="G89" s="90"/>
      <c r="H89" s="91"/>
      <c r="I89" s="92"/>
      <c r="J89" s="92"/>
      <c r="K89" s="93"/>
      <c r="L89" s="94" t="s">
        <v>53</v>
      </c>
      <c r="M89" s="91" t="e">
        <f>+#REF!</f>
        <v>#REF!</v>
      </c>
      <c r="N89" s="90"/>
      <c r="O89" s="92"/>
      <c r="P89" s="91"/>
      <c r="Q89" s="92"/>
      <c r="R89" s="92"/>
      <c r="S89" s="91"/>
      <c r="T89" s="92"/>
      <c r="U89" s="92"/>
      <c r="V89" s="90"/>
      <c r="W89" s="1872"/>
      <c r="X89" s="29"/>
      <c r="Y89" s="2"/>
      <c r="Z89" s="2"/>
      <c r="AA89" s="2"/>
      <c r="AB89" s="2"/>
      <c r="AC89" s="2"/>
    </row>
    <row r="90" spans="1:29" s="76" customFormat="1" ht="15.6" customHeight="1">
      <c r="A90" s="71"/>
      <c r="B90" s="97"/>
      <c r="C90" s="73"/>
      <c r="D90" s="73"/>
      <c r="E90" s="73"/>
      <c r="F90" s="73"/>
      <c r="G90" s="73"/>
      <c r="H90" s="73"/>
      <c r="I90" s="98" t="s">
        <v>54</v>
      </c>
      <c r="J90" s="99">
        <f ca="1">TODAY()</f>
        <v>46063</v>
      </c>
      <c r="K90" s="100"/>
      <c r="L90" s="101" t="s">
        <v>55</v>
      </c>
      <c r="M90" s="74" t="e">
        <f>+#REF!</f>
        <v>#REF!</v>
      </c>
      <c r="N90" s="73"/>
      <c r="O90" s="74"/>
      <c r="P90" s="74"/>
      <c r="Q90" s="74"/>
      <c r="R90" s="74"/>
      <c r="S90" s="74"/>
      <c r="T90" s="74"/>
      <c r="U90" s="74"/>
      <c r="V90" s="73"/>
      <c r="W90" s="1873"/>
      <c r="X90" s="29"/>
      <c r="Y90" s="2"/>
      <c r="Z90" s="2"/>
      <c r="AA90" s="2"/>
      <c r="AB90" s="2"/>
      <c r="AC90" s="2"/>
    </row>
    <row r="91" spans="1:29" s="106" customFormat="1" ht="8.1" customHeight="1">
      <c r="A91" s="102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4"/>
      <c r="Y91" s="105"/>
      <c r="Z91" s="105"/>
      <c r="AA91" s="105"/>
      <c r="AB91" s="105"/>
      <c r="AC91" s="105"/>
    </row>
    <row r="92" spans="1:29" ht="8.1" customHeigh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5"/>
    </row>
    <row r="93" spans="1:29" s="2" customFormat="1" ht="22.5" customHeight="1">
      <c r="A93" s="6"/>
      <c r="B93" s="7"/>
      <c r="C93" s="1856" t="s">
        <v>4</v>
      </c>
      <c r="D93" s="1857"/>
      <c r="E93" s="1858" t="s">
        <v>5</v>
      </c>
      <c r="F93" s="8" t="s">
        <v>6</v>
      </c>
      <c r="G93" s="8"/>
      <c r="H93" s="8"/>
      <c r="I93" s="9"/>
      <c r="J93" s="1532" t="s">
        <v>7</v>
      </c>
      <c r="K93" s="1532" t="s">
        <v>8</v>
      </c>
      <c r="L93" s="1532" t="s">
        <v>9</v>
      </c>
      <c r="M93" s="1532" t="s">
        <v>9</v>
      </c>
      <c r="N93" s="1532" t="s">
        <v>9</v>
      </c>
      <c r="O93" s="1532"/>
      <c r="P93" s="10" t="s">
        <v>10</v>
      </c>
      <c r="Q93" s="9"/>
      <c r="R93" s="1532"/>
      <c r="S93" s="11" t="s">
        <v>11</v>
      </c>
      <c r="T93" s="12"/>
      <c r="U93" s="12"/>
      <c r="V93" s="13"/>
      <c r="W93" s="1532" t="s">
        <v>12</v>
      </c>
      <c r="X93" s="14"/>
    </row>
    <row r="94" spans="1:29" s="2" customFormat="1" ht="22.5" customHeight="1">
      <c r="A94" s="6"/>
      <c r="B94" s="15" t="s">
        <v>13</v>
      </c>
      <c r="C94" s="1858" t="s">
        <v>14</v>
      </c>
      <c r="D94" s="16" t="s">
        <v>15</v>
      </c>
      <c r="E94" s="1859"/>
      <c r="F94" s="12" t="s">
        <v>16</v>
      </c>
      <c r="G94" s="13"/>
      <c r="H94" s="11" t="s">
        <v>17</v>
      </c>
      <c r="I94" s="13"/>
      <c r="J94" s="1533" t="s">
        <v>18</v>
      </c>
      <c r="K94" s="1533" t="s">
        <v>19</v>
      </c>
      <c r="L94" s="17" t="s">
        <v>20</v>
      </c>
      <c r="M94" s="1533" t="s">
        <v>56</v>
      </c>
      <c r="N94" s="1533" t="s">
        <v>0</v>
      </c>
      <c r="O94" s="1533" t="s">
        <v>22</v>
      </c>
      <c r="P94" s="18" t="s">
        <v>23</v>
      </c>
      <c r="Q94" s="19"/>
      <c r="R94" s="1533" t="s">
        <v>24</v>
      </c>
      <c r="S94" s="1532" t="s">
        <v>25</v>
      </c>
      <c r="T94" s="1532" t="s">
        <v>26</v>
      </c>
      <c r="U94" s="1532" t="s">
        <v>27</v>
      </c>
      <c r="V94" s="1532" t="s">
        <v>28</v>
      </c>
      <c r="W94" s="1533" t="s">
        <v>29</v>
      </c>
      <c r="X94" s="14"/>
    </row>
    <row r="95" spans="1:29" s="2" customFormat="1" ht="22.5" customHeight="1">
      <c r="A95" s="6"/>
      <c r="B95" s="15" t="s">
        <v>30</v>
      </c>
      <c r="C95" s="1859"/>
      <c r="D95" s="16" t="s">
        <v>31</v>
      </c>
      <c r="E95" s="1859"/>
      <c r="F95" s="20" t="s">
        <v>32</v>
      </c>
      <c r="G95" s="1532" t="s">
        <v>33</v>
      </c>
      <c r="H95" s="1532" t="s">
        <v>32</v>
      </c>
      <c r="I95" s="1532" t="s">
        <v>33</v>
      </c>
      <c r="J95" s="1533" t="s">
        <v>34</v>
      </c>
      <c r="K95" s="1533" t="s">
        <v>34</v>
      </c>
      <c r="L95" s="1533" t="s">
        <v>35</v>
      </c>
      <c r="M95" s="1533" t="s">
        <v>35</v>
      </c>
      <c r="N95" s="1533" t="s">
        <v>35</v>
      </c>
      <c r="O95" s="1533" t="s">
        <v>37</v>
      </c>
      <c r="P95" s="18" t="s">
        <v>38</v>
      </c>
      <c r="Q95" s="19"/>
      <c r="R95" s="1533" t="s">
        <v>39</v>
      </c>
      <c r="S95" s="1533"/>
      <c r="T95" s="1533" t="s">
        <v>40</v>
      </c>
      <c r="U95" s="1533" t="s">
        <v>41</v>
      </c>
      <c r="V95" s="1533" t="s">
        <v>41</v>
      </c>
      <c r="W95" s="1533" t="s">
        <v>42</v>
      </c>
      <c r="X95" s="14"/>
    </row>
    <row r="96" spans="1:29" s="2" customFormat="1" ht="18" customHeight="1">
      <c r="A96" s="6"/>
      <c r="B96" s="1791" t="e">
        <f>+B45</f>
        <v>#REF!</v>
      </c>
      <c r="C96" s="21" t="s">
        <v>67</v>
      </c>
      <c r="D96" s="22" t="s">
        <v>67</v>
      </c>
      <c r="E96" s="21" t="str">
        <f>IF(F96="","","Acost. LE")</f>
        <v/>
      </c>
      <c r="F96" s="22"/>
      <c r="G96" s="23"/>
      <c r="H96" s="22"/>
      <c r="I96" s="23"/>
      <c r="J96" s="24"/>
      <c r="K96" s="23" t="s">
        <v>67</v>
      </c>
      <c r="L96" s="24"/>
      <c r="M96" s="24"/>
      <c r="N96" s="25" t="str">
        <f>IF(F96="","",(J96*K96)+M96+L96)</f>
        <v/>
      </c>
      <c r="O96" s="25" t="str">
        <f>IF(F96="","",N96*#REF!/100)</f>
        <v/>
      </c>
      <c r="P96" s="26" t="s">
        <v>67</v>
      </c>
      <c r="Q96" s="27" t="str">
        <f t="shared" ref="Q96:Q130" si="10">IF(F96="","","t/m3")</f>
        <v/>
      </c>
      <c r="R96" s="25" t="str">
        <f t="shared" ref="R96:R130" si="11">IF(F96="","",O96*P96)</f>
        <v/>
      </c>
      <c r="S96" s="28" t="s">
        <v>67</v>
      </c>
      <c r="T96" s="28" t="str">
        <f t="shared" ref="T96:T130" si="12">IF(F96="","",IF(D96&gt;H96,((D96-H96)*0.02),IF(D96&lt;F96,((F96-D96)*0.02),IF(F96="","",0))))</f>
        <v/>
      </c>
      <c r="U96" s="28" t="str">
        <f t="shared" ref="U96:U130" si="13">IF(F96="","",IF(D96&gt;H96,((((H96-F96)*20)+I96-G96)/2000),IF(D96&gt;F96,((((D96-F96)*0.02)^2)+(((H96-D96)*0.02)^2))/(2*((H96-F96)*0.02)),((((H96-F96)*20)+I96-G96)/2000))))</f>
        <v/>
      </c>
      <c r="V96" s="28" t="str">
        <f t="shared" ref="V96:V130" si="14">IF(F96="","",S96+T96+U96)</f>
        <v/>
      </c>
      <c r="W96" s="25" t="str">
        <f t="shared" ref="W96:W130" si="15">IF(F96="","",O96*V96)</f>
        <v/>
      </c>
      <c r="X96" s="29"/>
    </row>
    <row r="97" spans="1:24" s="2" customFormat="1" ht="18" customHeight="1">
      <c r="A97" s="6"/>
      <c r="B97" s="1792"/>
      <c r="C97" s="38" t="s">
        <v>67</v>
      </c>
      <c r="D97" s="39" t="s">
        <v>67</v>
      </c>
      <c r="E97" s="38" t="str">
        <f t="shared" ref="E97:E130" si="16">IF(F97="","","Acost. LE")</f>
        <v/>
      </c>
      <c r="F97" s="39"/>
      <c r="G97" s="40"/>
      <c r="H97" s="39"/>
      <c r="I97" s="40"/>
      <c r="J97" s="41"/>
      <c r="K97" s="40" t="s">
        <v>67</v>
      </c>
      <c r="L97" s="41"/>
      <c r="M97" s="41"/>
      <c r="N97" s="42" t="str">
        <f t="shared" ref="N97:N130" si="17">IF(F97="","",(J97*K97)+M97+L97)</f>
        <v/>
      </c>
      <c r="O97" s="42" t="str">
        <f>IF(F97="","",N97*#REF!/100)</f>
        <v/>
      </c>
      <c r="P97" s="44" t="s">
        <v>67</v>
      </c>
      <c r="Q97" s="45" t="str">
        <f t="shared" si="10"/>
        <v/>
      </c>
      <c r="R97" s="42" t="str">
        <f t="shared" si="11"/>
        <v/>
      </c>
      <c r="S97" s="46" t="s">
        <v>67</v>
      </c>
      <c r="T97" s="46" t="str">
        <f t="shared" si="12"/>
        <v/>
      </c>
      <c r="U97" s="46" t="str">
        <f t="shared" si="13"/>
        <v/>
      </c>
      <c r="V97" s="46" t="str">
        <f t="shared" si="14"/>
        <v/>
      </c>
      <c r="W97" s="42" t="str">
        <f t="shared" si="15"/>
        <v/>
      </c>
      <c r="X97" s="29"/>
    </row>
    <row r="98" spans="1:24" s="2" customFormat="1" ht="18" customHeight="1">
      <c r="A98" s="6"/>
      <c r="B98" s="1837" t="e">
        <f>+B47</f>
        <v>#REF!</v>
      </c>
      <c r="C98" s="30" t="s">
        <v>67</v>
      </c>
      <c r="D98" s="31" t="s">
        <v>67</v>
      </c>
      <c r="E98" s="30" t="str">
        <f t="shared" si="16"/>
        <v/>
      </c>
      <c r="F98" s="31"/>
      <c r="G98" s="32"/>
      <c r="H98" s="31"/>
      <c r="I98" s="32"/>
      <c r="J98" s="33"/>
      <c r="K98" s="32" t="s">
        <v>67</v>
      </c>
      <c r="L98" s="33"/>
      <c r="M98" s="33"/>
      <c r="N98" s="34" t="str">
        <f t="shared" si="17"/>
        <v/>
      </c>
      <c r="O98" s="34" t="str">
        <f>IF(F98="","",N98*#REF!/100)</f>
        <v/>
      </c>
      <c r="P98" s="35" t="s">
        <v>67</v>
      </c>
      <c r="Q98" s="36" t="str">
        <f t="shared" si="10"/>
        <v/>
      </c>
      <c r="R98" s="34" t="str">
        <f t="shared" si="11"/>
        <v/>
      </c>
      <c r="S98" s="37" t="s">
        <v>67</v>
      </c>
      <c r="T98" s="37" t="str">
        <f t="shared" si="12"/>
        <v/>
      </c>
      <c r="U98" s="37" t="str">
        <f t="shared" si="13"/>
        <v/>
      </c>
      <c r="V98" s="37" t="str">
        <f t="shared" si="14"/>
        <v/>
      </c>
      <c r="W98" s="34" t="str">
        <f t="shared" si="15"/>
        <v/>
      </c>
      <c r="X98" s="29"/>
    </row>
    <row r="99" spans="1:24" s="2" customFormat="1" ht="18" customHeight="1">
      <c r="A99" s="6"/>
      <c r="B99" s="1837"/>
      <c r="C99" s="38" t="s">
        <v>67</v>
      </c>
      <c r="D99" s="39" t="s">
        <v>67</v>
      </c>
      <c r="E99" s="38" t="str">
        <f t="shared" si="16"/>
        <v/>
      </c>
      <c r="F99" s="39"/>
      <c r="G99" s="40"/>
      <c r="H99" s="39"/>
      <c r="I99" s="40"/>
      <c r="J99" s="41"/>
      <c r="K99" s="40" t="s">
        <v>67</v>
      </c>
      <c r="L99" s="41"/>
      <c r="M99" s="41"/>
      <c r="N99" s="42" t="str">
        <f t="shared" si="17"/>
        <v/>
      </c>
      <c r="O99" s="42" t="str">
        <f>IF(F99="","",N99*#REF!/100)</f>
        <v/>
      </c>
      <c r="P99" s="44" t="s">
        <v>67</v>
      </c>
      <c r="Q99" s="45" t="str">
        <f t="shared" si="10"/>
        <v/>
      </c>
      <c r="R99" s="42" t="str">
        <f t="shared" si="11"/>
        <v/>
      </c>
      <c r="S99" s="46" t="s">
        <v>67</v>
      </c>
      <c r="T99" s="46" t="str">
        <f t="shared" si="12"/>
        <v/>
      </c>
      <c r="U99" s="46" t="str">
        <f t="shared" si="13"/>
        <v/>
      </c>
      <c r="V99" s="46" t="str">
        <f t="shared" si="14"/>
        <v/>
      </c>
      <c r="W99" s="42" t="str">
        <f t="shared" si="15"/>
        <v/>
      </c>
      <c r="X99" s="29"/>
    </row>
    <row r="100" spans="1:24" s="2" customFormat="1" ht="18" customHeight="1">
      <c r="A100" s="6"/>
      <c r="B100" s="1837"/>
      <c r="C100" s="30" t="s">
        <v>67</v>
      </c>
      <c r="D100" s="31" t="s">
        <v>67</v>
      </c>
      <c r="E100" s="30" t="str">
        <f t="shared" si="16"/>
        <v/>
      </c>
      <c r="F100" s="31"/>
      <c r="G100" s="32"/>
      <c r="H100" s="31"/>
      <c r="I100" s="32"/>
      <c r="J100" s="33"/>
      <c r="K100" s="32" t="s">
        <v>67</v>
      </c>
      <c r="L100" s="33"/>
      <c r="M100" s="33"/>
      <c r="N100" s="34" t="str">
        <f t="shared" si="17"/>
        <v/>
      </c>
      <c r="O100" s="34" t="str">
        <f>IF(F100="","",N100*#REF!/100)</f>
        <v/>
      </c>
      <c r="P100" s="35" t="s">
        <v>67</v>
      </c>
      <c r="Q100" s="36" t="str">
        <f t="shared" si="10"/>
        <v/>
      </c>
      <c r="R100" s="34" t="str">
        <f t="shared" si="11"/>
        <v/>
      </c>
      <c r="S100" s="37" t="s">
        <v>67</v>
      </c>
      <c r="T100" s="37" t="str">
        <f t="shared" si="12"/>
        <v/>
      </c>
      <c r="U100" s="37" t="str">
        <f t="shared" si="13"/>
        <v/>
      </c>
      <c r="V100" s="37" t="str">
        <f t="shared" si="14"/>
        <v/>
      </c>
      <c r="W100" s="34" t="str">
        <f t="shared" si="15"/>
        <v/>
      </c>
      <c r="X100" s="29"/>
    </row>
    <row r="101" spans="1:24" s="2" customFormat="1" ht="18" customHeight="1">
      <c r="A101" s="6"/>
      <c r="B101" s="47"/>
      <c r="C101" s="38" t="s">
        <v>67</v>
      </c>
      <c r="D101" s="39" t="s">
        <v>67</v>
      </c>
      <c r="E101" s="38" t="str">
        <f t="shared" si="16"/>
        <v/>
      </c>
      <c r="F101" s="39"/>
      <c r="G101" s="40"/>
      <c r="H101" s="39"/>
      <c r="I101" s="40"/>
      <c r="J101" s="41"/>
      <c r="K101" s="40" t="s">
        <v>67</v>
      </c>
      <c r="L101" s="41"/>
      <c r="M101" s="41"/>
      <c r="N101" s="42" t="str">
        <f t="shared" si="17"/>
        <v/>
      </c>
      <c r="O101" s="42" t="str">
        <f>IF(F101="","",N101*#REF!/100)</f>
        <v/>
      </c>
      <c r="P101" s="44" t="s">
        <v>67</v>
      </c>
      <c r="Q101" s="45" t="str">
        <f t="shared" si="10"/>
        <v/>
      </c>
      <c r="R101" s="42" t="str">
        <f t="shared" si="11"/>
        <v/>
      </c>
      <c r="S101" s="46" t="s">
        <v>67</v>
      </c>
      <c r="T101" s="46" t="str">
        <f t="shared" si="12"/>
        <v/>
      </c>
      <c r="U101" s="46" t="str">
        <f t="shared" si="13"/>
        <v/>
      </c>
      <c r="V101" s="46" t="str">
        <f t="shared" si="14"/>
        <v/>
      </c>
      <c r="W101" s="42" t="str">
        <f t="shared" si="15"/>
        <v/>
      </c>
      <c r="X101" s="29"/>
    </row>
    <row r="102" spans="1:24" s="2" customFormat="1" ht="18" customHeight="1">
      <c r="A102" s="6"/>
      <c r="B102" s="47"/>
      <c r="C102" s="30" t="s">
        <v>67</v>
      </c>
      <c r="D102" s="31" t="s">
        <v>67</v>
      </c>
      <c r="E102" s="30" t="str">
        <f t="shared" si="16"/>
        <v/>
      </c>
      <c r="F102" s="31" t="s">
        <v>67</v>
      </c>
      <c r="G102" s="32" t="s">
        <v>67</v>
      </c>
      <c r="H102" s="31" t="s">
        <v>67</v>
      </c>
      <c r="I102" s="32" t="s">
        <v>67</v>
      </c>
      <c r="J102" s="33" t="str">
        <f t="shared" ref="J102:J130" si="18">IF(F102="","",((H102-F102)*20)+I102-G102)</f>
        <v/>
      </c>
      <c r="K102" s="32" t="s">
        <v>67</v>
      </c>
      <c r="L102" s="33"/>
      <c r="M102" s="33"/>
      <c r="N102" s="34" t="str">
        <f t="shared" si="17"/>
        <v/>
      </c>
      <c r="O102" s="34" t="str">
        <f>IF(F102="","",N102*#REF!/100)</f>
        <v/>
      </c>
      <c r="P102" s="35" t="s">
        <v>67</v>
      </c>
      <c r="Q102" s="36" t="str">
        <f t="shared" si="10"/>
        <v/>
      </c>
      <c r="R102" s="34" t="str">
        <f t="shared" si="11"/>
        <v/>
      </c>
      <c r="S102" s="37" t="s">
        <v>67</v>
      </c>
      <c r="T102" s="37" t="str">
        <f t="shared" si="12"/>
        <v/>
      </c>
      <c r="U102" s="37" t="str">
        <f t="shared" si="13"/>
        <v/>
      </c>
      <c r="V102" s="37" t="str">
        <f t="shared" si="14"/>
        <v/>
      </c>
      <c r="W102" s="34" t="str">
        <f t="shared" si="15"/>
        <v/>
      </c>
      <c r="X102" s="29"/>
    </row>
    <row r="103" spans="1:24" s="2" customFormat="1" ht="18" customHeight="1">
      <c r="A103" s="6"/>
      <c r="B103" s="48"/>
      <c r="C103" s="38" t="s">
        <v>67</v>
      </c>
      <c r="D103" s="39" t="s">
        <v>67</v>
      </c>
      <c r="E103" s="38" t="str">
        <f t="shared" si="16"/>
        <v/>
      </c>
      <c r="F103" s="39" t="s">
        <v>67</v>
      </c>
      <c r="G103" s="40" t="s">
        <v>67</v>
      </c>
      <c r="H103" s="39" t="s">
        <v>67</v>
      </c>
      <c r="I103" s="40" t="s">
        <v>67</v>
      </c>
      <c r="J103" s="41" t="str">
        <f t="shared" si="18"/>
        <v/>
      </c>
      <c r="K103" s="40" t="s">
        <v>67</v>
      </c>
      <c r="L103" s="41"/>
      <c r="M103" s="41"/>
      <c r="N103" s="42" t="str">
        <f t="shared" si="17"/>
        <v/>
      </c>
      <c r="O103" s="42" t="str">
        <f>IF(F103="","",N103*#REF!/100)</f>
        <v/>
      </c>
      <c r="P103" s="44" t="s">
        <v>67</v>
      </c>
      <c r="Q103" s="45" t="str">
        <f t="shared" si="10"/>
        <v/>
      </c>
      <c r="R103" s="42" t="str">
        <f t="shared" si="11"/>
        <v/>
      </c>
      <c r="S103" s="46" t="s">
        <v>67</v>
      </c>
      <c r="T103" s="46" t="str">
        <f t="shared" si="12"/>
        <v/>
      </c>
      <c r="U103" s="46" t="str">
        <f t="shared" si="13"/>
        <v/>
      </c>
      <c r="V103" s="46" t="str">
        <f t="shared" si="14"/>
        <v/>
      </c>
      <c r="W103" s="42" t="str">
        <f t="shared" si="15"/>
        <v/>
      </c>
      <c r="X103" s="29"/>
    </row>
    <row r="104" spans="1:24" s="2" customFormat="1" ht="18" customHeight="1">
      <c r="A104" s="6"/>
      <c r="B104" s="48"/>
      <c r="C104" s="30" t="s">
        <v>67</v>
      </c>
      <c r="D104" s="31" t="s">
        <v>67</v>
      </c>
      <c r="E104" s="30" t="str">
        <f t="shared" si="16"/>
        <v/>
      </c>
      <c r="F104" s="31" t="s">
        <v>67</v>
      </c>
      <c r="G104" s="32" t="s">
        <v>67</v>
      </c>
      <c r="H104" s="31" t="s">
        <v>67</v>
      </c>
      <c r="I104" s="32" t="s">
        <v>67</v>
      </c>
      <c r="J104" s="33" t="str">
        <f t="shared" si="18"/>
        <v/>
      </c>
      <c r="K104" s="32" t="s">
        <v>67</v>
      </c>
      <c r="L104" s="33"/>
      <c r="M104" s="33"/>
      <c r="N104" s="34" t="str">
        <f t="shared" si="17"/>
        <v/>
      </c>
      <c r="O104" s="34" t="str">
        <f>IF(F104="","",N104*#REF!/100)</f>
        <v/>
      </c>
      <c r="P104" s="35" t="s">
        <v>67</v>
      </c>
      <c r="Q104" s="36" t="str">
        <f t="shared" si="10"/>
        <v/>
      </c>
      <c r="R104" s="34" t="str">
        <f t="shared" si="11"/>
        <v/>
      </c>
      <c r="S104" s="37" t="s">
        <v>67</v>
      </c>
      <c r="T104" s="37" t="str">
        <f t="shared" si="12"/>
        <v/>
      </c>
      <c r="U104" s="37" t="str">
        <f t="shared" si="13"/>
        <v/>
      </c>
      <c r="V104" s="37" t="str">
        <f t="shared" si="14"/>
        <v/>
      </c>
      <c r="W104" s="34" t="str">
        <f t="shared" si="15"/>
        <v/>
      </c>
      <c r="X104" s="29"/>
    </row>
    <row r="105" spans="1:24" s="2" customFormat="1" ht="18" customHeight="1">
      <c r="A105" s="6"/>
      <c r="B105" s="48"/>
      <c r="C105" s="38" t="s">
        <v>67</v>
      </c>
      <c r="D105" s="39" t="s">
        <v>67</v>
      </c>
      <c r="E105" s="38" t="str">
        <f t="shared" si="16"/>
        <v/>
      </c>
      <c r="F105" s="39" t="s">
        <v>67</v>
      </c>
      <c r="G105" s="40" t="s">
        <v>67</v>
      </c>
      <c r="H105" s="39" t="s">
        <v>67</v>
      </c>
      <c r="I105" s="40" t="s">
        <v>67</v>
      </c>
      <c r="J105" s="41" t="str">
        <f t="shared" si="18"/>
        <v/>
      </c>
      <c r="K105" s="40" t="s">
        <v>67</v>
      </c>
      <c r="L105" s="41"/>
      <c r="M105" s="41"/>
      <c r="N105" s="42" t="str">
        <f t="shared" si="17"/>
        <v/>
      </c>
      <c r="O105" s="42" t="str">
        <f>IF(F105="","",N105*#REF!/100)</f>
        <v/>
      </c>
      <c r="P105" s="44" t="s">
        <v>67</v>
      </c>
      <c r="Q105" s="45" t="str">
        <f t="shared" si="10"/>
        <v/>
      </c>
      <c r="R105" s="42" t="str">
        <f t="shared" si="11"/>
        <v/>
      </c>
      <c r="S105" s="46" t="s">
        <v>67</v>
      </c>
      <c r="T105" s="46" t="str">
        <f t="shared" si="12"/>
        <v/>
      </c>
      <c r="U105" s="46" t="str">
        <f t="shared" si="13"/>
        <v/>
      </c>
      <c r="V105" s="46" t="str">
        <f t="shared" si="14"/>
        <v/>
      </c>
      <c r="W105" s="42" t="str">
        <f t="shared" si="15"/>
        <v/>
      </c>
      <c r="X105" s="29"/>
    </row>
    <row r="106" spans="1:24" s="2" customFormat="1" ht="18" customHeight="1">
      <c r="A106" s="6"/>
      <c r="B106" s="48"/>
      <c r="C106" s="30" t="s">
        <v>67</v>
      </c>
      <c r="D106" s="31" t="s">
        <v>67</v>
      </c>
      <c r="E106" s="30" t="str">
        <f t="shared" si="16"/>
        <v/>
      </c>
      <c r="F106" s="31" t="s">
        <v>67</v>
      </c>
      <c r="G106" s="32" t="s">
        <v>67</v>
      </c>
      <c r="H106" s="31" t="s">
        <v>67</v>
      </c>
      <c r="I106" s="32" t="s">
        <v>67</v>
      </c>
      <c r="J106" s="33" t="str">
        <f t="shared" si="18"/>
        <v/>
      </c>
      <c r="K106" s="32" t="s">
        <v>67</v>
      </c>
      <c r="L106" s="33"/>
      <c r="M106" s="33"/>
      <c r="N106" s="34" t="str">
        <f t="shared" si="17"/>
        <v/>
      </c>
      <c r="O106" s="34" t="str">
        <f>IF(F106="","",N106*#REF!/100)</f>
        <v/>
      </c>
      <c r="P106" s="35" t="s">
        <v>67</v>
      </c>
      <c r="Q106" s="36" t="str">
        <f t="shared" si="10"/>
        <v/>
      </c>
      <c r="R106" s="34" t="str">
        <f t="shared" si="11"/>
        <v/>
      </c>
      <c r="S106" s="37" t="s">
        <v>67</v>
      </c>
      <c r="T106" s="37" t="str">
        <f t="shared" si="12"/>
        <v/>
      </c>
      <c r="U106" s="37" t="str">
        <f t="shared" si="13"/>
        <v/>
      </c>
      <c r="V106" s="37" t="str">
        <f t="shared" si="14"/>
        <v/>
      </c>
      <c r="W106" s="34" t="str">
        <f t="shared" si="15"/>
        <v/>
      </c>
      <c r="X106" s="29"/>
    </row>
    <row r="107" spans="1:24" s="2" customFormat="1" ht="18" customHeight="1">
      <c r="A107" s="6"/>
      <c r="B107" s="48"/>
      <c r="C107" s="38" t="s">
        <v>67</v>
      </c>
      <c r="D107" s="39" t="s">
        <v>67</v>
      </c>
      <c r="E107" s="38" t="str">
        <f t="shared" si="16"/>
        <v/>
      </c>
      <c r="F107" s="39" t="s">
        <v>67</v>
      </c>
      <c r="G107" s="40" t="s">
        <v>67</v>
      </c>
      <c r="H107" s="39" t="s">
        <v>67</v>
      </c>
      <c r="I107" s="40" t="s">
        <v>67</v>
      </c>
      <c r="J107" s="41" t="str">
        <f t="shared" si="18"/>
        <v/>
      </c>
      <c r="K107" s="40" t="s">
        <v>67</v>
      </c>
      <c r="L107" s="41"/>
      <c r="M107" s="41"/>
      <c r="N107" s="42" t="str">
        <f t="shared" si="17"/>
        <v/>
      </c>
      <c r="O107" s="42" t="str">
        <f>IF(F107="","",N107*#REF!/100)</f>
        <v/>
      </c>
      <c r="P107" s="44" t="s">
        <v>67</v>
      </c>
      <c r="Q107" s="45" t="str">
        <f t="shared" si="10"/>
        <v/>
      </c>
      <c r="R107" s="42" t="str">
        <f t="shared" si="11"/>
        <v/>
      </c>
      <c r="S107" s="46" t="s">
        <v>67</v>
      </c>
      <c r="T107" s="46" t="str">
        <f t="shared" si="12"/>
        <v/>
      </c>
      <c r="U107" s="46" t="str">
        <f t="shared" si="13"/>
        <v/>
      </c>
      <c r="V107" s="46" t="str">
        <f t="shared" si="14"/>
        <v/>
      </c>
      <c r="W107" s="42" t="str">
        <f t="shared" si="15"/>
        <v/>
      </c>
      <c r="X107" s="29"/>
    </row>
    <row r="108" spans="1:24" s="2" customFormat="1" ht="18" customHeight="1">
      <c r="A108" s="6"/>
      <c r="B108" s="48"/>
      <c r="C108" s="30" t="s">
        <v>67</v>
      </c>
      <c r="D108" s="31" t="s">
        <v>67</v>
      </c>
      <c r="E108" s="30" t="str">
        <f t="shared" si="16"/>
        <v/>
      </c>
      <c r="F108" s="31" t="s">
        <v>67</v>
      </c>
      <c r="G108" s="32" t="s">
        <v>67</v>
      </c>
      <c r="H108" s="31" t="s">
        <v>67</v>
      </c>
      <c r="I108" s="32" t="s">
        <v>67</v>
      </c>
      <c r="J108" s="33" t="str">
        <f t="shared" si="18"/>
        <v/>
      </c>
      <c r="K108" s="32" t="s">
        <v>67</v>
      </c>
      <c r="L108" s="33"/>
      <c r="M108" s="33"/>
      <c r="N108" s="34" t="str">
        <f t="shared" si="17"/>
        <v/>
      </c>
      <c r="O108" s="34" t="str">
        <f>IF(F108="","",N108*#REF!/100)</f>
        <v/>
      </c>
      <c r="P108" s="35" t="s">
        <v>67</v>
      </c>
      <c r="Q108" s="36" t="str">
        <f t="shared" si="10"/>
        <v/>
      </c>
      <c r="R108" s="34" t="str">
        <f t="shared" si="11"/>
        <v/>
      </c>
      <c r="S108" s="37" t="s">
        <v>67</v>
      </c>
      <c r="T108" s="37" t="str">
        <f t="shared" si="12"/>
        <v/>
      </c>
      <c r="U108" s="37" t="str">
        <f t="shared" si="13"/>
        <v/>
      </c>
      <c r="V108" s="37" t="str">
        <f t="shared" si="14"/>
        <v/>
      </c>
      <c r="W108" s="34" t="str">
        <f t="shared" si="15"/>
        <v/>
      </c>
      <c r="X108" s="29"/>
    </row>
    <row r="109" spans="1:24" s="2" customFormat="1" ht="18" customHeight="1">
      <c r="A109" s="6"/>
      <c r="B109" s="48"/>
      <c r="C109" s="38" t="s">
        <v>67</v>
      </c>
      <c r="D109" s="39" t="s">
        <v>67</v>
      </c>
      <c r="E109" s="38" t="str">
        <f t="shared" si="16"/>
        <v/>
      </c>
      <c r="F109" s="39" t="s">
        <v>67</v>
      </c>
      <c r="G109" s="40" t="s">
        <v>67</v>
      </c>
      <c r="H109" s="39" t="s">
        <v>67</v>
      </c>
      <c r="I109" s="40" t="s">
        <v>67</v>
      </c>
      <c r="J109" s="41" t="str">
        <f t="shared" si="18"/>
        <v/>
      </c>
      <c r="K109" s="40" t="s">
        <v>67</v>
      </c>
      <c r="L109" s="41"/>
      <c r="M109" s="41"/>
      <c r="N109" s="42" t="str">
        <f t="shared" si="17"/>
        <v/>
      </c>
      <c r="O109" s="42" t="str">
        <f>IF(F109="","",N109*#REF!/100)</f>
        <v/>
      </c>
      <c r="P109" s="44" t="s">
        <v>67</v>
      </c>
      <c r="Q109" s="45" t="str">
        <f t="shared" si="10"/>
        <v/>
      </c>
      <c r="R109" s="42" t="str">
        <f t="shared" si="11"/>
        <v/>
      </c>
      <c r="S109" s="46" t="s">
        <v>67</v>
      </c>
      <c r="T109" s="46" t="str">
        <f t="shared" si="12"/>
        <v/>
      </c>
      <c r="U109" s="46" t="str">
        <f t="shared" si="13"/>
        <v/>
      </c>
      <c r="V109" s="46" t="str">
        <f t="shared" si="14"/>
        <v/>
      </c>
      <c r="W109" s="42" t="str">
        <f t="shared" si="15"/>
        <v/>
      </c>
      <c r="X109" s="29"/>
    </row>
    <row r="110" spans="1:24" s="2" customFormat="1" ht="18" customHeight="1">
      <c r="A110" s="6"/>
      <c r="B110" s="48"/>
      <c r="C110" s="30" t="s">
        <v>67</v>
      </c>
      <c r="D110" s="31" t="s">
        <v>67</v>
      </c>
      <c r="E110" s="30" t="str">
        <f t="shared" si="16"/>
        <v/>
      </c>
      <c r="F110" s="31" t="s">
        <v>67</v>
      </c>
      <c r="G110" s="32" t="s">
        <v>67</v>
      </c>
      <c r="H110" s="31" t="s">
        <v>67</v>
      </c>
      <c r="I110" s="32" t="s">
        <v>67</v>
      </c>
      <c r="J110" s="33" t="str">
        <f t="shared" si="18"/>
        <v/>
      </c>
      <c r="K110" s="32" t="s">
        <v>67</v>
      </c>
      <c r="L110" s="33"/>
      <c r="M110" s="33"/>
      <c r="N110" s="34" t="str">
        <f t="shared" si="17"/>
        <v/>
      </c>
      <c r="O110" s="34" t="str">
        <f>IF(F110="","",N110*#REF!/100)</f>
        <v/>
      </c>
      <c r="P110" s="35" t="s">
        <v>67</v>
      </c>
      <c r="Q110" s="36" t="str">
        <f t="shared" si="10"/>
        <v/>
      </c>
      <c r="R110" s="34" t="str">
        <f t="shared" si="11"/>
        <v/>
      </c>
      <c r="S110" s="37" t="s">
        <v>67</v>
      </c>
      <c r="T110" s="37" t="str">
        <f t="shared" si="12"/>
        <v/>
      </c>
      <c r="U110" s="37" t="str">
        <f t="shared" si="13"/>
        <v/>
      </c>
      <c r="V110" s="37" t="str">
        <f t="shared" si="14"/>
        <v/>
      </c>
      <c r="W110" s="34" t="str">
        <f t="shared" si="15"/>
        <v/>
      </c>
      <c r="X110" s="29"/>
    </row>
    <row r="111" spans="1:24" s="2" customFormat="1" ht="18" customHeight="1">
      <c r="A111" s="6"/>
      <c r="B111" s="48"/>
      <c r="C111" s="38" t="s">
        <v>67</v>
      </c>
      <c r="D111" s="39" t="s">
        <v>67</v>
      </c>
      <c r="E111" s="38" t="str">
        <f t="shared" si="16"/>
        <v/>
      </c>
      <c r="F111" s="39" t="s">
        <v>67</v>
      </c>
      <c r="G111" s="40" t="s">
        <v>67</v>
      </c>
      <c r="H111" s="39" t="s">
        <v>67</v>
      </c>
      <c r="I111" s="40" t="s">
        <v>67</v>
      </c>
      <c r="J111" s="41" t="str">
        <f t="shared" si="18"/>
        <v/>
      </c>
      <c r="K111" s="40" t="s">
        <v>67</v>
      </c>
      <c r="L111" s="41"/>
      <c r="M111" s="41"/>
      <c r="N111" s="42" t="str">
        <f t="shared" si="17"/>
        <v/>
      </c>
      <c r="O111" s="42" t="str">
        <f>IF(F111="","",N111*#REF!/100)</f>
        <v/>
      </c>
      <c r="P111" s="44" t="s">
        <v>67</v>
      </c>
      <c r="Q111" s="45" t="str">
        <f t="shared" si="10"/>
        <v/>
      </c>
      <c r="R111" s="42" t="str">
        <f t="shared" si="11"/>
        <v/>
      </c>
      <c r="S111" s="46" t="s">
        <v>67</v>
      </c>
      <c r="T111" s="46" t="str">
        <f t="shared" si="12"/>
        <v/>
      </c>
      <c r="U111" s="46" t="str">
        <f t="shared" si="13"/>
        <v/>
      </c>
      <c r="V111" s="46" t="str">
        <f t="shared" si="14"/>
        <v/>
      </c>
      <c r="W111" s="42" t="str">
        <f t="shared" si="15"/>
        <v/>
      </c>
      <c r="X111" s="29"/>
    </row>
    <row r="112" spans="1:24" s="2" customFormat="1" ht="18" customHeight="1">
      <c r="A112" s="6"/>
      <c r="B112" s="48"/>
      <c r="C112" s="30" t="s">
        <v>67</v>
      </c>
      <c r="D112" s="31" t="s">
        <v>67</v>
      </c>
      <c r="E112" s="30" t="str">
        <f t="shared" si="16"/>
        <v/>
      </c>
      <c r="F112" s="31" t="s">
        <v>67</v>
      </c>
      <c r="G112" s="32" t="s">
        <v>67</v>
      </c>
      <c r="H112" s="31" t="s">
        <v>67</v>
      </c>
      <c r="I112" s="32" t="s">
        <v>67</v>
      </c>
      <c r="J112" s="33" t="str">
        <f t="shared" si="18"/>
        <v/>
      </c>
      <c r="K112" s="32" t="s">
        <v>67</v>
      </c>
      <c r="L112" s="33"/>
      <c r="M112" s="33"/>
      <c r="N112" s="34" t="str">
        <f t="shared" si="17"/>
        <v/>
      </c>
      <c r="O112" s="34" t="str">
        <f>IF(F112="","",N112*#REF!/100)</f>
        <v/>
      </c>
      <c r="P112" s="35" t="s">
        <v>67</v>
      </c>
      <c r="Q112" s="36" t="str">
        <f t="shared" si="10"/>
        <v/>
      </c>
      <c r="R112" s="34" t="str">
        <f t="shared" si="11"/>
        <v/>
      </c>
      <c r="S112" s="37" t="s">
        <v>67</v>
      </c>
      <c r="T112" s="37" t="str">
        <f t="shared" si="12"/>
        <v/>
      </c>
      <c r="U112" s="37" t="str">
        <f t="shared" si="13"/>
        <v/>
      </c>
      <c r="V112" s="37" t="str">
        <f t="shared" si="14"/>
        <v/>
      </c>
      <c r="W112" s="34" t="str">
        <f t="shared" si="15"/>
        <v/>
      </c>
      <c r="X112" s="29"/>
    </row>
    <row r="113" spans="1:24" s="2" customFormat="1" ht="18" customHeight="1">
      <c r="A113" s="6"/>
      <c r="B113" s="48"/>
      <c r="C113" s="38" t="s">
        <v>67</v>
      </c>
      <c r="D113" s="39" t="s">
        <v>67</v>
      </c>
      <c r="E113" s="38" t="str">
        <f t="shared" si="16"/>
        <v/>
      </c>
      <c r="F113" s="39" t="s">
        <v>67</v>
      </c>
      <c r="G113" s="40" t="s">
        <v>67</v>
      </c>
      <c r="H113" s="39" t="s">
        <v>67</v>
      </c>
      <c r="I113" s="40" t="s">
        <v>67</v>
      </c>
      <c r="J113" s="41" t="str">
        <f t="shared" si="18"/>
        <v/>
      </c>
      <c r="K113" s="40" t="s">
        <v>67</v>
      </c>
      <c r="L113" s="41"/>
      <c r="M113" s="41"/>
      <c r="N113" s="42" t="str">
        <f t="shared" si="17"/>
        <v/>
      </c>
      <c r="O113" s="42" t="str">
        <f>IF(F113="","",N113*#REF!/100)</f>
        <v/>
      </c>
      <c r="P113" s="44" t="s">
        <v>67</v>
      </c>
      <c r="Q113" s="45" t="str">
        <f t="shared" si="10"/>
        <v/>
      </c>
      <c r="R113" s="42" t="str">
        <f t="shared" si="11"/>
        <v/>
      </c>
      <c r="S113" s="46" t="s">
        <v>67</v>
      </c>
      <c r="T113" s="46" t="str">
        <f t="shared" si="12"/>
        <v/>
      </c>
      <c r="U113" s="46" t="str">
        <f t="shared" si="13"/>
        <v/>
      </c>
      <c r="V113" s="46" t="str">
        <f t="shared" si="14"/>
        <v/>
      </c>
      <c r="W113" s="42" t="str">
        <f t="shared" si="15"/>
        <v/>
      </c>
      <c r="X113" s="29"/>
    </row>
    <row r="114" spans="1:24" s="2" customFormat="1" ht="18" customHeight="1">
      <c r="A114" s="6"/>
      <c r="B114" s="48"/>
      <c r="C114" s="30" t="s">
        <v>67</v>
      </c>
      <c r="D114" s="31" t="s">
        <v>67</v>
      </c>
      <c r="E114" s="30" t="str">
        <f t="shared" si="16"/>
        <v/>
      </c>
      <c r="F114" s="31" t="s">
        <v>67</v>
      </c>
      <c r="G114" s="32" t="s">
        <v>67</v>
      </c>
      <c r="H114" s="31" t="s">
        <v>67</v>
      </c>
      <c r="I114" s="32" t="s">
        <v>67</v>
      </c>
      <c r="J114" s="33" t="str">
        <f t="shared" si="18"/>
        <v/>
      </c>
      <c r="K114" s="32" t="s">
        <v>67</v>
      </c>
      <c r="L114" s="33"/>
      <c r="M114" s="33"/>
      <c r="N114" s="34" t="str">
        <f t="shared" si="17"/>
        <v/>
      </c>
      <c r="O114" s="34" t="str">
        <f>IF(F114="","",N114*#REF!/100)</f>
        <v/>
      </c>
      <c r="P114" s="35" t="s">
        <v>67</v>
      </c>
      <c r="Q114" s="36" t="str">
        <f t="shared" si="10"/>
        <v/>
      </c>
      <c r="R114" s="34" t="str">
        <f t="shared" si="11"/>
        <v/>
      </c>
      <c r="S114" s="37" t="s">
        <v>67</v>
      </c>
      <c r="T114" s="37" t="str">
        <f t="shared" si="12"/>
        <v/>
      </c>
      <c r="U114" s="37" t="str">
        <f t="shared" si="13"/>
        <v/>
      </c>
      <c r="V114" s="37" t="str">
        <f t="shared" si="14"/>
        <v/>
      </c>
      <c r="W114" s="34" t="str">
        <f t="shared" si="15"/>
        <v/>
      </c>
      <c r="X114" s="29"/>
    </row>
    <row r="115" spans="1:24" s="2" customFormat="1" ht="18" customHeight="1">
      <c r="A115" s="6"/>
      <c r="B115" s="48"/>
      <c r="C115" s="38" t="s">
        <v>67</v>
      </c>
      <c r="D115" s="39" t="s">
        <v>67</v>
      </c>
      <c r="E115" s="38" t="str">
        <f t="shared" si="16"/>
        <v/>
      </c>
      <c r="F115" s="39" t="s">
        <v>67</v>
      </c>
      <c r="G115" s="40" t="s">
        <v>67</v>
      </c>
      <c r="H115" s="39" t="s">
        <v>67</v>
      </c>
      <c r="I115" s="40" t="s">
        <v>67</v>
      </c>
      <c r="J115" s="41" t="str">
        <f t="shared" si="18"/>
        <v/>
      </c>
      <c r="K115" s="40" t="s">
        <v>67</v>
      </c>
      <c r="L115" s="41"/>
      <c r="M115" s="41"/>
      <c r="N115" s="42" t="str">
        <f t="shared" si="17"/>
        <v/>
      </c>
      <c r="O115" s="42" t="str">
        <f>IF(F115="","",N115*#REF!/100)</f>
        <v/>
      </c>
      <c r="P115" s="44" t="s">
        <v>67</v>
      </c>
      <c r="Q115" s="45" t="str">
        <f t="shared" si="10"/>
        <v/>
      </c>
      <c r="R115" s="42" t="str">
        <f t="shared" si="11"/>
        <v/>
      </c>
      <c r="S115" s="46" t="s">
        <v>67</v>
      </c>
      <c r="T115" s="46" t="str">
        <f t="shared" si="12"/>
        <v/>
      </c>
      <c r="U115" s="46" t="str">
        <f t="shared" si="13"/>
        <v/>
      </c>
      <c r="V115" s="46" t="str">
        <f t="shared" si="14"/>
        <v/>
      </c>
      <c r="W115" s="42" t="str">
        <f t="shared" si="15"/>
        <v/>
      </c>
      <c r="X115" s="29"/>
    </row>
    <row r="116" spans="1:24" s="2" customFormat="1" ht="18" customHeight="1">
      <c r="A116" s="6"/>
      <c r="B116" s="48"/>
      <c r="C116" s="30" t="s">
        <v>67</v>
      </c>
      <c r="D116" s="31" t="s">
        <v>67</v>
      </c>
      <c r="E116" s="30" t="str">
        <f t="shared" si="16"/>
        <v/>
      </c>
      <c r="F116" s="31" t="s">
        <v>67</v>
      </c>
      <c r="G116" s="32" t="s">
        <v>67</v>
      </c>
      <c r="H116" s="31" t="s">
        <v>67</v>
      </c>
      <c r="I116" s="32" t="s">
        <v>67</v>
      </c>
      <c r="J116" s="33" t="str">
        <f t="shared" si="18"/>
        <v/>
      </c>
      <c r="K116" s="32" t="s">
        <v>67</v>
      </c>
      <c r="L116" s="33"/>
      <c r="M116" s="33"/>
      <c r="N116" s="34" t="str">
        <f t="shared" si="17"/>
        <v/>
      </c>
      <c r="O116" s="34" t="str">
        <f>IF(F116="","",N116*#REF!/100)</f>
        <v/>
      </c>
      <c r="P116" s="35" t="s">
        <v>67</v>
      </c>
      <c r="Q116" s="36" t="str">
        <f t="shared" si="10"/>
        <v/>
      </c>
      <c r="R116" s="34" t="str">
        <f t="shared" si="11"/>
        <v/>
      </c>
      <c r="S116" s="37" t="s">
        <v>67</v>
      </c>
      <c r="T116" s="37" t="str">
        <f t="shared" si="12"/>
        <v/>
      </c>
      <c r="U116" s="37" t="str">
        <f t="shared" si="13"/>
        <v/>
      </c>
      <c r="V116" s="37" t="str">
        <f t="shared" si="14"/>
        <v/>
      </c>
      <c r="W116" s="34" t="str">
        <f t="shared" si="15"/>
        <v/>
      </c>
      <c r="X116" s="29"/>
    </row>
    <row r="117" spans="1:24" s="2" customFormat="1" ht="18" customHeight="1">
      <c r="A117" s="6"/>
      <c r="B117" s="48"/>
      <c r="C117" s="38" t="s">
        <v>67</v>
      </c>
      <c r="D117" s="39" t="s">
        <v>67</v>
      </c>
      <c r="E117" s="38" t="str">
        <f t="shared" si="16"/>
        <v/>
      </c>
      <c r="F117" s="39" t="s">
        <v>67</v>
      </c>
      <c r="G117" s="40" t="s">
        <v>67</v>
      </c>
      <c r="H117" s="39" t="s">
        <v>67</v>
      </c>
      <c r="I117" s="40" t="s">
        <v>67</v>
      </c>
      <c r="J117" s="41" t="str">
        <f t="shared" si="18"/>
        <v/>
      </c>
      <c r="K117" s="40" t="s">
        <v>67</v>
      </c>
      <c r="L117" s="41"/>
      <c r="M117" s="41"/>
      <c r="N117" s="42" t="str">
        <f t="shared" si="17"/>
        <v/>
      </c>
      <c r="O117" s="42" t="str">
        <f>IF(F117="","",N117*#REF!/100)</f>
        <v/>
      </c>
      <c r="P117" s="44" t="s">
        <v>67</v>
      </c>
      <c r="Q117" s="45" t="str">
        <f t="shared" si="10"/>
        <v/>
      </c>
      <c r="R117" s="42" t="str">
        <f t="shared" si="11"/>
        <v/>
      </c>
      <c r="S117" s="46" t="s">
        <v>67</v>
      </c>
      <c r="T117" s="46" t="str">
        <f t="shared" si="12"/>
        <v/>
      </c>
      <c r="U117" s="46" t="str">
        <f t="shared" si="13"/>
        <v/>
      </c>
      <c r="V117" s="46" t="str">
        <f t="shared" si="14"/>
        <v/>
      </c>
      <c r="W117" s="42" t="str">
        <f t="shared" si="15"/>
        <v/>
      </c>
      <c r="X117" s="29"/>
    </row>
    <row r="118" spans="1:24" s="2" customFormat="1" ht="18" customHeight="1">
      <c r="A118" s="6"/>
      <c r="B118" s="48"/>
      <c r="C118" s="30" t="s">
        <v>67</v>
      </c>
      <c r="D118" s="31" t="s">
        <v>67</v>
      </c>
      <c r="E118" s="30" t="str">
        <f t="shared" si="16"/>
        <v/>
      </c>
      <c r="F118" s="31" t="s">
        <v>67</v>
      </c>
      <c r="G118" s="32" t="s">
        <v>67</v>
      </c>
      <c r="H118" s="31" t="s">
        <v>67</v>
      </c>
      <c r="I118" s="32" t="s">
        <v>67</v>
      </c>
      <c r="J118" s="33" t="str">
        <f t="shared" si="18"/>
        <v/>
      </c>
      <c r="K118" s="32" t="s">
        <v>67</v>
      </c>
      <c r="L118" s="33"/>
      <c r="M118" s="33"/>
      <c r="N118" s="34" t="str">
        <f t="shared" si="17"/>
        <v/>
      </c>
      <c r="O118" s="34" t="str">
        <f>IF(F118="","",N118*#REF!/100)</f>
        <v/>
      </c>
      <c r="P118" s="35" t="s">
        <v>67</v>
      </c>
      <c r="Q118" s="36" t="str">
        <f t="shared" si="10"/>
        <v/>
      </c>
      <c r="R118" s="34" t="str">
        <f t="shared" si="11"/>
        <v/>
      </c>
      <c r="S118" s="37" t="s">
        <v>67</v>
      </c>
      <c r="T118" s="37" t="str">
        <f t="shared" si="12"/>
        <v/>
      </c>
      <c r="U118" s="37" t="str">
        <f t="shared" si="13"/>
        <v/>
      </c>
      <c r="V118" s="37" t="str">
        <f t="shared" si="14"/>
        <v/>
      </c>
      <c r="W118" s="34" t="str">
        <f t="shared" si="15"/>
        <v/>
      </c>
      <c r="X118" s="29"/>
    </row>
    <row r="119" spans="1:24" s="2" customFormat="1" ht="18" customHeight="1">
      <c r="A119" s="6"/>
      <c r="B119" s="48"/>
      <c r="C119" s="38" t="s">
        <v>67</v>
      </c>
      <c r="D119" s="39" t="s">
        <v>67</v>
      </c>
      <c r="E119" s="38" t="str">
        <f t="shared" si="16"/>
        <v/>
      </c>
      <c r="F119" s="39" t="s">
        <v>67</v>
      </c>
      <c r="G119" s="40" t="s">
        <v>67</v>
      </c>
      <c r="H119" s="39" t="s">
        <v>67</v>
      </c>
      <c r="I119" s="40" t="s">
        <v>67</v>
      </c>
      <c r="J119" s="41" t="str">
        <f t="shared" si="18"/>
        <v/>
      </c>
      <c r="K119" s="40" t="s">
        <v>67</v>
      </c>
      <c r="L119" s="41"/>
      <c r="M119" s="41"/>
      <c r="N119" s="42" t="str">
        <f t="shared" si="17"/>
        <v/>
      </c>
      <c r="O119" s="42" t="str">
        <f>IF(F119="","",N119*#REF!/100)</f>
        <v/>
      </c>
      <c r="P119" s="44" t="s">
        <v>67</v>
      </c>
      <c r="Q119" s="45" t="str">
        <f t="shared" si="10"/>
        <v/>
      </c>
      <c r="R119" s="42" t="str">
        <f t="shared" si="11"/>
        <v/>
      </c>
      <c r="S119" s="46" t="s">
        <v>67</v>
      </c>
      <c r="T119" s="46" t="str">
        <f t="shared" si="12"/>
        <v/>
      </c>
      <c r="U119" s="46" t="str">
        <f t="shared" si="13"/>
        <v/>
      </c>
      <c r="V119" s="46" t="str">
        <f t="shared" si="14"/>
        <v/>
      </c>
      <c r="W119" s="42" t="str">
        <f t="shared" si="15"/>
        <v/>
      </c>
      <c r="X119" s="29"/>
    </row>
    <row r="120" spans="1:24" s="2" customFormat="1" ht="18" customHeight="1">
      <c r="A120" s="6"/>
      <c r="B120" s="48"/>
      <c r="C120" s="30" t="s">
        <v>67</v>
      </c>
      <c r="D120" s="31" t="s">
        <v>67</v>
      </c>
      <c r="E120" s="30" t="str">
        <f t="shared" si="16"/>
        <v/>
      </c>
      <c r="F120" s="31" t="s">
        <v>67</v>
      </c>
      <c r="G120" s="32" t="s">
        <v>67</v>
      </c>
      <c r="H120" s="31" t="s">
        <v>67</v>
      </c>
      <c r="I120" s="32" t="s">
        <v>67</v>
      </c>
      <c r="J120" s="33" t="str">
        <f t="shared" si="18"/>
        <v/>
      </c>
      <c r="K120" s="32" t="s">
        <v>67</v>
      </c>
      <c r="L120" s="33"/>
      <c r="M120" s="33"/>
      <c r="N120" s="34" t="str">
        <f t="shared" si="17"/>
        <v/>
      </c>
      <c r="O120" s="34" t="str">
        <f>IF(F120="","",N120*#REF!/100)</f>
        <v/>
      </c>
      <c r="P120" s="35" t="s">
        <v>67</v>
      </c>
      <c r="Q120" s="36" t="str">
        <f t="shared" si="10"/>
        <v/>
      </c>
      <c r="R120" s="34" t="str">
        <f t="shared" si="11"/>
        <v/>
      </c>
      <c r="S120" s="37" t="s">
        <v>67</v>
      </c>
      <c r="T120" s="37" t="str">
        <f t="shared" si="12"/>
        <v/>
      </c>
      <c r="U120" s="37" t="str">
        <f t="shared" si="13"/>
        <v/>
      </c>
      <c r="V120" s="37" t="str">
        <f t="shared" si="14"/>
        <v/>
      </c>
      <c r="W120" s="34" t="str">
        <f t="shared" si="15"/>
        <v/>
      </c>
      <c r="X120" s="29"/>
    </row>
    <row r="121" spans="1:24" s="2" customFormat="1" ht="18" customHeight="1">
      <c r="A121" s="6"/>
      <c r="B121" s="48"/>
      <c r="C121" s="38" t="s">
        <v>67</v>
      </c>
      <c r="D121" s="39" t="s">
        <v>67</v>
      </c>
      <c r="E121" s="38" t="str">
        <f t="shared" si="16"/>
        <v/>
      </c>
      <c r="F121" s="39" t="s">
        <v>67</v>
      </c>
      <c r="G121" s="40" t="s">
        <v>67</v>
      </c>
      <c r="H121" s="39" t="s">
        <v>67</v>
      </c>
      <c r="I121" s="40" t="s">
        <v>67</v>
      </c>
      <c r="J121" s="41" t="str">
        <f t="shared" si="18"/>
        <v/>
      </c>
      <c r="K121" s="40" t="s">
        <v>67</v>
      </c>
      <c r="L121" s="41"/>
      <c r="M121" s="41"/>
      <c r="N121" s="42" t="str">
        <f t="shared" si="17"/>
        <v/>
      </c>
      <c r="O121" s="42" t="str">
        <f>IF(F121="","",N121*#REF!/100)</f>
        <v/>
      </c>
      <c r="P121" s="44" t="s">
        <v>67</v>
      </c>
      <c r="Q121" s="45" t="str">
        <f t="shared" si="10"/>
        <v/>
      </c>
      <c r="R121" s="42" t="str">
        <f t="shared" si="11"/>
        <v/>
      </c>
      <c r="S121" s="46" t="s">
        <v>67</v>
      </c>
      <c r="T121" s="46" t="str">
        <f t="shared" si="12"/>
        <v/>
      </c>
      <c r="U121" s="46" t="str">
        <f t="shared" si="13"/>
        <v/>
      </c>
      <c r="V121" s="46" t="str">
        <f t="shared" si="14"/>
        <v/>
      </c>
      <c r="W121" s="42" t="str">
        <f t="shared" si="15"/>
        <v/>
      </c>
      <c r="X121" s="29"/>
    </row>
    <row r="122" spans="1:24" s="2" customFormat="1" ht="18" customHeight="1">
      <c r="A122" s="6"/>
      <c r="B122" s="48"/>
      <c r="C122" s="30" t="s">
        <v>67</v>
      </c>
      <c r="D122" s="31" t="s">
        <v>67</v>
      </c>
      <c r="E122" s="30" t="str">
        <f t="shared" si="16"/>
        <v/>
      </c>
      <c r="F122" s="31" t="s">
        <v>67</v>
      </c>
      <c r="G122" s="32" t="s">
        <v>67</v>
      </c>
      <c r="H122" s="31" t="s">
        <v>67</v>
      </c>
      <c r="I122" s="32" t="s">
        <v>67</v>
      </c>
      <c r="J122" s="33" t="str">
        <f t="shared" si="18"/>
        <v/>
      </c>
      <c r="K122" s="32" t="s">
        <v>67</v>
      </c>
      <c r="L122" s="33"/>
      <c r="M122" s="33"/>
      <c r="N122" s="34" t="str">
        <f t="shared" si="17"/>
        <v/>
      </c>
      <c r="O122" s="34" t="str">
        <f>IF(F122="","",N122*#REF!/100)</f>
        <v/>
      </c>
      <c r="P122" s="35" t="s">
        <v>67</v>
      </c>
      <c r="Q122" s="36" t="str">
        <f t="shared" si="10"/>
        <v/>
      </c>
      <c r="R122" s="34" t="str">
        <f t="shared" si="11"/>
        <v/>
      </c>
      <c r="S122" s="37" t="s">
        <v>67</v>
      </c>
      <c r="T122" s="37" t="str">
        <f t="shared" si="12"/>
        <v/>
      </c>
      <c r="U122" s="37" t="str">
        <f t="shared" si="13"/>
        <v/>
      </c>
      <c r="V122" s="37" t="str">
        <f t="shared" si="14"/>
        <v/>
      </c>
      <c r="W122" s="34" t="str">
        <f t="shared" si="15"/>
        <v/>
      </c>
      <c r="X122" s="29"/>
    </row>
    <row r="123" spans="1:24" s="2" customFormat="1" ht="18" customHeight="1">
      <c r="A123" s="6"/>
      <c r="B123" s="48"/>
      <c r="C123" s="38" t="s">
        <v>67</v>
      </c>
      <c r="D123" s="39" t="s">
        <v>67</v>
      </c>
      <c r="E123" s="38" t="str">
        <f t="shared" si="16"/>
        <v/>
      </c>
      <c r="F123" s="39" t="s">
        <v>67</v>
      </c>
      <c r="G123" s="40" t="s">
        <v>67</v>
      </c>
      <c r="H123" s="39" t="s">
        <v>67</v>
      </c>
      <c r="I123" s="40" t="s">
        <v>67</v>
      </c>
      <c r="J123" s="41" t="str">
        <f t="shared" si="18"/>
        <v/>
      </c>
      <c r="K123" s="40" t="s">
        <v>67</v>
      </c>
      <c r="L123" s="41"/>
      <c r="M123" s="41"/>
      <c r="N123" s="42" t="str">
        <f t="shared" si="17"/>
        <v/>
      </c>
      <c r="O123" s="42" t="str">
        <f>IF(F123="","",N123*#REF!/100)</f>
        <v/>
      </c>
      <c r="P123" s="44" t="s">
        <v>67</v>
      </c>
      <c r="Q123" s="45" t="str">
        <f t="shared" si="10"/>
        <v/>
      </c>
      <c r="R123" s="42" t="str">
        <f t="shared" si="11"/>
        <v/>
      </c>
      <c r="S123" s="46" t="s">
        <v>67</v>
      </c>
      <c r="T123" s="46" t="str">
        <f t="shared" si="12"/>
        <v/>
      </c>
      <c r="U123" s="46" t="str">
        <f t="shared" si="13"/>
        <v/>
      </c>
      <c r="V123" s="46" t="str">
        <f t="shared" si="14"/>
        <v/>
      </c>
      <c r="W123" s="42" t="str">
        <f t="shared" si="15"/>
        <v/>
      </c>
      <c r="X123" s="29"/>
    </row>
    <row r="124" spans="1:24" s="2" customFormat="1" ht="18" customHeight="1">
      <c r="A124" s="6"/>
      <c r="B124" s="48"/>
      <c r="C124" s="30" t="s">
        <v>67</v>
      </c>
      <c r="D124" s="31" t="s">
        <v>67</v>
      </c>
      <c r="E124" s="30" t="str">
        <f t="shared" si="16"/>
        <v/>
      </c>
      <c r="F124" s="31" t="s">
        <v>67</v>
      </c>
      <c r="G124" s="32" t="s">
        <v>67</v>
      </c>
      <c r="H124" s="31" t="s">
        <v>67</v>
      </c>
      <c r="I124" s="32" t="s">
        <v>67</v>
      </c>
      <c r="J124" s="33" t="str">
        <f t="shared" si="18"/>
        <v/>
      </c>
      <c r="K124" s="32" t="s">
        <v>67</v>
      </c>
      <c r="L124" s="33"/>
      <c r="M124" s="33"/>
      <c r="N124" s="34" t="str">
        <f t="shared" si="17"/>
        <v/>
      </c>
      <c r="O124" s="34" t="str">
        <f>IF(F124="","",N124*#REF!/100)</f>
        <v/>
      </c>
      <c r="P124" s="35" t="s">
        <v>67</v>
      </c>
      <c r="Q124" s="36" t="str">
        <f t="shared" si="10"/>
        <v/>
      </c>
      <c r="R124" s="34" t="str">
        <f t="shared" si="11"/>
        <v/>
      </c>
      <c r="S124" s="37" t="s">
        <v>67</v>
      </c>
      <c r="T124" s="37" t="str">
        <f t="shared" si="12"/>
        <v/>
      </c>
      <c r="U124" s="37" t="str">
        <f t="shared" si="13"/>
        <v/>
      </c>
      <c r="V124" s="37" t="str">
        <f t="shared" si="14"/>
        <v/>
      </c>
      <c r="W124" s="34" t="str">
        <f t="shared" si="15"/>
        <v/>
      </c>
      <c r="X124" s="29"/>
    </row>
    <row r="125" spans="1:24" s="2" customFormat="1" ht="18" customHeight="1">
      <c r="A125" s="6"/>
      <c r="B125" s="48"/>
      <c r="C125" s="38" t="s">
        <v>67</v>
      </c>
      <c r="D125" s="39" t="s">
        <v>67</v>
      </c>
      <c r="E125" s="38" t="str">
        <f t="shared" si="16"/>
        <v/>
      </c>
      <c r="F125" s="39" t="s">
        <v>67</v>
      </c>
      <c r="G125" s="40" t="s">
        <v>67</v>
      </c>
      <c r="H125" s="39" t="s">
        <v>67</v>
      </c>
      <c r="I125" s="40" t="s">
        <v>67</v>
      </c>
      <c r="J125" s="41" t="str">
        <f t="shared" si="18"/>
        <v/>
      </c>
      <c r="K125" s="40" t="s">
        <v>67</v>
      </c>
      <c r="L125" s="41"/>
      <c r="M125" s="41"/>
      <c r="N125" s="42" t="str">
        <f t="shared" si="17"/>
        <v/>
      </c>
      <c r="O125" s="42" t="str">
        <f>IF(F125="","",N125*#REF!/100)</f>
        <v/>
      </c>
      <c r="P125" s="44" t="s">
        <v>67</v>
      </c>
      <c r="Q125" s="45" t="str">
        <f t="shared" si="10"/>
        <v/>
      </c>
      <c r="R125" s="42" t="str">
        <f t="shared" si="11"/>
        <v/>
      </c>
      <c r="S125" s="46" t="s">
        <v>67</v>
      </c>
      <c r="T125" s="46" t="str">
        <f t="shared" si="12"/>
        <v/>
      </c>
      <c r="U125" s="46" t="str">
        <f t="shared" si="13"/>
        <v/>
      </c>
      <c r="V125" s="46" t="str">
        <f t="shared" si="14"/>
        <v/>
      </c>
      <c r="W125" s="42" t="str">
        <f t="shared" si="15"/>
        <v/>
      </c>
      <c r="X125" s="29"/>
    </row>
    <row r="126" spans="1:24" s="2" customFormat="1" ht="18" customHeight="1">
      <c r="A126" s="6"/>
      <c r="B126" s="48"/>
      <c r="C126" s="30" t="s">
        <v>67</v>
      </c>
      <c r="D126" s="31" t="s">
        <v>67</v>
      </c>
      <c r="E126" s="30" t="str">
        <f t="shared" si="16"/>
        <v/>
      </c>
      <c r="F126" s="31" t="s">
        <v>67</v>
      </c>
      <c r="G126" s="32" t="s">
        <v>67</v>
      </c>
      <c r="H126" s="31" t="s">
        <v>67</v>
      </c>
      <c r="I126" s="32" t="s">
        <v>67</v>
      </c>
      <c r="J126" s="33" t="str">
        <f t="shared" si="18"/>
        <v/>
      </c>
      <c r="K126" s="32" t="s">
        <v>67</v>
      </c>
      <c r="L126" s="33"/>
      <c r="M126" s="33"/>
      <c r="N126" s="34" t="str">
        <f t="shared" si="17"/>
        <v/>
      </c>
      <c r="O126" s="34" t="str">
        <f>IF(F126="","",N126*#REF!/100)</f>
        <v/>
      </c>
      <c r="P126" s="35" t="s">
        <v>67</v>
      </c>
      <c r="Q126" s="36" t="str">
        <f t="shared" si="10"/>
        <v/>
      </c>
      <c r="R126" s="34" t="str">
        <f t="shared" si="11"/>
        <v/>
      </c>
      <c r="S126" s="37" t="s">
        <v>67</v>
      </c>
      <c r="T126" s="37" t="str">
        <f t="shared" si="12"/>
        <v/>
      </c>
      <c r="U126" s="37" t="str">
        <f t="shared" si="13"/>
        <v/>
      </c>
      <c r="V126" s="37" t="str">
        <f t="shared" si="14"/>
        <v/>
      </c>
      <c r="W126" s="34" t="str">
        <f t="shared" si="15"/>
        <v/>
      </c>
      <c r="X126" s="29"/>
    </row>
    <row r="127" spans="1:24" s="2" customFormat="1" ht="18" customHeight="1">
      <c r="A127" s="6"/>
      <c r="B127" s="48"/>
      <c r="C127" s="38" t="s">
        <v>67</v>
      </c>
      <c r="D127" s="39" t="s">
        <v>67</v>
      </c>
      <c r="E127" s="38" t="str">
        <f t="shared" si="16"/>
        <v/>
      </c>
      <c r="F127" s="39" t="s">
        <v>67</v>
      </c>
      <c r="G127" s="40" t="s">
        <v>67</v>
      </c>
      <c r="H127" s="39" t="s">
        <v>67</v>
      </c>
      <c r="I127" s="40" t="s">
        <v>67</v>
      </c>
      <c r="J127" s="41" t="str">
        <f t="shared" si="18"/>
        <v/>
      </c>
      <c r="K127" s="40" t="s">
        <v>67</v>
      </c>
      <c r="L127" s="41"/>
      <c r="M127" s="41"/>
      <c r="N127" s="42" t="str">
        <f t="shared" si="17"/>
        <v/>
      </c>
      <c r="O127" s="42" t="str">
        <f>IF(F127="","",N127*#REF!/100)</f>
        <v/>
      </c>
      <c r="P127" s="44" t="s">
        <v>67</v>
      </c>
      <c r="Q127" s="45" t="str">
        <f t="shared" si="10"/>
        <v/>
      </c>
      <c r="R127" s="42" t="str">
        <f t="shared" si="11"/>
        <v/>
      </c>
      <c r="S127" s="46" t="s">
        <v>67</v>
      </c>
      <c r="T127" s="46" t="str">
        <f t="shared" si="12"/>
        <v/>
      </c>
      <c r="U127" s="46" t="str">
        <f t="shared" si="13"/>
        <v/>
      </c>
      <c r="V127" s="46" t="str">
        <f t="shared" si="14"/>
        <v/>
      </c>
      <c r="W127" s="42" t="str">
        <f t="shared" si="15"/>
        <v/>
      </c>
      <c r="X127" s="29"/>
    </row>
    <row r="128" spans="1:24" s="2" customFormat="1" ht="18" customHeight="1">
      <c r="A128" s="6"/>
      <c r="B128" s="48"/>
      <c r="C128" s="30" t="s">
        <v>67</v>
      </c>
      <c r="D128" s="31" t="s">
        <v>67</v>
      </c>
      <c r="E128" s="30" t="str">
        <f t="shared" si="16"/>
        <v/>
      </c>
      <c r="F128" s="31" t="s">
        <v>67</v>
      </c>
      <c r="G128" s="32" t="s">
        <v>67</v>
      </c>
      <c r="H128" s="31" t="s">
        <v>67</v>
      </c>
      <c r="I128" s="32" t="s">
        <v>67</v>
      </c>
      <c r="J128" s="33" t="str">
        <f t="shared" si="18"/>
        <v/>
      </c>
      <c r="K128" s="32" t="s">
        <v>67</v>
      </c>
      <c r="L128" s="33"/>
      <c r="M128" s="33"/>
      <c r="N128" s="34" t="str">
        <f t="shared" si="17"/>
        <v/>
      </c>
      <c r="O128" s="34" t="str">
        <f>IF(F128="","",N128*#REF!/100)</f>
        <v/>
      </c>
      <c r="P128" s="35" t="s">
        <v>67</v>
      </c>
      <c r="Q128" s="36" t="str">
        <f t="shared" si="10"/>
        <v/>
      </c>
      <c r="R128" s="34" t="str">
        <f t="shared" si="11"/>
        <v/>
      </c>
      <c r="S128" s="37" t="s">
        <v>67</v>
      </c>
      <c r="T128" s="37" t="str">
        <f t="shared" si="12"/>
        <v/>
      </c>
      <c r="U128" s="37" t="str">
        <f t="shared" si="13"/>
        <v/>
      </c>
      <c r="V128" s="37" t="str">
        <f t="shared" si="14"/>
        <v/>
      </c>
      <c r="W128" s="34" t="str">
        <f t="shared" si="15"/>
        <v/>
      </c>
      <c r="X128" s="29"/>
    </row>
    <row r="129" spans="1:29" s="2" customFormat="1" ht="18" customHeight="1">
      <c r="A129" s="6"/>
      <c r="B129" s="48"/>
      <c r="C129" s="38" t="s">
        <v>67</v>
      </c>
      <c r="D129" s="39" t="s">
        <v>67</v>
      </c>
      <c r="E129" s="38" t="str">
        <f t="shared" si="16"/>
        <v/>
      </c>
      <c r="F129" s="39" t="s">
        <v>67</v>
      </c>
      <c r="G129" s="40" t="s">
        <v>67</v>
      </c>
      <c r="H129" s="39" t="s">
        <v>67</v>
      </c>
      <c r="I129" s="40" t="s">
        <v>67</v>
      </c>
      <c r="J129" s="41" t="str">
        <f t="shared" si="18"/>
        <v/>
      </c>
      <c r="K129" s="40" t="s">
        <v>67</v>
      </c>
      <c r="L129" s="41"/>
      <c r="M129" s="41"/>
      <c r="N129" s="42" t="str">
        <f t="shared" si="17"/>
        <v/>
      </c>
      <c r="O129" s="42" t="str">
        <f>IF(F129="","",N129*#REF!/100)</f>
        <v/>
      </c>
      <c r="P129" s="44" t="s">
        <v>67</v>
      </c>
      <c r="Q129" s="45" t="str">
        <f t="shared" si="10"/>
        <v/>
      </c>
      <c r="R129" s="42" t="str">
        <f t="shared" si="11"/>
        <v/>
      </c>
      <c r="S129" s="46" t="s">
        <v>67</v>
      </c>
      <c r="T129" s="46" t="str">
        <f t="shared" si="12"/>
        <v/>
      </c>
      <c r="U129" s="46" t="str">
        <f t="shared" si="13"/>
        <v/>
      </c>
      <c r="V129" s="46" t="str">
        <f t="shared" si="14"/>
        <v/>
      </c>
      <c r="W129" s="42" t="str">
        <f t="shared" si="15"/>
        <v/>
      </c>
      <c r="X129" s="29"/>
    </row>
    <row r="130" spans="1:29" s="2" customFormat="1" ht="18" customHeight="1">
      <c r="A130" s="6"/>
      <c r="B130" s="48"/>
      <c r="C130" s="49" t="s">
        <v>67</v>
      </c>
      <c r="D130" s="50" t="s">
        <v>67</v>
      </c>
      <c r="E130" s="49" t="str">
        <f t="shared" si="16"/>
        <v/>
      </c>
      <c r="F130" s="50" t="s">
        <v>67</v>
      </c>
      <c r="G130" s="51" t="s">
        <v>67</v>
      </c>
      <c r="H130" s="50" t="s">
        <v>67</v>
      </c>
      <c r="I130" s="51" t="s">
        <v>67</v>
      </c>
      <c r="J130" s="52" t="str">
        <f t="shared" si="18"/>
        <v/>
      </c>
      <c r="K130" s="51" t="s">
        <v>67</v>
      </c>
      <c r="L130" s="33"/>
      <c r="M130" s="33"/>
      <c r="N130" s="53" t="str">
        <f t="shared" si="17"/>
        <v/>
      </c>
      <c r="O130" s="53" t="str">
        <f>IF(F130="","",N130*#REF!/100)</f>
        <v/>
      </c>
      <c r="P130" s="54" t="s">
        <v>67</v>
      </c>
      <c r="Q130" s="55" t="str">
        <f t="shared" si="10"/>
        <v/>
      </c>
      <c r="R130" s="53" t="str">
        <f t="shared" si="11"/>
        <v/>
      </c>
      <c r="S130" s="56" t="s">
        <v>67</v>
      </c>
      <c r="T130" s="56" t="str">
        <f t="shared" si="12"/>
        <v/>
      </c>
      <c r="U130" s="56" t="str">
        <f t="shared" si="13"/>
        <v/>
      </c>
      <c r="V130" s="56" t="str">
        <f t="shared" si="14"/>
        <v/>
      </c>
      <c r="W130" s="53" t="str">
        <f t="shared" si="15"/>
        <v/>
      </c>
      <c r="X130" s="29"/>
    </row>
    <row r="131" spans="1:29" s="2" customFormat="1" ht="18" customHeight="1">
      <c r="A131" s="6"/>
      <c r="B131" s="48"/>
      <c r="C131" s="1793"/>
      <c r="D131" s="1793"/>
      <c r="E131" s="1793"/>
      <c r="F131" s="1793"/>
      <c r="G131" s="1793"/>
      <c r="H131" s="1793"/>
      <c r="I131" s="1794"/>
      <c r="J131" s="57">
        <f>SUM(J96:J130)</f>
        <v>0</v>
      </c>
      <c r="K131" s="58"/>
      <c r="L131" s="57"/>
      <c r="M131" s="57"/>
      <c r="N131" s="57">
        <f>SUM(N96:N130)</f>
        <v>0</v>
      </c>
      <c r="O131" s="57">
        <f>SUM(O96:O130)</f>
        <v>0</v>
      </c>
      <c r="P131" s="1530"/>
      <c r="Q131" s="1531"/>
      <c r="R131" s="60">
        <f>SUM(R96:R130)</f>
        <v>0</v>
      </c>
      <c r="S131" s="61" t="s">
        <v>44</v>
      </c>
      <c r="T131" s="62"/>
      <c r="U131" s="63" t="e">
        <f>W131/O131</f>
        <v>#DIV/0!</v>
      </c>
      <c r="V131" s="64" t="s">
        <v>45</v>
      </c>
      <c r="W131" s="65">
        <f>SUM(W96:W130)</f>
        <v>0</v>
      </c>
      <c r="X131" s="29"/>
    </row>
    <row r="132" spans="1:29" s="2" customFormat="1" ht="18" customHeight="1">
      <c r="A132" s="6"/>
      <c r="B132" s="66"/>
      <c r="C132" s="1869">
        <f>+C81</f>
        <v>0</v>
      </c>
      <c r="D132" s="1870"/>
      <c r="E132" s="1870"/>
      <c r="F132" s="1870"/>
      <c r="G132" s="1870"/>
      <c r="H132" s="1870"/>
      <c r="I132" s="1870"/>
      <c r="J132" s="1870"/>
      <c r="K132" s="1870"/>
      <c r="L132" s="1870"/>
      <c r="M132" s="1870"/>
      <c r="N132" s="1870"/>
      <c r="O132" s="67">
        <f>R132/1.02</f>
        <v>0</v>
      </c>
      <c r="P132" s="68">
        <f>+P81</f>
        <v>0</v>
      </c>
      <c r="Q132" s="69" t="s">
        <v>46</v>
      </c>
      <c r="R132" s="70">
        <f>+P132*R131/1000</f>
        <v>0</v>
      </c>
      <c r="S132" s="1860"/>
      <c r="T132" s="1861"/>
      <c r="U132" s="1861"/>
      <c r="V132" s="1861"/>
      <c r="W132" s="1862"/>
      <c r="X132" s="29"/>
    </row>
    <row r="133" spans="1:29" s="76" customFormat="1" ht="6" customHeight="1">
      <c r="A133" s="71"/>
      <c r="B133" s="72"/>
      <c r="C133" s="73"/>
      <c r="D133" s="73"/>
      <c r="E133" s="73"/>
      <c r="F133" s="73"/>
      <c r="G133" s="73"/>
      <c r="H133" s="73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5"/>
      <c r="X133" s="29"/>
      <c r="Y133" s="2"/>
      <c r="Z133" s="2"/>
      <c r="AA133" s="2"/>
      <c r="AB133" s="2"/>
      <c r="AC133" s="2"/>
    </row>
    <row r="134" spans="1:29" s="76" customFormat="1" ht="7.5" customHeight="1">
      <c r="A134" s="71"/>
      <c r="B134" s="1863" t="s">
        <v>58</v>
      </c>
      <c r="C134" s="1864"/>
      <c r="D134" s="1864"/>
      <c r="E134" s="1864"/>
      <c r="F134" s="1864"/>
      <c r="G134" s="1864"/>
      <c r="H134" s="1864"/>
      <c r="I134" s="1864"/>
      <c r="J134" s="1864"/>
      <c r="K134" s="1864"/>
      <c r="L134" s="1864"/>
      <c r="M134" s="1864"/>
      <c r="N134" s="1864"/>
      <c r="O134" s="1864"/>
      <c r="P134" s="1864"/>
      <c r="Q134" s="1864"/>
      <c r="R134" s="1864"/>
      <c r="S134" s="1864"/>
      <c r="T134" s="1864"/>
      <c r="U134" s="1864"/>
      <c r="V134" s="1864"/>
      <c r="W134" s="1865"/>
      <c r="X134" s="29"/>
      <c r="Y134" s="2"/>
      <c r="Z134" s="2"/>
      <c r="AA134" s="2"/>
      <c r="AB134" s="2"/>
      <c r="AC134" s="2"/>
    </row>
    <row r="135" spans="1:29" s="76" customFormat="1" ht="7.5" customHeight="1">
      <c r="A135" s="71"/>
      <c r="B135" s="1866"/>
      <c r="C135" s="1867"/>
      <c r="D135" s="1867"/>
      <c r="E135" s="1867"/>
      <c r="F135" s="1867"/>
      <c r="G135" s="1867"/>
      <c r="H135" s="1867"/>
      <c r="I135" s="1867"/>
      <c r="J135" s="1867"/>
      <c r="K135" s="1867"/>
      <c r="L135" s="1867"/>
      <c r="M135" s="1867"/>
      <c r="N135" s="1867"/>
      <c r="O135" s="1867"/>
      <c r="P135" s="1867"/>
      <c r="Q135" s="1867"/>
      <c r="R135" s="1867"/>
      <c r="S135" s="1867"/>
      <c r="T135" s="1867"/>
      <c r="U135" s="1867"/>
      <c r="V135" s="1867"/>
      <c r="W135" s="1868"/>
      <c r="X135" s="29"/>
      <c r="Y135" s="2"/>
      <c r="Z135" s="2"/>
      <c r="AA135" s="2"/>
      <c r="AB135" s="2"/>
      <c r="AC135" s="2"/>
    </row>
    <row r="136" spans="1:29" s="76" customFormat="1" ht="5.0999999999999996" customHeight="1">
      <c r="A136" s="71"/>
      <c r="B136" s="72"/>
      <c r="C136" s="72"/>
      <c r="D136" s="72"/>
      <c r="E136" s="72"/>
      <c r="F136" s="72"/>
      <c r="G136" s="72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8"/>
      <c r="W136" s="78"/>
      <c r="X136" s="29"/>
      <c r="Y136" s="2"/>
      <c r="Z136" s="2"/>
      <c r="AA136" s="2"/>
      <c r="AB136" s="2"/>
      <c r="AC136" s="2"/>
    </row>
    <row r="137" spans="1:29" s="76" customFormat="1" ht="15.6" customHeight="1">
      <c r="A137" s="71"/>
      <c r="B137" s="79" t="s">
        <v>47</v>
      </c>
      <c r="C137" s="80"/>
      <c r="D137" s="80"/>
      <c r="E137" s="81"/>
      <c r="F137" s="82"/>
      <c r="G137" s="82"/>
      <c r="H137" s="83"/>
      <c r="I137" s="84"/>
      <c r="J137" s="84"/>
      <c r="K137" s="85"/>
      <c r="L137" s="86" t="s">
        <v>48</v>
      </c>
      <c r="M137" s="83" t="e">
        <f>+M86</f>
        <v>#REF!</v>
      </c>
      <c r="N137" s="82"/>
      <c r="O137" s="84"/>
      <c r="P137" s="83"/>
      <c r="Q137" s="84"/>
      <c r="R137" s="84"/>
      <c r="S137" s="83"/>
      <c r="T137" s="84"/>
      <c r="U137" s="84"/>
      <c r="V137" s="82"/>
      <c r="W137" s="87" t="s">
        <v>49</v>
      </c>
      <c r="X137" s="29"/>
      <c r="Y137" s="2"/>
      <c r="Z137" s="2"/>
      <c r="AA137" s="2"/>
      <c r="AB137" s="2"/>
      <c r="AC137" s="2"/>
    </row>
    <row r="138" spans="1:29" s="76" customFormat="1" ht="15.6" customHeight="1">
      <c r="A138" s="71"/>
      <c r="B138" s="88"/>
      <c r="C138" s="89"/>
      <c r="D138" s="89"/>
      <c r="E138" s="96"/>
      <c r="F138" s="90"/>
      <c r="G138" s="90"/>
      <c r="H138" s="91"/>
      <c r="I138" s="92"/>
      <c r="J138" s="92"/>
      <c r="K138" s="93"/>
      <c r="L138" s="94" t="s">
        <v>50</v>
      </c>
      <c r="M138" s="91" t="e">
        <f t="shared" ref="M138:M141" si="19">+M87</f>
        <v>#REF!</v>
      </c>
      <c r="N138" s="90"/>
      <c r="O138" s="92"/>
      <c r="P138" s="91"/>
      <c r="Q138" s="92"/>
      <c r="R138" s="92"/>
      <c r="S138" s="91"/>
      <c r="T138" s="92"/>
      <c r="U138" s="92"/>
      <c r="V138" s="90"/>
      <c r="W138" s="95"/>
      <c r="X138" s="29"/>
      <c r="Y138" s="2"/>
      <c r="Z138" s="2"/>
      <c r="AA138" s="2"/>
      <c r="AB138" s="2"/>
      <c r="AC138" s="2"/>
    </row>
    <row r="139" spans="1:29" s="76" customFormat="1" ht="15.6" customHeight="1">
      <c r="A139" s="71"/>
      <c r="B139" s="88"/>
      <c r="C139" s="89"/>
      <c r="D139" s="89"/>
      <c r="E139" s="96"/>
      <c r="F139" s="90"/>
      <c r="G139" s="90"/>
      <c r="H139" s="91"/>
      <c r="I139" s="92"/>
      <c r="J139" s="92"/>
      <c r="K139" s="93"/>
      <c r="L139" s="94" t="s">
        <v>51</v>
      </c>
      <c r="M139" s="91" t="e">
        <f t="shared" si="19"/>
        <v>#REF!</v>
      </c>
      <c r="N139" s="90"/>
      <c r="O139" s="92"/>
      <c r="P139" s="91"/>
      <c r="Q139" s="92"/>
      <c r="R139" s="92"/>
      <c r="S139" s="91"/>
      <c r="T139" s="92"/>
      <c r="U139" s="92"/>
      <c r="V139" s="90"/>
      <c r="W139" s="1871" t="s">
        <v>52</v>
      </c>
      <c r="X139" s="29"/>
      <c r="Y139" s="2"/>
      <c r="Z139" s="2"/>
      <c r="AA139" s="2"/>
      <c r="AB139" s="2"/>
      <c r="AC139" s="2"/>
    </row>
    <row r="140" spans="1:29" s="76" customFormat="1" ht="15.6" customHeight="1">
      <c r="A140" s="71"/>
      <c r="B140" s="88"/>
      <c r="C140" s="89"/>
      <c r="D140" s="89"/>
      <c r="E140" s="96"/>
      <c r="F140" s="90"/>
      <c r="G140" s="90"/>
      <c r="H140" s="91"/>
      <c r="I140" s="92"/>
      <c r="J140" s="92"/>
      <c r="K140" s="93"/>
      <c r="L140" s="94" t="s">
        <v>53</v>
      </c>
      <c r="M140" s="91" t="e">
        <f t="shared" si="19"/>
        <v>#REF!</v>
      </c>
      <c r="N140" s="90"/>
      <c r="O140" s="92"/>
      <c r="P140" s="91"/>
      <c r="Q140" s="92"/>
      <c r="R140" s="92"/>
      <c r="S140" s="91"/>
      <c r="T140" s="92"/>
      <c r="U140" s="92"/>
      <c r="V140" s="90"/>
      <c r="W140" s="1872"/>
      <c r="X140" s="29"/>
      <c r="Y140" s="2"/>
      <c r="Z140" s="2"/>
      <c r="AA140" s="2"/>
      <c r="AB140" s="2"/>
      <c r="AC140" s="2"/>
    </row>
    <row r="141" spans="1:29" s="76" customFormat="1" ht="15.6" customHeight="1">
      <c r="A141" s="71"/>
      <c r="B141" s="97"/>
      <c r="C141" s="73"/>
      <c r="D141" s="73"/>
      <c r="E141" s="73"/>
      <c r="F141" s="73"/>
      <c r="G141" s="73"/>
      <c r="H141" s="73"/>
      <c r="I141" s="98" t="s">
        <v>54</v>
      </c>
      <c r="J141" s="99">
        <f ca="1">TODAY()</f>
        <v>46063</v>
      </c>
      <c r="K141" s="100"/>
      <c r="L141" s="101" t="s">
        <v>55</v>
      </c>
      <c r="M141" s="74" t="e">
        <f t="shared" si="19"/>
        <v>#REF!</v>
      </c>
      <c r="N141" s="73"/>
      <c r="O141" s="74"/>
      <c r="P141" s="74"/>
      <c r="Q141" s="74"/>
      <c r="R141" s="74"/>
      <c r="S141" s="74"/>
      <c r="T141" s="74"/>
      <c r="U141" s="74"/>
      <c r="V141" s="73"/>
      <c r="W141" s="1873"/>
      <c r="X141" s="29"/>
      <c r="Y141" s="2"/>
      <c r="Z141" s="2"/>
      <c r="AA141" s="2"/>
      <c r="AB141" s="2"/>
      <c r="AC141" s="2"/>
    </row>
    <row r="142" spans="1:29" s="106" customFormat="1" ht="8.1" customHeight="1">
      <c r="A142" s="102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4"/>
      <c r="Y142" s="105"/>
      <c r="Z142" s="105"/>
      <c r="AA142" s="105"/>
      <c r="AB142" s="105"/>
      <c r="AC142" s="105"/>
    </row>
    <row r="143" spans="1:29" ht="8.1" customHeight="1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5"/>
    </row>
    <row r="144" spans="1:29" s="2" customFormat="1" ht="22.5" customHeight="1">
      <c r="A144" s="6"/>
      <c r="B144" s="7"/>
      <c r="C144" s="1856" t="s">
        <v>4</v>
      </c>
      <c r="D144" s="1857"/>
      <c r="E144" s="1858" t="s">
        <v>5</v>
      </c>
      <c r="F144" s="8" t="s">
        <v>6</v>
      </c>
      <c r="G144" s="8"/>
      <c r="H144" s="8"/>
      <c r="I144" s="9"/>
      <c r="J144" s="1532" t="s">
        <v>7</v>
      </c>
      <c r="K144" s="1532" t="s">
        <v>8</v>
      </c>
      <c r="L144" s="1532" t="s">
        <v>9</v>
      </c>
      <c r="M144" s="1532" t="s">
        <v>9</v>
      </c>
      <c r="N144" s="1532" t="s">
        <v>9</v>
      </c>
      <c r="O144" s="1532"/>
      <c r="P144" s="10" t="s">
        <v>10</v>
      </c>
      <c r="Q144" s="9"/>
      <c r="R144" s="1532"/>
      <c r="S144" s="11" t="s">
        <v>11</v>
      </c>
      <c r="T144" s="12"/>
      <c r="U144" s="12"/>
      <c r="V144" s="13"/>
      <c r="W144" s="1532" t="s">
        <v>12</v>
      </c>
      <c r="X144" s="14"/>
    </row>
    <row r="145" spans="1:24" s="2" customFormat="1" ht="22.5" customHeight="1">
      <c r="A145" s="6"/>
      <c r="B145" s="15" t="s">
        <v>13</v>
      </c>
      <c r="C145" s="1858" t="s">
        <v>14</v>
      </c>
      <c r="D145" s="16" t="s">
        <v>15</v>
      </c>
      <c r="E145" s="1859"/>
      <c r="F145" s="12" t="s">
        <v>16</v>
      </c>
      <c r="G145" s="13"/>
      <c r="H145" s="11" t="s">
        <v>17</v>
      </c>
      <c r="I145" s="13"/>
      <c r="J145" s="1533" t="s">
        <v>18</v>
      </c>
      <c r="K145" s="1533" t="s">
        <v>19</v>
      </c>
      <c r="L145" s="17" t="s">
        <v>20</v>
      </c>
      <c r="M145" s="1533" t="s">
        <v>56</v>
      </c>
      <c r="N145" s="1533" t="s">
        <v>0</v>
      </c>
      <c r="O145" s="1533" t="s">
        <v>22</v>
      </c>
      <c r="P145" s="18" t="s">
        <v>23</v>
      </c>
      <c r="Q145" s="19"/>
      <c r="R145" s="1533" t="s">
        <v>24</v>
      </c>
      <c r="S145" s="1532" t="s">
        <v>25</v>
      </c>
      <c r="T145" s="1532" t="s">
        <v>26</v>
      </c>
      <c r="U145" s="1532" t="s">
        <v>27</v>
      </c>
      <c r="V145" s="1532" t="s">
        <v>28</v>
      </c>
      <c r="W145" s="1533" t="s">
        <v>29</v>
      </c>
      <c r="X145" s="14"/>
    </row>
    <row r="146" spans="1:24" s="2" customFormat="1" ht="22.5" customHeight="1">
      <c r="A146" s="6"/>
      <c r="B146" s="15" t="s">
        <v>30</v>
      </c>
      <c r="C146" s="1859"/>
      <c r="D146" s="16" t="s">
        <v>31</v>
      </c>
      <c r="E146" s="1859"/>
      <c r="F146" s="20" t="s">
        <v>32</v>
      </c>
      <c r="G146" s="1532" t="s">
        <v>33</v>
      </c>
      <c r="H146" s="1532" t="s">
        <v>32</v>
      </c>
      <c r="I146" s="1532" t="s">
        <v>33</v>
      </c>
      <c r="J146" s="1533" t="s">
        <v>34</v>
      </c>
      <c r="K146" s="1533" t="s">
        <v>34</v>
      </c>
      <c r="L146" s="1533" t="s">
        <v>35</v>
      </c>
      <c r="M146" s="1533" t="s">
        <v>35</v>
      </c>
      <c r="N146" s="1533" t="s">
        <v>35</v>
      </c>
      <c r="O146" s="1533" t="s">
        <v>37</v>
      </c>
      <c r="P146" s="18" t="s">
        <v>38</v>
      </c>
      <c r="Q146" s="19"/>
      <c r="R146" s="1533" t="s">
        <v>39</v>
      </c>
      <c r="S146" s="1533"/>
      <c r="T146" s="1533" t="s">
        <v>40</v>
      </c>
      <c r="U146" s="1533" t="s">
        <v>41</v>
      </c>
      <c r="V146" s="1533" t="s">
        <v>41</v>
      </c>
      <c r="W146" s="1533" t="s">
        <v>42</v>
      </c>
      <c r="X146" s="14"/>
    </row>
    <row r="147" spans="1:24" s="2" customFormat="1" ht="18" customHeight="1">
      <c r="A147" s="6"/>
      <c r="B147" s="1791" t="e">
        <f>+B96</f>
        <v>#REF!</v>
      </c>
      <c r="C147" s="21" t="e">
        <v>#REF!</v>
      </c>
      <c r="D147" s="22" t="e">
        <v>#REF!</v>
      </c>
      <c r="E147" s="21" t="e">
        <f>IF(F147="","","Faixa Adicional LD")</f>
        <v>#REF!</v>
      </c>
      <c r="F147" s="22" t="e">
        <v>#REF!</v>
      </c>
      <c r="G147" s="23" t="e">
        <v>#REF!</v>
      </c>
      <c r="H147" s="22" t="e">
        <v>#REF!</v>
      </c>
      <c r="I147" s="23" t="e">
        <v>#REF!</v>
      </c>
      <c r="J147" s="24" t="e">
        <f>IF(F147="","",((H147-F147)*20)+I147-G147)</f>
        <v>#REF!</v>
      </c>
      <c r="K147" s="23" t="e">
        <v>#REF!</v>
      </c>
      <c r="L147" s="24"/>
      <c r="M147" s="24"/>
      <c r="N147" s="25" t="e">
        <f>IF(F147="","",(J147*K147)+M147+L147)</f>
        <v>#REF!</v>
      </c>
      <c r="O147" s="25" t="e">
        <f>IF(F147="","",N147*#REF!/100)</f>
        <v>#REF!</v>
      </c>
      <c r="P147" s="26" t="e">
        <v>#REF!</v>
      </c>
      <c r="Q147" s="27" t="e">
        <f t="shared" ref="Q147:Q181" si="20">IF(F147="","","t/m3")</f>
        <v>#REF!</v>
      </c>
      <c r="R147" s="25" t="e">
        <f t="shared" ref="R147:R181" si="21">IF(F147="","",O147*P147)</f>
        <v>#REF!</v>
      </c>
      <c r="S147" s="28" t="e">
        <v>#REF!</v>
      </c>
      <c r="T147" s="28" t="e">
        <f t="shared" ref="T147:T181" si="22">IF(F147="","",IF(D147&gt;H147,((D147-H147)*0.02),IF(D147&lt;F147,((F147-D147)*0.02),IF(F147="","",0))))</f>
        <v>#REF!</v>
      </c>
      <c r="U147" s="28" t="e">
        <f t="shared" ref="U147:U181" si="23">IF(F147="","",IF(D147&gt;H147,((((H147-F147)*20)+I147-G147)/2000),IF(D147&gt;F147,((((D147-F147)*0.02)^2)+(((H147-D147)*0.02)^2))/(2*((H147-F147)*0.02)),((((H147-F147)*20)+I147-G147)/2000))))</f>
        <v>#REF!</v>
      </c>
      <c r="V147" s="28" t="e">
        <f t="shared" ref="V147:V181" si="24">IF(F147="","",S147+T147+U147)</f>
        <v>#REF!</v>
      </c>
      <c r="W147" s="25" t="e">
        <f t="shared" ref="W147:W181" si="25">IF(F147="","",O147*V147)</f>
        <v>#REF!</v>
      </c>
      <c r="X147" s="29"/>
    </row>
    <row r="148" spans="1:24" s="2" customFormat="1" ht="18" customHeight="1">
      <c r="A148" s="6"/>
      <c r="B148" s="1792"/>
      <c r="C148" s="38" t="e">
        <v>#REF!</v>
      </c>
      <c r="D148" s="39" t="e">
        <v>#REF!</v>
      </c>
      <c r="E148" s="38" t="e">
        <f t="shared" ref="E148:E181" si="26">IF(F148="","","Faixa Adicional LD")</f>
        <v>#REF!</v>
      </c>
      <c r="F148" s="39" t="e">
        <v>#REF!</v>
      </c>
      <c r="G148" s="40" t="e">
        <v>#REF!</v>
      </c>
      <c r="H148" s="39" t="e">
        <v>#REF!</v>
      </c>
      <c r="I148" s="40" t="e">
        <v>#REF!</v>
      </c>
      <c r="J148" s="41" t="e">
        <f t="shared" ref="J148:J181" si="27">IF(F148="","",((H148-F148)*20)+I148-G148)</f>
        <v>#REF!</v>
      </c>
      <c r="K148" s="40" t="e">
        <v>#REF!</v>
      </c>
      <c r="L148" s="41"/>
      <c r="M148" s="41"/>
      <c r="N148" s="42" t="e">
        <f t="shared" ref="N148:N181" si="28">IF(F148="","",(J148*K148)+M148+L148)</f>
        <v>#REF!</v>
      </c>
      <c r="O148" s="42" t="e">
        <f>IF(F148="","",N148*#REF!/100)</f>
        <v>#REF!</v>
      </c>
      <c r="P148" s="44" t="e">
        <v>#REF!</v>
      </c>
      <c r="Q148" s="45" t="e">
        <f t="shared" si="20"/>
        <v>#REF!</v>
      </c>
      <c r="R148" s="42" t="e">
        <f t="shared" si="21"/>
        <v>#REF!</v>
      </c>
      <c r="S148" s="46" t="e">
        <v>#REF!</v>
      </c>
      <c r="T148" s="46" t="e">
        <f t="shared" si="22"/>
        <v>#REF!</v>
      </c>
      <c r="U148" s="46" t="e">
        <f t="shared" si="23"/>
        <v>#REF!</v>
      </c>
      <c r="V148" s="46" t="e">
        <f t="shared" si="24"/>
        <v>#REF!</v>
      </c>
      <c r="W148" s="42" t="e">
        <f t="shared" si="25"/>
        <v>#REF!</v>
      </c>
      <c r="X148" s="29"/>
    </row>
    <row r="149" spans="1:24" s="2" customFormat="1" ht="18" customHeight="1">
      <c r="A149" s="6"/>
      <c r="B149" s="1837" t="e">
        <f>+B98</f>
        <v>#REF!</v>
      </c>
      <c r="C149" s="30" t="e">
        <v>#REF!</v>
      </c>
      <c r="D149" s="31" t="e">
        <v>#REF!</v>
      </c>
      <c r="E149" s="30" t="e">
        <f t="shared" si="26"/>
        <v>#REF!</v>
      </c>
      <c r="F149" s="31" t="e">
        <v>#REF!</v>
      </c>
      <c r="G149" s="32" t="e">
        <v>#REF!</v>
      </c>
      <c r="H149" s="31" t="e">
        <v>#REF!</v>
      </c>
      <c r="I149" s="32" t="e">
        <v>#REF!</v>
      </c>
      <c r="J149" s="33" t="e">
        <f t="shared" si="27"/>
        <v>#REF!</v>
      </c>
      <c r="K149" s="32" t="e">
        <v>#REF!</v>
      </c>
      <c r="L149" s="33"/>
      <c r="M149" s="33"/>
      <c r="N149" s="34" t="e">
        <f t="shared" si="28"/>
        <v>#REF!</v>
      </c>
      <c r="O149" s="34" t="e">
        <f>IF(F149="","",N149*#REF!/100)</f>
        <v>#REF!</v>
      </c>
      <c r="P149" s="35" t="e">
        <v>#REF!</v>
      </c>
      <c r="Q149" s="36" t="e">
        <f t="shared" si="20"/>
        <v>#REF!</v>
      </c>
      <c r="R149" s="34" t="e">
        <f t="shared" si="21"/>
        <v>#REF!</v>
      </c>
      <c r="S149" s="37" t="e">
        <v>#REF!</v>
      </c>
      <c r="T149" s="37" t="e">
        <f t="shared" si="22"/>
        <v>#REF!</v>
      </c>
      <c r="U149" s="37" t="e">
        <f t="shared" si="23"/>
        <v>#REF!</v>
      </c>
      <c r="V149" s="37" t="e">
        <f t="shared" si="24"/>
        <v>#REF!</v>
      </c>
      <c r="W149" s="34" t="e">
        <f t="shared" si="25"/>
        <v>#REF!</v>
      </c>
      <c r="X149" s="29"/>
    </row>
    <row r="150" spans="1:24" s="2" customFormat="1" ht="18" customHeight="1">
      <c r="A150" s="6"/>
      <c r="B150" s="1837"/>
      <c r="C150" s="38" t="e">
        <v>#REF!</v>
      </c>
      <c r="D150" s="39" t="e">
        <v>#REF!</v>
      </c>
      <c r="E150" s="38" t="e">
        <f t="shared" si="26"/>
        <v>#REF!</v>
      </c>
      <c r="F150" s="39" t="e">
        <v>#REF!</v>
      </c>
      <c r="G150" s="40" t="e">
        <v>#REF!</v>
      </c>
      <c r="H150" s="39" t="e">
        <v>#REF!</v>
      </c>
      <c r="I150" s="40" t="e">
        <v>#REF!</v>
      </c>
      <c r="J150" s="41" t="e">
        <f t="shared" si="27"/>
        <v>#REF!</v>
      </c>
      <c r="K150" s="40" t="e">
        <v>#REF!</v>
      </c>
      <c r="L150" s="41"/>
      <c r="M150" s="41"/>
      <c r="N150" s="42" t="e">
        <f t="shared" si="28"/>
        <v>#REF!</v>
      </c>
      <c r="O150" s="42" t="e">
        <f>IF(F150="","",N150*#REF!/100)</f>
        <v>#REF!</v>
      </c>
      <c r="P150" s="44" t="e">
        <v>#REF!</v>
      </c>
      <c r="Q150" s="45" t="e">
        <f t="shared" si="20"/>
        <v>#REF!</v>
      </c>
      <c r="R150" s="42" t="e">
        <f t="shared" si="21"/>
        <v>#REF!</v>
      </c>
      <c r="S150" s="46" t="e">
        <v>#REF!</v>
      </c>
      <c r="T150" s="46" t="e">
        <f t="shared" si="22"/>
        <v>#REF!</v>
      </c>
      <c r="U150" s="46" t="e">
        <f t="shared" si="23"/>
        <v>#REF!</v>
      </c>
      <c r="V150" s="46" t="e">
        <f t="shared" si="24"/>
        <v>#REF!</v>
      </c>
      <c r="W150" s="42" t="e">
        <f t="shared" si="25"/>
        <v>#REF!</v>
      </c>
      <c r="X150" s="29"/>
    </row>
    <row r="151" spans="1:24" s="2" customFormat="1" ht="18" customHeight="1">
      <c r="A151" s="6"/>
      <c r="B151" s="1837"/>
      <c r="C151" s="30" t="e">
        <v>#REF!</v>
      </c>
      <c r="D151" s="31" t="e">
        <v>#REF!</v>
      </c>
      <c r="E151" s="30" t="e">
        <f t="shared" si="26"/>
        <v>#REF!</v>
      </c>
      <c r="F151" s="31" t="e">
        <v>#REF!</v>
      </c>
      <c r="G151" s="32" t="e">
        <v>#REF!</v>
      </c>
      <c r="H151" s="31" t="e">
        <v>#REF!</v>
      </c>
      <c r="I151" s="32" t="e">
        <v>#REF!</v>
      </c>
      <c r="J151" s="33" t="e">
        <f t="shared" si="27"/>
        <v>#REF!</v>
      </c>
      <c r="K151" s="32" t="e">
        <v>#REF!</v>
      </c>
      <c r="L151" s="33"/>
      <c r="M151" s="33"/>
      <c r="N151" s="34" t="e">
        <f t="shared" si="28"/>
        <v>#REF!</v>
      </c>
      <c r="O151" s="34" t="e">
        <f>IF(F151="","",N151*#REF!/100)</f>
        <v>#REF!</v>
      </c>
      <c r="P151" s="35" t="e">
        <v>#REF!</v>
      </c>
      <c r="Q151" s="36" t="e">
        <f t="shared" si="20"/>
        <v>#REF!</v>
      </c>
      <c r="R151" s="34" t="e">
        <f t="shared" si="21"/>
        <v>#REF!</v>
      </c>
      <c r="S151" s="37" t="e">
        <v>#REF!</v>
      </c>
      <c r="T151" s="37" t="e">
        <f t="shared" si="22"/>
        <v>#REF!</v>
      </c>
      <c r="U151" s="37" t="e">
        <f t="shared" si="23"/>
        <v>#REF!</v>
      </c>
      <c r="V151" s="37" t="e">
        <f t="shared" si="24"/>
        <v>#REF!</v>
      </c>
      <c r="W151" s="34" t="e">
        <f t="shared" si="25"/>
        <v>#REF!</v>
      </c>
      <c r="X151" s="29"/>
    </row>
    <row r="152" spans="1:24" s="2" customFormat="1" ht="18" customHeight="1">
      <c r="A152" s="6"/>
      <c r="B152" s="47"/>
      <c r="C152" s="38" t="e">
        <v>#REF!</v>
      </c>
      <c r="D152" s="39" t="e">
        <v>#REF!</v>
      </c>
      <c r="E152" s="38" t="e">
        <f t="shared" si="26"/>
        <v>#REF!</v>
      </c>
      <c r="F152" s="39" t="e">
        <v>#REF!</v>
      </c>
      <c r="G152" s="40" t="e">
        <v>#REF!</v>
      </c>
      <c r="H152" s="39" t="e">
        <v>#REF!</v>
      </c>
      <c r="I152" s="40" t="e">
        <v>#REF!</v>
      </c>
      <c r="J152" s="41" t="e">
        <f t="shared" si="27"/>
        <v>#REF!</v>
      </c>
      <c r="K152" s="40" t="e">
        <v>#REF!</v>
      </c>
      <c r="L152" s="41"/>
      <c r="M152" s="41"/>
      <c r="N152" s="42" t="e">
        <f t="shared" si="28"/>
        <v>#REF!</v>
      </c>
      <c r="O152" s="42" t="e">
        <f>IF(F152="","",N152*#REF!/100)</f>
        <v>#REF!</v>
      </c>
      <c r="P152" s="44" t="e">
        <v>#REF!</v>
      </c>
      <c r="Q152" s="45" t="e">
        <f t="shared" si="20"/>
        <v>#REF!</v>
      </c>
      <c r="R152" s="42" t="e">
        <f t="shared" si="21"/>
        <v>#REF!</v>
      </c>
      <c r="S152" s="46" t="e">
        <v>#REF!</v>
      </c>
      <c r="T152" s="46" t="e">
        <f t="shared" si="22"/>
        <v>#REF!</v>
      </c>
      <c r="U152" s="46" t="e">
        <f t="shared" si="23"/>
        <v>#REF!</v>
      </c>
      <c r="V152" s="46" t="e">
        <f t="shared" si="24"/>
        <v>#REF!</v>
      </c>
      <c r="W152" s="42" t="e">
        <f t="shared" si="25"/>
        <v>#REF!</v>
      </c>
      <c r="X152" s="29"/>
    </row>
    <row r="153" spans="1:24" s="2" customFormat="1" ht="18" customHeight="1">
      <c r="A153" s="6"/>
      <c r="B153" s="47"/>
      <c r="C153" s="30" t="e">
        <v>#REF!</v>
      </c>
      <c r="D153" s="31" t="e">
        <v>#REF!</v>
      </c>
      <c r="E153" s="30" t="e">
        <f t="shared" si="26"/>
        <v>#REF!</v>
      </c>
      <c r="F153" s="31" t="e">
        <v>#REF!</v>
      </c>
      <c r="G153" s="32" t="e">
        <v>#REF!</v>
      </c>
      <c r="H153" s="31" t="e">
        <v>#REF!</v>
      </c>
      <c r="I153" s="32" t="e">
        <v>#REF!</v>
      </c>
      <c r="J153" s="33" t="e">
        <f t="shared" si="27"/>
        <v>#REF!</v>
      </c>
      <c r="K153" s="32" t="e">
        <v>#REF!</v>
      </c>
      <c r="L153" s="33"/>
      <c r="M153" s="33"/>
      <c r="N153" s="34" t="e">
        <f t="shared" si="28"/>
        <v>#REF!</v>
      </c>
      <c r="O153" s="34" t="e">
        <f>IF(F153="","",N153*#REF!/100)</f>
        <v>#REF!</v>
      </c>
      <c r="P153" s="35" t="e">
        <v>#REF!</v>
      </c>
      <c r="Q153" s="36" t="e">
        <f t="shared" si="20"/>
        <v>#REF!</v>
      </c>
      <c r="R153" s="34" t="e">
        <f t="shared" si="21"/>
        <v>#REF!</v>
      </c>
      <c r="S153" s="37" t="e">
        <v>#REF!</v>
      </c>
      <c r="T153" s="37" t="e">
        <f t="shared" si="22"/>
        <v>#REF!</v>
      </c>
      <c r="U153" s="37" t="e">
        <f t="shared" si="23"/>
        <v>#REF!</v>
      </c>
      <c r="V153" s="37" t="e">
        <f t="shared" si="24"/>
        <v>#REF!</v>
      </c>
      <c r="W153" s="34" t="e">
        <f t="shared" si="25"/>
        <v>#REF!</v>
      </c>
      <c r="X153" s="29"/>
    </row>
    <row r="154" spans="1:24" s="2" customFormat="1" ht="18" customHeight="1">
      <c r="A154" s="6"/>
      <c r="B154" s="48"/>
      <c r="C154" s="38" t="e">
        <v>#REF!</v>
      </c>
      <c r="D154" s="39" t="e">
        <v>#REF!</v>
      </c>
      <c r="E154" s="38" t="e">
        <f t="shared" si="26"/>
        <v>#REF!</v>
      </c>
      <c r="F154" s="39" t="e">
        <v>#REF!</v>
      </c>
      <c r="G154" s="40" t="e">
        <v>#REF!</v>
      </c>
      <c r="H154" s="39" t="e">
        <v>#REF!</v>
      </c>
      <c r="I154" s="40" t="e">
        <v>#REF!</v>
      </c>
      <c r="J154" s="41" t="e">
        <f t="shared" si="27"/>
        <v>#REF!</v>
      </c>
      <c r="K154" s="40" t="e">
        <v>#REF!</v>
      </c>
      <c r="L154" s="41"/>
      <c r="M154" s="41"/>
      <c r="N154" s="42" t="e">
        <f t="shared" si="28"/>
        <v>#REF!</v>
      </c>
      <c r="O154" s="42" t="e">
        <f>IF(F154="","",N154*#REF!/100)</f>
        <v>#REF!</v>
      </c>
      <c r="P154" s="44" t="e">
        <v>#REF!</v>
      </c>
      <c r="Q154" s="45" t="e">
        <f t="shared" si="20"/>
        <v>#REF!</v>
      </c>
      <c r="R154" s="42" t="e">
        <f t="shared" si="21"/>
        <v>#REF!</v>
      </c>
      <c r="S154" s="46" t="e">
        <v>#REF!</v>
      </c>
      <c r="T154" s="46" t="e">
        <f t="shared" si="22"/>
        <v>#REF!</v>
      </c>
      <c r="U154" s="46" t="e">
        <f t="shared" si="23"/>
        <v>#REF!</v>
      </c>
      <c r="V154" s="46" t="e">
        <f t="shared" si="24"/>
        <v>#REF!</v>
      </c>
      <c r="W154" s="42" t="e">
        <f t="shared" si="25"/>
        <v>#REF!</v>
      </c>
      <c r="X154" s="29"/>
    </row>
    <row r="155" spans="1:24" s="2" customFormat="1" ht="18" customHeight="1">
      <c r="A155" s="6"/>
      <c r="B155" s="48"/>
      <c r="C155" s="30" t="e">
        <v>#REF!</v>
      </c>
      <c r="D155" s="31" t="e">
        <v>#REF!</v>
      </c>
      <c r="E155" s="30" t="e">
        <f t="shared" si="26"/>
        <v>#REF!</v>
      </c>
      <c r="F155" s="31" t="e">
        <v>#REF!</v>
      </c>
      <c r="G155" s="32" t="e">
        <v>#REF!</v>
      </c>
      <c r="H155" s="31" t="e">
        <v>#REF!</v>
      </c>
      <c r="I155" s="32" t="e">
        <v>#REF!</v>
      </c>
      <c r="J155" s="33" t="e">
        <f t="shared" si="27"/>
        <v>#REF!</v>
      </c>
      <c r="K155" s="32" t="e">
        <v>#REF!</v>
      </c>
      <c r="L155" s="33"/>
      <c r="M155" s="33"/>
      <c r="N155" s="34" t="e">
        <f t="shared" si="28"/>
        <v>#REF!</v>
      </c>
      <c r="O155" s="34" t="e">
        <f>IF(F155="","",N155*#REF!/100)</f>
        <v>#REF!</v>
      </c>
      <c r="P155" s="35" t="e">
        <v>#REF!</v>
      </c>
      <c r="Q155" s="36" t="e">
        <f t="shared" si="20"/>
        <v>#REF!</v>
      </c>
      <c r="R155" s="34" t="e">
        <f t="shared" si="21"/>
        <v>#REF!</v>
      </c>
      <c r="S155" s="37" t="e">
        <v>#REF!</v>
      </c>
      <c r="T155" s="37" t="e">
        <f t="shared" si="22"/>
        <v>#REF!</v>
      </c>
      <c r="U155" s="37" t="e">
        <f t="shared" si="23"/>
        <v>#REF!</v>
      </c>
      <c r="V155" s="37" t="e">
        <f t="shared" si="24"/>
        <v>#REF!</v>
      </c>
      <c r="W155" s="34" t="e">
        <f t="shared" si="25"/>
        <v>#REF!</v>
      </c>
      <c r="X155" s="29"/>
    </row>
    <row r="156" spans="1:24" s="2" customFormat="1" ht="18" customHeight="1">
      <c r="A156" s="6"/>
      <c r="B156" s="48"/>
      <c r="C156" s="38" t="e">
        <v>#REF!</v>
      </c>
      <c r="D156" s="39" t="e">
        <v>#REF!</v>
      </c>
      <c r="E156" s="38" t="e">
        <f t="shared" si="26"/>
        <v>#REF!</v>
      </c>
      <c r="F156" s="39" t="e">
        <v>#REF!</v>
      </c>
      <c r="G156" s="40" t="e">
        <v>#REF!</v>
      </c>
      <c r="H156" s="39" t="e">
        <v>#REF!</v>
      </c>
      <c r="I156" s="40" t="e">
        <v>#REF!</v>
      </c>
      <c r="J156" s="41" t="e">
        <f t="shared" si="27"/>
        <v>#REF!</v>
      </c>
      <c r="K156" s="40" t="e">
        <v>#REF!</v>
      </c>
      <c r="L156" s="41"/>
      <c r="M156" s="41"/>
      <c r="N156" s="42" t="e">
        <f t="shared" si="28"/>
        <v>#REF!</v>
      </c>
      <c r="O156" s="42" t="e">
        <f>IF(F156="","",N156*#REF!/100)</f>
        <v>#REF!</v>
      </c>
      <c r="P156" s="44" t="e">
        <v>#REF!</v>
      </c>
      <c r="Q156" s="45" t="e">
        <f t="shared" si="20"/>
        <v>#REF!</v>
      </c>
      <c r="R156" s="42" t="e">
        <f t="shared" si="21"/>
        <v>#REF!</v>
      </c>
      <c r="S156" s="46" t="e">
        <v>#REF!</v>
      </c>
      <c r="T156" s="46" t="e">
        <f t="shared" si="22"/>
        <v>#REF!</v>
      </c>
      <c r="U156" s="46" t="e">
        <f t="shared" si="23"/>
        <v>#REF!</v>
      </c>
      <c r="V156" s="46" t="e">
        <f t="shared" si="24"/>
        <v>#REF!</v>
      </c>
      <c r="W156" s="42" t="e">
        <f t="shared" si="25"/>
        <v>#REF!</v>
      </c>
      <c r="X156" s="29"/>
    </row>
    <row r="157" spans="1:24" s="2" customFormat="1" ht="18" customHeight="1">
      <c r="A157" s="6"/>
      <c r="B157" s="48"/>
      <c r="C157" s="30" t="e">
        <v>#REF!</v>
      </c>
      <c r="D157" s="31" t="e">
        <v>#REF!</v>
      </c>
      <c r="E157" s="30" t="e">
        <f t="shared" si="26"/>
        <v>#REF!</v>
      </c>
      <c r="F157" s="31" t="e">
        <v>#REF!</v>
      </c>
      <c r="G157" s="32" t="e">
        <v>#REF!</v>
      </c>
      <c r="H157" s="31" t="e">
        <v>#REF!</v>
      </c>
      <c r="I157" s="32" t="e">
        <v>#REF!</v>
      </c>
      <c r="J157" s="33" t="e">
        <f t="shared" si="27"/>
        <v>#REF!</v>
      </c>
      <c r="K157" s="32" t="e">
        <v>#REF!</v>
      </c>
      <c r="L157" s="33"/>
      <c r="M157" s="33"/>
      <c r="N157" s="34" t="e">
        <f t="shared" si="28"/>
        <v>#REF!</v>
      </c>
      <c r="O157" s="34" t="e">
        <f>IF(F157="","",N157*#REF!/100)</f>
        <v>#REF!</v>
      </c>
      <c r="P157" s="35" t="e">
        <v>#REF!</v>
      </c>
      <c r="Q157" s="36" t="e">
        <f t="shared" si="20"/>
        <v>#REF!</v>
      </c>
      <c r="R157" s="34" t="e">
        <f t="shared" si="21"/>
        <v>#REF!</v>
      </c>
      <c r="S157" s="37" t="e">
        <v>#REF!</v>
      </c>
      <c r="T157" s="37" t="e">
        <f t="shared" si="22"/>
        <v>#REF!</v>
      </c>
      <c r="U157" s="37" t="e">
        <f t="shared" si="23"/>
        <v>#REF!</v>
      </c>
      <c r="V157" s="37" t="e">
        <f t="shared" si="24"/>
        <v>#REF!</v>
      </c>
      <c r="W157" s="34" t="e">
        <f t="shared" si="25"/>
        <v>#REF!</v>
      </c>
      <c r="X157" s="29"/>
    </row>
    <row r="158" spans="1:24" s="2" customFormat="1" ht="18" customHeight="1">
      <c r="A158" s="6"/>
      <c r="B158" s="48"/>
      <c r="C158" s="38" t="e">
        <v>#REF!</v>
      </c>
      <c r="D158" s="39" t="e">
        <v>#REF!</v>
      </c>
      <c r="E158" s="38" t="e">
        <f t="shared" si="26"/>
        <v>#REF!</v>
      </c>
      <c r="F158" s="39" t="e">
        <v>#REF!</v>
      </c>
      <c r="G158" s="40" t="e">
        <v>#REF!</v>
      </c>
      <c r="H158" s="39" t="e">
        <v>#REF!</v>
      </c>
      <c r="I158" s="40" t="e">
        <v>#REF!</v>
      </c>
      <c r="J158" s="41" t="e">
        <f t="shared" si="27"/>
        <v>#REF!</v>
      </c>
      <c r="K158" s="40" t="e">
        <v>#REF!</v>
      </c>
      <c r="L158" s="41"/>
      <c r="M158" s="41"/>
      <c r="N158" s="42" t="e">
        <f t="shared" si="28"/>
        <v>#REF!</v>
      </c>
      <c r="O158" s="42" t="e">
        <f>IF(F158="","",N158*#REF!/100)</f>
        <v>#REF!</v>
      </c>
      <c r="P158" s="44" t="e">
        <v>#REF!</v>
      </c>
      <c r="Q158" s="45" t="e">
        <f t="shared" si="20"/>
        <v>#REF!</v>
      </c>
      <c r="R158" s="42" t="e">
        <f t="shared" si="21"/>
        <v>#REF!</v>
      </c>
      <c r="S158" s="46" t="e">
        <v>#REF!</v>
      </c>
      <c r="T158" s="46" t="e">
        <f t="shared" si="22"/>
        <v>#REF!</v>
      </c>
      <c r="U158" s="46" t="e">
        <f t="shared" si="23"/>
        <v>#REF!</v>
      </c>
      <c r="V158" s="46" t="e">
        <f t="shared" si="24"/>
        <v>#REF!</v>
      </c>
      <c r="W158" s="42" t="e">
        <f t="shared" si="25"/>
        <v>#REF!</v>
      </c>
      <c r="X158" s="29"/>
    </row>
    <row r="159" spans="1:24" s="2" customFormat="1" ht="18" customHeight="1">
      <c r="A159" s="6"/>
      <c r="B159" s="48"/>
      <c r="C159" s="30" t="e">
        <v>#REF!</v>
      </c>
      <c r="D159" s="31" t="e">
        <v>#REF!</v>
      </c>
      <c r="E159" s="30" t="e">
        <f t="shared" si="26"/>
        <v>#REF!</v>
      </c>
      <c r="F159" s="31" t="e">
        <v>#REF!</v>
      </c>
      <c r="G159" s="32" t="e">
        <v>#REF!</v>
      </c>
      <c r="H159" s="31" t="e">
        <v>#REF!</v>
      </c>
      <c r="I159" s="32" t="e">
        <v>#REF!</v>
      </c>
      <c r="J159" s="33" t="e">
        <f t="shared" si="27"/>
        <v>#REF!</v>
      </c>
      <c r="K159" s="32" t="e">
        <v>#REF!</v>
      </c>
      <c r="L159" s="33"/>
      <c r="M159" s="33"/>
      <c r="N159" s="34" t="e">
        <f t="shared" si="28"/>
        <v>#REF!</v>
      </c>
      <c r="O159" s="34" t="e">
        <f>IF(F159="","",N159*#REF!/100)</f>
        <v>#REF!</v>
      </c>
      <c r="P159" s="35" t="e">
        <v>#REF!</v>
      </c>
      <c r="Q159" s="36" t="e">
        <f t="shared" si="20"/>
        <v>#REF!</v>
      </c>
      <c r="R159" s="34" t="e">
        <f t="shared" si="21"/>
        <v>#REF!</v>
      </c>
      <c r="S159" s="37" t="e">
        <v>#REF!</v>
      </c>
      <c r="T159" s="37" t="e">
        <f t="shared" si="22"/>
        <v>#REF!</v>
      </c>
      <c r="U159" s="37" t="e">
        <f t="shared" si="23"/>
        <v>#REF!</v>
      </c>
      <c r="V159" s="37" t="e">
        <f t="shared" si="24"/>
        <v>#REF!</v>
      </c>
      <c r="W159" s="34" t="e">
        <f t="shared" si="25"/>
        <v>#REF!</v>
      </c>
      <c r="X159" s="29"/>
    </row>
    <row r="160" spans="1:24" s="2" customFormat="1" ht="18" customHeight="1">
      <c r="A160" s="6"/>
      <c r="B160" s="48"/>
      <c r="C160" s="38" t="e">
        <v>#REF!</v>
      </c>
      <c r="D160" s="39" t="e">
        <v>#REF!</v>
      </c>
      <c r="E160" s="38" t="e">
        <f t="shared" si="26"/>
        <v>#REF!</v>
      </c>
      <c r="F160" s="39" t="e">
        <v>#REF!</v>
      </c>
      <c r="G160" s="40" t="e">
        <v>#REF!</v>
      </c>
      <c r="H160" s="39" t="e">
        <v>#REF!</v>
      </c>
      <c r="I160" s="40" t="e">
        <v>#REF!</v>
      </c>
      <c r="J160" s="41" t="e">
        <f t="shared" si="27"/>
        <v>#REF!</v>
      </c>
      <c r="K160" s="40" t="e">
        <v>#REF!</v>
      </c>
      <c r="L160" s="41"/>
      <c r="M160" s="41"/>
      <c r="N160" s="42" t="e">
        <f t="shared" si="28"/>
        <v>#REF!</v>
      </c>
      <c r="O160" s="42" t="e">
        <f>IF(F160="","",N160*#REF!/100)</f>
        <v>#REF!</v>
      </c>
      <c r="P160" s="44" t="e">
        <v>#REF!</v>
      </c>
      <c r="Q160" s="45" t="e">
        <f t="shared" si="20"/>
        <v>#REF!</v>
      </c>
      <c r="R160" s="42" t="e">
        <f t="shared" si="21"/>
        <v>#REF!</v>
      </c>
      <c r="S160" s="46" t="e">
        <v>#REF!</v>
      </c>
      <c r="T160" s="46" t="e">
        <f t="shared" si="22"/>
        <v>#REF!</v>
      </c>
      <c r="U160" s="46" t="e">
        <f t="shared" si="23"/>
        <v>#REF!</v>
      </c>
      <c r="V160" s="46" t="e">
        <f t="shared" si="24"/>
        <v>#REF!</v>
      </c>
      <c r="W160" s="42" t="e">
        <f t="shared" si="25"/>
        <v>#REF!</v>
      </c>
      <c r="X160" s="29"/>
    </row>
    <row r="161" spans="1:24" s="2" customFormat="1" ht="18" customHeight="1">
      <c r="A161" s="6"/>
      <c r="B161" s="48"/>
      <c r="C161" s="30" t="e">
        <v>#REF!</v>
      </c>
      <c r="D161" s="31" t="e">
        <v>#REF!</v>
      </c>
      <c r="E161" s="30" t="e">
        <f t="shared" si="26"/>
        <v>#REF!</v>
      </c>
      <c r="F161" s="31" t="e">
        <v>#REF!</v>
      </c>
      <c r="G161" s="32" t="e">
        <v>#REF!</v>
      </c>
      <c r="H161" s="31" t="e">
        <v>#REF!</v>
      </c>
      <c r="I161" s="32" t="e">
        <v>#REF!</v>
      </c>
      <c r="J161" s="33" t="e">
        <f t="shared" si="27"/>
        <v>#REF!</v>
      </c>
      <c r="K161" s="32" t="e">
        <v>#REF!</v>
      </c>
      <c r="L161" s="33"/>
      <c r="M161" s="33"/>
      <c r="N161" s="34" t="e">
        <f t="shared" si="28"/>
        <v>#REF!</v>
      </c>
      <c r="O161" s="34" t="e">
        <f>IF(F161="","",N161*#REF!/100)</f>
        <v>#REF!</v>
      </c>
      <c r="P161" s="35" t="e">
        <v>#REF!</v>
      </c>
      <c r="Q161" s="36" t="e">
        <f t="shared" si="20"/>
        <v>#REF!</v>
      </c>
      <c r="R161" s="34" t="e">
        <f t="shared" si="21"/>
        <v>#REF!</v>
      </c>
      <c r="S161" s="37" t="e">
        <v>#REF!</v>
      </c>
      <c r="T161" s="37" t="e">
        <f t="shared" si="22"/>
        <v>#REF!</v>
      </c>
      <c r="U161" s="37" t="e">
        <f t="shared" si="23"/>
        <v>#REF!</v>
      </c>
      <c r="V161" s="37" t="e">
        <f t="shared" si="24"/>
        <v>#REF!</v>
      </c>
      <c r="W161" s="34" t="e">
        <f t="shared" si="25"/>
        <v>#REF!</v>
      </c>
      <c r="X161" s="29"/>
    </row>
    <row r="162" spans="1:24" s="2" customFormat="1" ht="18" customHeight="1">
      <c r="A162" s="6"/>
      <c r="B162" s="48"/>
      <c r="C162" s="38" t="e">
        <v>#REF!</v>
      </c>
      <c r="D162" s="39" t="e">
        <v>#REF!</v>
      </c>
      <c r="E162" s="38" t="e">
        <f t="shared" si="26"/>
        <v>#REF!</v>
      </c>
      <c r="F162" s="39" t="e">
        <v>#REF!</v>
      </c>
      <c r="G162" s="40" t="e">
        <v>#REF!</v>
      </c>
      <c r="H162" s="39" t="e">
        <v>#REF!</v>
      </c>
      <c r="I162" s="40" t="e">
        <v>#REF!</v>
      </c>
      <c r="J162" s="41" t="e">
        <f t="shared" si="27"/>
        <v>#REF!</v>
      </c>
      <c r="K162" s="40" t="e">
        <v>#REF!</v>
      </c>
      <c r="L162" s="41"/>
      <c r="M162" s="41"/>
      <c r="N162" s="42" t="e">
        <f t="shared" si="28"/>
        <v>#REF!</v>
      </c>
      <c r="O162" s="42" t="e">
        <f>IF(F162="","",N162*#REF!/100)</f>
        <v>#REF!</v>
      </c>
      <c r="P162" s="44" t="e">
        <v>#REF!</v>
      </c>
      <c r="Q162" s="45" t="e">
        <f t="shared" si="20"/>
        <v>#REF!</v>
      </c>
      <c r="R162" s="42" t="e">
        <f t="shared" si="21"/>
        <v>#REF!</v>
      </c>
      <c r="S162" s="46" t="e">
        <v>#REF!</v>
      </c>
      <c r="T162" s="46" t="e">
        <f t="shared" si="22"/>
        <v>#REF!</v>
      </c>
      <c r="U162" s="46" t="e">
        <f t="shared" si="23"/>
        <v>#REF!</v>
      </c>
      <c r="V162" s="46" t="e">
        <f t="shared" si="24"/>
        <v>#REF!</v>
      </c>
      <c r="W162" s="42" t="e">
        <f t="shared" si="25"/>
        <v>#REF!</v>
      </c>
      <c r="X162" s="29"/>
    </row>
    <row r="163" spans="1:24" s="2" customFormat="1" ht="18" customHeight="1">
      <c r="A163" s="6"/>
      <c r="B163" s="48"/>
      <c r="C163" s="30" t="e">
        <v>#REF!</v>
      </c>
      <c r="D163" s="31" t="e">
        <v>#REF!</v>
      </c>
      <c r="E163" s="30" t="e">
        <f t="shared" si="26"/>
        <v>#REF!</v>
      </c>
      <c r="F163" s="31" t="e">
        <v>#REF!</v>
      </c>
      <c r="G163" s="32" t="e">
        <v>#REF!</v>
      </c>
      <c r="H163" s="31" t="e">
        <v>#REF!</v>
      </c>
      <c r="I163" s="32" t="e">
        <v>#REF!</v>
      </c>
      <c r="J163" s="33" t="e">
        <f t="shared" si="27"/>
        <v>#REF!</v>
      </c>
      <c r="K163" s="32" t="e">
        <v>#REF!</v>
      </c>
      <c r="L163" s="33"/>
      <c r="M163" s="33"/>
      <c r="N163" s="34" t="e">
        <f t="shared" si="28"/>
        <v>#REF!</v>
      </c>
      <c r="O163" s="34" t="e">
        <f>IF(F163="","",N163*#REF!/100)</f>
        <v>#REF!</v>
      </c>
      <c r="P163" s="35" t="e">
        <v>#REF!</v>
      </c>
      <c r="Q163" s="36" t="e">
        <f t="shared" si="20"/>
        <v>#REF!</v>
      </c>
      <c r="R163" s="34" t="e">
        <f t="shared" si="21"/>
        <v>#REF!</v>
      </c>
      <c r="S163" s="37" t="e">
        <v>#REF!</v>
      </c>
      <c r="T163" s="37" t="e">
        <f t="shared" si="22"/>
        <v>#REF!</v>
      </c>
      <c r="U163" s="37" t="e">
        <f t="shared" si="23"/>
        <v>#REF!</v>
      </c>
      <c r="V163" s="37" t="e">
        <f t="shared" si="24"/>
        <v>#REF!</v>
      </c>
      <c r="W163" s="34" t="e">
        <f t="shared" si="25"/>
        <v>#REF!</v>
      </c>
      <c r="X163" s="29"/>
    </row>
    <row r="164" spans="1:24" s="2" customFormat="1" ht="18" customHeight="1">
      <c r="A164" s="6"/>
      <c r="B164" s="48"/>
      <c r="C164" s="38" t="e">
        <v>#REF!</v>
      </c>
      <c r="D164" s="39" t="e">
        <v>#REF!</v>
      </c>
      <c r="E164" s="38" t="e">
        <f t="shared" si="26"/>
        <v>#REF!</v>
      </c>
      <c r="F164" s="39" t="e">
        <v>#REF!</v>
      </c>
      <c r="G164" s="40" t="e">
        <v>#REF!</v>
      </c>
      <c r="H164" s="39" t="e">
        <v>#REF!</v>
      </c>
      <c r="I164" s="40" t="e">
        <v>#REF!</v>
      </c>
      <c r="J164" s="41" t="e">
        <f t="shared" si="27"/>
        <v>#REF!</v>
      </c>
      <c r="K164" s="40" t="e">
        <v>#REF!</v>
      </c>
      <c r="L164" s="41"/>
      <c r="M164" s="41"/>
      <c r="N164" s="42" t="e">
        <f t="shared" si="28"/>
        <v>#REF!</v>
      </c>
      <c r="O164" s="42" t="e">
        <f>IF(F164="","",N164*#REF!/100)</f>
        <v>#REF!</v>
      </c>
      <c r="P164" s="44" t="e">
        <v>#REF!</v>
      </c>
      <c r="Q164" s="45" t="e">
        <f t="shared" si="20"/>
        <v>#REF!</v>
      </c>
      <c r="R164" s="42" t="e">
        <f t="shared" si="21"/>
        <v>#REF!</v>
      </c>
      <c r="S164" s="46" t="e">
        <v>#REF!</v>
      </c>
      <c r="T164" s="46" t="e">
        <f t="shared" si="22"/>
        <v>#REF!</v>
      </c>
      <c r="U164" s="46" t="e">
        <f t="shared" si="23"/>
        <v>#REF!</v>
      </c>
      <c r="V164" s="46" t="e">
        <f t="shared" si="24"/>
        <v>#REF!</v>
      </c>
      <c r="W164" s="42" t="e">
        <f t="shared" si="25"/>
        <v>#REF!</v>
      </c>
      <c r="X164" s="29"/>
    </row>
    <row r="165" spans="1:24" s="2" customFormat="1" ht="18" customHeight="1">
      <c r="A165" s="6"/>
      <c r="B165" s="48"/>
      <c r="C165" s="30" t="e">
        <v>#REF!</v>
      </c>
      <c r="D165" s="31" t="e">
        <v>#REF!</v>
      </c>
      <c r="E165" s="30" t="e">
        <f t="shared" si="26"/>
        <v>#REF!</v>
      </c>
      <c r="F165" s="31" t="e">
        <v>#REF!</v>
      </c>
      <c r="G165" s="32" t="e">
        <v>#REF!</v>
      </c>
      <c r="H165" s="31" t="e">
        <v>#REF!</v>
      </c>
      <c r="I165" s="32" t="e">
        <v>#REF!</v>
      </c>
      <c r="J165" s="33" t="e">
        <f t="shared" si="27"/>
        <v>#REF!</v>
      </c>
      <c r="K165" s="32" t="e">
        <v>#REF!</v>
      </c>
      <c r="L165" s="33"/>
      <c r="M165" s="33"/>
      <c r="N165" s="34" t="e">
        <f t="shared" si="28"/>
        <v>#REF!</v>
      </c>
      <c r="O165" s="34" t="e">
        <f>IF(F165="","",N165*#REF!/100)</f>
        <v>#REF!</v>
      </c>
      <c r="P165" s="35" t="e">
        <v>#REF!</v>
      </c>
      <c r="Q165" s="36" t="e">
        <f t="shared" si="20"/>
        <v>#REF!</v>
      </c>
      <c r="R165" s="34" t="e">
        <f t="shared" si="21"/>
        <v>#REF!</v>
      </c>
      <c r="S165" s="37" t="e">
        <v>#REF!</v>
      </c>
      <c r="T165" s="37" t="e">
        <f t="shared" si="22"/>
        <v>#REF!</v>
      </c>
      <c r="U165" s="37" t="e">
        <f t="shared" si="23"/>
        <v>#REF!</v>
      </c>
      <c r="V165" s="37" t="e">
        <f t="shared" si="24"/>
        <v>#REF!</v>
      </c>
      <c r="W165" s="34" t="e">
        <f t="shared" si="25"/>
        <v>#REF!</v>
      </c>
      <c r="X165" s="29"/>
    </row>
    <row r="166" spans="1:24" s="2" customFormat="1" ht="18" customHeight="1">
      <c r="A166" s="6"/>
      <c r="B166" s="48"/>
      <c r="C166" s="38" t="e">
        <v>#REF!</v>
      </c>
      <c r="D166" s="39" t="e">
        <v>#REF!</v>
      </c>
      <c r="E166" s="38" t="e">
        <f t="shared" si="26"/>
        <v>#REF!</v>
      </c>
      <c r="F166" s="39" t="e">
        <v>#REF!</v>
      </c>
      <c r="G166" s="40" t="e">
        <v>#REF!</v>
      </c>
      <c r="H166" s="39" t="e">
        <v>#REF!</v>
      </c>
      <c r="I166" s="40" t="e">
        <v>#REF!</v>
      </c>
      <c r="J166" s="41" t="e">
        <f t="shared" si="27"/>
        <v>#REF!</v>
      </c>
      <c r="K166" s="40" t="e">
        <v>#REF!</v>
      </c>
      <c r="L166" s="41"/>
      <c r="M166" s="41"/>
      <c r="N166" s="42" t="e">
        <f t="shared" si="28"/>
        <v>#REF!</v>
      </c>
      <c r="O166" s="42" t="e">
        <f>IF(F166="","",N166*#REF!/100)</f>
        <v>#REF!</v>
      </c>
      <c r="P166" s="44" t="e">
        <v>#REF!</v>
      </c>
      <c r="Q166" s="45" t="e">
        <f t="shared" si="20"/>
        <v>#REF!</v>
      </c>
      <c r="R166" s="42" t="e">
        <f t="shared" si="21"/>
        <v>#REF!</v>
      </c>
      <c r="S166" s="46" t="e">
        <v>#REF!</v>
      </c>
      <c r="T166" s="46" t="e">
        <f t="shared" si="22"/>
        <v>#REF!</v>
      </c>
      <c r="U166" s="46" t="e">
        <f t="shared" si="23"/>
        <v>#REF!</v>
      </c>
      <c r="V166" s="46" t="e">
        <f t="shared" si="24"/>
        <v>#REF!</v>
      </c>
      <c r="W166" s="42" t="e">
        <f t="shared" si="25"/>
        <v>#REF!</v>
      </c>
      <c r="X166" s="29"/>
    </row>
    <row r="167" spans="1:24" s="2" customFormat="1" ht="18" customHeight="1">
      <c r="A167" s="6"/>
      <c r="B167" s="48"/>
      <c r="C167" s="30" t="e">
        <v>#REF!</v>
      </c>
      <c r="D167" s="31" t="e">
        <v>#REF!</v>
      </c>
      <c r="E167" s="30" t="e">
        <f t="shared" si="26"/>
        <v>#REF!</v>
      </c>
      <c r="F167" s="31" t="e">
        <v>#REF!</v>
      </c>
      <c r="G167" s="32" t="e">
        <v>#REF!</v>
      </c>
      <c r="H167" s="31" t="e">
        <v>#REF!</v>
      </c>
      <c r="I167" s="32" t="e">
        <v>#REF!</v>
      </c>
      <c r="J167" s="33" t="e">
        <f t="shared" si="27"/>
        <v>#REF!</v>
      </c>
      <c r="K167" s="32" t="e">
        <v>#REF!</v>
      </c>
      <c r="L167" s="33"/>
      <c r="M167" s="33"/>
      <c r="N167" s="34" t="e">
        <f t="shared" si="28"/>
        <v>#REF!</v>
      </c>
      <c r="O167" s="34" t="e">
        <f>IF(F167="","",N167*#REF!/100)</f>
        <v>#REF!</v>
      </c>
      <c r="P167" s="35" t="e">
        <v>#REF!</v>
      </c>
      <c r="Q167" s="36" t="e">
        <f t="shared" si="20"/>
        <v>#REF!</v>
      </c>
      <c r="R167" s="34" t="e">
        <f t="shared" si="21"/>
        <v>#REF!</v>
      </c>
      <c r="S167" s="37" t="e">
        <v>#REF!</v>
      </c>
      <c r="T167" s="37" t="e">
        <f t="shared" si="22"/>
        <v>#REF!</v>
      </c>
      <c r="U167" s="37" t="e">
        <f t="shared" si="23"/>
        <v>#REF!</v>
      </c>
      <c r="V167" s="37" t="e">
        <f t="shared" si="24"/>
        <v>#REF!</v>
      </c>
      <c r="W167" s="34" t="e">
        <f t="shared" si="25"/>
        <v>#REF!</v>
      </c>
      <c r="X167" s="29"/>
    </row>
    <row r="168" spans="1:24" s="2" customFormat="1" ht="18" customHeight="1">
      <c r="A168" s="6"/>
      <c r="B168" s="48"/>
      <c r="C168" s="38" t="e">
        <v>#REF!</v>
      </c>
      <c r="D168" s="39" t="e">
        <v>#REF!</v>
      </c>
      <c r="E168" s="38" t="e">
        <f t="shared" si="26"/>
        <v>#REF!</v>
      </c>
      <c r="F168" s="39" t="e">
        <v>#REF!</v>
      </c>
      <c r="G168" s="40" t="e">
        <v>#REF!</v>
      </c>
      <c r="H168" s="39" t="e">
        <v>#REF!</v>
      </c>
      <c r="I168" s="40" t="e">
        <v>#REF!</v>
      </c>
      <c r="J168" s="41" t="e">
        <f t="shared" si="27"/>
        <v>#REF!</v>
      </c>
      <c r="K168" s="40" t="e">
        <v>#REF!</v>
      </c>
      <c r="L168" s="41"/>
      <c r="M168" s="41"/>
      <c r="N168" s="42" t="e">
        <f t="shared" si="28"/>
        <v>#REF!</v>
      </c>
      <c r="O168" s="42" t="e">
        <f>IF(F168="","",N168*#REF!/100)</f>
        <v>#REF!</v>
      </c>
      <c r="P168" s="44" t="e">
        <v>#REF!</v>
      </c>
      <c r="Q168" s="45" t="e">
        <f t="shared" si="20"/>
        <v>#REF!</v>
      </c>
      <c r="R168" s="42" t="e">
        <f t="shared" si="21"/>
        <v>#REF!</v>
      </c>
      <c r="S168" s="46" t="e">
        <v>#REF!</v>
      </c>
      <c r="T168" s="46" t="e">
        <f t="shared" si="22"/>
        <v>#REF!</v>
      </c>
      <c r="U168" s="46" t="e">
        <f t="shared" si="23"/>
        <v>#REF!</v>
      </c>
      <c r="V168" s="46" t="e">
        <f t="shared" si="24"/>
        <v>#REF!</v>
      </c>
      <c r="W168" s="42" t="e">
        <f t="shared" si="25"/>
        <v>#REF!</v>
      </c>
      <c r="X168" s="29"/>
    </row>
    <row r="169" spans="1:24" s="2" customFormat="1" ht="18" customHeight="1">
      <c r="A169" s="6"/>
      <c r="B169" s="48"/>
      <c r="C169" s="30" t="e">
        <v>#REF!</v>
      </c>
      <c r="D169" s="31" t="e">
        <v>#REF!</v>
      </c>
      <c r="E169" s="30" t="e">
        <f t="shared" si="26"/>
        <v>#REF!</v>
      </c>
      <c r="F169" s="31" t="e">
        <v>#REF!</v>
      </c>
      <c r="G169" s="32" t="e">
        <v>#REF!</v>
      </c>
      <c r="H169" s="31" t="e">
        <v>#REF!</v>
      </c>
      <c r="I169" s="32" t="e">
        <v>#REF!</v>
      </c>
      <c r="J169" s="33" t="e">
        <f t="shared" si="27"/>
        <v>#REF!</v>
      </c>
      <c r="K169" s="32" t="e">
        <v>#REF!</v>
      </c>
      <c r="L169" s="33"/>
      <c r="M169" s="33"/>
      <c r="N169" s="34" t="e">
        <f t="shared" si="28"/>
        <v>#REF!</v>
      </c>
      <c r="O169" s="34" t="e">
        <f>IF(F169="","",N169*#REF!/100)</f>
        <v>#REF!</v>
      </c>
      <c r="P169" s="35" t="e">
        <v>#REF!</v>
      </c>
      <c r="Q169" s="36" t="e">
        <f t="shared" si="20"/>
        <v>#REF!</v>
      </c>
      <c r="R169" s="34" t="e">
        <f t="shared" si="21"/>
        <v>#REF!</v>
      </c>
      <c r="S169" s="37" t="e">
        <v>#REF!</v>
      </c>
      <c r="T169" s="37" t="e">
        <f t="shared" si="22"/>
        <v>#REF!</v>
      </c>
      <c r="U169" s="37" t="e">
        <f t="shared" si="23"/>
        <v>#REF!</v>
      </c>
      <c r="V169" s="37" t="e">
        <f t="shared" si="24"/>
        <v>#REF!</v>
      </c>
      <c r="W169" s="34" t="e">
        <f t="shared" si="25"/>
        <v>#REF!</v>
      </c>
      <c r="X169" s="29"/>
    </row>
    <row r="170" spans="1:24" s="2" customFormat="1" ht="18" customHeight="1">
      <c r="A170" s="6"/>
      <c r="B170" s="48"/>
      <c r="C170" s="38" t="e">
        <v>#REF!</v>
      </c>
      <c r="D170" s="39" t="e">
        <v>#REF!</v>
      </c>
      <c r="E170" s="38" t="e">
        <f t="shared" si="26"/>
        <v>#REF!</v>
      </c>
      <c r="F170" s="39" t="e">
        <v>#REF!</v>
      </c>
      <c r="G170" s="40" t="e">
        <v>#REF!</v>
      </c>
      <c r="H170" s="39" t="e">
        <v>#REF!</v>
      </c>
      <c r="I170" s="40" t="e">
        <v>#REF!</v>
      </c>
      <c r="J170" s="41" t="e">
        <f t="shared" si="27"/>
        <v>#REF!</v>
      </c>
      <c r="K170" s="40" t="e">
        <v>#REF!</v>
      </c>
      <c r="L170" s="41"/>
      <c r="M170" s="41"/>
      <c r="N170" s="42" t="e">
        <f t="shared" si="28"/>
        <v>#REF!</v>
      </c>
      <c r="O170" s="42" t="e">
        <f>IF(F170="","",N170*#REF!/100)</f>
        <v>#REF!</v>
      </c>
      <c r="P170" s="44" t="e">
        <v>#REF!</v>
      </c>
      <c r="Q170" s="45" t="e">
        <f t="shared" si="20"/>
        <v>#REF!</v>
      </c>
      <c r="R170" s="42" t="e">
        <f t="shared" si="21"/>
        <v>#REF!</v>
      </c>
      <c r="S170" s="46" t="e">
        <v>#REF!</v>
      </c>
      <c r="T170" s="46" t="e">
        <f t="shared" si="22"/>
        <v>#REF!</v>
      </c>
      <c r="U170" s="46" t="e">
        <f t="shared" si="23"/>
        <v>#REF!</v>
      </c>
      <c r="V170" s="46" t="e">
        <f t="shared" si="24"/>
        <v>#REF!</v>
      </c>
      <c r="W170" s="42" t="e">
        <f t="shared" si="25"/>
        <v>#REF!</v>
      </c>
      <c r="X170" s="29"/>
    </row>
    <row r="171" spans="1:24" s="2" customFormat="1" ht="18" customHeight="1">
      <c r="A171" s="6"/>
      <c r="B171" s="48"/>
      <c r="C171" s="30" t="e">
        <v>#REF!</v>
      </c>
      <c r="D171" s="31" t="e">
        <v>#REF!</v>
      </c>
      <c r="E171" s="30" t="e">
        <f t="shared" si="26"/>
        <v>#REF!</v>
      </c>
      <c r="F171" s="31" t="e">
        <v>#REF!</v>
      </c>
      <c r="G171" s="32" t="e">
        <v>#REF!</v>
      </c>
      <c r="H171" s="31" t="e">
        <v>#REF!</v>
      </c>
      <c r="I171" s="32" t="e">
        <v>#REF!</v>
      </c>
      <c r="J171" s="33" t="e">
        <f t="shared" si="27"/>
        <v>#REF!</v>
      </c>
      <c r="K171" s="32" t="e">
        <v>#REF!</v>
      </c>
      <c r="L171" s="33"/>
      <c r="M171" s="33"/>
      <c r="N171" s="34" t="e">
        <f t="shared" si="28"/>
        <v>#REF!</v>
      </c>
      <c r="O171" s="34" t="e">
        <f>IF(F171="","",N171*#REF!/100)</f>
        <v>#REF!</v>
      </c>
      <c r="P171" s="35" t="e">
        <v>#REF!</v>
      </c>
      <c r="Q171" s="36" t="e">
        <f t="shared" si="20"/>
        <v>#REF!</v>
      </c>
      <c r="R171" s="34" t="e">
        <f t="shared" si="21"/>
        <v>#REF!</v>
      </c>
      <c r="S171" s="37" t="e">
        <v>#REF!</v>
      </c>
      <c r="T171" s="37" t="e">
        <f t="shared" si="22"/>
        <v>#REF!</v>
      </c>
      <c r="U171" s="37" t="e">
        <f t="shared" si="23"/>
        <v>#REF!</v>
      </c>
      <c r="V171" s="37" t="e">
        <f t="shared" si="24"/>
        <v>#REF!</v>
      </c>
      <c r="W171" s="34" t="e">
        <f t="shared" si="25"/>
        <v>#REF!</v>
      </c>
      <c r="X171" s="29"/>
    </row>
    <row r="172" spans="1:24" s="2" customFormat="1" ht="18" customHeight="1">
      <c r="A172" s="6"/>
      <c r="B172" s="48"/>
      <c r="C172" s="38" t="e">
        <v>#REF!</v>
      </c>
      <c r="D172" s="39" t="e">
        <v>#REF!</v>
      </c>
      <c r="E172" s="38" t="e">
        <f t="shared" si="26"/>
        <v>#REF!</v>
      </c>
      <c r="F172" s="39" t="e">
        <v>#REF!</v>
      </c>
      <c r="G172" s="40" t="e">
        <v>#REF!</v>
      </c>
      <c r="H172" s="39" t="e">
        <v>#REF!</v>
      </c>
      <c r="I172" s="40" t="e">
        <v>#REF!</v>
      </c>
      <c r="J172" s="41" t="e">
        <f t="shared" si="27"/>
        <v>#REF!</v>
      </c>
      <c r="K172" s="40" t="e">
        <v>#REF!</v>
      </c>
      <c r="L172" s="41"/>
      <c r="M172" s="41"/>
      <c r="N172" s="42" t="e">
        <f t="shared" si="28"/>
        <v>#REF!</v>
      </c>
      <c r="O172" s="42" t="e">
        <f>IF(F172="","",N172*#REF!/100)</f>
        <v>#REF!</v>
      </c>
      <c r="P172" s="44" t="e">
        <v>#REF!</v>
      </c>
      <c r="Q172" s="45" t="e">
        <f t="shared" si="20"/>
        <v>#REF!</v>
      </c>
      <c r="R172" s="42" t="e">
        <f t="shared" si="21"/>
        <v>#REF!</v>
      </c>
      <c r="S172" s="46" t="e">
        <v>#REF!</v>
      </c>
      <c r="T172" s="46" t="e">
        <f t="shared" si="22"/>
        <v>#REF!</v>
      </c>
      <c r="U172" s="46" t="e">
        <f t="shared" si="23"/>
        <v>#REF!</v>
      </c>
      <c r="V172" s="46" t="e">
        <f t="shared" si="24"/>
        <v>#REF!</v>
      </c>
      <c r="W172" s="42" t="e">
        <f t="shared" si="25"/>
        <v>#REF!</v>
      </c>
      <c r="X172" s="29"/>
    </row>
    <row r="173" spans="1:24" s="2" customFormat="1" ht="18" customHeight="1">
      <c r="A173" s="6"/>
      <c r="B173" s="48"/>
      <c r="C173" s="30" t="e">
        <v>#REF!</v>
      </c>
      <c r="D173" s="31" t="e">
        <v>#REF!</v>
      </c>
      <c r="E173" s="30" t="e">
        <f t="shared" si="26"/>
        <v>#REF!</v>
      </c>
      <c r="F173" s="31" t="e">
        <v>#REF!</v>
      </c>
      <c r="G173" s="32" t="e">
        <v>#REF!</v>
      </c>
      <c r="H173" s="31" t="e">
        <v>#REF!</v>
      </c>
      <c r="I173" s="32" t="e">
        <v>#REF!</v>
      </c>
      <c r="J173" s="33" t="e">
        <f t="shared" si="27"/>
        <v>#REF!</v>
      </c>
      <c r="K173" s="32" t="e">
        <v>#REF!</v>
      </c>
      <c r="L173" s="33"/>
      <c r="M173" s="33"/>
      <c r="N173" s="34" t="e">
        <f t="shared" si="28"/>
        <v>#REF!</v>
      </c>
      <c r="O173" s="34" t="e">
        <f>IF(F173="","",N173*#REF!/100)</f>
        <v>#REF!</v>
      </c>
      <c r="P173" s="35" t="e">
        <v>#REF!</v>
      </c>
      <c r="Q173" s="36" t="e">
        <f t="shared" si="20"/>
        <v>#REF!</v>
      </c>
      <c r="R173" s="34" t="e">
        <f t="shared" si="21"/>
        <v>#REF!</v>
      </c>
      <c r="S173" s="37" t="e">
        <v>#REF!</v>
      </c>
      <c r="T173" s="37" t="e">
        <f t="shared" si="22"/>
        <v>#REF!</v>
      </c>
      <c r="U173" s="37" t="e">
        <f t="shared" si="23"/>
        <v>#REF!</v>
      </c>
      <c r="V173" s="37" t="e">
        <f t="shared" si="24"/>
        <v>#REF!</v>
      </c>
      <c r="W173" s="34" t="e">
        <f t="shared" si="25"/>
        <v>#REF!</v>
      </c>
      <c r="X173" s="29"/>
    </row>
    <row r="174" spans="1:24" s="2" customFormat="1" ht="18" customHeight="1">
      <c r="A174" s="6"/>
      <c r="B174" s="48"/>
      <c r="C174" s="38" t="e">
        <v>#REF!</v>
      </c>
      <c r="D174" s="39" t="e">
        <v>#REF!</v>
      </c>
      <c r="E174" s="38" t="e">
        <f t="shared" si="26"/>
        <v>#REF!</v>
      </c>
      <c r="F174" s="39" t="e">
        <v>#REF!</v>
      </c>
      <c r="G174" s="40" t="e">
        <v>#REF!</v>
      </c>
      <c r="H174" s="39" t="e">
        <v>#REF!</v>
      </c>
      <c r="I174" s="40" t="e">
        <v>#REF!</v>
      </c>
      <c r="J174" s="41" t="e">
        <f t="shared" si="27"/>
        <v>#REF!</v>
      </c>
      <c r="K174" s="40" t="e">
        <v>#REF!</v>
      </c>
      <c r="L174" s="41"/>
      <c r="M174" s="41"/>
      <c r="N174" s="42" t="e">
        <f t="shared" si="28"/>
        <v>#REF!</v>
      </c>
      <c r="O174" s="42" t="e">
        <f>IF(F174="","",N174*#REF!/100)</f>
        <v>#REF!</v>
      </c>
      <c r="P174" s="44" t="e">
        <v>#REF!</v>
      </c>
      <c r="Q174" s="45" t="e">
        <f t="shared" si="20"/>
        <v>#REF!</v>
      </c>
      <c r="R174" s="42" t="e">
        <f t="shared" si="21"/>
        <v>#REF!</v>
      </c>
      <c r="S174" s="46" t="e">
        <v>#REF!</v>
      </c>
      <c r="T174" s="46" t="e">
        <f t="shared" si="22"/>
        <v>#REF!</v>
      </c>
      <c r="U174" s="46" t="e">
        <f t="shared" si="23"/>
        <v>#REF!</v>
      </c>
      <c r="V174" s="46" t="e">
        <f t="shared" si="24"/>
        <v>#REF!</v>
      </c>
      <c r="W174" s="42" t="e">
        <f t="shared" si="25"/>
        <v>#REF!</v>
      </c>
      <c r="X174" s="29"/>
    </row>
    <row r="175" spans="1:24" s="2" customFormat="1" ht="18" customHeight="1">
      <c r="A175" s="6"/>
      <c r="B175" s="48"/>
      <c r="C175" s="30" t="e">
        <v>#REF!</v>
      </c>
      <c r="D175" s="31" t="e">
        <v>#REF!</v>
      </c>
      <c r="E175" s="30" t="e">
        <f t="shared" si="26"/>
        <v>#REF!</v>
      </c>
      <c r="F175" s="31" t="e">
        <v>#REF!</v>
      </c>
      <c r="G175" s="32" t="e">
        <v>#REF!</v>
      </c>
      <c r="H175" s="31" t="e">
        <v>#REF!</v>
      </c>
      <c r="I175" s="32" t="e">
        <v>#REF!</v>
      </c>
      <c r="J175" s="33" t="e">
        <f t="shared" si="27"/>
        <v>#REF!</v>
      </c>
      <c r="K175" s="32" t="e">
        <v>#REF!</v>
      </c>
      <c r="L175" s="33"/>
      <c r="M175" s="33"/>
      <c r="N175" s="34" t="e">
        <f t="shared" si="28"/>
        <v>#REF!</v>
      </c>
      <c r="O175" s="34" t="e">
        <f>IF(F175="","",N175*#REF!/100)</f>
        <v>#REF!</v>
      </c>
      <c r="P175" s="35" t="e">
        <v>#REF!</v>
      </c>
      <c r="Q175" s="36" t="e">
        <f t="shared" si="20"/>
        <v>#REF!</v>
      </c>
      <c r="R175" s="34" t="e">
        <f t="shared" si="21"/>
        <v>#REF!</v>
      </c>
      <c r="S175" s="37" t="e">
        <v>#REF!</v>
      </c>
      <c r="T175" s="37" t="e">
        <f t="shared" si="22"/>
        <v>#REF!</v>
      </c>
      <c r="U175" s="37" t="e">
        <f t="shared" si="23"/>
        <v>#REF!</v>
      </c>
      <c r="V175" s="37" t="e">
        <f t="shared" si="24"/>
        <v>#REF!</v>
      </c>
      <c r="W175" s="34" t="e">
        <f t="shared" si="25"/>
        <v>#REF!</v>
      </c>
      <c r="X175" s="29"/>
    </row>
    <row r="176" spans="1:24" s="2" customFormat="1" ht="18" customHeight="1">
      <c r="A176" s="6"/>
      <c r="B176" s="48"/>
      <c r="C176" s="38" t="e">
        <v>#REF!</v>
      </c>
      <c r="D176" s="39" t="e">
        <v>#REF!</v>
      </c>
      <c r="E176" s="38" t="e">
        <f t="shared" si="26"/>
        <v>#REF!</v>
      </c>
      <c r="F176" s="39" t="e">
        <v>#REF!</v>
      </c>
      <c r="G176" s="40" t="e">
        <v>#REF!</v>
      </c>
      <c r="H176" s="39" t="e">
        <v>#REF!</v>
      </c>
      <c r="I176" s="40" t="e">
        <v>#REF!</v>
      </c>
      <c r="J176" s="41" t="e">
        <f t="shared" si="27"/>
        <v>#REF!</v>
      </c>
      <c r="K176" s="40" t="e">
        <v>#REF!</v>
      </c>
      <c r="L176" s="41"/>
      <c r="M176" s="41"/>
      <c r="N176" s="42" t="e">
        <f t="shared" si="28"/>
        <v>#REF!</v>
      </c>
      <c r="O176" s="42" t="e">
        <f>IF(F176="","",N176*#REF!/100)</f>
        <v>#REF!</v>
      </c>
      <c r="P176" s="44" t="e">
        <v>#REF!</v>
      </c>
      <c r="Q176" s="45" t="e">
        <f t="shared" si="20"/>
        <v>#REF!</v>
      </c>
      <c r="R176" s="42" t="e">
        <f t="shared" si="21"/>
        <v>#REF!</v>
      </c>
      <c r="S176" s="46" t="e">
        <v>#REF!</v>
      </c>
      <c r="T176" s="46" t="e">
        <f t="shared" si="22"/>
        <v>#REF!</v>
      </c>
      <c r="U176" s="46" t="e">
        <f t="shared" si="23"/>
        <v>#REF!</v>
      </c>
      <c r="V176" s="46" t="e">
        <f t="shared" si="24"/>
        <v>#REF!</v>
      </c>
      <c r="W176" s="42" t="e">
        <f t="shared" si="25"/>
        <v>#REF!</v>
      </c>
      <c r="X176" s="29"/>
    </row>
    <row r="177" spans="1:29" s="2" customFormat="1" ht="18" customHeight="1">
      <c r="A177" s="6"/>
      <c r="B177" s="48"/>
      <c r="C177" s="30" t="e">
        <v>#REF!</v>
      </c>
      <c r="D177" s="31" t="e">
        <v>#REF!</v>
      </c>
      <c r="E177" s="30" t="e">
        <f t="shared" si="26"/>
        <v>#REF!</v>
      </c>
      <c r="F177" s="31" t="e">
        <v>#REF!</v>
      </c>
      <c r="G177" s="32" t="e">
        <v>#REF!</v>
      </c>
      <c r="H177" s="31" t="e">
        <v>#REF!</v>
      </c>
      <c r="I177" s="32" t="e">
        <v>#REF!</v>
      </c>
      <c r="J177" s="33" t="e">
        <f t="shared" si="27"/>
        <v>#REF!</v>
      </c>
      <c r="K177" s="32" t="e">
        <v>#REF!</v>
      </c>
      <c r="L177" s="33"/>
      <c r="M177" s="33"/>
      <c r="N177" s="34" t="e">
        <f t="shared" si="28"/>
        <v>#REF!</v>
      </c>
      <c r="O177" s="34" t="e">
        <f>IF(F177="","",N177*#REF!/100)</f>
        <v>#REF!</v>
      </c>
      <c r="P177" s="35" t="e">
        <v>#REF!</v>
      </c>
      <c r="Q177" s="36" t="e">
        <f t="shared" si="20"/>
        <v>#REF!</v>
      </c>
      <c r="R177" s="34" t="e">
        <f t="shared" si="21"/>
        <v>#REF!</v>
      </c>
      <c r="S177" s="37" t="e">
        <v>#REF!</v>
      </c>
      <c r="T177" s="37" t="e">
        <f t="shared" si="22"/>
        <v>#REF!</v>
      </c>
      <c r="U177" s="37" t="e">
        <f t="shared" si="23"/>
        <v>#REF!</v>
      </c>
      <c r="V177" s="37" t="e">
        <f t="shared" si="24"/>
        <v>#REF!</v>
      </c>
      <c r="W177" s="34" t="e">
        <f t="shared" si="25"/>
        <v>#REF!</v>
      </c>
      <c r="X177" s="29"/>
    </row>
    <row r="178" spans="1:29" s="2" customFormat="1" ht="18" customHeight="1">
      <c r="A178" s="6"/>
      <c r="B178" s="48"/>
      <c r="C178" s="38" t="e">
        <v>#REF!</v>
      </c>
      <c r="D178" s="39" t="e">
        <v>#REF!</v>
      </c>
      <c r="E178" s="38" t="e">
        <f t="shared" si="26"/>
        <v>#REF!</v>
      </c>
      <c r="F178" s="39" t="e">
        <v>#REF!</v>
      </c>
      <c r="G178" s="40" t="e">
        <v>#REF!</v>
      </c>
      <c r="H178" s="39" t="e">
        <v>#REF!</v>
      </c>
      <c r="I178" s="40" t="e">
        <v>#REF!</v>
      </c>
      <c r="J178" s="41" t="e">
        <f t="shared" si="27"/>
        <v>#REF!</v>
      </c>
      <c r="K178" s="40" t="e">
        <v>#REF!</v>
      </c>
      <c r="L178" s="41"/>
      <c r="M178" s="41"/>
      <c r="N178" s="42" t="e">
        <f t="shared" si="28"/>
        <v>#REF!</v>
      </c>
      <c r="O178" s="42" t="e">
        <f>IF(F178="","",N178*#REF!/100)</f>
        <v>#REF!</v>
      </c>
      <c r="P178" s="44" t="e">
        <v>#REF!</v>
      </c>
      <c r="Q178" s="45" t="e">
        <f t="shared" si="20"/>
        <v>#REF!</v>
      </c>
      <c r="R178" s="42" t="e">
        <f t="shared" si="21"/>
        <v>#REF!</v>
      </c>
      <c r="S178" s="46" t="e">
        <v>#REF!</v>
      </c>
      <c r="T178" s="46" t="e">
        <f t="shared" si="22"/>
        <v>#REF!</v>
      </c>
      <c r="U178" s="46" t="e">
        <f t="shared" si="23"/>
        <v>#REF!</v>
      </c>
      <c r="V178" s="46" t="e">
        <f t="shared" si="24"/>
        <v>#REF!</v>
      </c>
      <c r="W178" s="42" t="e">
        <f t="shared" si="25"/>
        <v>#REF!</v>
      </c>
      <c r="X178" s="29"/>
    </row>
    <row r="179" spans="1:29" s="2" customFormat="1" ht="18" customHeight="1">
      <c r="A179" s="6"/>
      <c r="B179" s="48"/>
      <c r="C179" s="30" t="e">
        <v>#REF!</v>
      </c>
      <c r="D179" s="31" t="e">
        <v>#REF!</v>
      </c>
      <c r="E179" s="30" t="e">
        <f t="shared" si="26"/>
        <v>#REF!</v>
      </c>
      <c r="F179" s="31" t="e">
        <v>#REF!</v>
      </c>
      <c r="G179" s="32" t="e">
        <v>#REF!</v>
      </c>
      <c r="H179" s="31" t="e">
        <v>#REF!</v>
      </c>
      <c r="I179" s="32" t="e">
        <v>#REF!</v>
      </c>
      <c r="J179" s="33" t="e">
        <f t="shared" si="27"/>
        <v>#REF!</v>
      </c>
      <c r="K179" s="32" t="e">
        <v>#REF!</v>
      </c>
      <c r="L179" s="33"/>
      <c r="M179" s="33"/>
      <c r="N179" s="34" t="e">
        <f t="shared" si="28"/>
        <v>#REF!</v>
      </c>
      <c r="O179" s="34" t="e">
        <f>IF(F179="","",N179*#REF!/100)</f>
        <v>#REF!</v>
      </c>
      <c r="P179" s="35" t="e">
        <v>#REF!</v>
      </c>
      <c r="Q179" s="36" t="e">
        <f t="shared" si="20"/>
        <v>#REF!</v>
      </c>
      <c r="R179" s="34" t="e">
        <f t="shared" si="21"/>
        <v>#REF!</v>
      </c>
      <c r="S179" s="37" t="e">
        <v>#REF!</v>
      </c>
      <c r="T179" s="37" t="e">
        <f t="shared" si="22"/>
        <v>#REF!</v>
      </c>
      <c r="U179" s="37" t="e">
        <f t="shared" si="23"/>
        <v>#REF!</v>
      </c>
      <c r="V179" s="37" t="e">
        <f t="shared" si="24"/>
        <v>#REF!</v>
      </c>
      <c r="W179" s="34" t="e">
        <f t="shared" si="25"/>
        <v>#REF!</v>
      </c>
      <c r="X179" s="29"/>
    </row>
    <row r="180" spans="1:29" s="2" customFormat="1" ht="18" customHeight="1">
      <c r="A180" s="6"/>
      <c r="B180" s="48"/>
      <c r="C180" s="38" t="e">
        <v>#REF!</v>
      </c>
      <c r="D180" s="39" t="e">
        <v>#REF!</v>
      </c>
      <c r="E180" s="38" t="e">
        <f t="shared" si="26"/>
        <v>#REF!</v>
      </c>
      <c r="F180" s="39" t="e">
        <v>#REF!</v>
      </c>
      <c r="G180" s="40" t="e">
        <v>#REF!</v>
      </c>
      <c r="H180" s="39" t="e">
        <v>#REF!</v>
      </c>
      <c r="I180" s="40" t="e">
        <v>#REF!</v>
      </c>
      <c r="J180" s="41" t="e">
        <f t="shared" si="27"/>
        <v>#REF!</v>
      </c>
      <c r="K180" s="40" t="e">
        <v>#REF!</v>
      </c>
      <c r="L180" s="41"/>
      <c r="M180" s="41"/>
      <c r="N180" s="42" t="e">
        <f t="shared" si="28"/>
        <v>#REF!</v>
      </c>
      <c r="O180" s="42" t="e">
        <f>IF(F180="","",N180*#REF!/100)</f>
        <v>#REF!</v>
      </c>
      <c r="P180" s="44" t="e">
        <v>#REF!</v>
      </c>
      <c r="Q180" s="45" t="e">
        <f t="shared" si="20"/>
        <v>#REF!</v>
      </c>
      <c r="R180" s="42" t="e">
        <f t="shared" si="21"/>
        <v>#REF!</v>
      </c>
      <c r="S180" s="46" t="e">
        <v>#REF!</v>
      </c>
      <c r="T180" s="46" t="e">
        <f t="shared" si="22"/>
        <v>#REF!</v>
      </c>
      <c r="U180" s="46" t="e">
        <f t="shared" si="23"/>
        <v>#REF!</v>
      </c>
      <c r="V180" s="46" t="e">
        <f t="shared" si="24"/>
        <v>#REF!</v>
      </c>
      <c r="W180" s="42" t="e">
        <f t="shared" si="25"/>
        <v>#REF!</v>
      </c>
      <c r="X180" s="29"/>
    </row>
    <row r="181" spans="1:29" s="2" customFormat="1" ht="18" customHeight="1">
      <c r="A181" s="6"/>
      <c r="B181" s="48"/>
      <c r="C181" s="49" t="e">
        <v>#REF!</v>
      </c>
      <c r="D181" s="50" t="e">
        <v>#REF!</v>
      </c>
      <c r="E181" s="49" t="e">
        <f t="shared" si="26"/>
        <v>#REF!</v>
      </c>
      <c r="F181" s="50" t="e">
        <v>#REF!</v>
      </c>
      <c r="G181" s="51" t="e">
        <v>#REF!</v>
      </c>
      <c r="H181" s="50" t="e">
        <v>#REF!</v>
      </c>
      <c r="I181" s="51" t="e">
        <v>#REF!</v>
      </c>
      <c r="J181" s="52" t="e">
        <f t="shared" si="27"/>
        <v>#REF!</v>
      </c>
      <c r="K181" s="51" t="e">
        <v>#REF!</v>
      </c>
      <c r="L181" s="33"/>
      <c r="M181" s="33"/>
      <c r="N181" s="53" t="e">
        <f t="shared" si="28"/>
        <v>#REF!</v>
      </c>
      <c r="O181" s="53" t="e">
        <f>IF(F181="","",N181*#REF!/100)</f>
        <v>#REF!</v>
      </c>
      <c r="P181" s="54" t="e">
        <v>#REF!</v>
      </c>
      <c r="Q181" s="55" t="e">
        <f t="shared" si="20"/>
        <v>#REF!</v>
      </c>
      <c r="R181" s="53" t="e">
        <f t="shared" si="21"/>
        <v>#REF!</v>
      </c>
      <c r="S181" s="56" t="e">
        <v>#REF!</v>
      </c>
      <c r="T181" s="56" t="e">
        <f t="shared" si="22"/>
        <v>#REF!</v>
      </c>
      <c r="U181" s="56" t="e">
        <f t="shared" si="23"/>
        <v>#REF!</v>
      </c>
      <c r="V181" s="56" t="e">
        <f t="shared" si="24"/>
        <v>#REF!</v>
      </c>
      <c r="W181" s="53" t="e">
        <f t="shared" si="25"/>
        <v>#REF!</v>
      </c>
      <c r="X181" s="29"/>
    </row>
    <row r="182" spans="1:29" s="2" customFormat="1" ht="18" customHeight="1">
      <c r="A182" s="6"/>
      <c r="B182" s="48"/>
      <c r="C182" s="1793"/>
      <c r="D182" s="1793"/>
      <c r="E182" s="1793"/>
      <c r="F182" s="1793"/>
      <c r="G182" s="1793"/>
      <c r="H182" s="1793"/>
      <c r="I182" s="1794"/>
      <c r="J182" s="57" t="e">
        <f>SUM(J147:J181)</f>
        <v>#REF!</v>
      </c>
      <c r="K182" s="58"/>
      <c r="L182" s="57"/>
      <c r="M182" s="57"/>
      <c r="N182" s="57" t="e">
        <f>SUM(N147:N181)</f>
        <v>#REF!</v>
      </c>
      <c r="O182" s="57" t="e">
        <f>SUM(O147:O181)</f>
        <v>#REF!</v>
      </c>
      <c r="P182" s="1530"/>
      <c r="Q182" s="1531"/>
      <c r="R182" s="60" t="e">
        <f>SUM(R147:R181)</f>
        <v>#REF!</v>
      </c>
      <c r="S182" s="61" t="s">
        <v>44</v>
      </c>
      <c r="T182" s="62"/>
      <c r="U182" s="63" t="e">
        <f>W182/O182</f>
        <v>#REF!</v>
      </c>
      <c r="V182" s="64" t="s">
        <v>45</v>
      </c>
      <c r="W182" s="65" t="e">
        <f>SUM(W147:W181)</f>
        <v>#REF!</v>
      </c>
      <c r="X182" s="29"/>
    </row>
    <row r="183" spans="1:29" s="2" customFormat="1" ht="18" customHeight="1">
      <c r="A183" s="6"/>
      <c r="B183" s="66"/>
      <c r="C183" s="1869">
        <f>+C132</f>
        <v>0</v>
      </c>
      <c r="D183" s="1870"/>
      <c r="E183" s="1870"/>
      <c r="F183" s="1870"/>
      <c r="G183" s="1870"/>
      <c r="H183" s="1870"/>
      <c r="I183" s="1870"/>
      <c r="J183" s="1870"/>
      <c r="K183" s="1870"/>
      <c r="L183" s="1870"/>
      <c r="M183" s="1870"/>
      <c r="N183" s="1870"/>
      <c r="O183" s="67" t="e">
        <f>R183/1.02</f>
        <v>#REF!</v>
      </c>
      <c r="P183" s="68">
        <f>+P132</f>
        <v>0</v>
      </c>
      <c r="Q183" s="69" t="s">
        <v>46</v>
      </c>
      <c r="R183" s="70" t="e">
        <f>+P183*R182/1000</f>
        <v>#REF!</v>
      </c>
      <c r="S183" s="1860"/>
      <c r="T183" s="1861"/>
      <c r="U183" s="1861"/>
      <c r="V183" s="1861"/>
      <c r="W183" s="1862"/>
      <c r="X183" s="29"/>
    </row>
    <row r="184" spans="1:29" s="76" customFormat="1" ht="6" customHeight="1">
      <c r="A184" s="71"/>
      <c r="B184" s="72"/>
      <c r="C184" s="73"/>
      <c r="D184" s="73"/>
      <c r="E184" s="73"/>
      <c r="F184" s="73"/>
      <c r="G184" s="73"/>
      <c r="H184" s="73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5"/>
      <c r="X184" s="29"/>
      <c r="Y184" s="2"/>
      <c r="Z184" s="2"/>
      <c r="AA184" s="2"/>
      <c r="AB184" s="2"/>
      <c r="AC184" s="2"/>
    </row>
    <row r="185" spans="1:29" s="76" customFormat="1" ht="7.5" customHeight="1">
      <c r="A185" s="71"/>
      <c r="B185" s="1863" t="s">
        <v>59</v>
      </c>
      <c r="C185" s="1864"/>
      <c r="D185" s="1864"/>
      <c r="E185" s="1864"/>
      <c r="F185" s="1864"/>
      <c r="G185" s="1864"/>
      <c r="H185" s="1864"/>
      <c r="I185" s="1864"/>
      <c r="J185" s="1864"/>
      <c r="K185" s="1864"/>
      <c r="L185" s="1864"/>
      <c r="M185" s="1864"/>
      <c r="N185" s="1864"/>
      <c r="O185" s="1864"/>
      <c r="P185" s="1864"/>
      <c r="Q185" s="1864"/>
      <c r="R185" s="1864"/>
      <c r="S185" s="1864"/>
      <c r="T185" s="1864"/>
      <c r="U185" s="1864"/>
      <c r="V185" s="1864"/>
      <c r="W185" s="1865"/>
      <c r="X185" s="29"/>
      <c r="Y185" s="2"/>
      <c r="Z185" s="2"/>
      <c r="AA185" s="2"/>
      <c r="AB185" s="2"/>
      <c r="AC185" s="2"/>
    </row>
    <row r="186" spans="1:29" s="76" customFormat="1" ht="7.5" customHeight="1">
      <c r="A186" s="71"/>
      <c r="B186" s="1866"/>
      <c r="C186" s="1867"/>
      <c r="D186" s="1867"/>
      <c r="E186" s="1867"/>
      <c r="F186" s="1867"/>
      <c r="G186" s="1867"/>
      <c r="H186" s="1867"/>
      <c r="I186" s="1867"/>
      <c r="J186" s="1867"/>
      <c r="K186" s="1867"/>
      <c r="L186" s="1867"/>
      <c r="M186" s="1867"/>
      <c r="N186" s="1867"/>
      <c r="O186" s="1867"/>
      <c r="P186" s="1867"/>
      <c r="Q186" s="1867"/>
      <c r="R186" s="1867"/>
      <c r="S186" s="1867"/>
      <c r="T186" s="1867"/>
      <c r="U186" s="1867"/>
      <c r="V186" s="1867"/>
      <c r="W186" s="1868"/>
      <c r="X186" s="29"/>
      <c r="Y186" s="2"/>
      <c r="Z186" s="2"/>
      <c r="AA186" s="2"/>
      <c r="AB186" s="2"/>
      <c r="AC186" s="2"/>
    </row>
    <row r="187" spans="1:29" s="76" customFormat="1" ht="5.0999999999999996" customHeight="1">
      <c r="A187" s="71"/>
      <c r="B187" s="72"/>
      <c r="C187" s="72"/>
      <c r="D187" s="72"/>
      <c r="E187" s="72"/>
      <c r="F187" s="72"/>
      <c r="G187" s="72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8"/>
      <c r="W187" s="78"/>
      <c r="X187" s="29"/>
      <c r="Y187" s="2"/>
      <c r="Z187" s="2"/>
      <c r="AA187" s="2"/>
      <c r="AB187" s="2"/>
      <c r="AC187" s="2"/>
    </row>
    <row r="188" spans="1:29" s="76" customFormat="1" ht="15.6" customHeight="1">
      <c r="A188" s="71"/>
      <c r="B188" s="79" t="s">
        <v>47</v>
      </c>
      <c r="C188" s="80"/>
      <c r="D188" s="80"/>
      <c r="E188" s="81"/>
      <c r="F188" s="82"/>
      <c r="G188" s="82"/>
      <c r="H188" s="83"/>
      <c r="I188" s="84"/>
      <c r="J188" s="84"/>
      <c r="K188" s="85"/>
      <c r="L188" s="86" t="s">
        <v>48</v>
      </c>
      <c r="M188" s="83" t="e">
        <f>+M137</f>
        <v>#REF!</v>
      </c>
      <c r="N188" s="82"/>
      <c r="O188" s="84"/>
      <c r="P188" s="83"/>
      <c r="Q188" s="84"/>
      <c r="R188" s="84"/>
      <c r="S188" s="83"/>
      <c r="T188" s="84"/>
      <c r="U188" s="84"/>
      <c r="V188" s="82"/>
      <c r="W188" s="87" t="s">
        <v>49</v>
      </c>
      <c r="X188" s="29"/>
      <c r="Y188" s="2"/>
      <c r="Z188" s="2"/>
      <c r="AA188" s="2"/>
      <c r="AB188" s="2"/>
      <c r="AC188" s="2"/>
    </row>
    <row r="189" spans="1:29" s="76" customFormat="1" ht="15.6" customHeight="1">
      <c r="A189" s="71"/>
      <c r="B189" s="88"/>
      <c r="C189" s="89"/>
      <c r="D189" s="89"/>
      <c r="E189" s="96"/>
      <c r="F189" s="90"/>
      <c r="G189" s="90"/>
      <c r="H189" s="91"/>
      <c r="I189" s="92"/>
      <c r="J189" s="92"/>
      <c r="K189" s="93"/>
      <c r="L189" s="94" t="s">
        <v>50</v>
      </c>
      <c r="M189" s="91" t="e">
        <f t="shared" ref="M189:M192" si="29">+M138</f>
        <v>#REF!</v>
      </c>
      <c r="N189" s="90"/>
      <c r="O189" s="92"/>
      <c r="P189" s="91"/>
      <c r="Q189" s="92"/>
      <c r="R189" s="92"/>
      <c r="S189" s="91"/>
      <c r="T189" s="92"/>
      <c r="U189" s="92"/>
      <c r="V189" s="90"/>
      <c r="W189" s="95"/>
      <c r="X189" s="29"/>
      <c r="Y189" s="2"/>
      <c r="Z189" s="2"/>
      <c r="AA189" s="2"/>
      <c r="AB189" s="2"/>
      <c r="AC189" s="2"/>
    </row>
    <row r="190" spans="1:29" s="76" customFormat="1" ht="15.6" customHeight="1">
      <c r="A190" s="71"/>
      <c r="B190" s="88"/>
      <c r="C190" s="89"/>
      <c r="D190" s="89"/>
      <c r="E190" s="96"/>
      <c r="F190" s="90"/>
      <c r="G190" s="90"/>
      <c r="H190" s="91"/>
      <c r="I190" s="92"/>
      <c r="J190" s="92"/>
      <c r="K190" s="93"/>
      <c r="L190" s="94" t="s">
        <v>51</v>
      </c>
      <c r="M190" s="91" t="e">
        <f t="shared" si="29"/>
        <v>#REF!</v>
      </c>
      <c r="N190" s="90"/>
      <c r="O190" s="92"/>
      <c r="P190" s="91"/>
      <c r="Q190" s="92"/>
      <c r="R190" s="92"/>
      <c r="S190" s="91"/>
      <c r="T190" s="92"/>
      <c r="U190" s="92"/>
      <c r="V190" s="90"/>
      <c r="W190" s="1871" t="s">
        <v>52</v>
      </c>
      <c r="X190" s="29"/>
      <c r="Y190" s="2"/>
      <c r="Z190" s="2"/>
      <c r="AA190" s="2"/>
      <c r="AB190" s="2"/>
      <c r="AC190" s="2"/>
    </row>
    <row r="191" spans="1:29" s="76" customFormat="1" ht="15.6" customHeight="1">
      <c r="A191" s="71"/>
      <c r="B191" s="88"/>
      <c r="C191" s="89"/>
      <c r="D191" s="89"/>
      <c r="E191" s="96"/>
      <c r="F191" s="90"/>
      <c r="G191" s="90"/>
      <c r="H191" s="91"/>
      <c r="I191" s="92"/>
      <c r="J191" s="92"/>
      <c r="K191" s="93"/>
      <c r="L191" s="94" t="s">
        <v>53</v>
      </c>
      <c r="M191" s="91" t="e">
        <f t="shared" si="29"/>
        <v>#REF!</v>
      </c>
      <c r="N191" s="90"/>
      <c r="O191" s="92"/>
      <c r="P191" s="91"/>
      <c r="Q191" s="92"/>
      <c r="R191" s="92"/>
      <c r="S191" s="91"/>
      <c r="T191" s="92"/>
      <c r="U191" s="92"/>
      <c r="V191" s="90"/>
      <c r="W191" s="1872"/>
      <c r="X191" s="29"/>
      <c r="Y191" s="2"/>
      <c r="Z191" s="2"/>
      <c r="AA191" s="2"/>
      <c r="AB191" s="2"/>
      <c r="AC191" s="2"/>
    </row>
    <row r="192" spans="1:29" s="76" customFormat="1" ht="15.6" customHeight="1">
      <c r="A192" s="71"/>
      <c r="B192" s="97"/>
      <c r="C192" s="73"/>
      <c r="D192" s="73"/>
      <c r="E192" s="73"/>
      <c r="F192" s="73"/>
      <c r="G192" s="73"/>
      <c r="H192" s="73"/>
      <c r="I192" s="98" t="s">
        <v>54</v>
      </c>
      <c r="J192" s="99">
        <f ca="1">TODAY()</f>
        <v>46063</v>
      </c>
      <c r="K192" s="100"/>
      <c r="L192" s="101" t="s">
        <v>55</v>
      </c>
      <c r="M192" s="74" t="e">
        <f t="shared" si="29"/>
        <v>#REF!</v>
      </c>
      <c r="N192" s="73"/>
      <c r="O192" s="74"/>
      <c r="P192" s="74"/>
      <c r="Q192" s="74"/>
      <c r="R192" s="74"/>
      <c r="S192" s="74"/>
      <c r="T192" s="74"/>
      <c r="U192" s="74"/>
      <c r="V192" s="73"/>
      <c r="W192" s="1873"/>
      <c r="X192" s="29"/>
      <c r="Y192" s="2"/>
      <c r="Z192" s="2"/>
      <c r="AA192" s="2"/>
      <c r="AB192" s="2"/>
      <c r="AC192" s="2"/>
    </row>
    <row r="193" spans="1:29" s="106" customFormat="1" ht="8.1" customHeight="1">
      <c r="A193" s="102"/>
      <c r="B193" s="10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4"/>
      <c r="Y193" s="105"/>
      <c r="Z193" s="105"/>
      <c r="AA193" s="105"/>
      <c r="AB193" s="105"/>
      <c r="AC193" s="105"/>
    </row>
    <row r="194" spans="1:29" ht="8.1" customHeight="1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5"/>
    </row>
    <row r="195" spans="1:29" s="2" customFormat="1" ht="22.5" customHeight="1">
      <c r="A195" s="6"/>
      <c r="B195" s="7"/>
      <c r="C195" s="1856" t="s">
        <v>4</v>
      </c>
      <c r="D195" s="1857"/>
      <c r="E195" s="1858" t="s">
        <v>5</v>
      </c>
      <c r="F195" s="8" t="s">
        <v>6</v>
      </c>
      <c r="G195" s="8"/>
      <c r="H195" s="8"/>
      <c r="I195" s="9"/>
      <c r="J195" s="1532" t="s">
        <v>7</v>
      </c>
      <c r="K195" s="1532" t="s">
        <v>8</v>
      </c>
      <c r="L195" s="1532" t="s">
        <v>9</v>
      </c>
      <c r="M195" s="1532" t="s">
        <v>9</v>
      </c>
      <c r="N195" s="1532" t="s">
        <v>9</v>
      </c>
      <c r="O195" s="1532"/>
      <c r="P195" s="10" t="s">
        <v>10</v>
      </c>
      <c r="Q195" s="9"/>
      <c r="R195" s="1532"/>
      <c r="S195" s="11" t="s">
        <v>11</v>
      </c>
      <c r="T195" s="12"/>
      <c r="U195" s="12"/>
      <c r="V195" s="13"/>
      <c r="W195" s="1532" t="s">
        <v>12</v>
      </c>
      <c r="X195" s="14"/>
    </row>
    <row r="196" spans="1:29" s="2" customFormat="1" ht="22.5" customHeight="1">
      <c r="A196" s="6"/>
      <c r="B196" s="15" t="s">
        <v>13</v>
      </c>
      <c r="C196" s="1858" t="s">
        <v>14</v>
      </c>
      <c r="D196" s="16" t="s">
        <v>15</v>
      </c>
      <c r="E196" s="1859"/>
      <c r="F196" s="12" t="s">
        <v>16</v>
      </c>
      <c r="G196" s="13"/>
      <c r="H196" s="11" t="s">
        <v>17</v>
      </c>
      <c r="I196" s="13"/>
      <c r="J196" s="1533" t="s">
        <v>18</v>
      </c>
      <c r="K196" s="1533" t="s">
        <v>19</v>
      </c>
      <c r="L196" s="17" t="s">
        <v>20</v>
      </c>
      <c r="M196" s="1533" t="s">
        <v>56</v>
      </c>
      <c r="N196" s="1533" t="s">
        <v>0</v>
      </c>
      <c r="O196" s="1533" t="s">
        <v>22</v>
      </c>
      <c r="P196" s="18" t="s">
        <v>23</v>
      </c>
      <c r="Q196" s="19"/>
      <c r="R196" s="1533" t="s">
        <v>24</v>
      </c>
      <c r="S196" s="1532" t="s">
        <v>25</v>
      </c>
      <c r="T196" s="1532" t="s">
        <v>26</v>
      </c>
      <c r="U196" s="1532" t="s">
        <v>27</v>
      </c>
      <c r="V196" s="1532" t="s">
        <v>28</v>
      </c>
      <c r="W196" s="1533" t="s">
        <v>29</v>
      </c>
      <c r="X196" s="14"/>
    </row>
    <row r="197" spans="1:29" s="2" customFormat="1" ht="22.5" customHeight="1">
      <c r="A197" s="6"/>
      <c r="B197" s="15" t="s">
        <v>30</v>
      </c>
      <c r="C197" s="1859"/>
      <c r="D197" s="16" t="s">
        <v>31</v>
      </c>
      <c r="E197" s="1859"/>
      <c r="F197" s="20" t="s">
        <v>32</v>
      </c>
      <c r="G197" s="1532" t="s">
        <v>33</v>
      </c>
      <c r="H197" s="1532" t="s">
        <v>32</v>
      </c>
      <c r="I197" s="1532" t="s">
        <v>33</v>
      </c>
      <c r="J197" s="1533" t="s">
        <v>34</v>
      </c>
      <c r="K197" s="1533" t="s">
        <v>34</v>
      </c>
      <c r="L197" s="1533" t="s">
        <v>35</v>
      </c>
      <c r="M197" s="1533" t="s">
        <v>35</v>
      </c>
      <c r="N197" s="1533" t="s">
        <v>35</v>
      </c>
      <c r="O197" s="1533" t="s">
        <v>37</v>
      </c>
      <c r="P197" s="18" t="s">
        <v>38</v>
      </c>
      <c r="Q197" s="19"/>
      <c r="R197" s="1533" t="s">
        <v>39</v>
      </c>
      <c r="S197" s="1533"/>
      <c r="T197" s="1533" t="s">
        <v>40</v>
      </c>
      <c r="U197" s="1533" t="s">
        <v>41</v>
      </c>
      <c r="V197" s="1533" t="s">
        <v>41</v>
      </c>
      <c r="W197" s="1533" t="s">
        <v>42</v>
      </c>
      <c r="X197" s="14"/>
    </row>
    <row r="198" spans="1:29" s="2" customFormat="1" ht="18" customHeight="1">
      <c r="A198" s="6"/>
      <c r="B198" s="1791" t="e">
        <f>+B147</f>
        <v>#REF!</v>
      </c>
      <c r="C198" s="21" t="e">
        <v>#REF!</v>
      </c>
      <c r="D198" s="22" t="e">
        <v>#REF!</v>
      </c>
      <c r="E198" s="21" t="e">
        <f>IF(F198="","","Faixa Adicional LE")</f>
        <v>#REF!</v>
      </c>
      <c r="F198" s="22" t="e">
        <v>#REF!</v>
      </c>
      <c r="G198" s="23" t="e">
        <v>#REF!</v>
      </c>
      <c r="H198" s="22" t="e">
        <v>#REF!</v>
      </c>
      <c r="I198" s="23" t="e">
        <v>#REF!</v>
      </c>
      <c r="J198" s="24" t="e">
        <f>IF(F198="","",((H198-F198)*20)+I198-G198)</f>
        <v>#REF!</v>
      </c>
      <c r="K198" s="23" t="e">
        <v>#REF!</v>
      </c>
      <c r="L198" s="24"/>
      <c r="M198" s="24"/>
      <c r="N198" s="25" t="e">
        <f>IF(F198="","",(J198*K198)+M198+L198)</f>
        <v>#REF!</v>
      </c>
      <c r="O198" s="25" t="e">
        <f>IF(F198="","",N198*#REF!/100)</f>
        <v>#REF!</v>
      </c>
      <c r="P198" s="26" t="e">
        <v>#REF!</v>
      </c>
      <c r="Q198" s="27" t="e">
        <f t="shared" ref="Q198:Q232" si="30">IF(F198="","","t/m3")</f>
        <v>#REF!</v>
      </c>
      <c r="R198" s="25" t="e">
        <f t="shared" ref="R198:R232" si="31">IF(F198="","",O198*P198)</f>
        <v>#REF!</v>
      </c>
      <c r="S198" s="28" t="e">
        <v>#REF!</v>
      </c>
      <c r="T198" s="28" t="e">
        <f t="shared" ref="T198:T232" si="32">IF(F198="","",IF(D198&gt;H198,((D198-H198)*0.02),IF(D198&lt;F198,((F198-D198)*0.02),IF(F198="","",0))))</f>
        <v>#REF!</v>
      </c>
      <c r="U198" s="28" t="e">
        <f t="shared" ref="U198:U232" si="33">IF(F198="","",IF(D198&gt;H198,((((H198-F198)*20)+I198-G198)/2000),IF(D198&gt;F198,((((D198-F198)*0.02)^2)+(((H198-D198)*0.02)^2))/(2*((H198-F198)*0.02)),((((H198-F198)*20)+I198-G198)/2000))))</f>
        <v>#REF!</v>
      </c>
      <c r="V198" s="28" t="e">
        <f t="shared" ref="V198:V232" si="34">IF(F198="","",S198+T198+U198)</f>
        <v>#REF!</v>
      </c>
      <c r="W198" s="25" t="e">
        <f t="shared" ref="W198:W232" si="35">IF(F198="","",O198*V198)</f>
        <v>#REF!</v>
      </c>
      <c r="X198" s="29"/>
    </row>
    <row r="199" spans="1:29" s="2" customFormat="1" ht="18" customHeight="1">
      <c r="A199" s="6"/>
      <c r="B199" s="1792"/>
      <c r="C199" s="38" t="e">
        <v>#REF!</v>
      </c>
      <c r="D199" s="39" t="e">
        <v>#REF!</v>
      </c>
      <c r="E199" s="38" t="e">
        <f t="shared" ref="E199:E232" si="36">IF(F199="","","Faixa Adicional LE")</f>
        <v>#REF!</v>
      </c>
      <c r="F199" s="39" t="e">
        <v>#REF!</v>
      </c>
      <c r="G199" s="40" t="e">
        <v>#REF!</v>
      </c>
      <c r="H199" s="39" t="e">
        <v>#REF!</v>
      </c>
      <c r="I199" s="40" t="e">
        <v>#REF!</v>
      </c>
      <c r="J199" s="41" t="e">
        <f t="shared" ref="J199:J232" si="37">IF(F199="","",((H199-F199)*20)+I199-G199)</f>
        <v>#REF!</v>
      </c>
      <c r="K199" s="40" t="e">
        <v>#REF!</v>
      </c>
      <c r="L199" s="41"/>
      <c r="M199" s="41"/>
      <c r="N199" s="42" t="e">
        <f t="shared" ref="N199:N232" si="38">IF(F199="","",(J199*K199)+M199+L199)</f>
        <v>#REF!</v>
      </c>
      <c r="O199" s="42" t="e">
        <f>IF(F199="","",N199*#REF!/100)</f>
        <v>#REF!</v>
      </c>
      <c r="P199" s="44" t="e">
        <v>#REF!</v>
      </c>
      <c r="Q199" s="45" t="e">
        <f t="shared" si="30"/>
        <v>#REF!</v>
      </c>
      <c r="R199" s="42" t="e">
        <f t="shared" si="31"/>
        <v>#REF!</v>
      </c>
      <c r="S199" s="46" t="e">
        <v>#REF!</v>
      </c>
      <c r="T199" s="46" t="e">
        <f t="shared" si="32"/>
        <v>#REF!</v>
      </c>
      <c r="U199" s="46" t="e">
        <f t="shared" si="33"/>
        <v>#REF!</v>
      </c>
      <c r="V199" s="46" t="e">
        <f t="shared" si="34"/>
        <v>#REF!</v>
      </c>
      <c r="W199" s="42" t="e">
        <f t="shared" si="35"/>
        <v>#REF!</v>
      </c>
      <c r="X199" s="29"/>
    </row>
    <row r="200" spans="1:29" s="2" customFormat="1" ht="18" customHeight="1">
      <c r="A200" s="6"/>
      <c r="B200" s="1837" t="e">
        <f>+B149</f>
        <v>#REF!</v>
      </c>
      <c r="C200" s="30" t="e">
        <v>#REF!</v>
      </c>
      <c r="D200" s="31" t="e">
        <v>#REF!</v>
      </c>
      <c r="E200" s="30" t="e">
        <f t="shared" si="36"/>
        <v>#REF!</v>
      </c>
      <c r="F200" s="31" t="e">
        <v>#REF!</v>
      </c>
      <c r="G200" s="32" t="e">
        <v>#REF!</v>
      </c>
      <c r="H200" s="31" t="e">
        <v>#REF!</v>
      </c>
      <c r="I200" s="32" t="e">
        <v>#REF!</v>
      </c>
      <c r="J200" s="33" t="e">
        <f t="shared" si="37"/>
        <v>#REF!</v>
      </c>
      <c r="K200" s="32" t="e">
        <v>#REF!</v>
      </c>
      <c r="L200" s="33"/>
      <c r="M200" s="33"/>
      <c r="N200" s="34" t="e">
        <f t="shared" si="38"/>
        <v>#REF!</v>
      </c>
      <c r="O200" s="34" t="e">
        <f>IF(F200="","",N200*#REF!/100)</f>
        <v>#REF!</v>
      </c>
      <c r="P200" s="35" t="e">
        <v>#REF!</v>
      </c>
      <c r="Q200" s="36" t="e">
        <f t="shared" si="30"/>
        <v>#REF!</v>
      </c>
      <c r="R200" s="34" t="e">
        <f t="shared" si="31"/>
        <v>#REF!</v>
      </c>
      <c r="S200" s="37" t="e">
        <v>#REF!</v>
      </c>
      <c r="T200" s="37" t="e">
        <f t="shared" si="32"/>
        <v>#REF!</v>
      </c>
      <c r="U200" s="37" t="e">
        <f t="shared" si="33"/>
        <v>#REF!</v>
      </c>
      <c r="V200" s="37" t="e">
        <f t="shared" si="34"/>
        <v>#REF!</v>
      </c>
      <c r="W200" s="34" t="e">
        <f t="shared" si="35"/>
        <v>#REF!</v>
      </c>
      <c r="X200" s="29"/>
    </row>
    <row r="201" spans="1:29" s="2" customFormat="1" ht="18" customHeight="1">
      <c r="A201" s="6"/>
      <c r="B201" s="1837"/>
      <c r="C201" s="38" t="s">
        <v>67</v>
      </c>
      <c r="D201" s="39" t="s">
        <v>67</v>
      </c>
      <c r="E201" s="38" t="str">
        <f t="shared" si="36"/>
        <v/>
      </c>
      <c r="F201" s="39"/>
      <c r="G201" s="40"/>
      <c r="H201" s="39"/>
      <c r="I201" s="40"/>
      <c r="J201" s="41"/>
      <c r="K201" s="40" t="s">
        <v>67</v>
      </c>
      <c r="L201" s="41"/>
      <c r="M201" s="41"/>
      <c r="N201" s="42" t="str">
        <f t="shared" si="38"/>
        <v/>
      </c>
      <c r="O201" s="42" t="str">
        <f>IF(F201="","",N201*#REF!/100)</f>
        <v/>
      </c>
      <c r="P201" s="44" t="s">
        <v>67</v>
      </c>
      <c r="Q201" s="45" t="str">
        <f t="shared" si="30"/>
        <v/>
      </c>
      <c r="R201" s="42" t="str">
        <f t="shared" si="31"/>
        <v/>
      </c>
      <c r="S201" s="46" t="s">
        <v>67</v>
      </c>
      <c r="T201" s="46" t="str">
        <f t="shared" si="32"/>
        <v/>
      </c>
      <c r="U201" s="46" t="str">
        <f t="shared" si="33"/>
        <v/>
      </c>
      <c r="V201" s="46" t="str">
        <f t="shared" si="34"/>
        <v/>
      </c>
      <c r="W201" s="42" t="str">
        <f t="shared" si="35"/>
        <v/>
      </c>
      <c r="X201" s="29"/>
    </row>
    <row r="202" spans="1:29" s="2" customFormat="1" ht="18" customHeight="1">
      <c r="A202" s="6"/>
      <c r="B202" s="1837"/>
      <c r="C202" s="30" t="e">
        <v>#REF!</v>
      </c>
      <c r="D202" s="31" t="e">
        <v>#REF!</v>
      </c>
      <c r="E202" s="30" t="e">
        <f t="shared" si="36"/>
        <v>#REF!</v>
      </c>
      <c r="F202" s="31" t="e">
        <v>#REF!</v>
      </c>
      <c r="G202" s="32" t="e">
        <v>#REF!</v>
      </c>
      <c r="H202" s="31" t="e">
        <v>#REF!</v>
      </c>
      <c r="I202" s="32" t="e">
        <v>#REF!</v>
      </c>
      <c r="J202" s="33" t="e">
        <f t="shared" si="37"/>
        <v>#REF!</v>
      </c>
      <c r="K202" s="32" t="e">
        <v>#REF!</v>
      </c>
      <c r="L202" s="33"/>
      <c r="M202" s="33"/>
      <c r="N202" s="34" t="e">
        <f t="shared" si="38"/>
        <v>#REF!</v>
      </c>
      <c r="O202" s="34" t="e">
        <f>IF(F202="","",N202*#REF!/100)</f>
        <v>#REF!</v>
      </c>
      <c r="P202" s="35" t="e">
        <v>#REF!</v>
      </c>
      <c r="Q202" s="36" t="e">
        <f t="shared" si="30"/>
        <v>#REF!</v>
      </c>
      <c r="R202" s="34" t="e">
        <f t="shared" si="31"/>
        <v>#REF!</v>
      </c>
      <c r="S202" s="37" t="e">
        <v>#REF!</v>
      </c>
      <c r="T202" s="37" t="e">
        <f t="shared" si="32"/>
        <v>#REF!</v>
      </c>
      <c r="U202" s="37" t="e">
        <f t="shared" si="33"/>
        <v>#REF!</v>
      </c>
      <c r="V202" s="37" t="e">
        <f t="shared" si="34"/>
        <v>#REF!</v>
      </c>
      <c r="W202" s="34" t="e">
        <f t="shared" si="35"/>
        <v>#REF!</v>
      </c>
      <c r="X202" s="29"/>
    </row>
    <row r="203" spans="1:29" s="2" customFormat="1" ht="18" customHeight="1">
      <c r="A203" s="6"/>
      <c r="B203" s="47"/>
      <c r="C203" s="38" t="e">
        <v>#REF!</v>
      </c>
      <c r="D203" s="39" t="e">
        <v>#REF!</v>
      </c>
      <c r="E203" s="38" t="e">
        <f t="shared" si="36"/>
        <v>#REF!</v>
      </c>
      <c r="F203" s="39" t="e">
        <v>#REF!</v>
      </c>
      <c r="G203" s="40" t="e">
        <v>#REF!</v>
      </c>
      <c r="H203" s="39" t="e">
        <v>#REF!</v>
      </c>
      <c r="I203" s="40" t="e">
        <v>#REF!</v>
      </c>
      <c r="J203" s="41" t="e">
        <f t="shared" si="37"/>
        <v>#REF!</v>
      </c>
      <c r="K203" s="40" t="e">
        <v>#REF!</v>
      </c>
      <c r="L203" s="41"/>
      <c r="M203" s="41"/>
      <c r="N203" s="42" t="e">
        <f t="shared" si="38"/>
        <v>#REF!</v>
      </c>
      <c r="O203" s="42" t="e">
        <f>IF(F203="","",N203*#REF!/100)</f>
        <v>#REF!</v>
      </c>
      <c r="P203" s="44" t="e">
        <v>#REF!</v>
      </c>
      <c r="Q203" s="45" t="e">
        <f t="shared" si="30"/>
        <v>#REF!</v>
      </c>
      <c r="R203" s="42" t="e">
        <f t="shared" si="31"/>
        <v>#REF!</v>
      </c>
      <c r="S203" s="46" t="e">
        <v>#REF!</v>
      </c>
      <c r="T203" s="46" t="e">
        <f t="shared" si="32"/>
        <v>#REF!</v>
      </c>
      <c r="U203" s="46" t="e">
        <f t="shared" si="33"/>
        <v>#REF!</v>
      </c>
      <c r="V203" s="46" t="e">
        <f t="shared" si="34"/>
        <v>#REF!</v>
      </c>
      <c r="W203" s="42" t="e">
        <f t="shared" si="35"/>
        <v>#REF!</v>
      </c>
      <c r="X203" s="29"/>
    </row>
    <row r="204" spans="1:29" s="2" customFormat="1" ht="18" customHeight="1">
      <c r="A204" s="6"/>
      <c r="B204" s="47"/>
      <c r="C204" s="30" t="e">
        <v>#REF!</v>
      </c>
      <c r="D204" s="31" t="e">
        <v>#REF!</v>
      </c>
      <c r="E204" s="30" t="e">
        <f t="shared" si="36"/>
        <v>#REF!</v>
      </c>
      <c r="F204" s="31" t="e">
        <v>#REF!</v>
      </c>
      <c r="G204" s="32" t="e">
        <v>#REF!</v>
      </c>
      <c r="H204" s="31" t="e">
        <v>#REF!</v>
      </c>
      <c r="I204" s="32" t="e">
        <v>#REF!</v>
      </c>
      <c r="J204" s="33" t="e">
        <f t="shared" si="37"/>
        <v>#REF!</v>
      </c>
      <c r="K204" s="32" t="e">
        <v>#REF!</v>
      </c>
      <c r="L204" s="33"/>
      <c r="M204" s="33"/>
      <c r="N204" s="34" t="e">
        <f t="shared" si="38"/>
        <v>#REF!</v>
      </c>
      <c r="O204" s="34" t="e">
        <f>IF(F204="","",N204*#REF!/100)</f>
        <v>#REF!</v>
      </c>
      <c r="P204" s="35" t="e">
        <v>#REF!</v>
      </c>
      <c r="Q204" s="36" t="e">
        <f t="shared" si="30"/>
        <v>#REF!</v>
      </c>
      <c r="R204" s="34" t="e">
        <f t="shared" si="31"/>
        <v>#REF!</v>
      </c>
      <c r="S204" s="37" t="e">
        <v>#REF!</v>
      </c>
      <c r="T204" s="37" t="e">
        <f t="shared" si="32"/>
        <v>#REF!</v>
      </c>
      <c r="U204" s="37" t="e">
        <f t="shared" si="33"/>
        <v>#REF!</v>
      </c>
      <c r="V204" s="37" t="e">
        <f t="shared" si="34"/>
        <v>#REF!</v>
      </c>
      <c r="W204" s="34" t="e">
        <f t="shared" si="35"/>
        <v>#REF!</v>
      </c>
      <c r="X204" s="29"/>
    </row>
    <row r="205" spans="1:29" s="2" customFormat="1" ht="18" customHeight="1">
      <c r="A205" s="6"/>
      <c r="B205" s="48"/>
      <c r="C205" s="38" t="e">
        <v>#REF!</v>
      </c>
      <c r="D205" s="39" t="e">
        <v>#REF!</v>
      </c>
      <c r="E205" s="38" t="e">
        <f t="shared" si="36"/>
        <v>#REF!</v>
      </c>
      <c r="F205" s="39" t="e">
        <v>#REF!</v>
      </c>
      <c r="G205" s="40" t="e">
        <v>#REF!</v>
      </c>
      <c r="H205" s="39" t="e">
        <v>#REF!</v>
      </c>
      <c r="I205" s="40" t="e">
        <v>#REF!</v>
      </c>
      <c r="J205" s="41" t="e">
        <f t="shared" si="37"/>
        <v>#REF!</v>
      </c>
      <c r="K205" s="40" t="e">
        <v>#REF!</v>
      </c>
      <c r="L205" s="41"/>
      <c r="M205" s="41"/>
      <c r="N205" s="42" t="e">
        <f t="shared" si="38"/>
        <v>#REF!</v>
      </c>
      <c r="O205" s="42" t="e">
        <f>IF(F205="","",N205*#REF!/100)</f>
        <v>#REF!</v>
      </c>
      <c r="P205" s="44" t="e">
        <v>#REF!</v>
      </c>
      <c r="Q205" s="45" t="e">
        <f t="shared" si="30"/>
        <v>#REF!</v>
      </c>
      <c r="R205" s="42" t="e">
        <f t="shared" si="31"/>
        <v>#REF!</v>
      </c>
      <c r="S205" s="46" t="e">
        <v>#REF!</v>
      </c>
      <c r="T205" s="46" t="e">
        <f t="shared" si="32"/>
        <v>#REF!</v>
      </c>
      <c r="U205" s="46" t="e">
        <f t="shared" si="33"/>
        <v>#REF!</v>
      </c>
      <c r="V205" s="46" t="e">
        <f t="shared" si="34"/>
        <v>#REF!</v>
      </c>
      <c r="W205" s="42" t="e">
        <f t="shared" si="35"/>
        <v>#REF!</v>
      </c>
      <c r="X205" s="29"/>
    </row>
    <row r="206" spans="1:29" s="2" customFormat="1" ht="18" customHeight="1">
      <c r="A206" s="6"/>
      <c r="B206" s="48"/>
      <c r="C206" s="30" t="e">
        <v>#REF!</v>
      </c>
      <c r="D206" s="31" t="e">
        <v>#REF!</v>
      </c>
      <c r="E206" s="30" t="e">
        <f t="shared" si="36"/>
        <v>#REF!</v>
      </c>
      <c r="F206" s="31" t="e">
        <v>#REF!</v>
      </c>
      <c r="G206" s="32" t="e">
        <v>#REF!</v>
      </c>
      <c r="H206" s="31" t="e">
        <v>#REF!</v>
      </c>
      <c r="I206" s="32" t="e">
        <v>#REF!</v>
      </c>
      <c r="J206" s="33" t="e">
        <f t="shared" si="37"/>
        <v>#REF!</v>
      </c>
      <c r="K206" s="32" t="e">
        <v>#REF!</v>
      </c>
      <c r="L206" s="33"/>
      <c r="M206" s="33"/>
      <c r="N206" s="34" t="e">
        <f t="shared" si="38"/>
        <v>#REF!</v>
      </c>
      <c r="O206" s="34" t="e">
        <f>IF(F206="","",N206*#REF!/100)</f>
        <v>#REF!</v>
      </c>
      <c r="P206" s="35" t="e">
        <v>#REF!</v>
      </c>
      <c r="Q206" s="36" t="e">
        <f t="shared" si="30"/>
        <v>#REF!</v>
      </c>
      <c r="R206" s="34" t="e">
        <f t="shared" si="31"/>
        <v>#REF!</v>
      </c>
      <c r="S206" s="37" t="e">
        <v>#REF!</v>
      </c>
      <c r="T206" s="37" t="e">
        <f t="shared" si="32"/>
        <v>#REF!</v>
      </c>
      <c r="U206" s="37" t="e">
        <f t="shared" si="33"/>
        <v>#REF!</v>
      </c>
      <c r="V206" s="37" t="e">
        <f t="shared" si="34"/>
        <v>#REF!</v>
      </c>
      <c r="W206" s="34" t="e">
        <f t="shared" si="35"/>
        <v>#REF!</v>
      </c>
      <c r="X206" s="29"/>
    </row>
    <row r="207" spans="1:29" s="2" customFormat="1" ht="18" customHeight="1">
      <c r="A207" s="6"/>
      <c r="B207" s="48"/>
      <c r="C207" s="38" t="e">
        <v>#REF!</v>
      </c>
      <c r="D207" s="39" t="e">
        <v>#REF!</v>
      </c>
      <c r="E207" s="38" t="e">
        <f t="shared" si="36"/>
        <v>#REF!</v>
      </c>
      <c r="F207" s="39" t="e">
        <v>#REF!</v>
      </c>
      <c r="G207" s="40" t="e">
        <v>#REF!</v>
      </c>
      <c r="H207" s="39" t="e">
        <v>#REF!</v>
      </c>
      <c r="I207" s="40" t="e">
        <v>#REF!</v>
      </c>
      <c r="J207" s="41" t="e">
        <f t="shared" si="37"/>
        <v>#REF!</v>
      </c>
      <c r="K207" s="40" t="e">
        <v>#REF!</v>
      </c>
      <c r="L207" s="41"/>
      <c r="M207" s="41"/>
      <c r="N207" s="42" t="e">
        <f t="shared" si="38"/>
        <v>#REF!</v>
      </c>
      <c r="O207" s="42" t="e">
        <f>IF(F207="","",N207*#REF!/100)</f>
        <v>#REF!</v>
      </c>
      <c r="P207" s="44" t="e">
        <v>#REF!</v>
      </c>
      <c r="Q207" s="45" t="e">
        <f t="shared" si="30"/>
        <v>#REF!</v>
      </c>
      <c r="R207" s="42" t="e">
        <f t="shared" si="31"/>
        <v>#REF!</v>
      </c>
      <c r="S207" s="46" t="e">
        <v>#REF!</v>
      </c>
      <c r="T207" s="46" t="e">
        <f t="shared" si="32"/>
        <v>#REF!</v>
      </c>
      <c r="U207" s="46" t="e">
        <f t="shared" si="33"/>
        <v>#REF!</v>
      </c>
      <c r="V207" s="46" t="e">
        <f t="shared" si="34"/>
        <v>#REF!</v>
      </c>
      <c r="W207" s="42" t="e">
        <f t="shared" si="35"/>
        <v>#REF!</v>
      </c>
      <c r="X207" s="29"/>
    </row>
    <row r="208" spans="1:29" s="2" customFormat="1" ht="18" customHeight="1">
      <c r="A208" s="6"/>
      <c r="B208" s="48"/>
      <c r="C208" s="30" t="e">
        <v>#REF!</v>
      </c>
      <c r="D208" s="31" t="e">
        <v>#REF!</v>
      </c>
      <c r="E208" s="30" t="e">
        <f t="shared" si="36"/>
        <v>#REF!</v>
      </c>
      <c r="F208" s="31" t="e">
        <v>#REF!</v>
      </c>
      <c r="G208" s="32" t="e">
        <v>#REF!</v>
      </c>
      <c r="H208" s="31" t="e">
        <v>#REF!</v>
      </c>
      <c r="I208" s="32" t="e">
        <v>#REF!</v>
      </c>
      <c r="J208" s="33" t="e">
        <f t="shared" si="37"/>
        <v>#REF!</v>
      </c>
      <c r="K208" s="32" t="e">
        <v>#REF!</v>
      </c>
      <c r="L208" s="33"/>
      <c r="M208" s="33"/>
      <c r="N208" s="34" t="e">
        <f t="shared" si="38"/>
        <v>#REF!</v>
      </c>
      <c r="O208" s="34" t="e">
        <f>IF(F208="","",N208*#REF!/100)</f>
        <v>#REF!</v>
      </c>
      <c r="P208" s="35" t="e">
        <v>#REF!</v>
      </c>
      <c r="Q208" s="36" t="e">
        <f t="shared" si="30"/>
        <v>#REF!</v>
      </c>
      <c r="R208" s="34" t="e">
        <f t="shared" si="31"/>
        <v>#REF!</v>
      </c>
      <c r="S208" s="37" t="e">
        <v>#REF!</v>
      </c>
      <c r="T208" s="37" t="e">
        <f t="shared" si="32"/>
        <v>#REF!</v>
      </c>
      <c r="U208" s="37" t="e">
        <f t="shared" si="33"/>
        <v>#REF!</v>
      </c>
      <c r="V208" s="37" t="e">
        <f t="shared" si="34"/>
        <v>#REF!</v>
      </c>
      <c r="W208" s="34" t="e">
        <f t="shared" si="35"/>
        <v>#REF!</v>
      </c>
      <c r="X208" s="29"/>
    </row>
    <row r="209" spans="1:24" s="2" customFormat="1" ht="18" customHeight="1">
      <c r="A209" s="6"/>
      <c r="B209" s="48"/>
      <c r="C209" s="38" t="e">
        <v>#REF!</v>
      </c>
      <c r="D209" s="39" t="e">
        <v>#REF!</v>
      </c>
      <c r="E209" s="38" t="e">
        <f t="shared" si="36"/>
        <v>#REF!</v>
      </c>
      <c r="F209" s="39" t="e">
        <v>#REF!</v>
      </c>
      <c r="G209" s="40" t="e">
        <v>#REF!</v>
      </c>
      <c r="H209" s="39" t="e">
        <v>#REF!</v>
      </c>
      <c r="I209" s="40" t="e">
        <v>#REF!</v>
      </c>
      <c r="J209" s="41" t="e">
        <f t="shared" si="37"/>
        <v>#REF!</v>
      </c>
      <c r="K209" s="40" t="e">
        <v>#REF!</v>
      </c>
      <c r="L209" s="41"/>
      <c r="M209" s="41"/>
      <c r="N209" s="42" t="e">
        <f t="shared" si="38"/>
        <v>#REF!</v>
      </c>
      <c r="O209" s="42" t="e">
        <f>IF(F209="","",N209*#REF!/100)</f>
        <v>#REF!</v>
      </c>
      <c r="P209" s="44" t="e">
        <v>#REF!</v>
      </c>
      <c r="Q209" s="45" t="e">
        <f t="shared" si="30"/>
        <v>#REF!</v>
      </c>
      <c r="R209" s="42" t="e">
        <f t="shared" si="31"/>
        <v>#REF!</v>
      </c>
      <c r="S209" s="46" t="e">
        <v>#REF!</v>
      </c>
      <c r="T209" s="46" t="e">
        <f t="shared" si="32"/>
        <v>#REF!</v>
      </c>
      <c r="U209" s="46" t="e">
        <f t="shared" si="33"/>
        <v>#REF!</v>
      </c>
      <c r="V209" s="46" t="e">
        <f t="shared" si="34"/>
        <v>#REF!</v>
      </c>
      <c r="W209" s="42" t="e">
        <f t="shared" si="35"/>
        <v>#REF!</v>
      </c>
      <c r="X209" s="29"/>
    </row>
    <row r="210" spans="1:24" s="2" customFormat="1" ht="18" customHeight="1">
      <c r="A210" s="6"/>
      <c r="B210" s="48"/>
      <c r="C210" s="30" t="e">
        <v>#REF!</v>
      </c>
      <c r="D210" s="31" t="e">
        <v>#REF!</v>
      </c>
      <c r="E210" s="30" t="e">
        <f t="shared" si="36"/>
        <v>#REF!</v>
      </c>
      <c r="F210" s="31" t="e">
        <v>#REF!</v>
      </c>
      <c r="G210" s="32" t="e">
        <v>#REF!</v>
      </c>
      <c r="H210" s="31" t="e">
        <v>#REF!</v>
      </c>
      <c r="I210" s="32" t="e">
        <v>#REF!</v>
      </c>
      <c r="J210" s="33" t="e">
        <f t="shared" si="37"/>
        <v>#REF!</v>
      </c>
      <c r="K210" s="32" t="e">
        <v>#REF!</v>
      </c>
      <c r="L210" s="33"/>
      <c r="M210" s="33"/>
      <c r="N210" s="34" t="e">
        <f t="shared" si="38"/>
        <v>#REF!</v>
      </c>
      <c r="O210" s="34" t="e">
        <f>IF(F210="","",N210*#REF!/100)</f>
        <v>#REF!</v>
      </c>
      <c r="P210" s="35" t="e">
        <v>#REF!</v>
      </c>
      <c r="Q210" s="36" t="e">
        <f t="shared" si="30"/>
        <v>#REF!</v>
      </c>
      <c r="R210" s="34" t="e">
        <f t="shared" si="31"/>
        <v>#REF!</v>
      </c>
      <c r="S210" s="37" t="e">
        <v>#REF!</v>
      </c>
      <c r="T210" s="37" t="e">
        <f t="shared" si="32"/>
        <v>#REF!</v>
      </c>
      <c r="U210" s="37" t="e">
        <f t="shared" si="33"/>
        <v>#REF!</v>
      </c>
      <c r="V210" s="37" t="e">
        <f t="shared" si="34"/>
        <v>#REF!</v>
      </c>
      <c r="W210" s="34" t="e">
        <f t="shared" si="35"/>
        <v>#REF!</v>
      </c>
      <c r="X210" s="29"/>
    </row>
    <row r="211" spans="1:24" s="2" customFormat="1" ht="18" customHeight="1">
      <c r="A211" s="6"/>
      <c r="B211" s="48"/>
      <c r="C211" s="38" t="e">
        <v>#REF!</v>
      </c>
      <c r="D211" s="39" t="e">
        <v>#REF!</v>
      </c>
      <c r="E211" s="38" t="e">
        <f t="shared" si="36"/>
        <v>#REF!</v>
      </c>
      <c r="F211" s="39" t="e">
        <v>#REF!</v>
      </c>
      <c r="G211" s="40" t="e">
        <v>#REF!</v>
      </c>
      <c r="H211" s="39" t="e">
        <v>#REF!</v>
      </c>
      <c r="I211" s="40" t="e">
        <v>#REF!</v>
      </c>
      <c r="J211" s="41" t="e">
        <f t="shared" si="37"/>
        <v>#REF!</v>
      </c>
      <c r="K211" s="40" t="e">
        <v>#REF!</v>
      </c>
      <c r="L211" s="41"/>
      <c r="M211" s="41"/>
      <c r="N211" s="42" t="e">
        <f t="shared" si="38"/>
        <v>#REF!</v>
      </c>
      <c r="O211" s="42" t="e">
        <f>IF(F211="","",N211*#REF!/100)</f>
        <v>#REF!</v>
      </c>
      <c r="P211" s="44" t="e">
        <v>#REF!</v>
      </c>
      <c r="Q211" s="45" t="e">
        <f t="shared" si="30"/>
        <v>#REF!</v>
      </c>
      <c r="R211" s="42" t="e">
        <f t="shared" si="31"/>
        <v>#REF!</v>
      </c>
      <c r="S211" s="46" t="e">
        <v>#REF!</v>
      </c>
      <c r="T211" s="46" t="e">
        <f t="shared" si="32"/>
        <v>#REF!</v>
      </c>
      <c r="U211" s="46" t="e">
        <f t="shared" si="33"/>
        <v>#REF!</v>
      </c>
      <c r="V211" s="46" t="e">
        <f t="shared" si="34"/>
        <v>#REF!</v>
      </c>
      <c r="W211" s="42" t="e">
        <f t="shared" si="35"/>
        <v>#REF!</v>
      </c>
      <c r="X211" s="29"/>
    </row>
    <row r="212" spans="1:24" s="2" customFormat="1" ht="18" customHeight="1">
      <c r="A212" s="6"/>
      <c r="B212" s="48"/>
      <c r="C212" s="30" t="e">
        <v>#REF!</v>
      </c>
      <c r="D212" s="31" t="e">
        <v>#REF!</v>
      </c>
      <c r="E212" s="30" t="e">
        <f t="shared" si="36"/>
        <v>#REF!</v>
      </c>
      <c r="F212" s="31" t="e">
        <v>#REF!</v>
      </c>
      <c r="G212" s="32" t="e">
        <v>#REF!</v>
      </c>
      <c r="H212" s="31" t="e">
        <v>#REF!</v>
      </c>
      <c r="I212" s="32" t="e">
        <v>#REF!</v>
      </c>
      <c r="J212" s="33" t="e">
        <f t="shared" si="37"/>
        <v>#REF!</v>
      </c>
      <c r="K212" s="32" t="e">
        <v>#REF!</v>
      </c>
      <c r="L212" s="33"/>
      <c r="M212" s="33"/>
      <c r="N212" s="34" t="e">
        <f t="shared" si="38"/>
        <v>#REF!</v>
      </c>
      <c r="O212" s="34" t="e">
        <f>IF(F212="","",N212*#REF!/100)</f>
        <v>#REF!</v>
      </c>
      <c r="P212" s="35" t="e">
        <v>#REF!</v>
      </c>
      <c r="Q212" s="36" t="e">
        <f t="shared" si="30"/>
        <v>#REF!</v>
      </c>
      <c r="R212" s="34" t="e">
        <f t="shared" si="31"/>
        <v>#REF!</v>
      </c>
      <c r="S212" s="37" t="e">
        <v>#REF!</v>
      </c>
      <c r="T212" s="37" t="e">
        <f t="shared" si="32"/>
        <v>#REF!</v>
      </c>
      <c r="U212" s="37" t="e">
        <f t="shared" si="33"/>
        <v>#REF!</v>
      </c>
      <c r="V212" s="37" t="e">
        <f t="shared" si="34"/>
        <v>#REF!</v>
      </c>
      <c r="W212" s="34" t="e">
        <f t="shared" si="35"/>
        <v>#REF!</v>
      </c>
      <c r="X212" s="29"/>
    </row>
    <row r="213" spans="1:24" s="2" customFormat="1" ht="18" customHeight="1">
      <c r="A213" s="6"/>
      <c r="B213" s="48"/>
      <c r="C213" s="38" t="e">
        <v>#REF!</v>
      </c>
      <c r="D213" s="39" t="e">
        <v>#REF!</v>
      </c>
      <c r="E213" s="38" t="e">
        <f t="shared" si="36"/>
        <v>#REF!</v>
      </c>
      <c r="F213" s="39" t="e">
        <v>#REF!</v>
      </c>
      <c r="G213" s="40" t="e">
        <v>#REF!</v>
      </c>
      <c r="H213" s="39" t="e">
        <v>#REF!</v>
      </c>
      <c r="I213" s="40" t="e">
        <v>#REF!</v>
      </c>
      <c r="J213" s="41" t="e">
        <f t="shared" si="37"/>
        <v>#REF!</v>
      </c>
      <c r="K213" s="40" t="e">
        <v>#REF!</v>
      </c>
      <c r="L213" s="41"/>
      <c r="M213" s="41"/>
      <c r="N213" s="42" t="e">
        <f t="shared" si="38"/>
        <v>#REF!</v>
      </c>
      <c r="O213" s="42" t="e">
        <f>IF(F213="","",N213*#REF!/100)</f>
        <v>#REF!</v>
      </c>
      <c r="P213" s="44" t="e">
        <v>#REF!</v>
      </c>
      <c r="Q213" s="45" t="e">
        <f t="shared" si="30"/>
        <v>#REF!</v>
      </c>
      <c r="R213" s="42" t="e">
        <f t="shared" si="31"/>
        <v>#REF!</v>
      </c>
      <c r="S213" s="46" t="e">
        <v>#REF!</v>
      </c>
      <c r="T213" s="46" t="e">
        <f t="shared" si="32"/>
        <v>#REF!</v>
      </c>
      <c r="U213" s="46" t="e">
        <f t="shared" si="33"/>
        <v>#REF!</v>
      </c>
      <c r="V213" s="46" t="e">
        <f t="shared" si="34"/>
        <v>#REF!</v>
      </c>
      <c r="W213" s="42" t="e">
        <f t="shared" si="35"/>
        <v>#REF!</v>
      </c>
      <c r="X213" s="29"/>
    </row>
    <row r="214" spans="1:24" s="2" customFormat="1" ht="18" customHeight="1">
      <c r="A214" s="6"/>
      <c r="B214" s="48"/>
      <c r="C214" s="30" t="e">
        <v>#REF!</v>
      </c>
      <c r="D214" s="31" t="e">
        <v>#REF!</v>
      </c>
      <c r="E214" s="30" t="e">
        <f t="shared" si="36"/>
        <v>#REF!</v>
      </c>
      <c r="F214" s="31" t="e">
        <v>#REF!</v>
      </c>
      <c r="G214" s="32" t="e">
        <v>#REF!</v>
      </c>
      <c r="H214" s="31" t="e">
        <v>#REF!</v>
      </c>
      <c r="I214" s="32" t="e">
        <v>#REF!</v>
      </c>
      <c r="J214" s="33" t="e">
        <f t="shared" si="37"/>
        <v>#REF!</v>
      </c>
      <c r="K214" s="32" t="e">
        <v>#REF!</v>
      </c>
      <c r="L214" s="33"/>
      <c r="M214" s="33"/>
      <c r="N214" s="34" t="e">
        <f t="shared" si="38"/>
        <v>#REF!</v>
      </c>
      <c r="O214" s="34" t="e">
        <f>IF(F214="","",N214*#REF!/100)</f>
        <v>#REF!</v>
      </c>
      <c r="P214" s="35" t="e">
        <v>#REF!</v>
      </c>
      <c r="Q214" s="36" t="e">
        <f t="shared" si="30"/>
        <v>#REF!</v>
      </c>
      <c r="R214" s="34" t="e">
        <f t="shared" si="31"/>
        <v>#REF!</v>
      </c>
      <c r="S214" s="37" t="e">
        <v>#REF!</v>
      </c>
      <c r="T214" s="37" t="e">
        <f t="shared" si="32"/>
        <v>#REF!</v>
      </c>
      <c r="U214" s="37" t="e">
        <f t="shared" si="33"/>
        <v>#REF!</v>
      </c>
      <c r="V214" s="37" t="e">
        <f t="shared" si="34"/>
        <v>#REF!</v>
      </c>
      <c r="W214" s="34" t="e">
        <f t="shared" si="35"/>
        <v>#REF!</v>
      </c>
      <c r="X214" s="29"/>
    </row>
    <row r="215" spans="1:24" s="2" customFormat="1" ht="18" customHeight="1">
      <c r="A215" s="6"/>
      <c r="B215" s="48"/>
      <c r="C215" s="38" t="e">
        <v>#REF!</v>
      </c>
      <c r="D215" s="39" t="e">
        <v>#REF!</v>
      </c>
      <c r="E215" s="38" t="e">
        <f t="shared" si="36"/>
        <v>#REF!</v>
      </c>
      <c r="F215" s="39" t="e">
        <v>#REF!</v>
      </c>
      <c r="G215" s="40" t="e">
        <v>#REF!</v>
      </c>
      <c r="H215" s="39" t="e">
        <v>#REF!</v>
      </c>
      <c r="I215" s="40" t="e">
        <v>#REF!</v>
      </c>
      <c r="J215" s="41" t="e">
        <f t="shared" si="37"/>
        <v>#REF!</v>
      </c>
      <c r="K215" s="40" t="e">
        <v>#REF!</v>
      </c>
      <c r="L215" s="41"/>
      <c r="M215" s="41"/>
      <c r="N215" s="42" t="e">
        <f t="shared" si="38"/>
        <v>#REF!</v>
      </c>
      <c r="O215" s="42" t="e">
        <f>IF(F215="","",N215*#REF!/100)</f>
        <v>#REF!</v>
      </c>
      <c r="P215" s="44" t="e">
        <v>#REF!</v>
      </c>
      <c r="Q215" s="45" t="e">
        <f t="shared" si="30"/>
        <v>#REF!</v>
      </c>
      <c r="R215" s="42" t="e">
        <f t="shared" si="31"/>
        <v>#REF!</v>
      </c>
      <c r="S215" s="46" t="e">
        <v>#REF!</v>
      </c>
      <c r="T215" s="46" t="e">
        <f t="shared" si="32"/>
        <v>#REF!</v>
      </c>
      <c r="U215" s="46" t="e">
        <f t="shared" si="33"/>
        <v>#REF!</v>
      </c>
      <c r="V215" s="46" t="e">
        <f t="shared" si="34"/>
        <v>#REF!</v>
      </c>
      <c r="W215" s="42" t="e">
        <f t="shared" si="35"/>
        <v>#REF!</v>
      </c>
      <c r="X215" s="29"/>
    </row>
    <row r="216" spans="1:24" s="2" customFormat="1" ht="18" customHeight="1">
      <c r="A216" s="6"/>
      <c r="B216" s="48"/>
      <c r="C216" s="30" t="e">
        <v>#REF!</v>
      </c>
      <c r="D216" s="31" t="e">
        <v>#REF!</v>
      </c>
      <c r="E216" s="30" t="e">
        <f t="shared" si="36"/>
        <v>#REF!</v>
      </c>
      <c r="F216" s="31" t="e">
        <v>#REF!</v>
      </c>
      <c r="G216" s="32" t="e">
        <v>#REF!</v>
      </c>
      <c r="H216" s="31" t="e">
        <v>#REF!</v>
      </c>
      <c r="I216" s="32" t="e">
        <v>#REF!</v>
      </c>
      <c r="J216" s="33" t="e">
        <f t="shared" si="37"/>
        <v>#REF!</v>
      </c>
      <c r="K216" s="32" t="e">
        <v>#REF!</v>
      </c>
      <c r="L216" s="33"/>
      <c r="M216" s="33"/>
      <c r="N216" s="34" t="e">
        <f t="shared" si="38"/>
        <v>#REF!</v>
      </c>
      <c r="O216" s="34" t="e">
        <f>IF(F216="","",N216*#REF!/100)</f>
        <v>#REF!</v>
      </c>
      <c r="P216" s="35" t="e">
        <v>#REF!</v>
      </c>
      <c r="Q216" s="36" t="e">
        <f t="shared" si="30"/>
        <v>#REF!</v>
      </c>
      <c r="R216" s="34" t="e">
        <f t="shared" si="31"/>
        <v>#REF!</v>
      </c>
      <c r="S216" s="37" t="e">
        <v>#REF!</v>
      </c>
      <c r="T216" s="37" t="e">
        <f t="shared" si="32"/>
        <v>#REF!</v>
      </c>
      <c r="U216" s="37" t="e">
        <f t="shared" si="33"/>
        <v>#REF!</v>
      </c>
      <c r="V216" s="37" t="e">
        <f t="shared" si="34"/>
        <v>#REF!</v>
      </c>
      <c r="W216" s="34" t="e">
        <f t="shared" si="35"/>
        <v>#REF!</v>
      </c>
      <c r="X216" s="29"/>
    </row>
    <row r="217" spans="1:24" s="2" customFormat="1" ht="18" customHeight="1">
      <c r="A217" s="6"/>
      <c r="B217" s="48"/>
      <c r="C217" s="38" t="e">
        <v>#REF!</v>
      </c>
      <c r="D217" s="39" t="e">
        <v>#REF!</v>
      </c>
      <c r="E217" s="38" t="e">
        <f t="shared" si="36"/>
        <v>#REF!</v>
      </c>
      <c r="F217" s="39" t="e">
        <v>#REF!</v>
      </c>
      <c r="G217" s="40" t="e">
        <v>#REF!</v>
      </c>
      <c r="H217" s="39" t="e">
        <v>#REF!</v>
      </c>
      <c r="I217" s="40" t="e">
        <v>#REF!</v>
      </c>
      <c r="J217" s="41" t="e">
        <f t="shared" si="37"/>
        <v>#REF!</v>
      </c>
      <c r="K217" s="40" t="e">
        <v>#REF!</v>
      </c>
      <c r="L217" s="41"/>
      <c r="M217" s="41"/>
      <c r="N217" s="42" t="e">
        <f t="shared" si="38"/>
        <v>#REF!</v>
      </c>
      <c r="O217" s="42" t="e">
        <f>IF(F217="","",N217*#REF!/100)</f>
        <v>#REF!</v>
      </c>
      <c r="P217" s="44" t="e">
        <v>#REF!</v>
      </c>
      <c r="Q217" s="45" t="e">
        <f t="shared" si="30"/>
        <v>#REF!</v>
      </c>
      <c r="R217" s="42" t="e">
        <f t="shared" si="31"/>
        <v>#REF!</v>
      </c>
      <c r="S217" s="46" t="e">
        <v>#REF!</v>
      </c>
      <c r="T217" s="46" t="e">
        <f t="shared" si="32"/>
        <v>#REF!</v>
      </c>
      <c r="U217" s="46" t="e">
        <f t="shared" si="33"/>
        <v>#REF!</v>
      </c>
      <c r="V217" s="46" t="e">
        <f t="shared" si="34"/>
        <v>#REF!</v>
      </c>
      <c r="W217" s="42" t="e">
        <f t="shared" si="35"/>
        <v>#REF!</v>
      </c>
      <c r="X217" s="29"/>
    </row>
    <row r="218" spans="1:24" s="2" customFormat="1" ht="18" customHeight="1">
      <c r="A218" s="6"/>
      <c r="B218" s="48"/>
      <c r="C218" s="30" t="e">
        <v>#REF!</v>
      </c>
      <c r="D218" s="31" t="e">
        <v>#REF!</v>
      </c>
      <c r="E218" s="30" t="e">
        <f t="shared" si="36"/>
        <v>#REF!</v>
      </c>
      <c r="F218" s="31" t="e">
        <v>#REF!</v>
      </c>
      <c r="G218" s="32" t="e">
        <v>#REF!</v>
      </c>
      <c r="H218" s="31" t="e">
        <v>#REF!</v>
      </c>
      <c r="I218" s="32" t="e">
        <v>#REF!</v>
      </c>
      <c r="J218" s="33" t="e">
        <f t="shared" si="37"/>
        <v>#REF!</v>
      </c>
      <c r="K218" s="32" t="e">
        <v>#REF!</v>
      </c>
      <c r="L218" s="33"/>
      <c r="M218" s="33"/>
      <c r="N218" s="34" t="e">
        <f t="shared" si="38"/>
        <v>#REF!</v>
      </c>
      <c r="O218" s="34" t="e">
        <f>IF(F218="","",N218*#REF!/100)</f>
        <v>#REF!</v>
      </c>
      <c r="P218" s="35" t="e">
        <v>#REF!</v>
      </c>
      <c r="Q218" s="36" t="e">
        <f t="shared" si="30"/>
        <v>#REF!</v>
      </c>
      <c r="R218" s="34" t="e">
        <f t="shared" si="31"/>
        <v>#REF!</v>
      </c>
      <c r="S218" s="37" t="e">
        <v>#REF!</v>
      </c>
      <c r="T218" s="37" t="e">
        <f t="shared" si="32"/>
        <v>#REF!</v>
      </c>
      <c r="U218" s="37" t="e">
        <f t="shared" si="33"/>
        <v>#REF!</v>
      </c>
      <c r="V218" s="37" t="e">
        <f t="shared" si="34"/>
        <v>#REF!</v>
      </c>
      <c r="W218" s="34" t="e">
        <f t="shared" si="35"/>
        <v>#REF!</v>
      </c>
      <c r="X218" s="29"/>
    </row>
    <row r="219" spans="1:24" s="2" customFormat="1" ht="18" customHeight="1">
      <c r="A219" s="6"/>
      <c r="B219" s="48"/>
      <c r="C219" s="38" t="e">
        <v>#REF!</v>
      </c>
      <c r="D219" s="39" t="e">
        <v>#REF!</v>
      </c>
      <c r="E219" s="38" t="e">
        <f t="shared" si="36"/>
        <v>#REF!</v>
      </c>
      <c r="F219" s="39" t="e">
        <v>#REF!</v>
      </c>
      <c r="G219" s="40" t="e">
        <v>#REF!</v>
      </c>
      <c r="H219" s="39" t="e">
        <v>#REF!</v>
      </c>
      <c r="I219" s="40" t="e">
        <v>#REF!</v>
      </c>
      <c r="J219" s="41" t="e">
        <f t="shared" si="37"/>
        <v>#REF!</v>
      </c>
      <c r="K219" s="40" t="e">
        <v>#REF!</v>
      </c>
      <c r="L219" s="41"/>
      <c r="M219" s="41"/>
      <c r="N219" s="42" t="e">
        <f t="shared" si="38"/>
        <v>#REF!</v>
      </c>
      <c r="O219" s="42" t="e">
        <f>IF(F219="","",N219*#REF!/100)</f>
        <v>#REF!</v>
      </c>
      <c r="P219" s="44" t="e">
        <v>#REF!</v>
      </c>
      <c r="Q219" s="45" t="e">
        <f t="shared" si="30"/>
        <v>#REF!</v>
      </c>
      <c r="R219" s="42" t="e">
        <f t="shared" si="31"/>
        <v>#REF!</v>
      </c>
      <c r="S219" s="46" t="e">
        <v>#REF!</v>
      </c>
      <c r="T219" s="46" t="e">
        <f t="shared" si="32"/>
        <v>#REF!</v>
      </c>
      <c r="U219" s="46" t="e">
        <f t="shared" si="33"/>
        <v>#REF!</v>
      </c>
      <c r="V219" s="46" t="e">
        <f t="shared" si="34"/>
        <v>#REF!</v>
      </c>
      <c r="W219" s="42" t="e">
        <f t="shared" si="35"/>
        <v>#REF!</v>
      </c>
      <c r="X219" s="29"/>
    </row>
    <row r="220" spans="1:24" s="2" customFormat="1" ht="18" customHeight="1">
      <c r="A220" s="6"/>
      <c r="B220" s="48"/>
      <c r="C220" s="30" t="e">
        <v>#REF!</v>
      </c>
      <c r="D220" s="31" t="e">
        <v>#REF!</v>
      </c>
      <c r="E220" s="30" t="e">
        <f t="shared" si="36"/>
        <v>#REF!</v>
      </c>
      <c r="F220" s="31" t="e">
        <v>#REF!</v>
      </c>
      <c r="G220" s="32" t="e">
        <v>#REF!</v>
      </c>
      <c r="H220" s="31" t="e">
        <v>#REF!</v>
      </c>
      <c r="I220" s="32" t="e">
        <v>#REF!</v>
      </c>
      <c r="J220" s="33" t="e">
        <f t="shared" si="37"/>
        <v>#REF!</v>
      </c>
      <c r="K220" s="32" t="e">
        <v>#REF!</v>
      </c>
      <c r="L220" s="33"/>
      <c r="M220" s="33"/>
      <c r="N220" s="34" t="e">
        <f t="shared" si="38"/>
        <v>#REF!</v>
      </c>
      <c r="O220" s="34" t="e">
        <f>IF(F220="","",N220*#REF!/100)</f>
        <v>#REF!</v>
      </c>
      <c r="P220" s="35" t="e">
        <v>#REF!</v>
      </c>
      <c r="Q220" s="36" t="e">
        <f t="shared" si="30"/>
        <v>#REF!</v>
      </c>
      <c r="R220" s="34" t="e">
        <f t="shared" si="31"/>
        <v>#REF!</v>
      </c>
      <c r="S220" s="37" t="e">
        <v>#REF!</v>
      </c>
      <c r="T220" s="37" t="e">
        <f t="shared" si="32"/>
        <v>#REF!</v>
      </c>
      <c r="U220" s="37" t="e">
        <f t="shared" si="33"/>
        <v>#REF!</v>
      </c>
      <c r="V220" s="37" t="e">
        <f t="shared" si="34"/>
        <v>#REF!</v>
      </c>
      <c r="W220" s="34" t="e">
        <f t="shared" si="35"/>
        <v>#REF!</v>
      </c>
      <c r="X220" s="29"/>
    </row>
    <row r="221" spans="1:24" s="2" customFormat="1" ht="18" customHeight="1">
      <c r="A221" s="6"/>
      <c r="B221" s="48"/>
      <c r="C221" s="38" t="e">
        <v>#REF!</v>
      </c>
      <c r="D221" s="39" t="e">
        <v>#REF!</v>
      </c>
      <c r="E221" s="38" t="e">
        <f t="shared" si="36"/>
        <v>#REF!</v>
      </c>
      <c r="F221" s="39" t="e">
        <v>#REF!</v>
      </c>
      <c r="G221" s="40" t="e">
        <v>#REF!</v>
      </c>
      <c r="H221" s="39" t="e">
        <v>#REF!</v>
      </c>
      <c r="I221" s="40" t="e">
        <v>#REF!</v>
      </c>
      <c r="J221" s="41" t="e">
        <f t="shared" si="37"/>
        <v>#REF!</v>
      </c>
      <c r="K221" s="40" t="e">
        <v>#REF!</v>
      </c>
      <c r="L221" s="41"/>
      <c r="M221" s="41"/>
      <c r="N221" s="42" t="e">
        <f t="shared" si="38"/>
        <v>#REF!</v>
      </c>
      <c r="O221" s="42" t="e">
        <f>IF(F221="","",N221*#REF!/100)</f>
        <v>#REF!</v>
      </c>
      <c r="P221" s="44" t="e">
        <v>#REF!</v>
      </c>
      <c r="Q221" s="45" t="e">
        <f t="shared" si="30"/>
        <v>#REF!</v>
      </c>
      <c r="R221" s="42" t="e">
        <f t="shared" si="31"/>
        <v>#REF!</v>
      </c>
      <c r="S221" s="46" t="e">
        <v>#REF!</v>
      </c>
      <c r="T221" s="46" t="e">
        <f t="shared" si="32"/>
        <v>#REF!</v>
      </c>
      <c r="U221" s="46" t="e">
        <f t="shared" si="33"/>
        <v>#REF!</v>
      </c>
      <c r="V221" s="46" t="e">
        <f t="shared" si="34"/>
        <v>#REF!</v>
      </c>
      <c r="W221" s="42" t="e">
        <f t="shared" si="35"/>
        <v>#REF!</v>
      </c>
      <c r="X221" s="29"/>
    </row>
    <row r="222" spans="1:24" s="2" customFormat="1" ht="18" customHeight="1">
      <c r="A222" s="6"/>
      <c r="B222" s="48"/>
      <c r="C222" s="30" t="e">
        <v>#REF!</v>
      </c>
      <c r="D222" s="31" t="e">
        <v>#REF!</v>
      </c>
      <c r="E222" s="30" t="e">
        <f t="shared" si="36"/>
        <v>#REF!</v>
      </c>
      <c r="F222" s="31" t="e">
        <v>#REF!</v>
      </c>
      <c r="G222" s="32" t="e">
        <v>#REF!</v>
      </c>
      <c r="H222" s="31" t="e">
        <v>#REF!</v>
      </c>
      <c r="I222" s="32" t="e">
        <v>#REF!</v>
      </c>
      <c r="J222" s="33" t="e">
        <f t="shared" si="37"/>
        <v>#REF!</v>
      </c>
      <c r="K222" s="32" t="e">
        <v>#REF!</v>
      </c>
      <c r="L222" s="33"/>
      <c r="M222" s="33"/>
      <c r="N222" s="34" t="e">
        <f t="shared" si="38"/>
        <v>#REF!</v>
      </c>
      <c r="O222" s="34" t="e">
        <f>IF(F222="","",N222*#REF!/100)</f>
        <v>#REF!</v>
      </c>
      <c r="P222" s="35" t="e">
        <v>#REF!</v>
      </c>
      <c r="Q222" s="36" t="e">
        <f t="shared" si="30"/>
        <v>#REF!</v>
      </c>
      <c r="R222" s="34" t="e">
        <f t="shared" si="31"/>
        <v>#REF!</v>
      </c>
      <c r="S222" s="37" t="e">
        <v>#REF!</v>
      </c>
      <c r="T222" s="37" t="e">
        <f t="shared" si="32"/>
        <v>#REF!</v>
      </c>
      <c r="U222" s="37" t="e">
        <f t="shared" si="33"/>
        <v>#REF!</v>
      </c>
      <c r="V222" s="37" t="e">
        <f t="shared" si="34"/>
        <v>#REF!</v>
      </c>
      <c r="W222" s="34" t="e">
        <f t="shared" si="35"/>
        <v>#REF!</v>
      </c>
      <c r="X222" s="29"/>
    </row>
    <row r="223" spans="1:24" s="2" customFormat="1" ht="18" customHeight="1">
      <c r="A223" s="6"/>
      <c r="B223" s="48"/>
      <c r="C223" s="38" t="e">
        <v>#REF!</v>
      </c>
      <c r="D223" s="39" t="e">
        <v>#REF!</v>
      </c>
      <c r="E223" s="38" t="e">
        <f t="shared" si="36"/>
        <v>#REF!</v>
      </c>
      <c r="F223" s="39" t="e">
        <v>#REF!</v>
      </c>
      <c r="G223" s="40" t="e">
        <v>#REF!</v>
      </c>
      <c r="H223" s="39" t="e">
        <v>#REF!</v>
      </c>
      <c r="I223" s="40" t="e">
        <v>#REF!</v>
      </c>
      <c r="J223" s="41" t="e">
        <f t="shared" si="37"/>
        <v>#REF!</v>
      </c>
      <c r="K223" s="40" t="e">
        <v>#REF!</v>
      </c>
      <c r="L223" s="41"/>
      <c r="M223" s="41"/>
      <c r="N223" s="42" t="e">
        <f t="shared" si="38"/>
        <v>#REF!</v>
      </c>
      <c r="O223" s="42" t="e">
        <f>IF(F223="","",N223*#REF!/100)</f>
        <v>#REF!</v>
      </c>
      <c r="P223" s="44" t="e">
        <v>#REF!</v>
      </c>
      <c r="Q223" s="45" t="e">
        <f t="shared" si="30"/>
        <v>#REF!</v>
      </c>
      <c r="R223" s="42" t="e">
        <f t="shared" si="31"/>
        <v>#REF!</v>
      </c>
      <c r="S223" s="46" t="e">
        <v>#REF!</v>
      </c>
      <c r="T223" s="46" t="e">
        <f t="shared" si="32"/>
        <v>#REF!</v>
      </c>
      <c r="U223" s="46" t="e">
        <f t="shared" si="33"/>
        <v>#REF!</v>
      </c>
      <c r="V223" s="46" t="e">
        <f t="shared" si="34"/>
        <v>#REF!</v>
      </c>
      <c r="W223" s="42" t="e">
        <f t="shared" si="35"/>
        <v>#REF!</v>
      </c>
      <c r="X223" s="29"/>
    </row>
    <row r="224" spans="1:24" s="2" customFormat="1" ht="18" customHeight="1">
      <c r="A224" s="6"/>
      <c r="B224" s="48"/>
      <c r="C224" s="30" t="e">
        <v>#REF!</v>
      </c>
      <c r="D224" s="31" t="e">
        <v>#REF!</v>
      </c>
      <c r="E224" s="30" t="e">
        <f t="shared" si="36"/>
        <v>#REF!</v>
      </c>
      <c r="F224" s="31" t="e">
        <v>#REF!</v>
      </c>
      <c r="G224" s="32" t="e">
        <v>#REF!</v>
      </c>
      <c r="H224" s="31" t="e">
        <v>#REF!</v>
      </c>
      <c r="I224" s="32" t="e">
        <v>#REF!</v>
      </c>
      <c r="J224" s="33" t="e">
        <f t="shared" si="37"/>
        <v>#REF!</v>
      </c>
      <c r="K224" s="32" t="e">
        <v>#REF!</v>
      </c>
      <c r="L224" s="33"/>
      <c r="M224" s="33"/>
      <c r="N224" s="34" t="e">
        <f t="shared" si="38"/>
        <v>#REF!</v>
      </c>
      <c r="O224" s="34" t="e">
        <f>IF(F224="","",N224*#REF!/100)</f>
        <v>#REF!</v>
      </c>
      <c r="P224" s="35" t="e">
        <v>#REF!</v>
      </c>
      <c r="Q224" s="36" t="e">
        <f t="shared" si="30"/>
        <v>#REF!</v>
      </c>
      <c r="R224" s="34" t="e">
        <f t="shared" si="31"/>
        <v>#REF!</v>
      </c>
      <c r="S224" s="37" t="e">
        <v>#REF!</v>
      </c>
      <c r="T224" s="37" t="e">
        <f t="shared" si="32"/>
        <v>#REF!</v>
      </c>
      <c r="U224" s="37" t="e">
        <f t="shared" si="33"/>
        <v>#REF!</v>
      </c>
      <c r="V224" s="37" t="e">
        <f t="shared" si="34"/>
        <v>#REF!</v>
      </c>
      <c r="W224" s="34" t="e">
        <f t="shared" si="35"/>
        <v>#REF!</v>
      </c>
      <c r="X224" s="29"/>
    </row>
    <row r="225" spans="1:29" s="2" customFormat="1" ht="18" customHeight="1">
      <c r="A225" s="6"/>
      <c r="B225" s="48"/>
      <c r="C225" s="38" t="e">
        <v>#REF!</v>
      </c>
      <c r="D225" s="39" t="e">
        <v>#REF!</v>
      </c>
      <c r="E225" s="38" t="e">
        <f t="shared" si="36"/>
        <v>#REF!</v>
      </c>
      <c r="F225" s="39" t="e">
        <v>#REF!</v>
      </c>
      <c r="G225" s="40" t="e">
        <v>#REF!</v>
      </c>
      <c r="H225" s="39" t="e">
        <v>#REF!</v>
      </c>
      <c r="I225" s="40" t="e">
        <v>#REF!</v>
      </c>
      <c r="J225" s="41" t="e">
        <f t="shared" si="37"/>
        <v>#REF!</v>
      </c>
      <c r="K225" s="40" t="e">
        <v>#REF!</v>
      </c>
      <c r="L225" s="41"/>
      <c r="M225" s="41"/>
      <c r="N225" s="42" t="e">
        <f t="shared" si="38"/>
        <v>#REF!</v>
      </c>
      <c r="O225" s="42" t="e">
        <f>IF(F225="","",N225*#REF!/100)</f>
        <v>#REF!</v>
      </c>
      <c r="P225" s="44" t="e">
        <v>#REF!</v>
      </c>
      <c r="Q225" s="45" t="e">
        <f t="shared" si="30"/>
        <v>#REF!</v>
      </c>
      <c r="R225" s="42" t="e">
        <f t="shared" si="31"/>
        <v>#REF!</v>
      </c>
      <c r="S225" s="46" t="e">
        <v>#REF!</v>
      </c>
      <c r="T225" s="46" t="e">
        <f t="shared" si="32"/>
        <v>#REF!</v>
      </c>
      <c r="U225" s="46" t="e">
        <f t="shared" si="33"/>
        <v>#REF!</v>
      </c>
      <c r="V225" s="46" t="e">
        <f t="shared" si="34"/>
        <v>#REF!</v>
      </c>
      <c r="W225" s="42" t="e">
        <f t="shared" si="35"/>
        <v>#REF!</v>
      </c>
      <c r="X225" s="29"/>
    </row>
    <row r="226" spans="1:29" s="2" customFormat="1" ht="18" customHeight="1">
      <c r="A226" s="6"/>
      <c r="B226" s="48"/>
      <c r="C226" s="30" t="e">
        <v>#REF!</v>
      </c>
      <c r="D226" s="31" t="e">
        <v>#REF!</v>
      </c>
      <c r="E226" s="30" t="e">
        <f t="shared" si="36"/>
        <v>#REF!</v>
      </c>
      <c r="F226" s="31" t="e">
        <v>#REF!</v>
      </c>
      <c r="G226" s="32" t="e">
        <v>#REF!</v>
      </c>
      <c r="H226" s="31" t="e">
        <v>#REF!</v>
      </c>
      <c r="I226" s="32" t="e">
        <v>#REF!</v>
      </c>
      <c r="J226" s="33" t="e">
        <f t="shared" si="37"/>
        <v>#REF!</v>
      </c>
      <c r="K226" s="32" t="e">
        <v>#REF!</v>
      </c>
      <c r="L226" s="33"/>
      <c r="M226" s="33"/>
      <c r="N226" s="34" t="e">
        <f t="shared" si="38"/>
        <v>#REF!</v>
      </c>
      <c r="O226" s="34" t="e">
        <f>IF(F226="","",N226*#REF!/100)</f>
        <v>#REF!</v>
      </c>
      <c r="P226" s="35" t="e">
        <v>#REF!</v>
      </c>
      <c r="Q226" s="36" t="e">
        <f t="shared" si="30"/>
        <v>#REF!</v>
      </c>
      <c r="R226" s="34" t="e">
        <f t="shared" si="31"/>
        <v>#REF!</v>
      </c>
      <c r="S226" s="37" t="e">
        <v>#REF!</v>
      </c>
      <c r="T226" s="37" t="e">
        <f t="shared" si="32"/>
        <v>#REF!</v>
      </c>
      <c r="U226" s="37" t="e">
        <f t="shared" si="33"/>
        <v>#REF!</v>
      </c>
      <c r="V226" s="37" t="e">
        <f t="shared" si="34"/>
        <v>#REF!</v>
      </c>
      <c r="W226" s="34" t="e">
        <f t="shared" si="35"/>
        <v>#REF!</v>
      </c>
      <c r="X226" s="29"/>
    </row>
    <row r="227" spans="1:29" s="2" customFormat="1" ht="18" customHeight="1">
      <c r="A227" s="6"/>
      <c r="B227" s="48"/>
      <c r="C227" s="38" t="e">
        <v>#REF!</v>
      </c>
      <c r="D227" s="39" t="e">
        <v>#REF!</v>
      </c>
      <c r="E227" s="38" t="e">
        <f t="shared" si="36"/>
        <v>#REF!</v>
      </c>
      <c r="F227" s="39" t="e">
        <v>#REF!</v>
      </c>
      <c r="G227" s="40" t="e">
        <v>#REF!</v>
      </c>
      <c r="H227" s="39" t="e">
        <v>#REF!</v>
      </c>
      <c r="I227" s="40" t="e">
        <v>#REF!</v>
      </c>
      <c r="J227" s="41" t="e">
        <f t="shared" si="37"/>
        <v>#REF!</v>
      </c>
      <c r="K227" s="40" t="e">
        <v>#REF!</v>
      </c>
      <c r="L227" s="41"/>
      <c r="M227" s="41"/>
      <c r="N227" s="42" t="e">
        <f t="shared" si="38"/>
        <v>#REF!</v>
      </c>
      <c r="O227" s="42" t="e">
        <f>IF(F227="","",N227*#REF!/100)</f>
        <v>#REF!</v>
      </c>
      <c r="P227" s="44" t="e">
        <v>#REF!</v>
      </c>
      <c r="Q227" s="45" t="e">
        <f t="shared" si="30"/>
        <v>#REF!</v>
      </c>
      <c r="R227" s="42" t="e">
        <f t="shared" si="31"/>
        <v>#REF!</v>
      </c>
      <c r="S227" s="46" t="e">
        <v>#REF!</v>
      </c>
      <c r="T227" s="46" t="e">
        <f t="shared" si="32"/>
        <v>#REF!</v>
      </c>
      <c r="U227" s="46" t="e">
        <f t="shared" si="33"/>
        <v>#REF!</v>
      </c>
      <c r="V227" s="46" t="e">
        <f t="shared" si="34"/>
        <v>#REF!</v>
      </c>
      <c r="W227" s="42" t="e">
        <f t="shared" si="35"/>
        <v>#REF!</v>
      </c>
      <c r="X227" s="29"/>
    </row>
    <row r="228" spans="1:29" s="2" customFormat="1" ht="18" customHeight="1">
      <c r="A228" s="6"/>
      <c r="B228" s="48"/>
      <c r="C228" s="30" t="e">
        <v>#REF!</v>
      </c>
      <c r="D228" s="31" t="e">
        <v>#REF!</v>
      </c>
      <c r="E228" s="30" t="e">
        <f t="shared" si="36"/>
        <v>#REF!</v>
      </c>
      <c r="F228" s="31" t="e">
        <v>#REF!</v>
      </c>
      <c r="G228" s="32" t="e">
        <v>#REF!</v>
      </c>
      <c r="H228" s="31" t="e">
        <v>#REF!</v>
      </c>
      <c r="I228" s="32" t="e">
        <v>#REF!</v>
      </c>
      <c r="J228" s="33" t="e">
        <f t="shared" si="37"/>
        <v>#REF!</v>
      </c>
      <c r="K228" s="32" t="e">
        <v>#REF!</v>
      </c>
      <c r="L228" s="33"/>
      <c r="M228" s="33"/>
      <c r="N228" s="34" t="e">
        <f t="shared" si="38"/>
        <v>#REF!</v>
      </c>
      <c r="O228" s="34" t="e">
        <f>IF(F228="","",N228*#REF!/100)</f>
        <v>#REF!</v>
      </c>
      <c r="P228" s="35" t="e">
        <v>#REF!</v>
      </c>
      <c r="Q228" s="36" t="e">
        <f t="shared" si="30"/>
        <v>#REF!</v>
      </c>
      <c r="R228" s="34" t="e">
        <f t="shared" si="31"/>
        <v>#REF!</v>
      </c>
      <c r="S228" s="37" t="e">
        <v>#REF!</v>
      </c>
      <c r="T228" s="37" t="e">
        <f t="shared" si="32"/>
        <v>#REF!</v>
      </c>
      <c r="U228" s="37" t="e">
        <f t="shared" si="33"/>
        <v>#REF!</v>
      </c>
      <c r="V228" s="37" t="e">
        <f t="shared" si="34"/>
        <v>#REF!</v>
      </c>
      <c r="W228" s="34" t="e">
        <f t="shared" si="35"/>
        <v>#REF!</v>
      </c>
      <c r="X228" s="29"/>
    </row>
    <row r="229" spans="1:29" s="2" customFormat="1" ht="18" customHeight="1">
      <c r="A229" s="6"/>
      <c r="B229" s="48"/>
      <c r="C229" s="38" t="e">
        <v>#REF!</v>
      </c>
      <c r="D229" s="39" t="e">
        <v>#REF!</v>
      </c>
      <c r="E229" s="38" t="e">
        <f t="shared" si="36"/>
        <v>#REF!</v>
      </c>
      <c r="F229" s="39" t="e">
        <v>#REF!</v>
      </c>
      <c r="G229" s="40" t="e">
        <v>#REF!</v>
      </c>
      <c r="H229" s="39" t="e">
        <v>#REF!</v>
      </c>
      <c r="I229" s="40" t="e">
        <v>#REF!</v>
      </c>
      <c r="J229" s="41" t="e">
        <f t="shared" si="37"/>
        <v>#REF!</v>
      </c>
      <c r="K229" s="40" t="e">
        <v>#REF!</v>
      </c>
      <c r="L229" s="41"/>
      <c r="M229" s="41"/>
      <c r="N229" s="42" t="e">
        <f t="shared" si="38"/>
        <v>#REF!</v>
      </c>
      <c r="O229" s="42" t="e">
        <f>IF(F229="","",N229*#REF!/100)</f>
        <v>#REF!</v>
      </c>
      <c r="P229" s="44" t="e">
        <v>#REF!</v>
      </c>
      <c r="Q229" s="45" t="e">
        <f t="shared" si="30"/>
        <v>#REF!</v>
      </c>
      <c r="R229" s="42" t="e">
        <f t="shared" si="31"/>
        <v>#REF!</v>
      </c>
      <c r="S229" s="46" t="e">
        <v>#REF!</v>
      </c>
      <c r="T229" s="46" t="e">
        <f t="shared" si="32"/>
        <v>#REF!</v>
      </c>
      <c r="U229" s="46" t="e">
        <f t="shared" si="33"/>
        <v>#REF!</v>
      </c>
      <c r="V229" s="46" t="e">
        <f t="shared" si="34"/>
        <v>#REF!</v>
      </c>
      <c r="W229" s="42" t="e">
        <f t="shared" si="35"/>
        <v>#REF!</v>
      </c>
      <c r="X229" s="29"/>
    </row>
    <row r="230" spans="1:29" s="2" customFormat="1" ht="18" customHeight="1">
      <c r="A230" s="6"/>
      <c r="B230" s="48"/>
      <c r="C230" s="30" t="e">
        <v>#REF!</v>
      </c>
      <c r="D230" s="31" t="e">
        <v>#REF!</v>
      </c>
      <c r="E230" s="30" t="e">
        <f t="shared" si="36"/>
        <v>#REF!</v>
      </c>
      <c r="F230" s="31" t="e">
        <v>#REF!</v>
      </c>
      <c r="G230" s="32" t="e">
        <v>#REF!</v>
      </c>
      <c r="H230" s="31" t="e">
        <v>#REF!</v>
      </c>
      <c r="I230" s="32" t="e">
        <v>#REF!</v>
      </c>
      <c r="J230" s="33" t="e">
        <f t="shared" si="37"/>
        <v>#REF!</v>
      </c>
      <c r="K230" s="32" t="e">
        <v>#REF!</v>
      </c>
      <c r="L230" s="33"/>
      <c r="M230" s="33"/>
      <c r="N230" s="34" t="e">
        <f t="shared" si="38"/>
        <v>#REF!</v>
      </c>
      <c r="O230" s="34" t="e">
        <f>IF(F230="","",N230*#REF!/100)</f>
        <v>#REF!</v>
      </c>
      <c r="P230" s="35" t="e">
        <v>#REF!</v>
      </c>
      <c r="Q230" s="36" t="e">
        <f t="shared" si="30"/>
        <v>#REF!</v>
      </c>
      <c r="R230" s="34" t="e">
        <f t="shared" si="31"/>
        <v>#REF!</v>
      </c>
      <c r="S230" s="37" t="e">
        <v>#REF!</v>
      </c>
      <c r="T230" s="37" t="e">
        <f t="shared" si="32"/>
        <v>#REF!</v>
      </c>
      <c r="U230" s="37" t="e">
        <f t="shared" si="33"/>
        <v>#REF!</v>
      </c>
      <c r="V230" s="37" t="e">
        <f t="shared" si="34"/>
        <v>#REF!</v>
      </c>
      <c r="W230" s="34" t="e">
        <f t="shared" si="35"/>
        <v>#REF!</v>
      </c>
      <c r="X230" s="29"/>
    </row>
    <row r="231" spans="1:29" s="2" customFormat="1" ht="18" customHeight="1">
      <c r="A231" s="6"/>
      <c r="B231" s="48"/>
      <c r="C231" s="38" t="e">
        <v>#REF!</v>
      </c>
      <c r="D231" s="39" t="e">
        <v>#REF!</v>
      </c>
      <c r="E231" s="38" t="e">
        <f t="shared" si="36"/>
        <v>#REF!</v>
      </c>
      <c r="F231" s="39" t="e">
        <v>#REF!</v>
      </c>
      <c r="G231" s="40" t="e">
        <v>#REF!</v>
      </c>
      <c r="H231" s="39" t="e">
        <v>#REF!</v>
      </c>
      <c r="I231" s="40" t="e">
        <v>#REF!</v>
      </c>
      <c r="J231" s="41" t="e">
        <f t="shared" si="37"/>
        <v>#REF!</v>
      </c>
      <c r="K231" s="40" t="e">
        <v>#REF!</v>
      </c>
      <c r="L231" s="41"/>
      <c r="M231" s="41"/>
      <c r="N231" s="42" t="e">
        <f t="shared" si="38"/>
        <v>#REF!</v>
      </c>
      <c r="O231" s="42" t="e">
        <f>IF(F231="","",N231*#REF!/100)</f>
        <v>#REF!</v>
      </c>
      <c r="P231" s="44" t="e">
        <v>#REF!</v>
      </c>
      <c r="Q231" s="45" t="e">
        <f t="shared" si="30"/>
        <v>#REF!</v>
      </c>
      <c r="R231" s="42" t="e">
        <f t="shared" si="31"/>
        <v>#REF!</v>
      </c>
      <c r="S231" s="46" t="e">
        <v>#REF!</v>
      </c>
      <c r="T231" s="46" t="e">
        <f t="shared" si="32"/>
        <v>#REF!</v>
      </c>
      <c r="U231" s="46" t="e">
        <f t="shared" si="33"/>
        <v>#REF!</v>
      </c>
      <c r="V231" s="46" t="e">
        <f t="shared" si="34"/>
        <v>#REF!</v>
      </c>
      <c r="W231" s="42" t="e">
        <f t="shared" si="35"/>
        <v>#REF!</v>
      </c>
      <c r="X231" s="29"/>
    </row>
    <row r="232" spans="1:29" s="2" customFormat="1" ht="18" customHeight="1">
      <c r="A232" s="6"/>
      <c r="B232" s="48"/>
      <c r="C232" s="49" t="e">
        <v>#REF!</v>
      </c>
      <c r="D232" s="50" t="e">
        <v>#REF!</v>
      </c>
      <c r="E232" s="49" t="e">
        <f t="shared" si="36"/>
        <v>#REF!</v>
      </c>
      <c r="F232" s="50" t="e">
        <v>#REF!</v>
      </c>
      <c r="G232" s="51" t="e">
        <v>#REF!</v>
      </c>
      <c r="H232" s="50" t="e">
        <v>#REF!</v>
      </c>
      <c r="I232" s="51" t="e">
        <v>#REF!</v>
      </c>
      <c r="J232" s="52" t="e">
        <f t="shared" si="37"/>
        <v>#REF!</v>
      </c>
      <c r="K232" s="51" t="e">
        <v>#REF!</v>
      </c>
      <c r="L232" s="33"/>
      <c r="M232" s="33"/>
      <c r="N232" s="53" t="e">
        <f t="shared" si="38"/>
        <v>#REF!</v>
      </c>
      <c r="O232" s="53" t="e">
        <f>IF(F232="","",N232*#REF!/100)</f>
        <v>#REF!</v>
      </c>
      <c r="P232" s="54" t="e">
        <v>#REF!</v>
      </c>
      <c r="Q232" s="55" t="e">
        <f t="shared" si="30"/>
        <v>#REF!</v>
      </c>
      <c r="R232" s="53" t="e">
        <f t="shared" si="31"/>
        <v>#REF!</v>
      </c>
      <c r="S232" s="56" t="e">
        <v>#REF!</v>
      </c>
      <c r="T232" s="56" t="e">
        <f t="shared" si="32"/>
        <v>#REF!</v>
      </c>
      <c r="U232" s="56" t="e">
        <f t="shared" si="33"/>
        <v>#REF!</v>
      </c>
      <c r="V232" s="56" t="e">
        <f t="shared" si="34"/>
        <v>#REF!</v>
      </c>
      <c r="W232" s="53" t="e">
        <f t="shared" si="35"/>
        <v>#REF!</v>
      </c>
      <c r="X232" s="29"/>
    </row>
    <row r="233" spans="1:29" s="2" customFormat="1" ht="18" customHeight="1">
      <c r="A233" s="6"/>
      <c r="B233" s="48"/>
      <c r="C233" s="1793"/>
      <c r="D233" s="1793"/>
      <c r="E233" s="1793"/>
      <c r="F233" s="1793"/>
      <c r="G233" s="1793"/>
      <c r="H233" s="1793"/>
      <c r="I233" s="1794"/>
      <c r="J233" s="57" t="e">
        <f>SUM(J198:J232)</f>
        <v>#REF!</v>
      </c>
      <c r="K233" s="58"/>
      <c r="L233" s="57"/>
      <c r="M233" s="57"/>
      <c r="N233" s="57" t="e">
        <f>SUM(N198:N232)</f>
        <v>#REF!</v>
      </c>
      <c r="O233" s="57" t="e">
        <f>SUM(O198:O232)</f>
        <v>#REF!</v>
      </c>
      <c r="P233" s="1530"/>
      <c r="Q233" s="1531"/>
      <c r="R233" s="60" t="e">
        <f>SUM(R198:R232)</f>
        <v>#REF!</v>
      </c>
      <c r="S233" s="61" t="s">
        <v>44</v>
      </c>
      <c r="T233" s="62"/>
      <c r="U233" s="63" t="e">
        <f>W233/O233</f>
        <v>#REF!</v>
      </c>
      <c r="V233" s="64" t="s">
        <v>45</v>
      </c>
      <c r="W233" s="65" t="e">
        <f>SUM(W198:W232)</f>
        <v>#REF!</v>
      </c>
      <c r="X233" s="29"/>
    </row>
    <row r="234" spans="1:29" s="2" customFormat="1" ht="18" customHeight="1">
      <c r="A234" s="6"/>
      <c r="B234" s="66"/>
      <c r="C234" s="1869">
        <f>+C183</f>
        <v>0</v>
      </c>
      <c r="D234" s="1870"/>
      <c r="E234" s="1870"/>
      <c r="F234" s="1870"/>
      <c r="G234" s="1870"/>
      <c r="H234" s="1870"/>
      <c r="I234" s="1870"/>
      <c r="J234" s="1870"/>
      <c r="K234" s="1870"/>
      <c r="L234" s="1870"/>
      <c r="M234" s="1870"/>
      <c r="N234" s="1870"/>
      <c r="O234" s="67" t="e">
        <f>R234/1.02</f>
        <v>#REF!</v>
      </c>
      <c r="P234" s="68">
        <f>+P183</f>
        <v>0</v>
      </c>
      <c r="Q234" s="69" t="s">
        <v>46</v>
      </c>
      <c r="R234" s="70" t="e">
        <f>+P234*R233/1000</f>
        <v>#REF!</v>
      </c>
      <c r="S234" s="1860"/>
      <c r="T234" s="1861"/>
      <c r="U234" s="1861"/>
      <c r="V234" s="1861"/>
      <c r="W234" s="1862"/>
      <c r="X234" s="29"/>
    </row>
    <row r="235" spans="1:29" s="76" customFormat="1" ht="6" customHeight="1">
      <c r="A235" s="71"/>
      <c r="B235" s="72"/>
      <c r="C235" s="73"/>
      <c r="D235" s="73"/>
      <c r="E235" s="73"/>
      <c r="F235" s="73"/>
      <c r="G235" s="73"/>
      <c r="H235" s="73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5"/>
      <c r="X235" s="29"/>
      <c r="Y235" s="2"/>
      <c r="Z235" s="2"/>
      <c r="AA235" s="2"/>
      <c r="AB235" s="2"/>
      <c r="AC235" s="2"/>
    </row>
    <row r="236" spans="1:29" s="76" customFormat="1" ht="7.5" customHeight="1">
      <c r="A236" s="71"/>
      <c r="B236" s="1863" t="s">
        <v>60</v>
      </c>
      <c r="C236" s="1864"/>
      <c r="D236" s="1864"/>
      <c r="E236" s="1864"/>
      <c r="F236" s="1864"/>
      <c r="G236" s="1864"/>
      <c r="H236" s="1864"/>
      <c r="I236" s="1864"/>
      <c r="J236" s="1864"/>
      <c r="K236" s="1864"/>
      <c r="L236" s="1864"/>
      <c r="M236" s="1864"/>
      <c r="N236" s="1864"/>
      <c r="O236" s="1864"/>
      <c r="P236" s="1864"/>
      <c r="Q236" s="1864"/>
      <c r="R236" s="1864"/>
      <c r="S236" s="1864"/>
      <c r="T236" s="1864"/>
      <c r="U236" s="1864"/>
      <c r="V236" s="1864"/>
      <c r="W236" s="1865"/>
      <c r="X236" s="29"/>
      <c r="Y236" s="2"/>
      <c r="Z236" s="2"/>
      <c r="AA236" s="2"/>
      <c r="AB236" s="2"/>
      <c r="AC236" s="2"/>
    </row>
    <row r="237" spans="1:29" s="76" customFormat="1" ht="7.5" customHeight="1">
      <c r="A237" s="71"/>
      <c r="B237" s="1866"/>
      <c r="C237" s="1867"/>
      <c r="D237" s="1867"/>
      <c r="E237" s="1867"/>
      <c r="F237" s="1867"/>
      <c r="G237" s="1867"/>
      <c r="H237" s="1867"/>
      <c r="I237" s="1867"/>
      <c r="J237" s="1867"/>
      <c r="K237" s="1867"/>
      <c r="L237" s="1867"/>
      <c r="M237" s="1867"/>
      <c r="N237" s="1867"/>
      <c r="O237" s="1867"/>
      <c r="P237" s="1867"/>
      <c r="Q237" s="1867"/>
      <c r="R237" s="1867"/>
      <c r="S237" s="1867"/>
      <c r="T237" s="1867"/>
      <c r="U237" s="1867"/>
      <c r="V237" s="1867"/>
      <c r="W237" s="1868"/>
      <c r="X237" s="29"/>
      <c r="Y237" s="2"/>
      <c r="Z237" s="2"/>
      <c r="AA237" s="2"/>
      <c r="AB237" s="2"/>
      <c r="AC237" s="2"/>
    </row>
    <row r="238" spans="1:29" s="76" customFormat="1" ht="5.0999999999999996" customHeight="1">
      <c r="A238" s="71"/>
      <c r="B238" s="72"/>
      <c r="C238" s="72"/>
      <c r="D238" s="72"/>
      <c r="E238" s="72"/>
      <c r="F238" s="72"/>
      <c r="G238" s="72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8"/>
      <c r="W238" s="78"/>
      <c r="X238" s="29"/>
      <c r="Y238" s="2"/>
      <c r="Z238" s="2"/>
      <c r="AA238" s="2"/>
      <c r="AB238" s="2"/>
      <c r="AC238" s="2"/>
    </row>
    <row r="239" spans="1:29" s="76" customFormat="1" ht="15.6" customHeight="1">
      <c r="A239" s="71"/>
      <c r="B239" s="79" t="s">
        <v>47</v>
      </c>
      <c r="C239" s="80"/>
      <c r="D239" s="80"/>
      <c r="E239" s="81"/>
      <c r="F239" s="82"/>
      <c r="G239" s="82"/>
      <c r="H239" s="83"/>
      <c r="I239" s="84"/>
      <c r="J239" s="84"/>
      <c r="K239" s="85"/>
      <c r="L239" s="86" t="s">
        <v>48</v>
      </c>
      <c r="M239" s="83" t="e">
        <f>+M188</f>
        <v>#REF!</v>
      </c>
      <c r="N239" s="82"/>
      <c r="O239" s="84"/>
      <c r="P239" s="83"/>
      <c r="Q239" s="84"/>
      <c r="R239" s="84"/>
      <c r="S239" s="83"/>
      <c r="T239" s="84"/>
      <c r="U239" s="84"/>
      <c r="V239" s="82"/>
      <c r="W239" s="87" t="s">
        <v>49</v>
      </c>
      <c r="X239" s="29"/>
      <c r="Y239" s="2"/>
      <c r="Z239" s="2"/>
      <c r="AA239" s="2"/>
      <c r="AB239" s="2"/>
      <c r="AC239" s="2"/>
    </row>
    <row r="240" spans="1:29" s="76" customFormat="1" ht="15.6" customHeight="1">
      <c r="A240" s="71"/>
      <c r="B240" s="88"/>
      <c r="C240" s="89"/>
      <c r="D240" s="89"/>
      <c r="E240" s="96"/>
      <c r="F240" s="90"/>
      <c r="G240" s="90"/>
      <c r="H240" s="91"/>
      <c r="I240" s="92"/>
      <c r="J240" s="92"/>
      <c r="K240" s="93"/>
      <c r="L240" s="94" t="s">
        <v>50</v>
      </c>
      <c r="M240" s="91" t="e">
        <f t="shared" ref="M240:M243" si="39">+M189</f>
        <v>#REF!</v>
      </c>
      <c r="N240" s="90"/>
      <c r="O240" s="92"/>
      <c r="P240" s="91"/>
      <c r="Q240" s="92"/>
      <c r="R240" s="92"/>
      <c r="S240" s="91"/>
      <c r="T240" s="92"/>
      <c r="U240" s="92"/>
      <c r="V240" s="90"/>
      <c r="W240" s="95"/>
      <c r="X240" s="29"/>
      <c r="Y240" s="2"/>
      <c r="Z240" s="2"/>
      <c r="AA240" s="2"/>
      <c r="AB240" s="2"/>
      <c r="AC240" s="2"/>
    </row>
    <row r="241" spans="1:29" s="76" customFormat="1" ht="15.6" customHeight="1">
      <c r="A241" s="71"/>
      <c r="B241" s="88"/>
      <c r="C241" s="89"/>
      <c r="D241" s="89"/>
      <c r="E241" s="96"/>
      <c r="F241" s="90"/>
      <c r="G241" s="90"/>
      <c r="H241" s="91"/>
      <c r="I241" s="92"/>
      <c r="J241" s="92"/>
      <c r="K241" s="93"/>
      <c r="L241" s="94" t="s">
        <v>51</v>
      </c>
      <c r="M241" s="91" t="e">
        <f t="shared" si="39"/>
        <v>#REF!</v>
      </c>
      <c r="N241" s="90"/>
      <c r="O241" s="92"/>
      <c r="P241" s="91"/>
      <c r="Q241" s="92"/>
      <c r="R241" s="92"/>
      <c r="S241" s="91"/>
      <c r="T241" s="92"/>
      <c r="U241" s="92"/>
      <c r="V241" s="90"/>
      <c r="W241" s="1871" t="s">
        <v>52</v>
      </c>
      <c r="X241" s="29"/>
      <c r="Y241" s="2"/>
      <c r="Z241" s="2"/>
      <c r="AA241" s="2"/>
      <c r="AB241" s="2"/>
      <c r="AC241" s="2"/>
    </row>
    <row r="242" spans="1:29" s="76" customFormat="1" ht="15.6" customHeight="1">
      <c r="A242" s="71"/>
      <c r="B242" s="88"/>
      <c r="C242" s="89"/>
      <c r="D242" s="89"/>
      <c r="E242" s="96"/>
      <c r="F242" s="90"/>
      <c r="G242" s="90"/>
      <c r="H242" s="91"/>
      <c r="I242" s="92"/>
      <c r="J242" s="92"/>
      <c r="K242" s="93"/>
      <c r="L242" s="94" t="s">
        <v>53</v>
      </c>
      <c r="M242" s="91" t="e">
        <f t="shared" si="39"/>
        <v>#REF!</v>
      </c>
      <c r="N242" s="90"/>
      <c r="O242" s="92"/>
      <c r="P242" s="91"/>
      <c r="Q242" s="92"/>
      <c r="R242" s="92"/>
      <c r="S242" s="91"/>
      <c r="T242" s="92"/>
      <c r="U242" s="92"/>
      <c r="V242" s="90"/>
      <c r="W242" s="1872"/>
      <c r="X242" s="29"/>
      <c r="Y242" s="2"/>
      <c r="Z242" s="2"/>
      <c r="AA242" s="2"/>
      <c r="AB242" s="2"/>
      <c r="AC242" s="2"/>
    </row>
    <row r="243" spans="1:29" s="76" customFormat="1" ht="15.6" customHeight="1">
      <c r="A243" s="71"/>
      <c r="B243" s="97"/>
      <c r="C243" s="73"/>
      <c r="D243" s="73"/>
      <c r="E243" s="73"/>
      <c r="F243" s="73"/>
      <c r="G243" s="73"/>
      <c r="H243" s="73"/>
      <c r="I243" s="98" t="s">
        <v>54</v>
      </c>
      <c r="J243" s="99">
        <f ca="1">TODAY()</f>
        <v>46063</v>
      </c>
      <c r="K243" s="100"/>
      <c r="L243" s="101" t="s">
        <v>55</v>
      </c>
      <c r="M243" s="74" t="e">
        <f t="shared" si="39"/>
        <v>#REF!</v>
      </c>
      <c r="N243" s="73"/>
      <c r="O243" s="74"/>
      <c r="P243" s="74"/>
      <c r="Q243" s="74"/>
      <c r="R243" s="74"/>
      <c r="S243" s="74"/>
      <c r="T243" s="74"/>
      <c r="U243" s="74"/>
      <c r="V243" s="73"/>
      <c r="W243" s="1873"/>
      <c r="X243" s="29"/>
      <c r="Y243" s="2"/>
      <c r="Z243" s="2"/>
      <c r="AA243" s="2"/>
      <c r="AB243" s="2"/>
      <c r="AC243" s="2"/>
    </row>
    <row r="244" spans="1:29" s="106" customFormat="1" ht="8.1" customHeight="1">
      <c r="A244" s="102"/>
      <c r="B244" s="103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4"/>
      <c r="Y244" s="105"/>
      <c r="Z244" s="105"/>
      <c r="AA244" s="105"/>
      <c r="AB244" s="105"/>
      <c r="AC244" s="105"/>
    </row>
    <row r="245" spans="1:29" ht="8.1" customHeight="1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5"/>
    </row>
    <row r="246" spans="1:29" s="2" customFormat="1" ht="22.5" customHeight="1">
      <c r="A246" s="6"/>
      <c r="B246" s="7"/>
      <c r="C246" s="1856" t="s">
        <v>4</v>
      </c>
      <c r="D246" s="1857"/>
      <c r="E246" s="1858" t="s">
        <v>5</v>
      </c>
      <c r="F246" s="8" t="s">
        <v>6</v>
      </c>
      <c r="G246" s="8"/>
      <c r="H246" s="8"/>
      <c r="I246" s="9"/>
      <c r="J246" s="1532" t="s">
        <v>7</v>
      </c>
      <c r="K246" s="1532" t="s">
        <v>8</v>
      </c>
      <c r="L246" s="1532" t="s">
        <v>9</v>
      </c>
      <c r="M246" s="1532" t="s">
        <v>9</v>
      </c>
      <c r="N246" s="1532" t="s">
        <v>9</v>
      </c>
      <c r="O246" s="1532"/>
      <c r="P246" s="10" t="s">
        <v>10</v>
      </c>
      <c r="Q246" s="9"/>
      <c r="R246" s="1532"/>
      <c r="S246" s="11" t="s">
        <v>11</v>
      </c>
      <c r="T246" s="12"/>
      <c r="U246" s="12"/>
      <c r="V246" s="13"/>
      <c r="W246" s="1532" t="s">
        <v>12</v>
      </c>
      <c r="X246" s="14"/>
    </row>
    <row r="247" spans="1:29" s="2" customFormat="1" ht="22.5" customHeight="1">
      <c r="A247" s="6"/>
      <c r="B247" s="15" t="s">
        <v>13</v>
      </c>
      <c r="C247" s="1858" t="s">
        <v>14</v>
      </c>
      <c r="D247" s="16" t="s">
        <v>15</v>
      </c>
      <c r="E247" s="1859"/>
      <c r="F247" s="12" t="s">
        <v>16</v>
      </c>
      <c r="G247" s="13"/>
      <c r="H247" s="11" t="s">
        <v>17</v>
      </c>
      <c r="I247" s="13"/>
      <c r="J247" s="1533" t="s">
        <v>18</v>
      </c>
      <c r="K247" s="1533" t="s">
        <v>19</v>
      </c>
      <c r="L247" s="17" t="s">
        <v>20</v>
      </c>
      <c r="M247" s="1533" t="s">
        <v>56</v>
      </c>
      <c r="N247" s="1533" t="s">
        <v>0</v>
      </c>
      <c r="O247" s="1533" t="s">
        <v>22</v>
      </c>
      <c r="P247" s="18" t="s">
        <v>23</v>
      </c>
      <c r="Q247" s="19"/>
      <c r="R247" s="1533" t="s">
        <v>24</v>
      </c>
      <c r="S247" s="1532" t="s">
        <v>25</v>
      </c>
      <c r="T247" s="1532" t="s">
        <v>26</v>
      </c>
      <c r="U247" s="1532" t="s">
        <v>27</v>
      </c>
      <c r="V247" s="1532" t="s">
        <v>28</v>
      </c>
      <c r="W247" s="1533" t="s">
        <v>29</v>
      </c>
      <c r="X247" s="14"/>
    </row>
    <row r="248" spans="1:29" s="2" customFormat="1" ht="22.5" customHeight="1">
      <c r="A248" s="6"/>
      <c r="B248" s="15" t="s">
        <v>30</v>
      </c>
      <c r="C248" s="1859"/>
      <c r="D248" s="16" t="s">
        <v>31</v>
      </c>
      <c r="E248" s="1859"/>
      <c r="F248" s="20" t="s">
        <v>32</v>
      </c>
      <c r="G248" s="1532" t="s">
        <v>33</v>
      </c>
      <c r="H248" s="1532" t="s">
        <v>32</v>
      </c>
      <c r="I248" s="1532" t="s">
        <v>33</v>
      </c>
      <c r="J248" s="1533" t="s">
        <v>34</v>
      </c>
      <c r="K248" s="1533" t="s">
        <v>34</v>
      </c>
      <c r="L248" s="1533" t="s">
        <v>35</v>
      </c>
      <c r="M248" s="1533" t="s">
        <v>35</v>
      </c>
      <c r="N248" s="1533" t="s">
        <v>35</v>
      </c>
      <c r="O248" s="1533" t="s">
        <v>37</v>
      </c>
      <c r="P248" s="18" t="s">
        <v>38</v>
      </c>
      <c r="Q248" s="19"/>
      <c r="R248" s="1533" t="s">
        <v>39</v>
      </c>
      <c r="S248" s="1533"/>
      <c r="T248" s="1533" t="s">
        <v>40</v>
      </c>
      <c r="U248" s="1533" t="s">
        <v>41</v>
      </c>
      <c r="V248" s="1533" t="s">
        <v>41</v>
      </c>
      <c r="W248" s="1533" t="s">
        <v>42</v>
      </c>
      <c r="X248" s="14"/>
    </row>
    <row r="249" spans="1:29" s="2" customFormat="1" ht="18" customHeight="1">
      <c r="A249" s="6"/>
      <c r="B249" s="1791" t="e">
        <f>+B198</f>
        <v>#REF!</v>
      </c>
      <c r="C249" s="21" t="s">
        <v>67</v>
      </c>
      <c r="D249" s="22" t="s">
        <v>67</v>
      </c>
      <c r="E249" s="21" t="str">
        <f>IF(F249="","","Faixa - Segurança LD")</f>
        <v/>
      </c>
      <c r="F249" s="22"/>
      <c r="G249" s="23"/>
      <c r="H249" s="22"/>
      <c r="I249" s="23"/>
      <c r="J249" s="24" t="str">
        <f>IF(F249="","",((H249-F249)*20)+I249-G249)</f>
        <v/>
      </c>
      <c r="K249" s="23" t="s">
        <v>67</v>
      </c>
      <c r="L249" s="24"/>
      <c r="M249" s="24"/>
      <c r="N249" s="25" t="str">
        <f>IF(F249="","",(J249*K249)+M249+L249)</f>
        <v/>
      </c>
      <c r="O249" s="25" t="str">
        <f>IF(F249="","",N249*#REF!/100)</f>
        <v/>
      </c>
      <c r="P249" s="26" t="s">
        <v>67</v>
      </c>
      <c r="Q249" s="27" t="str">
        <f t="shared" ref="Q249:Q283" si="40">IF(F249="","","t/m3")</f>
        <v/>
      </c>
      <c r="R249" s="25" t="str">
        <f t="shared" ref="R249:R283" si="41">IF(F249="","",O249*P249)</f>
        <v/>
      </c>
      <c r="S249" s="28" t="s">
        <v>67</v>
      </c>
      <c r="T249" s="28" t="str">
        <f t="shared" ref="T249:T283" si="42">IF(F249="","",IF(D249&gt;H249,((D249-H249)*0.02),IF(D249&lt;F249,((F249-D249)*0.02),IF(F249="","",0))))</f>
        <v/>
      </c>
      <c r="U249" s="28" t="str">
        <f t="shared" ref="U249:U283" si="43">IF(F249="","",IF(D249&gt;H249,((((H249-F249)*20)+I249-G249)/2000),IF(D249&gt;F249,((((D249-F249)*0.02)^2)+(((H249-D249)*0.02)^2))/(2*((H249-F249)*0.02)),((((H249-F249)*20)+I249-G249)/2000))))</f>
        <v/>
      </c>
      <c r="V249" s="28" t="str">
        <f t="shared" ref="V249:V283" si="44">IF(F249="","",S249+T249+U249)</f>
        <v/>
      </c>
      <c r="W249" s="25" t="str">
        <f t="shared" ref="W249:W283" si="45">IF(F249="","",O249*V249)</f>
        <v/>
      </c>
      <c r="X249" s="29"/>
    </row>
    <row r="250" spans="1:29" s="2" customFormat="1" ht="18" customHeight="1">
      <c r="A250" s="6"/>
      <c r="B250" s="1792"/>
      <c r="C250" s="38" t="e">
        <v>#REF!</v>
      </c>
      <c r="D250" s="39" t="e">
        <v>#REF!</v>
      </c>
      <c r="E250" s="38" t="e">
        <f t="shared" ref="E250:E283" si="46">IF(F250="","","Faixa - Segurança LD")</f>
        <v>#REF!</v>
      </c>
      <c r="F250" s="39" t="e">
        <v>#REF!</v>
      </c>
      <c r="G250" s="40" t="e">
        <v>#REF!</v>
      </c>
      <c r="H250" s="39" t="e">
        <v>#REF!</v>
      </c>
      <c r="I250" s="40" t="e">
        <v>#REF!</v>
      </c>
      <c r="J250" s="41" t="e">
        <f t="shared" ref="J250:J283" si="47">IF(F250="","",((H250-F250)*20)+I250-G250)</f>
        <v>#REF!</v>
      </c>
      <c r="K250" s="40" t="e">
        <v>#REF!</v>
      </c>
      <c r="L250" s="41"/>
      <c r="M250" s="41"/>
      <c r="N250" s="42" t="e">
        <f t="shared" ref="N250:N283" si="48">IF(F250="","",(J250*K250)+M250+L250)</f>
        <v>#REF!</v>
      </c>
      <c r="O250" s="42" t="e">
        <f>IF(F250="","",N250*#REF!/100)</f>
        <v>#REF!</v>
      </c>
      <c r="P250" s="44" t="e">
        <v>#REF!</v>
      </c>
      <c r="Q250" s="45" t="e">
        <f t="shared" si="40"/>
        <v>#REF!</v>
      </c>
      <c r="R250" s="42" t="e">
        <f t="shared" si="41"/>
        <v>#REF!</v>
      </c>
      <c r="S250" s="46" t="e">
        <v>#REF!</v>
      </c>
      <c r="T250" s="46" t="e">
        <f t="shared" si="42"/>
        <v>#REF!</v>
      </c>
      <c r="U250" s="46" t="e">
        <f t="shared" si="43"/>
        <v>#REF!</v>
      </c>
      <c r="V250" s="46" t="e">
        <f t="shared" si="44"/>
        <v>#REF!</v>
      </c>
      <c r="W250" s="42" t="e">
        <f t="shared" si="45"/>
        <v>#REF!</v>
      </c>
      <c r="X250" s="29"/>
    </row>
    <row r="251" spans="1:29" s="2" customFormat="1" ht="18" customHeight="1">
      <c r="A251" s="6"/>
      <c r="B251" s="1837" t="e">
        <f>+B200</f>
        <v>#REF!</v>
      </c>
      <c r="C251" s="30" t="e">
        <v>#REF!</v>
      </c>
      <c r="D251" s="31" t="e">
        <v>#REF!</v>
      </c>
      <c r="E251" s="30" t="e">
        <f t="shared" si="46"/>
        <v>#REF!</v>
      </c>
      <c r="F251" s="31" t="e">
        <v>#REF!</v>
      </c>
      <c r="G251" s="32" t="e">
        <v>#REF!</v>
      </c>
      <c r="H251" s="31" t="e">
        <v>#REF!</v>
      </c>
      <c r="I251" s="32" t="e">
        <v>#REF!</v>
      </c>
      <c r="J251" s="33" t="e">
        <f t="shared" si="47"/>
        <v>#REF!</v>
      </c>
      <c r="K251" s="32" t="e">
        <v>#REF!</v>
      </c>
      <c r="L251" s="33"/>
      <c r="M251" s="33"/>
      <c r="N251" s="34" t="e">
        <f t="shared" si="48"/>
        <v>#REF!</v>
      </c>
      <c r="O251" s="34" t="e">
        <f>IF(F251="","",N251*#REF!/100)</f>
        <v>#REF!</v>
      </c>
      <c r="P251" s="35" t="e">
        <v>#REF!</v>
      </c>
      <c r="Q251" s="36" t="e">
        <f t="shared" si="40"/>
        <v>#REF!</v>
      </c>
      <c r="R251" s="34" t="e">
        <f t="shared" si="41"/>
        <v>#REF!</v>
      </c>
      <c r="S251" s="37" t="e">
        <v>#REF!</v>
      </c>
      <c r="T251" s="37" t="e">
        <f t="shared" si="42"/>
        <v>#REF!</v>
      </c>
      <c r="U251" s="37" t="e">
        <f t="shared" si="43"/>
        <v>#REF!</v>
      </c>
      <c r="V251" s="37" t="e">
        <f t="shared" si="44"/>
        <v>#REF!</v>
      </c>
      <c r="W251" s="34" t="e">
        <f t="shared" si="45"/>
        <v>#REF!</v>
      </c>
      <c r="X251" s="29"/>
    </row>
    <row r="252" spans="1:29" s="2" customFormat="1" ht="18" customHeight="1">
      <c r="A252" s="6"/>
      <c r="B252" s="1837"/>
      <c r="C252" s="38" t="e">
        <v>#REF!</v>
      </c>
      <c r="D252" s="39" t="e">
        <v>#REF!</v>
      </c>
      <c r="E252" s="38" t="e">
        <f t="shared" si="46"/>
        <v>#REF!</v>
      </c>
      <c r="F252" s="39" t="e">
        <v>#REF!</v>
      </c>
      <c r="G252" s="40" t="e">
        <v>#REF!</v>
      </c>
      <c r="H252" s="39" t="e">
        <v>#REF!</v>
      </c>
      <c r="I252" s="40" t="e">
        <v>#REF!</v>
      </c>
      <c r="J252" s="41" t="e">
        <f t="shared" si="47"/>
        <v>#REF!</v>
      </c>
      <c r="K252" s="40" t="e">
        <v>#REF!</v>
      </c>
      <c r="L252" s="41"/>
      <c r="M252" s="41"/>
      <c r="N252" s="42" t="e">
        <f t="shared" si="48"/>
        <v>#REF!</v>
      </c>
      <c r="O252" s="42" t="e">
        <f>IF(F252="","",N252*#REF!/100)</f>
        <v>#REF!</v>
      </c>
      <c r="P252" s="44" t="e">
        <v>#REF!</v>
      </c>
      <c r="Q252" s="45" t="e">
        <f t="shared" si="40"/>
        <v>#REF!</v>
      </c>
      <c r="R252" s="42" t="e">
        <f t="shared" si="41"/>
        <v>#REF!</v>
      </c>
      <c r="S252" s="46" t="e">
        <v>#REF!</v>
      </c>
      <c r="T252" s="46" t="e">
        <f t="shared" si="42"/>
        <v>#REF!</v>
      </c>
      <c r="U252" s="46" t="e">
        <f t="shared" si="43"/>
        <v>#REF!</v>
      </c>
      <c r="V252" s="46" t="e">
        <f t="shared" si="44"/>
        <v>#REF!</v>
      </c>
      <c r="W252" s="42" t="e">
        <f t="shared" si="45"/>
        <v>#REF!</v>
      </c>
      <c r="X252" s="29"/>
    </row>
    <row r="253" spans="1:29" s="2" customFormat="1" ht="18" customHeight="1">
      <c r="A253" s="6"/>
      <c r="B253" s="1837"/>
      <c r="C253" s="30" t="e">
        <v>#REF!</v>
      </c>
      <c r="D253" s="31" t="e">
        <v>#REF!</v>
      </c>
      <c r="E253" s="30" t="e">
        <f t="shared" si="46"/>
        <v>#REF!</v>
      </c>
      <c r="F253" s="31" t="e">
        <v>#REF!</v>
      </c>
      <c r="G253" s="32" t="e">
        <v>#REF!</v>
      </c>
      <c r="H253" s="31" t="e">
        <v>#REF!</v>
      </c>
      <c r="I253" s="32" t="e">
        <v>#REF!</v>
      </c>
      <c r="J253" s="33" t="e">
        <f t="shared" si="47"/>
        <v>#REF!</v>
      </c>
      <c r="K253" s="32" t="e">
        <v>#REF!</v>
      </c>
      <c r="L253" s="33"/>
      <c r="M253" s="33"/>
      <c r="N253" s="34" t="e">
        <f t="shared" si="48"/>
        <v>#REF!</v>
      </c>
      <c r="O253" s="34" t="e">
        <f>IF(F253="","",N253*#REF!/100)</f>
        <v>#REF!</v>
      </c>
      <c r="P253" s="35" t="e">
        <v>#REF!</v>
      </c>
      <c r="Q253" s="36" t="e">
        <f t="shared" si="40"/>
        <v>#REF!</v>
      </c>
      <c r="R253" s="34" t="e">
        <f t="shared" si="41"/>
        <v>#REF!</v>
      </c>
      <c r="S253" s="37" t="e">
        <v>#REF!</v>
      </c>
      <c r="T253" s="37" t="e">
        <f t="shared" si="42"/>
        <v>#REF!</v>
      </c>
      <c r="U253" s="37" t="e">
        <f t="shared" si="43"/>
        <v>#REF!</v>
      </c>
      <c r="V253" s="37" t="e">
        <f t="shared" si="44"/>
        <v>#REF!</v>
      </c>
      <c r="W253" s="34" t="e">
        <f t="shared" si="45"/>
        <v>#REF!</v>
      </c>
      <c r="X253" s="29"/>
    </row>
    <row r="254" spans="1:29" s="2" customFormat="1" ht="18" customHeight="1">
      <c r="A254" s="6"/>
      <c r="B254" s="47"/>
      <c r="C254" s="38" t="e">
        <v>#REF!</v>
      </c>
      <c r="D254" s="39" t="e">
        <v>#REF!</v>
      </c>
      <c r="E254" s="38" t="e">
        <f t="shared" si="46"/>
        <v>#REF!</v>
      </c>
      <c r="F254" s="39" t="e">
        <v>#REF!</v>
      </c>
      <c r="G254" s="40" t="e">
        <v>#REF!</v>
      </c>
      <c r="H254" s="39" t="e">
        <v>#REF!</v>
      </c>
      <c r="I254" s="40" t="e">
        <v>#REF!</v>
      </c>
      <c r="J254" s="41" t="e">
        <f t="shared" si="47"/>
        <v>#REF!</v>
      </c>
      <c r="K254" s="40" t="e">
        <v>#REF!</v>
      </c>
      <c r="L254" s="41"/>
      <c r="M254" s="41"/>
      <c r="N254" s="42" t="e">
        <f t="shared" si="48"/>
        <v>#REF!</v>
      </c>
      <c r="O254" s="42" t="e">
        <f>IF(F254="","",N254*#REF!/100)</f>
        <v>#REF!</v>
      </c>
      <c r="P254" s="44" t="e">
        <v>#REF!</v>
      </c>
      <c r="Q254" s="45" t="e">
        <f t="shared" si="40"/>
        <v>#REF!</v>
      </c>
      <c r="R254" s="42" t="e">
        <f t="shared" si="41"/>
        <v>#REF!</v>
      </c>
      <c r="S254" s="46" t="e">
        <v>#REF!</v>
      </c>
      <c r="T254" s="46" t="e">
        <f t="shared" si="42"/>
        <v>#REF!</v>
      </c>
      <c r="U254" s="46" t="e">
        <f t="shared" si="43"/>
        <v>#REF!</v>
      </c>
      <c r="V254" s="46" t="e">
        <f t="shared" si="44"/>
        <v>#REF!</v>
      </c>
      <c r="W254" s="42" t="e">
        <f t="shared" si="45"/>
        <v>#REF!</v>
      </c>
      <c r="X254" s="29"/>
    </row>
    <row r="255" spans="1:29" s="2" customFormat="1" ht="18" customHeight="1">
      <c r="A255" s="6"/>
      <c r="B255" s="47"/>
      <c r="C255" s="30" t="e">
        <v>#REF!</v>
      </c>
      <c r="D255" s="31" t="e">
        <v>#REF!</v>
      </c>
      <c r="E255" s="30" t="e">
        <f t="shared" si="46"/>
        <v>#REF!</v>
      </c>
      <c r="F255" s="31" t="e">
        <v>#REF!</v>
      </c>
      <c r="G255" s="32" t="e">
        <v>#REF!</v>
      </c>
      <c r="H255" s="31" t="e">
        <v>#REF!</v>
      </c>
      <c r="I255" s="32" t="e">
        <v>#REF!</v>
      </c>
      <c r="J255" s="33" t="e">
        <f t="shared" si="47"/>
        <v>#REF!</v>
      </c>
      <c r="K255" s="32" t="e">
        <v>#REF!</v>
      </c>
      <c r="L255" s="33"/>
      <c r="M255" s="33"/>
      <c r="N255" s="34" t="e">
        <f t="shared" si="48"/>
        <v>#REF!</v>
      </c>
      <c r="O255" s="34" t="e">
        <f>IF(F255="","",N255*#REF!/100)</f>
        <v>#REF!</v>
      </c>
      <c r="P255" s="35" t="e">
        <v>#REF!</v>
      </c>
      <c r="Q255" s="36" t="e">
        <f t="shared" si="40"/>
        <v>#REF!</v>
      </c>
      <c r="R255" s="34" t="e">
        <f t="shared" si="41"/>
        <v>#REF!</v>
      </c>
      <c r="S255" s="37" t="e">
        <v>#REF!</v>
      </c>
      <c r="T255" s="37" t="e">
        <f t="shared" si="42"/>
        <v>#REF!</v>
      </c>
      <c r="U255" s="37" t="e">
        <f t="shared" si="43"/>
        <v>#REF!</v>
      </c>
      <c r="V255" s="37" t="e">
        <f t="shared" si="44"/>
        <v>#REF!</v>
      </c>
      <c r="W255" s="34" t="e">
        <f t="shared" si="45"/>
        <v>#REF!</v>
      </c>
      <c r="X255" s="29"/>
    </row>
    <row r="256" spans="1:29" s="2" customFormat="1" ht="18" customHeight="1">
      <c r="A256" s="6"/>
      <c r="B256" s="48"/>
      <c r="C256" s="38" t="e">
        <v>#REF!</v>
      </c>
      <c r="D256" s="39" t="e">
        <v>#REF!</v>
      </c>
      <c r="E256" s="38" t="e">
        <f t="shared" si="46"/>
        <v>#REF!</v>
      </c>
      <c r="F256" s="39" t="e">
        <v>#REF!</v>
      </c>
      <c r="G256" s="40" t="e">
        <v>#REF!</v>
      </c>
      <c r="H256" s="39" t="e">
        <v>#REF!</v>
      </c>
      <c r="I256" s="40" t="e">
        <v>#REF!</v>
      </c>
      <c r="J256" s="41" t="e">
        <f t="shared" si="47"/>
        <v>#REF!</v>
      </c>
      <c r="K256" s="40" t="e">
        <v>#REF!</v>
      </c>
      <c r="L256" s="41"/>
      <c r="M256" s="41"/>
      <c r="N256" s="42" t="e">
        <f t="shared" si="48"/>
        <v>#REF!</v>
      </c>
      <c r="O256" s="42" t="e">
        <f>IF(F256="","",N256*#REF!/100)</f>
        <v>#REF!</v>
      </c>
      <c r="P256" s="44" t="e">
        <v>#REF!</v>
      </c>
      <c r="Q256" s="45" t="e">
        <f t="shared" si="40"/>
        <v>#REF!</v>
      </c>
      <c r="R256" s="42" t="e">
        <f t="shared" si="41"/>
        <v>#REF!</v>
      </c>
      <c r="S256" s="46" t="e">
        <v>#REF!</v>
      </c>
      <c r="T256" s="46" t="e">
        <f t="shared" si="42"/>
        <v>#REF!</v>
      </c>
      <c r="U256" s="46" t="e">
        <f t="shared" si="43"/>
        <v>#REF!</v>
      </c>
      <c r="V256" s="46" t="e">
        <f t="shared" si="44"/>
        <v>#REF!</v>
      </c>
      <c r="W256" s="42" t="e">
        <f t="shared" si="45"/>
        <v>#REF!</v>
      </c>
      <c r="X256" s="29"/>
    </row>
    <row r="257" spans="1:24" s="2" customFormat="1" ht="18" customHeight="1">
      <c r="A257" s="6"/>
      <c r="B257" s="48"/>
      <c r="C257" s="30" t="e">
        <v>#REF!</v>
      </c>
      <c r="D257" s="31" t="e">
        <v>#REF!</v>
      </c>
      <c r="E257" s="30" t="e">
        <f t="shared" si="46"/>
        <v>#REF!</v>
      </c>
      <c r="F257" s="31" t="e">
        <v>#REF!</v>
      </c>
      <c r="G257" s="32" t="e">
        <v>#REF!</v>
      </c>
      <c r="H257" s="31" t="e">
        <v>#REF!</v>
      </c>
      <c r="I257" s="32" t="e">
        <v>#REF!</v>
      </c>
      <c r="J257" s="33" t="e">
        <f t="shared" si="47"/>
        <v>#REF!</v>
      </c>
      <c r="K257" s="32" t="e">
        <v>#REF!</v>
      </c>
      <c r="L257" s="33"/>
      <c r="M257" s="33"/>
      <c r="N257" s="34" t="e">
        <f t="shared" si="48"/>
        <v>#REF!</v>
      </c>
      <c r="O257" s="34" t="e">
        <f>IF(F257="","",N257*#REF!/100)</f>
        <v>#REF!</v>
      </c>
      <c r="P257" s="35" t="e">
        <v>#REF!</v>
      </c>
      <c r="Q257" s="36" t="e">
        <f t="shared" si="40"/>
        <v>#REF!</v>
      </c>
      <c r="R257" s="34" t="e">
        <f t="shared" si="41"/>
        <v>#REF!</v>
      </c>
      <c r="S257" s="37" t="e">
        <v>#REF!</v>
      </c>
      <c r="T257" s="37" t="e">
        <f t="shared" si="42"/>
        <v>#REF!</v>
      </c>
      <c r="U257" s="37" t="e">
        <f t="shared" si="43"/>
        <v>#REF!</v>
      </c>
      <c r="V257" s="37" t="e">
        <f t="shared" si="44"/>
        <v>#REF!</v>
      </c>
      <c r="W257" s="34" t="e">
        <f t="shared" si="45"/>
        <v>#REF!</v>
      </c>
      <c r="X257" s="29"/>
    </row>
    <row r="258" spans="1:24" s="2" customFormat="1" ht="18" customHeight="1">
      <c r="A258" s="6"/>
      <c r="B258" s="48"/>
      <c r="C258" s="38" t="e">
        <v>#REF!</v>
      </c>
      <c r="D258" s="39" t="e">
        <v>#REF!</v>
      </c>
      <c r="E258" s="38" t="e">
        <f t="shared" si="46"/>
        <v>#REF!</v>
      </c>
      <c r="F258" s="39" t="e">
        <v>#REF!</v>
      </c>
      <c r="G258" s="40" t="e">
        <v>#REF!</v>
      </c>
      <c r="H258" s="39" t="e">
        <v>#REF!</v>
      </c>
      <c r="I258" s="40" t="e">
        <v>#REF!</v>
      </c>
      <c r="J258" s="41" t="e">
        <f t="shared" si="47"/>
        <v>#REF!</v>
      </c>
      <c r="K258" s="40" t="e">
        <v>#REF!</v>
      </c>
      <c r="L258" s="41"/>
      <c r="M258" s="41"/>
      <c r="N258" s="42" t="e">
        <f t="shared" si="48"/>
        <v>#REF!</v>
      </c>
      <c r="O258" s="42" t="e">
        <f>IF(F258="","",N258*#REF!/100)</f>
        <v>#REF!</v>
      </c>
      <c r="P258" s="44" t="e">
        <v>#REF!</v>
      </c>
      <c r="Q258" s="45" t="e">
        <f t="shared" si="40"/>
        <v>#REF!</v>
      </c>
      <c r="R258" s="42" t="e">
        <f t="shared" si="41"/>
        <v>#REF!</v>
      </c>
      <c r="S258" s="46" t="e">
        <v>#REF!</v>
      </c>
      <c r="T258" s="46" t="e">
        <f t="shared" si="42"/>
        <v>#REF!</v>
      </c>
      <c r="U258" s="46" t="e">
        <f t="shared" si="43"/>
        <v>#REF!</v>
      </c>
      <c r="V258" s="46" t="e">
        <f t="shared" si="44"/>
        <v>#REF!</v>
      </c>
      <c r="W258" s="42" t="e">
        <f t="shared" si="45"/>
        <v>#REF!</v>
      </c>
      <c r="X258" s="29"/>
    </row>
    <row r="259" spans="1:24" s="2" customFormat="1" ht="18" customHeight="1">
      <c r="A259" s="6"/>
      <c r="B259" s="48"/>
      <c r="C259" s="30" t="e">
        <v>#REF!</v>
      </c>
      <c r="D259" s="31" t="e">
        <v>#REF!</v>
      </c>
      <c r="E259" s="30" t="e">
        <f t="shared" si="46"/>
        <v>#REF!</v>
      </c>
      <c r="F259" s="31" t="e">
        <v>#REF!</v>
      </c>
      <c r="G259" s="32" t="e">
        <v>#REF!</v>
      </c>
      <c r="H259" s="31" t="e">
        <v>#REF!</v>
      </c>
      <c r="I259" s="32" t="e">
        <v>#REF!</v>
      </c>
      <c r="J259" s="33" t="e">
        <f t="shared" si="47"/>
        <v>#REF!</v>
      </c>
      <c r="K259" s="32" t="e">
        <v>#REF!</v>
      </c>
      <c r="L259" s="33"/>
      <c r="M259" s="33"/>
      <c r="N259" s="34" t="e">
        <f t="shared" si="48"/>
        <v>#REF!</v>
      </c>
      <c r="O259" s="34" t="e">
        <f>IF(F259="","",N259*#REF!/100)</f>
        <v>#REF!</v>
      </c>
      <c r="P259" s="35" t="e">
        <v>#REF!</v>
      </c>
      <c r="Q259" s="36" t="e">
        <f t="shared" si="40"/>
        <v>#REF!</v>
      </c>
      <c r="R259" s="34" t="e">
        <f t="shared" si="41"/>
        <v>#REF!</v>
      </c>
      <c r="S259" s="37" t="e">
        <v>#REF!</v>
      </c>
      <c r="T259" s="37" t="e">
        <f t="shared" si="42"/>
        <v>#REF!</v>
      </c>
      <c r="U259" s="37" t="e">
        <f t="shared" si="43"/>
        <v>#REF!</v>
      </c>
      <c r="V259" s="37" t="e">
        <f t="shared" si="44"/>
        <v>#REF!</v>
      </c>
      <c r="W259" s="34" t="e">
        <f t="shared" si="45"/>
        <v>#REF!</v>
      </c>
      <c r="X259" s="29"/>
    </row>
    <row r="260" spans="1:24" s="2" customFormat="1" ht="18" customHeight="1">
      <c r="A260" s="6"/>
      <c r="B260" s="48"/>
      <c r="C260" s="38" t="e">
        <v>#REF!</v>
      </c>
      <c r="D260" s="39" t="e">
        <v>#REF!</v>
      </c>
      <c r="E260" s="38" t="e">
        <f t="shared" si="46"/>
        <v>#REF!</v>
      </c>
      <c r="F260" s="39" t="e">
        <v>#REF!</v>
      </c>
      <c r="G260" s="40" t="e">
        <v>#REF!</v>
      </c>
      <c r="H260" s="39" t="e">
        <v>#REF!</v>
      </c>
      <c r="I260" s="40" t="e">
        <v>#REF!</v>
      </c>
      <c r="J260" s="41" t="e">
        <f t="shared" si="47"/>
        <v>#REF!</v>
      </c>
      <c r="K260" s="40" t="e">
        <v>#REF!</v>
      </c>
      <c r="L260" s="41"/>
      <c r="M260" s="41"/>
      <c r="N260" s="42" t="e">
        <f t="shared" si="48"/>
        <v>#REF!</v>
      </c>
      <c r="O260" s="42" t="e">
        <f>IF(F260="","",N260*#REF!/100)</f>
        <v>#REF!</v>
      </c>
      <c r="P260" s="44" t="e">
        <v>#REF!</v>
      </c>
      <c r="Q260" s="45" t="e">
        <f t="shared" si="40"/>
        <v>#REF!</v>
      </c>
      <c r="R260" s="42" t="e">
        <f t="shared" si="41"/>
        <v>#REF!</v>
      </c>
      <c r="S260" s="46" t="e">
        <v>#REF!</v>
      </c>
      <c r="T260" s="46" t="e">
        <f t="shared" si="42"/>
        <v>#REF!</v>
      </c>
      <c r="U260" s="46" t="e">
        <f t="shared" si="43"/>
        <v>#REF!</v>
      </c>
      <c r="V260" s="46" t="e">
        <f t="shared" si="44"/>
        <v>#REF!</v>
      </c>
      <c r="W260" s="42" t="e">
        <f t="shared" si="45"/>
        <v>#REF!</v>
      </c>
      <c r="X260" s="29"/>
    </row>
    <row r="261" spans="1:24" s="2" customFormat="1" ht="18" customHeight="1">
      <c r="A261" s="6"/>
      <c r="B261" s="48"/>
      <c r="C261" s="30" t="e">
        <v>#REF!</v>
      </c>
      <c r="D261" s="31" t="e">
        <v>#REF!</v>
      </c>
      <c r="E261" s="30" t="e">
        <f t="shared" si="46"/>
        <v>#REF!</v>
      </c>
      <c r="F261" s="31" t="e">
        <v>#REF!</v>
      </c>
      <c r="G261" s="32" t="e">
        <v>#REF!</v>
      </c>
      <c r="H261" s="31" t="e">
        <v>#REF!</v>
      </c>
      <c r="I261" s="32" t="e">
        <v>#REF!</v>
      </c>
      <c r="J261" s="33" t="e">
        <f t="shared" si="47"/>
        <v>#REF!</v>
      </c>
      <c r="K261" s="32" t="e">
        <v>#REF!</v>
      </c>
      <c r="L261" s="33"/>
      <c r="M261" s="33"/>
      <c r="N261" s="34" t="e">
        <f t="shared" si="48"/>
        <v>#REF!</v>
      </c>
      <c r="O261" s="34" t="e">
        <f>IF(F261="","",N261*#REF!/100)</f>
        <v>#REF!</v>
      </c>
      <c r="P261" s="35" t="e">
        <v>#REF!</v>
      </c>
      <c r="Q261" s="36" t="e">
        <f t="shared" si="40"/>
        <v>#REF!</v>
      </c>
      <c r="R261" s="34" t="e">
        <f t="shared" si="41"/>
        <v>#REF!</v>
      </c>
      <c r="S261" s="37" t="e">
        <v>#REF!</v>
      </c>
      <c r="T261" s="37" t="e">
        <f t="shared" si="42"/>
        <v>#REF!</v>
      </c>
      <c r="U261" s="37" t="e">
        <f t="shared" si="43"/>
        <v>#REF!</v>
      </c>
      <c r="V261" s="37" t="e">
        <f t="shared" si="44"/>
        <v>#REF!</v>
      </c>
      <c r="W261" s="34" t="e">
        <f t="shared" si="45"/>
        <v>#REF!</v>
      </c>
      <c r="X261" s="29"/>
    </row>
    <row r="262" spans="1:24" s="2" customFormat="1" ht="18" customHeight="1">
      <c r="A262" s="6"/>
      <c r="B262" s="48"/>
      <c r="C262" s="38" t="e">
        <v>#REF!</v>
      </c>
      <c r="D262" s="39" t="e">
        <v>#REF!</v>
      </c>
      <c r="E262" s="38" t="e">
        <f t="shared" si="46"/>
        <v>#REF!</v>
      </c>
      <c r="F262" s="39" t="e">
        <v>#REF!</v>
      </c>
      <c r="G262" s="40" t="e">
        <v>#REF!</v>
      </c>
      <c r="H262" s="39" t="e">
        <v>#REF!</v>
      </c>
      <c r="I262" s="40" t="e">
        <v>#REF!</v>
      </c>
      <c r="J262" s="41" t="e">
        <f t="shared" si="47"/>
        <v>#REF!</v>
      </c>
      <c r="K262" s="40" t="e">
        <v>#REF!</v>
      </c>
      <c r="L262" s="41"/>
      <c r="M262" s="41"/>
      <c r="N262" s="42" t="e">
        <f t="shared" si="48"/>
        <v>#REF!</v>
      </c>
      <c r="O262" s="42" t="e">
        <f>IF(F262="","",N262*#REF!/100)</f>
        <v>#REF!</v>
      </c>
      <c r="P262" s="44" t="e">
        <v>#REF!</v>
      </c>
      <c r="Q262" s="45" t="e">
        <f t="shared" si="40"/>
        <v>#REF!</v>
      </c>
      <c r="R262" s="42" t="e">
        <f t="shared" si="41"/>
        <v>#REF!</v>
      </c>
      <c r="S262" s="46" t="e">
        <v>#REF!</v>
      </c>
      <c r="T262" s="46" t="e">
        <f t="shared" si="42"/>
        <v>#REF!</v>
      </c>
      <c r="U262" s="46" t="e">
        <f t="shared" si="43"/>
        <v>#REF!</v>
      </c>
      <c r="V262" s="46" t="e">
        <f t="shared" si="44"/>
        <v>#REF!</v>
      </c>
      <c r="W262" s="42" t="e">
        <f t="shared" si="45"/>
        <v>#REF!</v>
      </c>
      <c r="X262" s="29"/>
    </row>
    <row r="263" spans="1:24" s="2" customFormat="1" ht="18" customHeight="1">
      <c r="A263" s="6"/>
      <c r="B263" s="48"/>
      <c r="C263" s="30" t="e">
        <v>#REF!</v>
      </c>
      <c r="D263" s="31" t="e">
        <v>#REF!</v>
      </c>
      <c r="E263" s="30" t="e">
        <f t="shared" si="46"/>
        <v>#REF!</v>
      </c>
      <c r="F263" s="31" t="e">
        <v>#REF!</v>
      </c>
      <c r="G263" s="32" t="e">
        <v>#REF!</v>
      </c>
      <c r="H263" s="31" t="e">
        <v>#REF!</v>
      </c>
      <c r="I263" s="32" t="e">
        <v>#REF!</v>
      </c>
      <c r="J263" s="33" t="e">
        <f t="shared" si="47"/>
        <v>#REF!</v>
      </c>
      <c r="K263" s="32" t="e">
        <v>#REF!</v>
      </c>
      <c r="L263" s="33"/>
      <c r="M263" s="33"/>
      <c r="N263" s="34" t="e">
        <f t="shared" si="48"/>
        <v>#REF!</v>
      </c>
      <c r="O263" s="34" t="e">
        <f>IF(F263="","",N263*#REF!/100)</f>
        <v>#REF!</v>
      </c>
      <c r="P263" s="35" t="e">
        <v>#REF!</v>
      </c>
      <c r="Q263" s="36" t="e">
        <f t="shared" si="40"/>
        <v>#REF!</v>
      </c>
      <c r="R263" s="34" t="e">
        <f t="shared" si="41"/>
        <v>#REF!</v>
      </c>
      <c r="S263" s="37" t="e">
        <v>#REF!</v>
      </c>
      <c r="T263" s="37" t="e">
        <f t="shared" si="42"/>
        <v>#REF!</v>
      </c>
      <c r="U263" s="37" t="e">
        <f t="shared" si="43"/>
        <v>#REF!</v>
      </c>
      <c r="V263" s="37" t="e">
        <f t="shared" si="44"/>
        <v>#REF!</v>
      </c>
      <c r="W263" s="34" t="e">
        <f t="shared" si="45"/>
        <v>#REF!</v>
      </c>
      <c r="X263" s="29"/>
    </row>
    <row r="264" spans="1:24" s="2" customFormat="1" ht="18" customHeight="1">
      <c r="A264" s="6"/>
      <c r="B264" s="48"/>
      <c r="C264" s="38" t="e">
        <v>#REF!</v>
      </c>
      <c r="D264" s="39" t="e">
        <v>#REF!</v>
      </c>
      <c r="E264" s="38" t="e">
        <f t="shared" si="46"/>
        <v>#REF!</v>
      </c>
      <c r="F264" s="39" t="e">
        <v>#REF!</v>
      </c>
      <c r="G264" s="40" t="e">
        <v>#REF!</v>
      </c>
      <c r="H264" s="39" t="e">
        <v>#REF!</v>
      </c>
      <c r="I264" s="40" t="e">
        <v>#REF!</v>
      </c>
      <c r="J264" s="41" t="e">
        <f t="shared" si="47"/>
        <v>#REF!</v>
      </c>
      <c r="K264" s="40" t="e">
        <v>#REF!</v>
      </c>
      <c r="L264" s="41"/>
      <c r="M264" s="41"/>
      <c r="N264" s="42" t="e">
        <f t="shared" si="48"/>
        <v>#REF!</v>
      </c>
      <c r="O264" s="42" t="e">
        <f>IF(F264="","",N264*#REF!/100)</f>
        <v>#REF!</v>
      </c>
      <c r="P264" s="44" t="e">
        <v>#REF!</v>
      </c>
      <c r="Q264" s="45" t="e">
        <f t="shared" si="40"/>
        <v>#REF!</v>
      </c>
      <c r="R264" s="42" t="e">
        <f t="shared" si="41"/>
        <v>#REF!</v>
      </c>
      <c r="S264" s="46" t="e">
        <v>#REF!</v>
      </c>
      <c r="T264" s="46" t="e">
        <f t="shared" si="42"/>
        <v>#REF!</v>
      </c>
      <c r="U264" s="46" t="e">
        <f t="shared" si="43"/>
        <v>#REF!</v>
      </c>
      <c r="V264" s="46" t="e">
        <f t="shared" si="44"/>
        <v>#REF!</v>
      </c>
      <c r="W264" s="42" t="e">
        <f t="shared" si="45"/>
        <v>#REF!</v>
      </c>
      <c r="X264" s="29"/>
    </row>
    <row r="265" spans="1:24" s="2" customFormat="1" ht="18" customHeight="1">
      <c r="A265" s="6"/>
      <c r="B265" s="48"/>
      <c r="C265" s="30" t="e">
        <v>#REF!</v>
      </c>
      <c r="D265" s="31" t="e">
        <v>#REF!</v>
      </c>
      <c r="E265" s="30" t="e">
        <f t="shared" si="46"/>
        <v>#REF!</v>
      </c>
      <c r="F265" s="31" t="e">
        <v>#REF!</v>
      </c>
      <c r="G265" s="32" t="e">
        <v>#REF!</v>
      </c>
      <c r="H265" s="31" t="e">
        <v>#REF!</v>
      </c>
      <c r="I265" s="32" t="e">
        <v>#REF!</v>
      </c>
      <c r="J265" s="33" t="e">
        <f t="shared" si="47"/>
        <v>#REF!</v>
      </c>
      <c r="K265" s="32" t="e">
        <v>#REF!</v>
      </c>
      <c r="L265" s="33"/>
      <c r="M265" s="33"/>
      <c r="N265" s="34" t="e">
        <f t="shared" si="48"/>
        <v>#REF!</v>
      </c>
      <c r="O265" s="34" t="e">
        <f>IF(F265="","",N265*#REF!/100)</f>
        <v>#REF!</v>
      </c>
      <c r="P265" s="35" t="e">
        <v>#REF!</v>
      </c>
      <c r="Q265" s="36" t="e">
        <f t="shared" si="40"/>
        <v>#REF!</v>
      </c>
      <c r="R265" s="34" t="e">
        <f t="shared" si="41"/>
        <v>#REF!</v>
      </c>
      <c r="S265" s="37" t="e">
        <v>#REF!</v>
      </c>
      <c r="T265" s="37" t="e">
        <f t="shared" si="42"/>
        <v>#REF!</v>
      </c>
      <c r="U265" s="37" t="e">
        <f t="shared" si="43"/>
        <v>#REF!</v>
      </c>
      <c r="V265" s="37" t="e">
        <f t="shared" si="44"/>
        <v>#REF!</v>
      </c>
      <c r="W265" s="34" t="e">
        <f t="shared" si="45"/>
        <v>#REF!</v>
      </c>
      <c r="X265" s="29"/>
    </row>
    <row r="266" spans="1:24" s="2" customFormat="1" ht="18" customHeight="1">
      <c r="A266" s="6"/>
      <c r="B266" s="48"/>
      <c r="C266" s="38" t="e">
        <v>#REF!</v>
      </c>
      <c r="D266" s="39" t="e">
        <v>#REF!</v>
      </c>
      <c r="E266" s="38" t="e">
        <f t="shared" si="46"/>
        <v>#REF!</v>
      </c>
      <c r="F266" s="39" t="e">
        <v>#REF!</v>
      </c>
      <c r="G266" s="40" t="e">
        <v>#REF!</v>
      </c>
      <c r="H266" s="39" t="e">
        <v>#REF!</v>
      </c>
      <c r="I266" s="40" t="e">
        <v>#REF!</v>
      </c>
      <c r="J266" s="41" t="e">
        <f t="shared" si="47"/>
        <v>#REF!</v>
      </c>
      <c r="K266" s="40" t="e">
        <v>#REF!</v>
      </c>
      <c r="L266" s="41"/>
      <c r="M266" s="41"/>
      <c r="N266" s="42" t="e">
        <f t="shared" si="48"/>
        <v>#REF!</v>
      </c>
      <c r="O266" s="42" t="e">
        <f>IF(F266="","",N266*#REF!/100)</f>
        <v>#REF!</v>
      </c>
      <c r="P266" s="44" t="e">
        <v>#REF!</v>
      </c>
      <c r="Q266" s="45" t="e">
        <f t="shared" si="40"/>
        <v>#REF!</v>
      </c>
      <c r="R266" s="42" t="e">
        <f t="shared" si="41"/>
        <v>#REF!</v>
      </c>
      <c r="S266" s="46" t="e">
        <v>#REF!</v>
      </c>
      <c r="T266" s="46" t="e">
        <f t="shared" si="42"/>
        <v>#REF!</v>
      </c>
      <c r="U266" s="46" t="e">
        <f t="shared" si="43"/>
        <v>#REF!</v>
      </c>
      <c r="V266" s="46" t="e">
        <f t="shared" si="44"/>
        <v>#REF!</v>
      </c>
      <c r="W266" s="42" t="e">
        <f t="shared" si="45"/>
        <v>#REF!</v>
      </c>
      <c r="X266" s="29"/>
    </row>
    <row r="267" spans="1:24" s="2" customFormat="1" ht="18" customHeight="1">
      <c r="A267" s="6"/>
      <c r="B267" s="48"/>
      <c r="C267" s="30" t="e">
        <v>#REF!</v>
      </c>
      <c r="D267" s="31" t="e">
        <v>#REF!</v>
      </c>
      <c r="E267" s="30" t="e">
        <f t="shared" si="46"/>
        <v>#REF!</v>
      </c>
      <c r="F267" s="31" t="e">
        <v>#REF!</v>
      </c>
      <c r="G267" s="32" t="e">
        <v>#REF!</v>
      </c>
      <c r="H267" s="31" t="e">
        <v>#REF!</v>
      </c>
      <c r="I267" s="32" t="e">
        <v>#REF!</v>
      </c>
      <c r="J267" s="33" t="e">
        <f t="shared" si="47"/>
        <v>#REF!</v>
      </c>
      <c r="K267" s="32" t="e">
        <v>#REF!</v>
      </c>
      <c r="L267" s="33"/>
      <c r="M267" s="33"/>
      <c r="N267" s="34" t="e">
        <f t="shared" si="48"/>
        <v>#REF!</v>
      </c>
      <c r="O267" s="34" t="e">
        <f>IF(F267="","",N267*#REF!/100)</f>
        <v>#REF!</v>
      </c>
      <c r="P267" s="35" t="e">
        <v>#REF!</v>
      </c>
      <c r="Q267" s="36" t="e">
        <f t="shared" si="40"/>
        <v>#REF!</v>
      </c>
      <c r="R267" s="34" t="e">
        <f t="shared" si="41"/>
        <v>#REF!</v>
      </c>
      <c r="S267" s="37" t="e">
        <v>#REF!</v>
      </c>
      <c r="T267" s="37" t="e">
        <f t="shared" si="42"/>
        <v>#REF!</v>
      </c>
      <c r="U267" s="37" t="e">
        <f t="shared" si="43"/>
        <v>#REF!</v>
      </c>
      <c r="V267" s="37" t="e">
        <f t="shared" si="44"/>
        <v>#REF!</v>
      </c>
      <c r="W267" s="34" t="e">
        <f t="shared" si="45"/>
        <v>#REF!</v>
      </c>
      <c r="X267" s="29"/>
    </row>
    <row r="268" spans="1:24" s="2" customFormat="1" ht="18" customHeight="1">
      <c r="A268" s="6"/>
      <c r="B268" s="48"/>
      <c r="C268" s="38" t="e">
        <v>#REF!</v>
      </c>
      <c r="D268" s="39" t="e">
        <v>#REF!</v>
      </c>
      <c r="E268" s="38" t="e">
        <f t="shared" si="46"/>
        <v>#REF!</v>
      </c>
      <c r="F268" s="39" t="e">
        <v>#REF!</v>
      </c>
      <c r="G268" s="40" t="e">
        <v>#REF!</v>
      </c>
      <c r="H268" s="39" t="e">
        <v>#REF!</v>
      </c>
      <c r="I268" s="40" t="e">
        <v>#REF!</v>
      </c>
      <c r="J268" s="41" t="e">
        <f t="shared" si="47"/>
        <v>#REF!</v>
      </c>
      <c r="K268" s="40" t="e">
        <v>#REF!</v>
      </c>
      <c r="L268" s="41"/>
      <c r="M268" s="41"/>
      <c r="N268" s="42" t="e">
        <f t="shared" si="48"/>
        <v>#REF!</v>
      </c>
      <c r="O268" s="42" t="e">
        <f>IF(F268="","",N268*#REF!/100)</f>
        <v>#REF!</v>
      </c>
      <c r="P268" s="44" t="e">
        <v>#REF!</v>
      </c>
      <c r="Q268" s="45" t="e">
        <f t="shared" si="40"/>
        <v>#REF!</v>
      </c>
      <c r="R268" s="42" t="e">
        <f t="shared" si="41"/>
        <v>#REF!</v>
      </c>
      <c r="S268" s="46" t="e">
        <v>#REF!</v>
      </c>
      <c r="T268" s="46" t="e">
        <f t="shared" si="42"/>
        <v>#REF!</v>
      </c>
      <c r="U268" s="46" t="e">
        <f t="shared" si="43"/>
        <v>#REF!</v>
      </c>
      <c r="V268" s="46" t="e">
        <f t="shared" si="44"/>
        <v>#REF!</v>
      </c>
      <c r="W268" s="42" t="e">
        <f t="shared" si="45"/>
        <v>#REF!</v>
      </c>
      <c r="X268" s="29"/>
    </row>
    <row r="269" spans="1:24" s="2" customFormat="1" ht="18" customHeight="1">
      <c r="A269" s="6"/>
      <c r="B269" s="48"/>
      <c r="C269" s="30" t="e">
        <v>#REF!</v>
      </c>
      <c r="D269" s="31" t="e">
        <v>#REF!</v>
      </c>
      <c r="E269" s="30" t="e">
        <f t="shared" si="46"/>
        <v>#REF!</v>
      </c>
      <c r="F269" s="31" t="e">
        <v>#REF!</v>
      </c>
      <c r="G269" s="32" t="e">
        <v>#REF!</v>
      </c>
      <c r="H269" s="31" t="e">
        <v>#REF!</v>
      </c>
      <c r="I269" s="32" t="e">
        <v>#REF!</v>
      </c>
      <c r="J269" s="33" t="e">
        <f t="shared" si="47"/>
        <v>#REF!</v>
      </c>
      <c r="K269" s="32" t="e">
        <v>#REF!</v>
      </c>
      <c r="L269" s="33"/>
      <c r="M269" s="33"/>
      <c r="N269" s="34" t="e">
        <f t="shared" si="48"/>
        <v>#REF!</v>
      </c>
      <c r="O269" s="34" t="e">
        <f>IF(F269="","",N269*#REF!/100)</f>
        <v>#REF!</v>
      </c>
      <c r="P269" s="35" t="e">
        <v>#REF!</v>
      </c>
      <c r="Q269" s="36" t="e">
        <f t="shared" si="40"/>
        <v>#REF!</v>
      </c>
      <c r="R269" s="34" t="e">
        <f t="shared" si="41"/>
        <v>#REF!</v>
      </c>
      <c r="S269" s="37" t="e">
        <v>#REF!</v>
      </c>
      <c r="T269" s="37" t="e">
        <f t="shared" si="42"/>
        <v>#REF!</v>
      </c>
      <c r="U269" s="37" t="e">
        <f t="shared" si="43"/>
        <v>#REF!</v>
      </c>
      <c r="V269" s="37" t="e">
        <f t="shared" si="44"/>
        <v>#REF!</v>
      </c>
      <c r="W269" s="34" t="e">
        <f t="shared" si="45"/>
        <v>#REF!</v>
      </c>
      <c r="X269" s="29"/>
    </row>
    <row r="270" spans="1:24" s="2" customFormat="1" ht="18" customHeight="1">
      <c r="A270" s="6"/>
      <c r="B270" s="48"/>
      <c r="C270" s="38" t="e">
        <v>#REF!</v>
      </c>
      <c r="D270" s="39" t="e">
        <v>#REF!</v>
      </c>
      <c r="E270" s="38" t="e">
        <f t="shared" si="46"/>
        <v>#REF!</v>
      </c>
      <c r="F270" s="39" t="e">
        <v>#REF!</v>
      </c>
      <c r="G270" s="40" t="e">
        <v>#REF!</v>
      </c>
      <c r="H270" s="39" t="e">
        <v>#REF!</v>
      </c>
      <c r="I270" s="40" t="e">
        <v>#REF!</v>
      </c>
      <c r="J270" s="41" t="e">
        <f t="shared" si="47"/>
        <v>#REF!</v>
      </c>
      <c r="K270" s="40" t="e">
        <v>#REF!</v>
      </c>
      <c r="L270" s="41"/>
      <c r="M270" s="41"/>
      <c r="N270" s="42" t="e">
        <f t="shared" si="48"/>
        <v>#REF!</v>
      </c>
      <c r="O270" s="42" t="e">
        <f>IF(F270="","",N270*#REF!/100)</f>
        <v>#REF!</v>
      </c>
      <c r="P270" s="44" t="e">
        <v>#REF!</v>
      </c>
      <c r="Q270" s="45" t="e">
        <f t="shared" si="40"/>
        <v>#REF!</v>
      </c>
      <c r="R270" s="42" t="e">
        <f t="shared" si="41"/>
        <v>#REF!</v>
      </c>
      <c r="S270" s="46" t="e">
        <v>#REF!</v>
      </c>
      <c r="T270" s="46" t="e">
        <f t="shared" si="42"/>
        <v>#REF!</v>
      </c>
      <c r="U270" s="46" t="e">
        <f t="shared" si="43"/>
        <v>#REF!</v>
      </c>
      <c r="V270" s="46" t="e">
        <f t="shared" si="44"/>
        <v>#REF!</v>
      </c>
      <c r="W270" s="42" t="e">
        <f t="shared" si="45"/>
        <v>#REF!</v>
      </c>
      <c r="X270" s="29"/>
    </row>
    <row r="271" spans="1:24" s="2" customFormat="1" ht="18" customHeight="1">
      <c r="A271" s="6"/>
      <c r="B271" s="48"/>
      <c r="C271" s="30" t="e">
        <v>#REF!</v>
      </c>
      <c r="D271" s="31" t="e">
        <v>#REF!</v>
      </c>
      <c r="E271" s="30" t="e">
        <f t="shared" si="46"/>
        <v>#REF!</v>
      </c>
      <c r="F271" s="31" t="e">
        <v>#REF!</v>
      </c>
      <c r="G271" s="32" t="e">
        <v>#REF!</v>
      </c>
      <c r="H271" s="31" t="e">
        <v>#REF!</v>
      </c>
      <c r="I271" s="32" t="e">
        <v>#REF!</v>
      </c>
      <c r="J271" s="33" t="e">
        <f t="shared" si="47"/>
        <v>#REF!</v>
      </c>
      <c r="K271" s="32" t="e">
        <v>#REF!</v>
      </c>
      <c r="L271" s="33"/>
      <c r="M271" s="33"/>
      <c r="N271" s="34" t="e">
        <f t="shared" si="48"/>
        <v>#REF!</v>
      </c>
      <c r="O271" s="34" t="e">
        <f>IF(F271="","",N271*#REF!/100)</f>
        <v>#REF!</v>
      </c>
      <c r="P271" s="35" t="e">
        <v>#REF!</v>
      </c>
      <c r="Q271" s="36" t="e">
        <f t="shared" si="40"/>
        <v>#REF!</v>
      </c>
      <c r="R271" s="34" t="e">
        <f t="shared" si="41"/>
        <v>#REF!</v>
      </c>
      <c r="S271" s="37" t="e">
        <v>#REF!</v>
      </c>
      <c r="T271" s="37" t="e">
        <f t="shared" si="42"/>
        <v>#REF!</v>
      </c>
      <c r="U271" s="37" t="e">
        <f t="shared" si="43"/>
        <v>#REF!</v>
      </c>
      <c r="V271" s="37" t="e">
        <f t="shared" si="44"/>
        <v>#REF!</v>
      </c>
      <c r="W271" s="34" t="e">
        <f t="shared" si="45"/>
        <v>#REF!</v>
      </c>
      <c r="X271" s="29"/>
    </row>
    <row r="272" spans="1:24" s="2" customFormat="1" ht="18" customHeight="1">
      <c r="A272" s="6"/>
      <c r="B272" s="48"/>
      <c r="C272" s="38" t="e">
        <v>#REF!</v>
      </c>
      <c r="D272" s="39" t="e">
        <v>#REF!</v>
      </c>
      <c r="E272" s="38" t="e">
        <f t="shared" si="46"/>
        <v>#REF!</v>
      </c>
      <c r="F272" s="39" t="e">
        <v>#REF!</v>
      </c>
      <c r="G272" s="40" t="e">
        <v>#REF!</v>
      </c>
      <c r="H272" s="39" t="e">
        <v>#REF!</v>
      </c>
      <c r="I272" s="40" t="e">
        <v>#REF!</v>
      </c>
      <c r="J272" s="41" t="e">
        <f t="shared" si="47"/>
        <v>#REF!</v>
      </c>
      <c r="K272" s="40" t="e">
        <v>#REF!</v>
      </c>
      <c r="L272" s="41"/>
      <c r="M272" s="41"/>
      <c r="N272" s="42" t="e">
        <f t="shared" si="48"/>
        <v>#REF!</v>
      </c>
      <c r="O272" s="42" t="e">
        <f>IF(F272="","",N272*#REF!/100)</f>
        <v>#REF!</v>
      </c>
      <c r="P272" s="44" t="e">
        <v>#REF!</v>
      </c>
      <c r="Q272" s="45" t="e">
        <f t="shared" si="40"/>
        <v>#REF!</v>
      </c>
      <c r="R272" s="42" t="e">
        <f t="shared" si="41"/>
        <v>#REF!</v>
      </c>
      <c r="S272" s="46" t="e">
        <v>#REF!</v>
      </c>
      <c r="T272" s="46" t="e">
        <f t="shared" si="42"/>
        <v>#REF!</v>
      </c>
      <c r="U272" s="46" t="e">
        <f t="shared" si="43"/>
        <v>#REF!</v>
      </c>
      <c r="V272" s="46" t="e">
        <f t="shared" si="44"/>
        <v>#REF!</v>
      </c>
      <c r="W272" s="42" t="e">
        <f t="shared" si="45"/>
        <v>#REF!</v>
      </c>
      <c r="X272" s="29"/>
    </row>
    <row r="273" spans="1:29" s="2" customFormat="1" ht="18" customHeight="1">
      <c r="A273" s="6"/>
      <c r="B273" s="48"/>
      <c r="C273" s="30" t="e">
        <v>#REF!</v>
      </c>
      <c r="D273" s="31" t="e">
        <v>#REF!</v>
      </c>
      <c r="E273" s="30" t="e">
        <f t="shared" si="46"/>
        <v>#REF!</v>
      </c>
      <c r="F273" s="31" t="e">
        <v>#REF!</v>
      </c>
      <c r="G273" s="32" t="e">
        <v>#REF!</v>
      </c>
      <c r="H273" s="31" t="e">
        <v>#REF!</v>
      </c>
      <c r="I273" s="32" t="e">
        <v>#REF!</v>
      </c>
      <c r="J273" s="33" t="e">
        <f t="shared" si="47"/>
        <v>#REF!</v>
      </c>
      <c r="K273" s="32" t="e">
        <v>#REF!</v>
      </c>
      <c r="L273" s="33"/>
      <c r="M273" s="33"/>
      <c r="N273" s="34" t="e">
        <f t="shared" si="48"/>
        <v>#REF!</v>
      </c>
      <c r="O273" s="34" t="e">
        <f>IF(F273="","",N273*#REF!/100)</f>
        <v>#REF!</v>
      </c>
      <c r="P273" s="35" t="e">
        <v>#REF!</v>
      </c>
      <c r="Q273" s="36" t="e">
        <f t="shared" si="40"/>
        <v>#REF!</v>
      </c>
      <c r="R273" s="34" t="e">
        <f t="shared" si="41"/>
        <v>#REF!</v>
      </c>
      <c r="S273" s="37" t="e">
        <v>#REF!</v>
      </c>
      <c r="T273" s="37" t="e">
        <f t="shared" si="42"/>
        <v>#REF!</v>
      </c>
      <c r="U273" s="37" t="e">
        <f t="shared" si="43"/>
        <v>#REF!</v>
      </c>
      <c r="V273" s="37" t="e">
        <f t="shared" si="44"/>
        <v>#REF!</v>
      </c>
      <c r="W273" s="34" t="e">
        <f t="shared" si="45"/>
        <v>#REF!</v>
      </c>
      <c r="X273" s="29"/>
    </row>
    <row r="274" spans="1:29" s="2" customFormat="1" ht="18" customHeight="1">
      <c r="A274" s="6"/>
      <c r="B274" s="48"/>
      <c r="C274" s="38" t="e">
        <v>#REF!</v>
      </c>
      <c r="D274" s="39" t="e">
        <v>#REF!</v>
      </c>
      <c r="E274" s="38" t="e">
        <f t="shared" si="46"/>
        <v>#REF!</v>
      </c>
      <c r="F274" s="39" t="e">
        <v>#REF!</v>
      </c>
      <c r="G274" s="40" t="e">
        <v>#REF!</v>
      </c>
      <c r="H274" s="39" t="e">
        <v>#REF!</v>
      </c>
      <c r="I274" s="40" t="e">
        <v>#REF!</v>
      </c>
      <c r="J274" s="41" t="e">
        <f t="shared" si="47"/>
        <v>#REF!</v>
      </c>
      <c r="K274" s="40" t="e">
        <v>#REF!</v>
      </c>
      <c r="L274" s="41"/>
      <c r="M274" s="41"/>
      <c r="N274" s="42" t="e">
        <f t="shared" si="48"/>
        <v>#REF!</v>
      </c>
      <c r="O274" s="42" t="e">
        <f>IF(F274="","",N274*#REF!/100)</f>
        <v>#REF!</v>
      </c>
      <c r="P274" s="44" t="e">
        <v>#REF!</v>
      </c>
      <c r="Q274" s="45" t="e">
        <f t="shared" si="40"/>
        <v>#REF!</v>
      </c>
      <c r="R274" s="42" t="e">
        <f t="shared" si="41"/>
        <v>#REF!</v>
      </c>
      <c r="S274" s="46" t="e">
        <v>#REF!</v>
      </c>
      <c r="T274" s="46" t="e">
        <f t="shared" si="42"/>
        <v>#REF!</v>
      </c>
      <c r="U274" s="46" t="e">
        <f t="shared" si="43"/>
        <v>#REF!</v>
      </c>
      <c r="V274" s="46" t="e">
        <f t="shared" si="44"/>
        <v>#REF!</v>
      </c>
      <c r="W274" s="42" t="e">
        <f t="shared" si="45"/>
        <v>#REF!</v>
      </c>
      <c r="X274" s="29"/>
    </row>
    <row r="275" spans="1:29" s="2" customFormat="1" ht="18" customHeight="1">
      <c r="A275" s="6"/>
      <c r="B275" s="48"/>
      <c r="C275" s="30" t="e">
        <v>#REF!</v>
      </c>
      <c r="D275" s="31" t="e">
        <v>#REF!</v>
      </c>
      <c r="E275" s="30" t="e">
        <f t="shared" si="46"/>
        <v>#REF!</v>
      </c>
      <c r="F275" s="31" t="e">
        <v>#REF!</v>
      </c>
      <c r="G275" s="32" t="e">
        <v>#REF!</v>
      </c>
      <c r="H275" s="31" t="e">
        <v>#REF!</v>
      </c>
      <c r="I275" s="32" t="e">
        <v>#REF!</v>
      </c>
      <c r="J275" s="33" t="e">
        <f t="shared" si="47"/>
        <v>#REF!</v>
      </c>
      <c r="K275" s="32" t="e">
        <v>#REF!</v>
      </c>
      <c r="L275" s="33"/>
      <c r="M275" s="33"/>
      <c r="N275" s="34" t="e">
        <f t="shared" si="48"/>
        <v>#REF!</v>
      </c>
      <c r="O275" s="34" t="e">
        <f>IF(F275="","",N275*#REF!/100)</f>
        <v>#REF!</v>
      </c>
      <c r="P275" s="35" t="e">
        <v>#REF!</v>
      </c>
      <c r="Q275" s="36" t="e">
        <f t="shared" si="40"/>
        <v>#REF!</v>
      </c>
      <c r="R275" s="34" t="e">
        <f t="shared" si="41"/>
        <v>#REF!</v>
      </c>
      <c r="S275" s="37" t="e">
        <v>#REF!</v>
      </c>
      <c r="T275" s="37" t="e">
        <f t="shared" si="42"/>
        <v>#REF!</v>
      </c>
      <c r="U275" s="37" t="e">
        <f t="shared" si="43"/>
        <v>#REF!</v>
      </c>
      <c r="V275" s="37" t="e">
        <f t="shared" si="44"/>
        <v>#REF!</v>
      </c>
      <c r="W275" s="34" t="e">
        <f t="shared" si="45"/>
        <v>#REF!</v>
      </c>
      <c r="X275" s="29"/>
    </row>
    <row r="276" spans="1:29" s="2" customFormat="1" ht="18" customHeight="1">
      <c r="A276" s="6"/>
      <c r="B276" s="48"/>
      <c r="C276" s="38" t="e">
        <v>#REF!</v>
      </c>
      <c r="D276" s="39" t="e">
        <v>#REF!</v>
      </c>
      <c r="E276" s="38" t="e">
        <f t="shared" si="46"/>
        <v>#REF!</v>
      </c>
      <c r="F276" s="39" t="e">
        <v>#REF!</v>
      </c>
      <c r="G276" s="40" t="e">
        <v>#REF!</v>
      </c>
      <c r="H276" s="39" t="e">
        <v>#REF!</v>
      </c>
      <c r="I276" s="40" t="e">
        <v>#REF!</v>
      </c>
      <c r="J276" s="41" t="e">
        <f t="shared" si="47"/>
        <v>#REF!</v>
      </c>
      <c r="K276" s="40" t="e">
        <v>#REF!</v>
      </c>
      <c r="L276" s="41"/>
      <c r="M276" s="41"/>
      <c r="N276" s="42" t="e">
        <f t="shared" si="48"/>
        <v>#REF!</v>
      </c>
      <c r="O276" s="42" t="e">
        <f>IF(F276="","",N276*#REF!/100)</f>
        <v>#REF!</v>
      </c>
      <c r="P276" s="44" t="e">
        <v>#REF!</v>
      </c>
      <c r="Q276" s="45" t="e">
        <f t="shared" si="40"/>
        <v>#REF!</v>
      </c>
      <c r="R276" s="42" t="e">
        <f t="shared" si="41"/>
        <v>#REF!</v>
      </c>
      <c r="S276" s="46" t="e">
        <v>#REF!</v>
      </c>
      <c r="T276" s="46" t="e">
        <f t="shared" si="42"/>
        <v>#REF!</v>
      </c>
      <c r="U276" s="46" t="e">
        <f t="shared" si="43"/>
        <v>#REF!</v>
      </c>
      <c r="V276" s="46" t="e">
        <f t="shared" si="44"/>
        <v>#REF!</v>
      </c>
      <c r="W276" s="42" t="e">
        <f t="shared" si="45"/>
        <v>#REF!</v>
      </c>
      <c r="X276" s="29"/>
    </row>
    <row r="277" spans="1:29" s="2" customFormat="1" ht="18" customHeight="1">
      <c r="A277" s="6"/>
      <c r="B277" s="48"/>
      <c r="C277" s="30" t="e">
        <v>#REF!</v>
      </c>
      <c r="D277" s="31" t="e">
        <v>#REF!</v>
      </c>
      <c r="E277" s="30" t="e">
        <f t="shared" si="46"/>
        <v>#REF!</v>
      </c>
      <c r="F277" s="31" t="e">
        <v>#REF!</v>
      </c>
      <c r="G277" s="32" t="e">
        <v>#REF!</v>
      </c>
      <c r="H277" s="31" t="e">
        <v>#REF!</v>
      </c>
      <c r="I277" s="32" t="e">
        <v>#REF!</v>
      </c>
      <c r="J277" s="33" t="e">
        <f t="shared" si="47"/>
        <v>#REF!</v>
      </c>
      <c r="K277" s="32" t="e">
        <v>#REF!</v>
      </c>
      <c r="L277" s="33"/>
      <c r="M277" s="33"/>
      <c r="N277" s="34" t="e">
        <f t="shared" si="48"/>
        <v>#REF!</v>
      </c>
      <c r="O277" s="34" t="e">
        <f>IF(F277="","",N277*#REF!/100)</f>
        <v>#REF!</v>
      </c>
      <c r="P277" s="35" t="e">
        <v>#REF!</v>
      </c>
      <c r="Q277" s="36" t="e">
        <f t="shared" si="40"/>
        <v>#REF!</v>
      </c>
      <c r="R277" s="34" t="e">
        <f t="shared" si="41"/>
        <v>#REF!</v>
      </c>
      <c r="S277" s="37" t="e">
        <v>#REF!</v>
      </c>
      <c r="T277" s="37" t="e">
        <f t="shared" si="42"/>
        <v>#REF!</v>
      </c>
      <c r="U277" s="37" t="e">
        <f t="shared" si="43"/>
        <v>#REF!</v>
      </c>
      <c r="V277" s="37" t="e">
        <f t="shared" si="44"/>
        <v>#REF!</v>
      </c>
      <c r="W277" s="34" t="e">
        <f t="shared" si="45"/>
        <v>#REF!</v>
      </c>
      <c r="X277" s="29"/>
    </row>
    <row r="278" spans="1:29" s="2" customFormat="1" ht="18" customHeight="1">
      <c r="A278" s="6"/>
      <c r="B278" s="48"/>
      <c r="C278" s="38" t="e">
        <v>#REF!</v>
      </c>
      <c r="D278" s="39" t="e">
        <v>#REF!</v>
      </c>
      <c r="E278" s="38" t="e">
        <f t="shared" si="46"/>
        <v>#REF!</v>
      </c>
      <c r="F278" s="39" t="e">
        <v>#REF!</v>
      </c>
      <c r="G278" s="40" t="e">
        <v>#REF!</v>
      </c>
      <c r="H278" s="39" t="e">
        <v>#REF!</v>
      </c>
      <c r="I278" s="40" t="e">
        <v>#REF!</v>
      </c>
      <c r="J278" s="41" t="e">
        <f t="shared" si="47"/>
        <v>#REF!</v>
      </c>
      <c r="K278" s="40" t="e">
        <v>#REF!</v>
      </c>
      <c r="L278" s="41"/>
      <c r="M278" s="41"/>
      <c r="N278" s="42" t="e">
        <f t="shared" si="48"/>
        <v>#REF!</v>
      </c>
      <c r="O278" s="42" t="e">
        <f>IF(F278="","",N278*#REF!/100)</f>
        <v>#REF!</v>
      </c>
      <c r="P278" s="44" t="e">
        <v>#REF!</v>
      </c>
      <c r="Q278" s="45" t="e">
        <f t="shared" si="40"/>
        <v>#REF!</v>
      </c>
      <c r="R278" s="42" t="e">
        <f t="shared" si="41"/>
        <v>#REF!</v>
      </c>
      <c r="S278" s="46" t="e">
        <v>#REF!</v>
      </c>
      <c r="T278" s="46" t="e">
        <f t="shared" si="42"/>
        <v>#REF!</v>
      </c>
      <c r="U278" s="46" t="e">
        <f t="shared" si="43"/>
        <v>#REF!</v>
      </c>
      <c r="V278" s="46" t="e">
        <f t="shared" si="44"/>
        <v>#REF!</v>
      </c>
      <c r="W278" s="42" t="e">
        <f t="shared" si="45"/>
        <v>#REF!</v>
      </c>
      <c r="X278" s="29"/>
    </row>
    <row r="279" spans="1:29" s="2" customFormat="1" ht="18" customHeight="1">
      <c r="A279" s="6"/>
      <c r="B279" s="48"/>
      <c r="C279" s="30" t="e">
        <v>#REF!</v>
      </c>
      <c r="D279" s="31" t="e">
        <v>#REF!</v>
      </c>
      <c r="E279" s="30" t="e">
        <f t="shared" si="46"/>
        <v>#REF!</v>
      </c>
      <c r="F279" s="31" t="e">
        <v>#REF!</v>
      </c>
      <c r="G279" s="32" t="e">
        <v>#REF!</v>
      </c>
      <c r="H279" s="31" t="e">
        <v>#REF!</v>
      </c>
      <c r="I279" s="32" t="e">
        <v>#REF!</v>
      </c>
      <c r="J279" s="33" t="e">
        <f t="shared" si="47"/>
        <v>#REF!</v>
      </c>
      <c r="K279" s="32" t="e">
        <v>#REF!</v>
      </c>
      <c r="L279" s="33"/>
      <c r="M279" s="33"/>
      <c r="N279" s="34" t="e">
        <f t="shared" si="48"/>
        <v>#REF!</v>
      </c>
      <c r="O279" s="34" t="e">
        <f>IF(F279="","",N279*#REF!/100)</f>
        <v>#REF!</v>
      </c>
      <c r="P279" s="35" t="e">
        <v>#REF!</v>
      </c>
      <c r="Q279" s="36" t="e">
        <f t="shared" si="40"/>
        <v>#REF!</v>
      </c>
      <c r="R279" s="34" t="e">
        <f t="shared" si="41"/>
        <v>#REF!</v>
      </c>
      <c r="S279" s="37" t="e">
        <v>#REF!</v>
      </c>
      <c r="T279" s="37" t="e">
        <f t="shared" si="42"/>
        <v>#REF!</v>
      </c>
      <c r="U279" s="37" t="e">
        <f t="shared" si="43"/>
        <v>#REF!</v>
      </c>
      <c r="V279" s="37" t="e">
        <f t="shared" si="44"/>
        <v>#REF!</v>
      </c>
      <c r="W279" s="34" t="e">
        <f t="shared" si="45"/>
        <v>#REF!</v>
      </c>
      <c r="X279" s="29"/>
    </row>
    <row r="280" spans="1:29" s="2" customFormat="1" ht="18" customHeight="1">
      <c r="A280" s="6"/>
      <c r="B280" s="48"/>
      <c r="C280" s="38" t="e">
        <v>#REF!</v>
      </c>
      <c r="D280" s="39" t="e">
        <v>#REF!</v>
      </c>
      <c r="E280" s="38" t="e">
        <f t="shared" si="46"/>
        <v>#REF!</v>
      </c>
      <c r="F280" s="39" t="e">
        <v>#REF!</v>
      </c>
      <c r="G280" s="40" t="e">
        <v>#REF!</v>
      </c>
      <c r="H280" s="39" t="e">
        <v>#REF!</v>
      </c>
      <c r="I280" s="40" t="e">
        <v>#REF!</v>
      </c>
      <c r="J280" s="41" t="e">
        <f t="shared" si="47"/>
        <v>#REF!</v>
      </c>
      <c r="K280" s="40" t="e">
        <v>#REF!</v>
      </c>
      <c r="L280" s="41"/>
      <c r="M280" s="41"/>
      <c r="N280" s="42" t="e">
        <f t="shared" si="48"/>
        <v>#REF!</v>
      </c>
      <c r="O280" s="42" t="e">
        <f>IF(F280="","",N280*#REF!/100)</f>
        <v>#REF!</v>
      </c>
      <c r="P280" s="44" t="e">
        <v>#REF!</v>
      </c>
      <c r="Q280" s="45" t="e">
        <f t="shared" si="40"/>
        <v>#REF!</v>
      </c>
      <c r="R280" s="42" t="e">
        <f t="shared" si="41"/>
        <v>#REF!</v>
      </c>
      <c r="S280" s="46" t="e">
        <v>#REF!</v>
      </c>
      <c r="T280" s="46" t="e">
        <f t="shared" si="42"/>
        <v>#REF!</v>
      </c>
      <c r="U280" s="46" t="e">
        <f t="shared" si="43"/>
        <v>#REF!</v>
      </c>
      <c r="V280" s="46" t="e">
        <f t="shared" si="44"/>
        <v>#REF!</v>
      </c>
      <c r="W280" s="42" t="e">
        <f t="shared" si="45"/>
        <v>#REF!</v>
      </c>
      <c r="X280" s="29"/>
    </row>
    <row r="281" spans="1:29" s="2" customFormat="1" ht="18" customHeight="1">
      <c r="A281" s="6"/>
      <c r="B281" s="48"/>
      <c r="C281" s="30" t="e">
        <v>#REF!</v>
      </c>
      <c r="D281" s="31" t="e">
        <v>#REF!</v>
      </c>
      <c r="E281" s="30" t="e">
        <f t="shared" si="46"/>
        <v>#REF!</v>
      </c>
      <c r="F281" s="31" t="e">
        <v>#REF!</v>
      </c>
      <c r="G281" s="32" t="e">
        <v>#REF!</v>
      </c>
      <c r="H281" s="31" t="e">
        <v>#REF!</v>
      </c>
      <c r="I281" s="32" t="e">
        <v>#REF!</v>
      </c>
      <c r="J281" s="33" t="e">
        <f t="shared" si="47"/>
        <v>#REF!</v>
      </c>
      <c r="K281" s="32" t="e">
        <v>#REF!</v>
      </c>
      <c r="L281" s="33"/>
      <c r="M281" s="33"/>
      <c r="N281" s="34" t="e">
        <f t="shared" si="48"/>
        <v>#REF!</v>
      </c>
      <c r="O281" s="34" t="e">
        <f>IF(F281="","",N281*#REF!/100)</f>
        <v>#REF!</v>
      </c>
      <c r="P281" s="35" t="e">
        <v>#REF!</v>
      </c>
      <c r="Q281" s="36" t="e">
        <f t="shared" si="40"/>
        <v>#REF!</v>
      </c>
      <c r="R281" s="34" t="e">
        <f t="shared" si="41"/>
        <v>#REF!</v>
      </c>
      <c r="S281" s="37" t="e">
        <v>#REF!</v>
      </c>
      <c r="T281" s="37" t="e">
        <f t="shared" si="42"/>
        <v>#REF!</v>
      </c>
      <c r="U281" s="37" t="e">
        <f t="shared" si="43"/>
        <v>#REF!</v>
      </c>
      <c r="V281" s="37" t="e">
        <f t="shared" si="44"/>
        <v>#REF!</v>
      </c>
      <c r="W281" s="34" t="e">
        <f t="shared" si="45"/>
        <v>#REF!</v>
      </c>
      <c r="X281" s="29"/>
    </row>
    <row r="282" spans="1:29" s="2" customFormat="1" ht="18" customHeight="1">
      <c r="A282" s="6"/>
      <c r="B282" s="48"/>
      <c r="C282" s="38" t="e">
        <v>#REF!</v>
      </c>
      <c r="D282" s="39" t="e">
        <v>#REF!</v>
      </c>
      <c r="E282" s="38" t="e">
        <f t="shared" si="46"/>
        <v>#REF!</v>
      </c>
      <c r="F282" s="39" t="e">
        <v>#REF!</v>
      </c>
      <c r="G282" s="40" t="e">
        <v>#REF!</v>
      </c>
      <c r="H282" s="39" t="e">
        <v>#REF!</v>
      </c>
      <c r="I282" s="40" t="e">
        <v>#REF!</v>
      </c>
      <c r="J282" s="41" t="e">
        <f t="shared" si="47"/>
        <v>#REF!</v>
      </c>
      <c r="K282" s="40" t="e">
        <v>#REF!</v>
      </c>
      <c r="L282" s="41"/>
      <c r="M282" s="41"/>
      <c r="N282" s="42" t="e">
        <f t="shared" si="48"/>
        <v>#REF!</v>
      </c>
      <c r="O282" s="42" t="e">
        <f>IF(F282="","",N282*#REF!/100)</f>
        <v>#REF!</v>
      </c>
      <c r="P282" s="44" t="e">
        <v>#REF!</v>
      </c>
      <c r="Q282" s="45" t="e">
        <f t="shared" si="40"/>
        <v>#REF!</v>
      </c>
      <c r="R282" s="42" t="e">
        <f t="shared" si="41"/>
        <v>#REF!</v>
      </c>
      <c r="S282" s="46" t="e">
        <v>#REF!</v>
      </c>
      <c r="T282" s="46" t="e">
        <f t="shared" si="42"/>
        <v>#REF!</v>
      </c>
      <c r="U282" s="46" t="e">
        <f t="shared" si="43"/>
        <v>#REF!</v>
      </c>
      <c r="V282" s="46" t="e">
        <f t="shared" si="44"/>
        <v>#REF!</v>
      </c>
      <c r="W282" s="42" t="e">
        <f t="shared" si="45"/>
        <v>#REF!</v>
      </c>
      <c r="X282" s="29"/>
    </row>
    <row r="283" spans="1:29" s="2" customFormat="1" ht="18" customHeight="1">
      <c r="A283" s="6"/>
      <c r="B283" s="48"/>
      <c r="C283" s="49" t="e">
        <v>#REF!</v>
      </c>
      <c r="D283" s="50" t="e">
        <v>#REF!</v>
      </c>
      <c r="E283" s="49" t="e">
        <f t="shared" si="46"/>
        <v>#REF!</v>
      </c>
      <c r="F283" s="50" t="e">
        <v>#REF!</v>
      </c>
      <c r="G283" s="51" t="e">
        <v>#REF!</v>
      </c>
      <c r="H283" s="50" t="e">
        <v>#REF!</v>
      </c>
      <c r="I283" s="51" t="e">
        <v>#REF!</v>
      </c>
      <c r="J283" s="52" t="e">
        <f t="shared" si="47"/>
        <v>#REF!</v>
      </c>
      <c r="K283" s="51" t="e">
        <v>#REF!</v>
      </c>
      <c r="L283" s="33"/>
      <c r="M283" s="33"/>
      <c r="N283" s="53" t="e">
        <f t="shared" si="48"/>
        <v>#REF!</v>
      </c>
      <c r="O283" s="53" t="e">
        <f>IF(F283="","",N283*#REF!/100)</f>
        <v>#REF!</v>
      </c>
      <c r="P283" s="54" t="e">
        <v>#REF!</v>
      </c>
      <c r="Q283" s="55" t="e">
        <f t="shared" si="40"/>
        <v>#REF!</v>
      </c>
      <c r="R283" s="53" t="e">
        <f t="shared" si="41"/>
        <v>#REF!</v>
      </c>
      <c r="S283" s="56" t="e">
        <v>#REF!</v>
      </c>
      <c r="T283" s="56" t="e">
        <f t="shared" si="42"/>
        <v>#REF!</v>
      </c>
      <c r="U283" s="56" t="e">
        <f t="shared" si="43"/>
        <v>#REF!</v>
      </c>
      <c r="V283" s="56" t="e">
        <f t="shared" si="44"/>
        <v>#REF!</v>
      </c>
      <c r="W283" s="53" t="e">
        <f t="shared" si="45"/>
        <v>#REF!</v>
      </c>
      <c r="X283" s="29"/>
    </row>
    <row r="284" spans="1:29" s="2" customFormat="1" ht="18" customHeight="1">
      <c r="A284" s="6"/>
      <c r="B284" s="48"/>
      <c r="C284" s="1793"/>
      <c r="D284" s="1793"/>
      <c r="E284" s="1793"/>
      <c r="F284" s="1793"/>
      <c r="G284" s="1793"/>
      <c r="H284" s="1793"/>
      <c r="I284" s="1794"/>
      <c r="J284" s="57" t="e">
        <f>SUM(J249:J283)</f>
        <v>#REF!</v>
      </c>
      <c r="K284" s="58"/>
      <c r="L284" s="57"/>
      <c r="M284" s="57"/>
      <c r="N284" s="57" t="e">
        <f>SUM(N249:N283)</f>
        <v>#REF!</v>
      </c>
      <c r="O284" s="57" t="e">
        <f>SUM(O249:O283)</f>
        <v>#REF!</v>
      </c>
      <c r="P284" s="1530"/>
      <c r="Q284" s="1531"/>
      <c r="R284" s="60" t="e">
        <f>SUM(R249:R283)</f>
        <v>#REF!</v>
      </c>
      <c r="S284" s="61" t="s">
        <v>44</v>
      </c>
      <c r="T284" s="62"/>
      <c r="U284" s="63" t="e">
        <f>W284/O284</f>
        <v>#REF!</v>
      </c>
      <c r="V284" s="64" t="s">
        <v>45</v>
      </c>
      <c r="W284" s="65" t="e">
        <f>SUM(W249:W283)</f>
        <v>#REF!</v>
      </c>
      <c r="X284" s="29"/>
    </row>
    <row r="285" spans="1:29" s="2" customFormat="1" ht="18" customHeight="1">
      <c r="A285" s="6"/>
      <c r="B285" s="66"/>
      <c r="C285" s="1869">
        <f>+C234</f>
        <v>0</v>
      </c>
      <c r="D285" s="1870"/>
      <c r="E285" s="1870"/>
      <c r="F285" s="1870"/>
      <c r="G285" s="1870"/>
      <c r="H285" s="1870"/>
      <c r="I285" s="1870"/>
      <c r="J285" s="1870"/>
      <c r="K285" s="1870"/>
      <c r="L285" s="1870"/>
      <c r="M285" s="1870"/>
      <c r="N285" s="1870"/>
      <c r="O285" s="67" t="e">
        <f>R285/1.02</f>
        <v>#REF!</v>
      </c>
      <c r="P285" s="68">
        <f>+P234</f>
        <v>0</v>
      </c>
      <c r="Q285" s="69" t="s">
        <v>46</v>
      </c>
      <c r="R285" s="70" t="e">
        <f>+P285*R284/1000</f>
        <v>#REF!</v>
      </c>
      <c r="S285" s="1860"/>
      <c r="T285" s="1861"/>
      <c r="U285" s="1861"/>
      <c r="V285" s="1861"/>
      <c r="W285" s="1862"/>
      <c r="X285" s="29"/>
    </row>
    <row r="286" spans="1:29" s="76" customFormat="1" ht="6" customHeight="1">
      <c r="A286" s="71"/>
      <c r="B286" s="72"/>
      <c r="C286" s="73"/>
      <c r="D286" s="73"/>
      <c r="E286" s="73"/>
      <c r="F286" s="73"/>
      <c r="G286" s="73"/>
      <c r="H286" s="73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5"/>
      <c r="X286" s="29"/>
      <c r="Y286" s="2"/>
      <c r="Z286" s="2"/>
      <c r="AA286" s="2"/>
      <c r="AB286" s="2"/>
      <c r="AC286" s="2"/>
    </row>
    <row r="287" spans="1:29" s="76" customFormat="1" ht="7.5" customHeight="1">
      <c r="A287" s="71"/>
      <c r="B287" s="1863" t="s">
        <v>61</v>
      </c>
      <c r="C287" s="1864"/>
      <c r="D287" s="1864"/>
      <c r="E287" s="1864"/>
      <c r="F287" s="1864"/>
      <c r="G287" s="1864"/>
      <c r="H287" s="1864"/>
      <c r="I287" s="1864"/>
      <c r="J287" s="1864"/>
      <c r="K287" s="1864"/>
      <c r="L287" s="1864"/>
      <c r="M287" s="1864"/>
      <c r="N287" s="1864"/>
      <c r="O287" s="1864"/>
      <c r="P287" s="1864"/>
      <c r="Q287" s="1864"/>
      <c r="R287" s="1864"/>
      <c r="S287" s="1864"/>
      <c r="T287" s="1864"/>
      <c r="U287" s="1864"/>
      <c r="V287" s="1864"/>
      <c r="W287" s="1865"/>
      <c r="X287" s="29"/>
      <c r="Y287" s="2"/>
      <c r="Z287" s="2"/>
      <c r="AA287" s="2"/>
      <c r="AB287" s="2"/>
      <c r="AC287" s="2"/>
    </row>
    <row r="288" spans="1:29" s="76" customFormat="1" ht="7.5" customHeight="1">
      <c r="A288" s="71"/>
      <c r="B288" s="1866"/>
      <c r="C288" s="1867"/>
      <c r="D288" s="1867"/>
      <c r="E288" s="1867"/>
      <c r="F288" s="1867"/>
      <c r="G288" s="1867"/>
      <c r="H288" s="1867"/>
      <c r="I288" s="1867"/>
      <c r="J288" s="1867"/>
      <c r="K288" s="1867"/>
      <c r="L288" s="1867"/>
      <c r="M288" s="1867"/>
      <c r="N288" s="1867"/>
      <c r="O288" s="1867"/>
      <c r="P288" s="1867"/>
      <c r="Q288" s="1867"/>
      <c r="R288" s="1867"/>
      <c r="S288" s="1867"/>
      <c r="T288" s="1867"/>
      <c r="U288" s="1867"/>
      <c r="V288" s="1867"/>
      <c r="W288" s="1868"/>
      <c r="X288" s="29"/>
      <c r="Y288" s="2"/>
      <c r="Z288" s="2"/>
      <c r="AA288" s="2"/>
      <c r="AB288" s="2"/>
      <c r="AC288" s="2"/>
    </row>
    <row r="289" spans="1:29" s="76" customFormat="1" ht="5.0999999999999996" customHeight="1">
      <c r="A289" s="71"/>
      <c r="B289" s="72"/>
      <c r="C289" s="72"/>
      <c r="D289" s="72"/>
      <c r="E289" s="72"/>
      <c r="F289" s="72"/>
      <c r="G289" s="72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8"/>
      <c r="W289" s="78"/>
      <c r="X289" s="29"/>
      <c r="Y289" s="2"/>
      <c r="Z289" s="2"/>
      <c r="AA289" s="2"/>
      <c r="AB289" s="2"/>
      <c r="AC289" s="2"/>
    </row>
    <row r="290" spans="1:29" s="76" customFormat="1" ht="15.6" customHeight="1">
      <c r="A290" s="71"/>
      <c r="B290" s="79" t="s">
        <v>47</v>
      </c>
      <c r="C290" s="80"/>
      <c r="D290" s="80"/>
      <c r="E290" s="81"/>
      <c r="F290" s="82"/>
      <c r="G290" s="82"/>
      <c r="H290" s="83"/>
      <c r="I290" s="84"/>
      <c r="J290" s="84"/>
      <c r="K290" s="85"/>
      <c r="L290" s="86" t="s">
        <v>48</v>
      </c>
      <c r="M290" s="83" t="e">
        <f>+M239</f>
        <v>#REF!</v>
      </c>
      <c r="N290" s="82"/>
      <c r="O290" s="84"/>
      <c r="P290" s="83"/>
      <c r="Q290" s="84"/>
      <c r="R290" s="84"/>
      <c r="S290" s="83"/>
      <c r="T290" s="84"/>
      <c r="U290" s="84"/>
      <c r="V290" s="82"/>
      <c r="W290" s="87" t="s">
        <v>49</v>
      </c>
      <c r="X290" s="29"/>
      <c r="Y290" s="2"/>
      <c r="Z290" s="2"/>
      <c r="AA290" s="2"/>
      <c r="AB290" s="2"/>
      <c r="AC290" s="2"/>
    </row>
    <row r="291" spans="1:29" s="76" customFormat="1" ht="15.6" customHeight="1">
      <c r="A291" s="71"/>
      <c r="B291" s="88"/>
      <c r="C291" s="89"/>
      <c r="D291" s="89"/>
      <c r="E291" s="96"/>
      <c r="F291" s="90"/>
      <c r="G291" s="90"/>
      <c r="H291" s="91"/>
      <c r="I291" s="92"/>
      <c r="J291" s="92"/>
      <c r="K291" s="93"/>
      <c r="L291" s="94" t="s">
        <v>50</v>
      </c>
      <c r="M291" s="91" t="e">
        <f t="shared" ref="M291:M294" si="49">+M240</f>
        <v>#REF!</v>
      </c>
      <c r="N291" s="90"/>
      <c r="O291" s="92"/>
      <c r="P291" s="91"/>
      <c r="Q291" s="92"/>
      <c r="R291" s="92"/>
      <c r="S291" s="91"/>
      <c r="T291" s="92"/>
      <c r="U291" s="92"/>
      <c r="V291" s="90"/>
      <c r="W291" s="95"/>
      <c r="X291" s="29"/>
      <c r="Y291" s="2"/>
      <c r="Z291" s="2"/>
      <c r="AA291" s="2"/>
      <c r="AB291" s="2"/>
      <c r="AC291" s="2"/>
    </row>
    <row r="292" spans="1:29" s="76" customFormat="1" ht="15.6" customHeight="1">
      <c r="A292" s="71"/>
      <c r="B292" s="88"/>
      <c r="C292" s="89"/>
      <c r="D292" s="89"/>
      <c r="E292" s="96"/>
      <c r="F292" s="90"/>
      <c r="G292" s="90"/>
      <c r="H292" s="91"/>
      <c r="I292" s="92"/>
      <c r="J292" s="92"/>
      <c r="K292" s="93"/>
      <c r="L292" s="94" t="s">
        <v>51</v>
      </c>
      <c r="M292" s="91" t="e">
        <f t="shared" si="49"/>
        <v>#REF!</v>
      </c>
      <c r="N292" s="90"/>
      <c r="O292" s="92"/>
      <c r="P292" s="91"/>
      <c r="Q292" s="92"/>
      <c r="R292" s="92"/>
      <c r="S292" s="91"/>
      <c r="T292" s="92"/>
      <c r="U292" s="92"/>
      <c r="V292" s="90"/>
      <c r="W292" s="1871" t="s">
        <v>52</v>
      </c>
      <c r="X292" s="29"/>
      <c r="Y292" s="2"/>
      <c r="Z292" s="2"/>
      <c r="AA292" s="2"/>
      <c r="AB292" s="2"/>
      <c r="AC292" s="2"/>
    </row>
    <row r="293" spans="1:29" s="76" customFormat="1" ht="15.6" customHeight="1">
      <c r="A293" s="71"/>
      <c r="B293" s="88"/>
      <c r="C293" s="89"/>
      <c r="D293" s="89"/>
      <c r="E293" s="96"/>
      <c r="F293" s="90"/>
      <c r="G293" s="90"/>
      <c r="H293" s="91"/>
      <c r="I293" s="92"/>
      <c r="J293" s="92"/>
      <c r="K293" s="93"/>
      <c r="L293" s="94" t="s">
        <v>53</v>
      </c>
      <c r="M293" s="91" t="e">
        <f t="shared" si="49"/>
        <v>#REF!</v>
      </c>
      <c r="N293" s="90"/>
      <c r="O293" s="92"/>
      <c r="P293" s="91"/>
      <c r="Q293" s="92"/>
      <c r="R293" s="92"/>
      <c r="S293" s="91"/>
      <c r="T293" s="92"/>
      <c r="U293" s="92"/>
      <c r="V293" s="90"/>
      <c r="W293" s="1872"/>
      <c r="X293" s="29"/>
      <c r="Y293" s="2"/>
      <c r="Z293" s="2"/>
      <c r="AA293" s="2"/>
      <c r="AB293" s="2"/>
      <c r="AC293" s="2"/>
    </row>
    <row r="294" spans="1:29" s="76" customFormat="1" ht="15.6" customHeight="1">
      <c r="A294" s="71"/>
      <c r="B294" s="97"/>
      <c r="C294" s="73"/>
      <c r="D294" s="73"/>
      <c r="E294" s="73"/>
      <c r="F294" s="73"/>
      <c r="G294" s="73"/>
      <c r="H294" s="73"/>
      <c r="I294" s="98" t="s">
        <v>54</v>
      </c>
      <c r="J294" s="99">
        <f ca="1">TODAY()</f>
        <v>46063</v>
      </c>
      <c r="K294" s="100"/>
      <c r="L294" s="101" t="s">
        <v>55</v>
      </c>
      <c r="M294" s="74" t="e">
        <f t="shared" si="49"/>
        <v>#REF!</v>
      </c>
      <c r="N294" s="73"/>
      <c r="O294" s="74"/>
      <c r="P294" s="74"/>
      <c r="Q294" s="74"/>
      <c r="R294" s="74"/>
      <c r="S294" s="74"/>
      <c r="T294" s="74"/>
      <c r="U294" s="74"/>
      <c r="V294" s="73"/>
      <c r="W294" s="1873"/>
      <c r="X294" s="29"/>
      <c r="Y294" s="2"/>
      <c r="Z294" s="2"/>
      <c r="AA294" s="2"/>
      <c r="AB294" s="2"/>
      <c r="AC294" s="2"/>
    </row>
    <row r="295" spans="1:29" s="106" customFormat="1" ht="8.1" customHeight="1">
      <c r="A295" s="102"/>
      <c r="B295" s="103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4"/>
      <c r="Y295" s="105"/>
      <c r="Z295" s="105"/>
      <c r="AA295" s="105"/>
      <c r="AB295" s="105"/>
      <c r="AC295" s="105"/>
    </row>
    <row r="296" spans="1:29" ht="8.1" customHeight="1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5"/>
    </row>
    <row r="297" spans="1:29" s="2" customFormat="1" ht="22.5" customHeight="1">
      <c r="A297" s="6"/>
      <c r="B297" s="7"/>
      <c r="C297" s="1856" t="s">
        <v>4</v>
      </c>
      <c r="D297" s="1857"/>
      <c r="E297" s="1858" t="s">
        <v>5</v>
      </c>
      <c r="F297" s="8" t="s">
        <v>6</v>
      </c>
      <c r="G297" s="8"/>
      <c r="H297" s="8"/>
      <c r="I297" s="9"/>
      <c r="J297" s="1532" t="s">
        <v>7</v>
      </c>
      <c r="K297" s="1532" t="s">
        <v>8</v>
      </c>
      <c r="L297" s="1532" t="s">
        <v>9</v>
      </c>
      <c r="M297" s="1532" t="s">
        <v>9</v>
      </c>
      <c r="N297" s="1532" t="s">
        <v>9</v>
      </c>
      <c r="O297" s="1532"/>
      <c r="P297" s="10" t="s">
        <v>10</v>
      </c>
      <c r="Q297" s="9"/>
      <c r="R297" s="1532"/>
      <c r="S297" s="11" t="s">
        <v>11</v>
      </c>
      <c r="T297" s="12"/>
      <c r="U297" s="12"/>
      <c r="V297" s="13"/>
      <c r="W297" s="1532" t="s">
        <v>12</v>
      </c>
      <c r="X297" s="14"/>
    </row>
    <row r="298" spans="1:29" s="2" customFormat="1" ht="22.5" customHeight="1">
      <c r="A298" s="6"/>
      <c r="B298" s="15" t="s">
        <v>13</v>
      </c>
      <c r="C298" s="1858" t="s">
        <v>14</v>
      </c>
      <c r="D298" s="16" t="s">
        <v>15</v>
      </c>
      <c r="E298" s="1859"/>
      <c r="F298" s="12" t="s">
        <v>16</v>
      </c>
      <c r="G298" s="13"/>
      <c r="H298" s="11" t="s">
        <v>17</v>
      </c>
      <c r="I298" s="13"/>
      <c r="J298" s="1533" t="s">
        <v>18</v>
      </c>
      <c r="K298" s="1533" t="s">
        <v>19</v>
      </c>
      <c r="L298" s="17" t="s">
        <v>20</v>
      </c>
      <c r="M298" s="1533" t="s">
        <v>56</v>
      </c>
      <c r="N298" s="1533" t="s">
        <v>0</v>
      </c>
      <c r="O298" s="1533" t="s">
        <v>22</v>
      </c>
      <c r="P298" s="18" t="s">
        <v>23</v>
      </c>
      <c r="Q298" s="19"/>
      <c r="R298" s="1533" t="s">
        <v>24</v>
      </c>
      <c r="S298" s="1532" t="s">
        <v>25</v>
      </c>
      <c r="T298" s="1532" t="s">
        <v>26</v>
      </c>
      <c r="U298" s="1532" t="s">
        <v>27</v>
      </c>
      <c r="V298" s="1532" t="s">
        <v>28</v>
      </c>
      <c r="W298" s="1533" t="s">
        <v>29</v>
      </c>
      <c r="X298" s="14"/>
    </row>
    <row r="299" spans="1:29" s="2" customFormat="1" ht="22.5" customHeight="1">
      <c r="A299" s="6"/>
      <c r="B299" s="15" t="s">
        <v>30</v>
      </c>
      <c r="C299" s="1859"/>
      <c r="D299" s="16" t="s">
        <v>31</v>
      </c>
      <c r="E299" s="1859"/>
      <c r="F299" s="20" t="s">
        <v>32</v>
      </c>
      <c r="G299" s="1532" t="s">
        <v>33</v>
      </c>
      <c r="H299" s="1532" t="s">
        <v>32</v>
      </c>
      <c r="I299" s="1532" t="s">
        <v>33</v>
      </c>
      <c r="J299" s="1533" t="s">
        <v>34</v>
      </c>
      <c r="K299" s="1533" t="s">
        <v>34</v>
      </c>
      <c r="L299" s="1533" t="s">
        <v>35</v>
      </c>
      <c r="M299" s="1533" t="s">
        <v>35</v>
      </c>
      <c r="N299" s="1533" t="s">
        <v>35</v>
      </c>
      <c r="O299" s="1533" t="s">
        <v>37</v>
      </c>
      <c r="P299" s="18" t="s">
        <v>38</v>
      </c>
      <c r="Q299" s="19"/>
      <c r="R299" s="1533" t="s">
        <v>39</v>
      </c>
      <c r="S299" s="1533"/>
      <c r="T299" s="1533" t="s">
        <v>40</v>
      </c>
      <c r="U299" s="1533" t="s">
        <v>41</v>
      </c>
      <c r="V299" s="1533" t="s">
        <v>41</v>
      </c>
      <c r="W299" s="1533" t="s">
        <v>42</v>
      </c>
      <c r="X299" s="14"/>
    </row>
    <row r="300" spans="1:29" s="2" customFormat="1" ht="18" customHeight="1">
      <c r="A300" s="6"/>
      <c r="B300" s="1791" t="e">
        <f>+B249</f>
        <v>#REF!</v>
      </c>
      <c r="C300" s="21" t="s">
        <v>67</v>
      </c>
      <c r="D300" s="22" t="s">
        <v>67</v>
      </c>
      <c r="E300" s="21" t="str">
        <f>IF(F300="","","Faixa - Segurança LE")</f>
        <v/>
      </c>
      <c r="F300" s="22"/>
      <c r="G300" s="23"/>
      <c r="H300" s="22"/>
      <c r="I300" s="23"/>
      <c r="J300" s="24" t="str">
        <f>IF(F300="","",((H300-F300)*20)+I300-G300)</f>
        <v/>
      </c>
      <c r="K300" s="23" t="s">
        <v>67</v>
      </c>
      <c r="L300" s="24"/>
      <c r="M300" s="24"/>
      <c r="N300" s="25" t="str">
        <f>IF(F300="","",(J300*K300)+M300+L300)</f>
        <v/>
      </c>
      <c r="O300" s="25" t="str">
        <f>IF(F300="","",N300*#REF!/100)</f>
        <v/>
      </c>
      <c r="P300" s="26" t="s">
        <v>67</v>
      </c>
      <c r="Q300" s="27" t="str">
        <f t="shared" ref="Q300:Q334" si="50">IF(F300="","","t/m3")</f>
        <v/>
      </c>
      <c r="R300" s="25" t="str">
        <f t="shared" ref="R300:R334" si="51">IF(F300="","",O300*P300)</f>
        <v/>
      </c>
      <c r="S300" s="28" t="s">
        <v>67</v>
      </c>
      <c r="T300" s="28" t="str">
        <f t="shared" ref="T300:T334" si="52">IF(F300="","",IF(D300&gt;H300,((D300-H300)*0.02),IF(D300&lt;F300,((F300-D300)*0.02),IF(F300="","",0))))</f>
        <v/>
      </c>
      <c r="U300" s="28" t="str">
        <f t="shared" ref="U300:U334" si="53">IF(F300="","",IF(D300&gt;H300,((((H300-F300)*20)+I300-G300)/2000),IF(D300&gt;F300,((((D300-F300)*0.02)^2)+(((H300-D300)*0.02)^2))/(2*((H300-F300)*0.02)),((((H300-F300)*20)+I300-G300)/2000))))</f>
        <v/>
      </c>
      <c r="V300" s="28" t="str">
        <f t="shared" ref="V300:V334" si="54">IF(F300="","",S300+T300+U300)</f>
        <v/>
      </c>
      <c r="W300" s="25" t="str">
        <f t="shared" ref="W300:W334" si="55">IF(F300="","",O300*V300)</f>
        <v/>
      </c>
      <c r="X300" s="29"/>
    </row>
    <row r="301" spans="1:29" s="2" customFormat="1" ht="18" customHeight="1">
      <c r="A301" s="6"/>
      <c r="B301" s="1792"/>
      <c r="C301" s="38" t="s">
        <v>67</v>
      </c>
      <c r="D301" s="39" t="s">
        <v>67</v>
      </c>
      <c r="E301" s="38" t="str">
        <f t="shared" ref="E301:E334" si="56">IF(F301="","","Faixa - Segurança LE")</f>
        <v/>
      </c>
      <c r="F301" s="39"/>
      <c r="G301" s="40"/>
      <c r="H301" s="39"/>
      <c r="I301" s="40"/>
      <c r="J301" s="41" t="str">
        <f t="shared" ref="J301:J334" si="57">IF(F301="","",((H301-F301)*20)+I301-G301)</f>
        <v/>
      </c>
      <c r="K301" s="40" t="s">
        <v>67</v>
      </c>
      <c r="L301" s="41"/>
      <c r="M301" s="41"/>
      <c r="N301" s="42" t="str">
        <f t="shared" ref="N301:N334" si="58">IF(F301="","",(J301*K301)+M301+L301)</f>
        <v/>
      </c>
      <c r="O301" s="42" t="str">
        <f>IF(F301="","",N301*#REF!/100)</f>
        <v/>
      </c>
      <c r="P301" s="44" t="s">
        <v>67</v>
      </c>
      <c r="Q301" s="45" t="str">
        <f t="shared" si="50"/>
        <v/>
      </c>
      <c r="R301" s="42" t="str">
        <f t="shared" si="51"/>
        <v/>
      </c>
      <c r="S301" s="46" t="s">
        <v>67</v>
      </c>
      <c r="T301" s="46" t="str">
        <f t="shared" si="52"/>
        <v/>
      </c>
      <c r="U301" s="46" t="str">
        <f t="shared" si="53"/>
        <v/>
      </c>
      <c r="V301" s="46" t="str">
        <f t="shared" si="54"/>
        <v/>
      </c>
      <c r="W301" s="42" t="str">
        <f t="shared" si="55"/>
        <v/>
      </c>
      <c r="X301" s="29"/>
    </row>
    <row r="302" spans="1:29" s="2" customFormat="1" ht="18" customHeight="1">
      <c r="A302" s="6"/>
      <c r="B302" s="1837" t="e">
        <f>+B251</f>
        <v>#REF!</v>
      </c>
      <c r="C302" s="30" t="s">
        <v>67</v>
      </c>
      <c r="D302" s="31" t="s">
        <v>67</v>
      </c>
      <c r="E302" s="30" t="str">
        <f t="shared" si="56"/>
        <v/>
      </c>
      <c r="F302" s="31"/>
      <c r="G302" s="32"/>
      <c r="H302" s="31"/>
      <c r="I302" s="32"/>
      <c r="J302" s="33" t="str">
        <f t="shared" si="57"/>
        <v/>
      </c>
      <c r="K302" s="32" t="s">
        <v>67</v>
      </c>
      <c r="L302" s="33"/>
      <c r="M302" s="33"/>
      <c r="N302" s="34" t="str">
        <f t="shared" si="58"/>
        <v/>
      </c>
      <c r="O302" s="34" t="str">
        <f>IF(F302="","",N302*#REF!/100)</f>
        <v/>
      </c>
      <c r="P302" s="35" t="s">
        <v>67</v>
      </c>
      <c r="Q302" s="36" t="str">
        <f t="shared" si="50"/>
        <v/>
      </c>
      <c r="R302" s="34" t="str">
        <f t="shared" si="51"/>
        <v/>
      </c>
      <c r="S302" s="37" t="s">
        <v>67</v>
      </c>
      <c r="T302" s="37" t="str">
        <f t="shared" si="52"/>
        <v/>
      </c>
      <c r="U302" s="37" t="str">
        <f t="shared" si="53"/>
        <v/>
      </c>
      <c r="V302" s="37" t="str">
        <f t="shared" si="54"/>
        <v/>
      </c>
      <c r="W302" s="34" t="str">
        <f t="shared" si="55"/>
        <v/>
      </c>
      <c r="X302" s="29"/>
    </row>
    <row r="303" spans="1:29" s="2" customFormat="1" ht="18" customHeight="1">
      <c r="A303" s="6"/>
      <c r="B303" s="1837"/>
      <c r="C303" s="38" t="s">
        <v>67</v>
      </c>
      <c r="D303" s="39" t="s">
        <v>67</v>
      </c>
      <c r="E303" s="38" t="str">
        <f t="shared" si="56"/>
        <v/>
      </c>
      <c r="F303" s="39"/>
      <c r="G303" s="40"/>
      <c r="H303" s="39"/>
      <c r="I303" s="40"/>
      <c r="J303" s="41" t="str">
        <f t="shared" si="57"/>
        <v/>
      </c>
      <c r="K303" s="40" t="s">
        <v>67</v>
      </c>
      <c r="L303" s="41"/>
      <c r="M303" s="41"/>
      <c r="N303" s="42" t="str">
        <f t="shared" si="58"/>
        <v/>
      </c>
      <c r="O303" s="42" t="str">
        <f>IF(F303="","",N303*#REF!/100)</f>
        <v/>
      </c>
      <c r="P303" s="44" t="s">
        <v>67</v>
      </c>
      <c r="Q303" s="45" t="str">
        <f t="shared" si="50"/>
        <v/>
      </c>
      <c r="R303" s="42" t="str">
        <f t="shared" si="51"/>
        <v/>
      </c>
      <c r="S303" s="46" t="s">
        <v>67</v>
      </c>
      <c r="T303" s="46" t="str">
        <f t="shared" si="52"/>
        <v/>
      </c>
      <c r="U303" s="46" t="str">
        <f t="shared" si="53"/>
        <v/>
      </c>
      <c r="V303" s="46" t="str">
        <f t="shared" si="54"/>
        <v/>
      </c>
      <c r="W303" s="42" t="str">
        <f t="shared" si="55"/>
        <v/>
      </c>
      <c r="X303" s="29"/>
    </row>
    <row r="304" spans="1:29" s="2" customFormat="1" ht="18" customHeight="1">
      <c r="A304" s="6"/>
      <c r="B304" s="1837"/>
      <c r="C304" s="30" t="e">
        <v>#REF!</v>
      </c>
      <c r="D304" s="31" t="e">
        <v>#REF!</v>
      </c>
      <c r="E304" s="30" t="e">
        <f t="shared" si="56"/>
        <v>#REF!</v>
      </c>
      <c r="F304" s="31" t="e">
        <v>#REF!</v>
      </c>
      <c r="G304" s="32" t="e">
        <v>#REF!</v>
      </c>
      <c r="H304" s="31" t="e">
        <v>#REF!</v>
      </c>
      <c r="I304" s="32" t="e">
        <v>#REF!</v>
      </c>
      <c r="J304" s="33" t="e">
        <f t="shared" si="57"/>
        <v>#REF!</v>
      </c>
      <c r="K304" s="32" t="e">
        <v>#REF!</v>
      </c>
      <c r="L304" s="33"/>
      <c r="M304" s="33"/>
      <c r="N304" s="34" t="e">
        <f t="shared" si="58"/>
        <v>#REF!</v>
      </c>
      <c r="O304" s="34" t="e">
        <f>IF(F304="","",N304*#REF!/100)</f>
        <v>#REF!</v>
      </c>
      <c r="P304" s="35" t="e">
        <v>#REF!</v>
      </c>
      <c r="Q304" s="36" t="e">
        <f t="shared" si="50"/>
        <v>#REF!</v>
      </c>
      <c r="R304" s="34" t="e">
        <f t="shared" si="51"/>
        <v>#REF!</v>
      </c>
      <c r="S304" s="37" t="e">
        <v>#REF!</v>
      </c>
      <c r="T304" s="37" t="e">
        <f t="shared" si="52"/>
        <v>#REF!</v>
      </c>
      <c r="U304" s="37" t="e">
        <f t="shared" si="53"/>
        <v>#REF!</v>
      </c>
      <c r="V304" s="37" t="e">
        <f t="shared" si="54"/>
        <v>#REF!</v>
      </c>
      <c r="W304" s="34" t="e">
        <f t="shared" si="55"/>
        <v>#REF!</v>
      </c>
      <c r="X304" s="29"/>
    </row>
    <row r="305" spans="1:24" s="2" customFormat="1" ht="18" customHeight="1">
      <c r="A305" s="6"/>
      <c r="B305" s="47"/>
      <c r="C305" s="38" t="e">
        <v>#REF!</v>
      </c>
      <c r="D305" s="39" t="e">
        <v>#REF!</v>
      </c>
      <c r="E305" s="38" t="e">
        <f t="shared" si="56"/>
        <v>#REF!</v>
      </c>
      <c r="F305" s="39" t="e">
        <v>#REF!</v>
      </c>
      <c r="G305" s="40" t="e">
        <v>#REF!</v>
      </c>
      <c r="H305" s="39" t="e">
        <v>#REF!</v>
      </c>
      <c r="I305" s="40" t="e">
        <v>#REF!</v>
      </c>
      <c r="J305" s="41" t="e">
        <f t="shared" si="57"/>
        <v>#REF!</v>
      </c>
      <c r="K305" s="40" t="e">
        <v>#REF!</v>
      </c>
      <c r="L305" s="41"/>
      <c r="M305" s="41"/>
      <c r="N305" s="42" t="e">
        <f t="shared" si="58"/>
        <v>#REF!</v>
      </c>
      <c r="O305" s="42" t="e">
        <f>IF(F305="","",N305*#REF!/100)</f>
        <v>#REF!</v>
      </c>
      <c r="P305" s="44" t="e">
        <v>#REF!</v>
      </c>
      <c r="Q305" s="45" t="e">
        <f t="shared" si="50"/>
        <v>#REF!</v>
      </c>
      <c r="R305" s="42" t="e">
        <f t="shared" si="51"/>
        <v>#REF!</v>
      </c>
      <c r="S305" s="46" t="e">
        <v>#REF!</v>
      </c>
      <c r="T305" s="46" t="e">
        <f t="shared" si="52"/>
        <v>#REF!</v>
      </c>
      <c r="U305" s="46" t="e">
        <f t="shared" si="53"/>
        <v>#REF!</v>
      </c>
      <c r="V305" s="46" t="e">
        <f t="shared" si="54"/>
        <v>#REF!</v>
      </c>
      <c r="W305" s="42" t="e">
        <f t="shared" si="55"/>
        <v>#REF!</v>
      </c>
      <c r="X305" s="29"/>
    </row>
    <row r="306" spans="1:24" s="2" customFormat="1" ht="18" customHeight="1">
      <c r="A306" s="6"/>
      <c r="B306" s="47"/>
      <c r="C306" s="30" t="e">
        <v>#REF!</v>
      </c>
      <c r="D306" s="31" t="e">
        <v>#REF!</v>
      </c>
      <c r="E306" s="30" t="e">
        <f t="shared" si="56"/>
        <v>#REF!</v>
      </c>
      <c r="F306" s="31" t="e">
        <v>#REF!</v>
      </c>
      <c r="G306" s="32" t="e">
        <v>#REF!</v>
      </c>
      <c r="H306" s="31" t="e">
        <v>#REF!</v>
      </c>
      <c r="I306" s="32" t="e">
        <v>#REF!</v>
      </c>
      <c r="J306" s="33" t="e">
        <f t="shared" si="57"/>
        <v>#REF!</v>
      </c>
      <c r="K306" s="32" t="e">
        <v>#REF!</v>
      </c>
      <c r="L306" s="33"/>
      <c r="M306" s="33"/>
      <c r="N306" s="34" t="e">
        <f t="shared" si="58"/>
        <v>#REF!</v>
      </c>
      <c r="O306" s="34" t="e">
        <f>IF(F306="","",N306*#REF!/100)</f>
        <v>#REF!</v>
      </c>
      <c r="P306" s="35" t="e">
        <v>#REF!</v>
      </c>
      <c r="Q306" s="36" t="e">
        <f t="shared" si="50"/>
        <v>#REF!</v>
      </c>
      <c r="R306" s="34" t="e">
        <f t="shared" si="51"/>
        <v>#REF!</v>
      </c>
      <c r="S306" s="37" t="e">
        <v>#REF!</v>
      </c>
      <c r="T306" s="37" t="e">
        <f t="shared" si="52"/>
        <v>#REF!</v>
      </c>
      <c r="U306" s="37" t="e">
        <f t="shared" si="53"/>
        <v>#REF!</v>
      </c>
      <c r="V306" s="37" t="e">
        <f t="shared" si="54"/>
        <v>#REF!</v>
      </c>
      <c r="W306" s="34" t="e">
        <f t="shared" si="55"/>
        <v>#REF!</v>
      </c>
      <c r="X306" s="29"/>
    </row>
    <row r="307" spans="1:24" s="2" customFormat="1" ht="18" customHeight="1">
      <c r="A307" s="6"/>
      <c r="B307" s="48"/>
      <c r="C307" s="38" t="e">
        <v>#REF!</v>
      </c>
      <c r="D307" s="39" t="e">
        <v>#REF!</v>
      </c>
      <c r="E307" s="38" t="e">
        <f t="shared" si="56"/>
        <v>#REF!</v>
      </c>
      <c r="F307" s="39" t="e">
        <v>#REF!</v>
      </c>
      <c r="G307" s="40" t="e">
        <v>#REF!</v>
      </c>
      <c r="H307" s="39" t="e">
        <v>#REF!</v>
      </c>
      <c r="I307" s="40" t="e">
        <v>#REF!</v>
      </c>
      <c r="J307" s="41" t="e">
        <f t="shared" si="57"/>
        <v>#REF!</v>
      </c>
      <c r="K307" s="40" t="e">
        <v>#REF!</v>
      </c>
      <c r="L307" s="41"/>
      <c r="M307" s="41"/>
      <c r="N307" s="42" t="e">
        <f t="shared" si="58"/>
        <v>#REF!</v>
      </c>
      <c r="O307" s="42" t="e">
        <f>IF(F307="","",N307*#REF!/100)</f>
        <v>#REF!</v>
      </c>
      <c r="P307" s="44" t="e">
        <v>#REF!</v>
      </c>
      <c r="Q307" s="45" t="e">
        <f t="shared" si="50"/>
        <v>#REF!</v>
      </c>
      <c r="R307" s="42" t="e">
        <f t="shared" si="51"/>
        <v>#REF!</v>
      </c>
      <c r="S307" s="46" t="e">
        <v>#REF!</v>
      </c>
      <c r="T307" s="46" t="e">
        <f t="shared" si="52"/>
        <v>#REF!</v>
      </c>
      <c r="U307" s="46" t="e">
        <f t="shared" si="53"/>
        <v>#REF!</v>
      </c>
      <c r="V307" s="46" t="e">
        <f t="shared" si="54"/>
        <v>#REF!</v>
      </c>
      <c r="W307" s="42" t="e">
        <f t="shared" si="55"/>
        <v>#REF!</v>
      </c>
      <c r="X307" s="29"/>
    </row>
    <row r="308" spans="1:24" s="2" customFormat="1" ht="18" customHeight="1">
      <c r="A308" s="6"/>
      <c r="B308" s="48"/>
      <c r="C308" s="30" t="e">
        <v>#REF!</v>
      </c>
      <c r="D308" s="31" t="e">
        <v>#REF!</v>
      </c>
      <c r="E308" s="30" t="e">
        <f t="shared" si="56"/>
        <v>#REF!</v>
      </c>
      <c r="F308" s="31" t="e">
        <v>#REF!</v>
      </c>
      <c r="G308" s="32" t="e">
        <v>#REF!</v>
      </c>
      <c r="H308" s="31" t="e">
        <v>#REF!</v>
      </c>
      <c r="I308" s="32" t="e">
        <v>#REF!</v>
      </c>
      <c r="J308" s="33" t="e">
        <f t="shared" si="57"/>
        <v>#REF!</v>
      </c>
      <c r="K308" s="32" t="e">
        <v>#REF!</v>
      </c>
      <c r="L308" s="33"/>
      <c r="M308" s="33"/>
      <c r="N308" s="34" t="e">
        <f t="shared" si="58"/>
        <v>#REF!</v>
      </c>
      <c r="O308" s="34" t="e">
        <f>IF(F308="","",N308*#REF!/100)</f>
        <v>#REF!</v>
      </c>
      <c r="P308" s="35" t="e">
        <v>#REF!</v>
      </c>
      <c r="Q308" s="36" t="e">
        <f t="shared" si="50"/>
        <v>#REF!</v>
      </c>
      <c r="R308" s="34" t="e">
        <f t="shared" si="51"/>
        <v>#REF!</v>
      </c>
      <c r="S308" s="37" t="e">
        <v>#REF!</v>
      </c>
      <c r="T308" s="37" t="e">
        <f t="shared" si="52"/>
        <v>#REF!</v>
      </c>
      <c r="U308" s="37" t="e">
        <f t="shared" si="53"/>
        <v>#REF!</v>
      </c>
      <c r="V308" s="37" t="e">
        <f t="shared" si="54"/>
        <v>#REF!</v>
      </c>
      <c r="W308" s="34" t="e">
        <f t="shared" si="55"/>
        <v>#REF!</v>
      </c>
      <c r="X308" s="29"/>
    </row>
    <row r="309" spans="1:24" s="2" customFormat="1" ht="18" customHeight="1">
      <c r="A309" s="6"/>
      <c r="B309" s="48"/>
      <c r="C309" s="38" t="e">
        <v>#REF!</v>
      </c>
      <c r="D309" s="39" t="e">
        <v>#REF!</v>
      </c>
      <c r="E309" s="38" t="e">
        <f t="shared" si="56"/>
        <v>#REF!</v>
      </c>
      <c r="F309" s="39" t="e">
        <v>#REF!</v>
      </c>
      <c r="G309" s="40" t="e">
        <v>#REF!</v>
      </c>
      <c r="H309" s="39" t="e">
        <v>#REF!</v>
      </c>
      <c r="I309" s="40" t="e">
        <v>#REF!</v>
      </c>
      <c r="J309" s="41" t="e">
        <f t="shared" si="57"/>
        <v>#REF!</v>
      </c>
      <c r="K309" s="40" t="e">
        <v>#REF!</v>
      </c>
      <c r="L309" s="41"/>
      <c r="M309" s="41"/>
      <c r="N309" s="42" t="e">
        <f t="shared" si="58"/>
        <v>#REF!</v>
      </c>
      <c r="O309" s="42" t="e">
        <f>IF(F309="","",N309*#REF!/100)</f>
        <v>#REF!</v>
      </c>
      <c r="P309" s="44" t="e">
        <v>#REF!</v>
      </c>
      <c r="Q309" s="45" t="e">
        <f t="shared" si="50"/>
        <v>#REF!</v>
      </c>
      <c r="R309" s="42" t="e">
        <f t="shared" si="51"/>
        <v>#REF!</v>
      </c>
      <c r="S309" s="46" t="e">
        <v>#REF!</v>
      </c>
      <c r="T309" s="46" t="e">
        <f t="shared" si="52"/>
        <v>#REF!</v>
      </c>
      <c r="U309" s="46" t="e">
        <f t="shared" si="53"/>
        <v>#REF!</v>
      </c>
      <c r="V309" s="46" t="e">
        <f t="shared" si="54"/>
        <v>#REF!</v>
      </c>
      <c r="W309" s="42" t="e">
        <f t="shared" si="55"/>
        <v>#REF!</v>
      </c>
      <c r="X309" s="29"/>
    </row>
    <row r="310" spans="1:24" s="2" customFormat="1" ht="18" customHeight="1">
      <c r="A310" s="6"/>
      <c r="B310" s="48"/>
      <c r="C310" s="30" t="e">
        <v>#REF!</v>
      </c>
      <c r="D310" s="31" t="e">
        <v>#REF!</v>
      </c>
      <c r="E310" s="30" t="e">
        <f t="shared" si="56"/>
        <v>#REF!</v>
      </c>
      <c r="F310" s="31" t="e">
        <v>#REF!</v>
      </c>
      <c r="G310" s="32" t="e">
        <v>#REF!</v>
      </c>
      <c r="H310" s="31" t="e">
        <v>#REF!</v>
      </c>
      <c r="I310" s="32" t="e">
        <v>#REF!</v>
      </c>
      <c r="J310" s="33" t="e">
        <f t="shared" si="57"/>
        <v>#REF!</v>
      </c>
      <c r="K310" s="32" t="e">
        <v>#REF!</v>
      </c>
      <c r="L310" s="33"/>
      <c r="M310" s="33"/>
      <c r="N310" s="34" t="e">
        <f t="shared" si="58"/>
        <v>#REF!</v>
      </c>
      <c r="O310" s="34" t="e">
        <f>IF(F310="","",N310*#REF!/100)</f>
        <v>#REF!</v>
      </c>
      <c r="P310" s="35" t="e">
        <v>#REF!</v>
      </c>
      <c r="Q310" s="36" t="e">
        <f t="shared" si="50"/>
        <v>#REF!</v>
      </c>
      <c r="R310" s="34" t="e">
        <f t="shared" si="51"/>
        <v>#REF!</v>
      </c>
      <c r="S310" s="37" t="e">
        <v>#REF!</v>
      </c>
      <c r="T310" s="37" t="e">
        <f t="shared" si="52"/>
        <v>#REF!</v>
      </c>
      <c r="U310" s="37" t="e">
        <f t="shared" si="53"/>
        <v>#REF!</v>
      </c>
      <c r="V310" s="37" t="e">
        <f t="shared" si="54"/>
        <v>#REF!</v>
      </c>
      <c r="W310" s="34" t="e">
        <f t="shared" si="55"/>
        <v>#REF!</v>
      </c>
      <c r="X310" s="29"/>
    </row>
    <row r="311" spans="1:24" s="2" customFormat="1" ht="18" customHeight="1">
      <c r="A311" s="6"/>
      <c r="B311" s="48"/>
      <c r="C311" s="38" t="e">
        <v>#REF!</v>
      </c>
      <c r="D311" s="39" t="e">
        <v>#REF!</v>
      </c>
      <c r="E311" s="38" t="e">
        <f t="shared" si="56"/>
        <v>#REF!</v>
      </c>
      <c r="F311" s="39" t="e">
        <v>#REF!</v>
      </c>
      <c r="G311" s="40" t="e">
        <v>#REF!</v>
      </c>
      <c r="H311" s="39" t="e">
        <v>#REF!</v>
      </c>
      <c r="I311" s="40" t="e">
        <v>#REF!</v>
      </c>
      <c r="J311" s="41" t="e">
        <f t="shared" si="57"/>
        <v>#REF!</v>
      </c>
      <c r="K311" s="40" t="e">
        <v>#REF!</v>
      </c>
      <c r="L311" s="41"/>
      <c r="M311" s="41"/>
      <c r="N311" s="42" t="e">
        <f t="shared" si="58"/>
        <v>#REF!</v>
      </c>
      <c r="O311" s="42" t="e">
        <f>IF(F311="","",N311*#REF!/100)</f>
        <v>#REF!</v>
      </c>
      <c r="P311" s="44" t="e">
        <v>#REF!</v>
      </c>
      <c r="Q311" s="45" t="e">
        <f t="shared" si="50"/>
        <v>#REF!</v>
      </c>
      <c r="R311" s="42" t="e">
        <f t="shared" si="51"/>
        <v>#REF!</v>
      </c>
      <c r="S311" s="46" t="e">
        <v>#REF!</v>
      </c>
      <c r="T311" s="46" t="e">
        <f t="shared" si="52"/>
        <v>#REF!</v>
      </c>
      <c r="U311" s="46" t="e">
        <f t="shared" si="53"/>
        <v>#REF!</v>
      </c>
      <c r="V311" s="46" t="e">
        <f t="shared" si="54"/>
        <v>#REF!</v>
      </c>
      <c r="W311" s="42" t="e">
        <f t="shared" si="55"/>
        <v>#REF!</v>
      </c>
      <c r="X311" s="29"/>
    </row>
    <row r="312" spans="1:24" s="2" customFormat="1" ht="18" customHeight="1">
      <c r="A312" s="6"/>
      <c r="B312" s="48"/>
      <c r="C312" s="30" t="e">
        <v>#REF!</v>
      </c>
      <c r="D312" s="31" t="e">
        <v>#REF!</v>
      </c>
      <c r="E312" s="30" t="e">
        <f t="shared" si="56"/>
        <v>#REF!</v>
      </c>
      <c r="F312" s="31" t="e">
        <v>#REF!</v>
      </c>
      <c r="G312" s="32" t="e">
        <v>#REF!</v>
      </c>
      <c r="H312" s="31" t="e">
        <v>#REF!</v>
      </c>
      <c r="I312" s="32" t="e">
        <v>#REF!</v>
      </c>
      <c r="J312" s="33" t="e">
        <f t="shared" si="57"/>
        <v>#REF!</v>
      </c>
      <c r="K312" s="32" t="e">
        <v>#REF!</v>
      </c>
      <c r="L312" s="33"/>
      <c r="M312" s="33"/>
      <c r="N312" s="34" t="e">
        <f t="shared" si="58"/>
        <v>#REF!</v>
      </c>
      <c r="O312" s="34" t="e">
        <f>IF(F312="","",N312*#REF!/100)</f>
        <v>#REF!</v>
      </c>
      <c r="P312" s="35" t="e">
        <v>#REF!</v>
      </c>
      <c r="Q312" s="36" t="e">
        <f t="shared" si="50"/>
        <v>#REF!</v>
      </c>
      <c r="R312" s="34" t="e">
        <f t="shared" si="51"/>
        <v>#REF!</v>
      </c>
      <c r="S312" s="37" t="e">
        <v>#REF!</v>
      </c>
      <c r="T312" s="37" t="e">
        <f t="shared" si="52"/>
        <v>#REF!</v>
      </c>
      <c r="U312" s="37" t="e">
        <f t="shared" si="53"/>
        <v>#REF!</v>
      </c>
      <c r="V312" s="37" t="e">
        <f t="shared" si="54"/>
        <v>#REF!</v>
      </c>
      <c r="W312" s="34" t="e">
        <f t="shared" si="55"/>
        <v>#REF!</v>
      </c>
      <c r="X312" s="29"/>
    </row>
    <row r="313" spans="1:24" s="2" customFormat="1" ht="18" customHeight="1">
      <c r="A313" s="6"/>
      <c r="B313" s="48"/>
      <c r="C313" s="38" t="e">
        <v>#REF!</v>
      </c>
      <c r="D313" s="39" t="e">
        <v>#REF!</v>
      </c>
      <c r="E313" s="38" t="e">
        <f t="shared" si="56"/>
        <v>#REF!</v>
      </c>
      <c r="F313" s="39" t="e">
        <v>#REF!</v>
      </c>
      <c r="G313" s="40" t="e">
        <v>#REF!</v>
      </c>
      <c r="H313" s="39" t="e">
        <v>#REF!</v>
      </c>
      <c r="I313" s="40" t="e">
        <v>#REF!</v>
      </c>
      <c r="J313" s="41" t="e">
        <f t="shared" si="57"/>
        <v>#REF!</v>
      </c>
      <c r="K313" s="40" t="e">
        <v>#REF!</v>
      </c>
      <c r="L313" s="41"/>
      <c r="M313" s="41"/>
      <c r="N313" s="42" t="e">
        <f t="shared" si="58"/>
        <v>#REF!</v>
      </c>
      <c r="O313" s="42" t="e">
        <f>IF(F313="","",N313*#REF!/100)</f>
        <v>#REF!</v>
      </c>
      <c r="P313" s="44" t="e">
        <v>#REF!</v>
      </c>
      <c r="Q313" s="45" t="e">
        <f t="shared" si="50"/>
        <v>#REF!</v>
      </c>
      <c r="R313" s="42" t="e">
        <f t="shared" si="51"/>
        <v>#REF!</v>
      </c>
      <c r="S313" s="46" t="e">
        <v>#REF!</v>
      </c>
      <c r="T313" s="46" t="e">
        <f t="shared" si="52"/>
        <v>#REF!</v>
      </c>
      <c r="U313" s="46" t="e">
        <f t="shared" si="53"/>
        <v>#REF!</v>
      </c>
      <c r="V313" s="46" t="e">
        <f t="shared" si="54"/>
        <v>#REF!</v>
      </c>
      <c r="W313" s="42" t="e">
        <f t="shared" si="55"/>
        <v>#REF!</v>
      </c>
      <c r="X313" s="29"/>
    </row>
    <row r="314" spans="1:24" s="2" customFormat="1" ht="18" customHeight="1">
      <c r="A314" s="6"/>
      <c r="B314" s="48"/>
      <c r="C314" s="30" t="e">
        <v>#REF!</v>
      </c>
      <c r="D314" s="31" t="e">
        <v>#REF!</v>
      </c>
      <c r="E314" s="30" t="e">
        <f t="shared" si="56"/>
        <v>#REF!</v>
      </c>
      <c r="F314" s="31" t="e">
        <v>#REF!</v>
      </c>
      <c r="G314" s="32" t="e">
        <v>#REF!</v>
      </c>
      <c r="H314" s="31" t="e">
        <v>#REF!</v>
      </c>
      <c r="I314" s="32" t="e">
        <v>#REF!</v>
      </c>
      <c r="J314" s="33" t="e">
        <f t="shared" si="57"/>
        <v>#REF!</v>
      </c>
      <c r="K314" s="32" t="e">
        <v>#REF!</v>
      </c>
      <c r="L314" s="33"/>
      <c r="M314" s="33"/>
      <c r="N314" s="34" t="e">
        <f t="shared" si="58"/>
        <v>#REF!</v>
      </c>
      <c r="O314" s="34" t="e">
        <f>IF(F314="","",N314*#REF!/100)</f>
        <v>#REF!</v>
      </c>
      <c r="P314" s="35" t="e">
        <v>#REF!</v>
      </c>
      <c r="Q314" s="36" t="e">
        <f t="shared" si="50"/>
        <v>#REF!</v>
      </c>
      <c r="R314" s="34" t="e">
        <f t="shared" si="51"/>
        <v>#REF!</v>
      </c>
      <c r="S314" s="37" t="e">
        <v>#REF!</v>
      </c>
      <c r="T314" s="37" t="e">
        <f t="shared" si="52"/>
        <v>#REF!</v>
      </c>
      <c r="U314" s="37" t="e">
        <f t="shared" si="53"/>
        <v>#REF!</v>
      </c>
      <c r="V314" s="37" t="e">
        <f t="shared" si="54"/>
        <v>#REF!</v>
      </c>
      <c r="W314" s="34" t="e">
        <f t="shared" si="55"/>
        <v>#REF!</v>
      </c>
      <c r="X314" s="29"/>
    </row>
    <row r="315" spans="1:24" s="2" customFormat="1" ht="18" customHeight="1">
      <c r="A315" s="6"/>
      <c r="B315" s="48"/>
      <c r="C315" s="38" t="e">
        <v>#REF!</v>
      </c>
      <c r="D315" s="39" t="e">
        <v>#REF!</v>
      </c>
      <c r="E315" s="38" t="e">
        <f t="shared" si="56"/>
        <v>#REF!</v>
      </c>
      <c r="F315" s="39" t="e">
        <v>#REF!</v>
      </c>
      <c r="G315" s="40" t="e">
        <v>#REF!</v>
      </c>
      <c r="H315" s="39" t="e">
        <v>#REF!</v>
      </c>
      <c r="I315" s="40" t="e">
        <v>#REF!</v>
      </c>
      <c r="J315" s="41" t="e">
        <f t="shared" si="57"/>
        <v>#REF!</v>
      </c>
      <c r="K315" s="40" t="e">
        <v>#REF!</v>
      </c>
      <c r="L315" s="41"/>
      <c r="M315" s="41"/>
      <c r="N315" s="42" t="e">
        <f t="shared" si="58"/>
        <v>#REF!</v>
      </c>
      <c r="O315" s="42" t="e">
        <f>IF(F315="","",N315*#REF!/100)</f>
        <v>#REF!</v>
      </c>
      <c r="P315" s="44" t="e">
        <v>#REF!</v>
      </c>
      <c r="Q315" s="45" t="e">
        <f t="shared" si="50"/>
        <v>#REF!</v>
      </c>
      <c r="R315" s="42" t="e">
        <f t="shared" si="51"/>
        <v>#REF!</v>
      </c>
      <c r="S315" s="46" t="e">
        <v>#REF!</v>
      </c>
      <c r="T315" s="46" t="e">
        <f t="shared" si="52"/>
        <v>#REF!</v>
      </c>
      <c r="U315" s="46" t="e">
        <f t="shared" si="53"/>
        <v>#REF!</v>
      </c>
      <c r="V315" s="46" t="e">
        <f t="shared" si="54"/>
        <v>#REF!</v>
      </c>
      <c r="W315" s="42" t="e">
        <f t="shared" si="55"/>
        <v>#REF!</v>
      </c>
      <c r="X315" s="29"/>
    </row>
    <row r="316" spans="1:24" s="2" customFormat="1" ht="18" customHeight="1">
      <c r="A316" s="6"/>
      <c r="B316" s="48"/>
      <c r="C316" s="30" t="e">
        <v>#REF!</v>
      </c>
      <c r="D316" s="31" t="e">
        <v>#REF!</v>
      </c>
      <c r="E316" s="30" t="e">
        <f t="shared" si="56"/>
        <v>#REF!</v>
      </c>
      <c r="F316" s="31" t="e">
        <v>#REF!</v>
      </c>
      <c r="G316" s="32" t="e">
        <v>#REF!</v>
      </c>
      <c r="H316" s="31" t="e">
        <v>#REF!</v>
      </c>
      <c r="I316" s="32" t="e">
        <v>#REF!</v>
      </c>
      <c r="J316" s="33" t="e">
        <f t="shared" si="57"/>
        <v>#REF!</v>
      </c>
      <c r="K316" s="32" t="e">
        <v>#REF!</v>
      </c>
      <c r="L316" s="33"/>
      <c r="M316" s="33"/>
      <c r="N316" s="34" t="e">
        <f t="shared" si="58"/>
        <v>#REF!</v>
      </c>
      <c r="O316" s="34" t="e">
        <f>IF(F316="","",N316*#REF!/100)</f>
        <v>#REF!</v>
      </c>
      <c r="P316" s="35" t="e">
        <v>#REF!</v>
      </c>
      <c r="Q316" s="36" t="e">
        <f t="shared" si="50"/>
        <v>#REF!</v>
      </c>
      <c r="R316" s="34" t="e">
        <f t="shared" si="51"/>
        <v>#REF!</v>
      </c>
      <c r="S316" s="37" t="e">
        <v>#REF!</v>
      </c>
      <c r="T316" s="37" t="e">
        <f t="shared" si="52"/>
        <v>#REF!</v>
      </c>
      <c r="U316" s="37" t="e">
        <f t="shared" si="53"/>
        <v>#REF!</v>
      </c>
      <c r="V316" s="37" t="e">
        <f t="shared" si="54"/>
        <v>#REF!</v>
      </c>
      <c r="W316" s="34" t="e">
        <f t="shared" si="55"/>
        <v>#REF!</v>
      </c>
      <c r="X316" s="29"/>
    </row>
    <row r="317" spans="1:24" s="2" customFormat="1" ht="18" customHeight="1">
      <c r="A317" s="6"/>
      <c r="B317" s="48"/>
      <c r="C317" s="38" t="e">
        <v>#REF!</v>
      </c>
      <c r="D317" s="39" t="e">
        <v>#REF!</v>
      </c>
      <c r="E317" s="38" t="e">
        <f t="shared" si="56"/>
        <v>#REF!</v>
      </c>
      <c r="F317" s="39" t="e">
        <v>#REF!</v>
      </c>
      <c r="G317" s="40" t="e">
        <v>#REF!</v>
      </c>
      <c r="H317" s="39" t="e">
        <v>#REF!</v>
      </c>
      <c r="I317" s="40" t="e">
        <v>#REF!</v>
      </c>
      <c r="J317" s="41" t="e">
        <f t="shared" si="57"/>
        <v>#REF!</v>
      </c>
      <c r="K317" s="40" t="e">
        <v>#REF!</v>
      </c>
      <c r="L317" s="41"/>
      <c r="M317" s="41"/>
      <c r="N317" s="42" t="e">
        <f t="shared" si="58"/>
        <v>#REF!</v>
      </c>
      <c r="O317" s="42" t="e">
        <f>IF(F317="","",N317*#REF!/100)</f>
        <v>#REF!</v>
      </c>
      <c r="P317" s="44" t="e">
        <v>#REF!</v>
      </c>
      <c r="Q317" s="45" t="e">
        <f t="shared" si="50"/>
        <v>#REF!</v>
      </c>
      <c r="R317" s="42" t="e">
        <f t="shared" si="51"/>
        <v>#REF!</v>
      </c>
      <c r="S317" s="46" t="e">
        <v>#REF!</v>
      </c>
      <c r="T317" s="46" t="e">
        <f t="shared" si="52"/>
        <v>#REF!</v>
      </c>
      <c r="U317" s="46" t="e">
        <f t="shared" si="53"/>
        <v>#REF!</v>
      </c>
      <c r="V317" s="46" t="e">
        <f t="shared" si="54"/>
        <v>#REF!</v>
      </c>
      <c r="W317" s="42" t="e">
        <f t="shared" si="55"/>
        <v>#REF!</v>
      </c>
      <c r="X317" s="29"/>
    </row>
    <row r="318" spans="1:24" s="2" customFormat="1" ht="18" customHeight="1">
      <c r="A318" s="6"/>
      <c r="B318" s="48"/>
      <c r="C318" s="30" t="e">
        <v>#REF!</v>
      </c>
      <c r="D318" s="31" t="e">
        <v>#REF!</v>
      </c>
      <c r="E318" s="30" t="e">
        <f t="shared" si="56"/>
        <v>#REF!</v>
      </c>
      <c r="F318" s="31" t="e">
        <v>#REF!</v>
      </c>
      <c r="G318" s="32" t="e">
        <v>#REF!</v>
      </c>
      <c r="H318" s="31" t="e">
        <v>#REF!</v>
      </c>
      <c r="I318" s="32" t="e">
        <v>#REF!</v>
      </c>
      <c r="J318" s="33" t="e">
        <f t="shared" si="57"/>
        <v>#REF!</v>
      </c>
      <c r="K318" s="32" t="e">
        <v>#REF!</v>
      </c>
      <c r="L318" s="33"/>
      <c r="M318" s="33"/>
      <c r="N318" s="34" t="e">
        <f t="shared" si="58"/>
        <v>#REF!</v>
      </c>
      <c r="O318" s="34" t="e">
        <f>IF(F318="","",N318*#REF!/100)</f>
        <v>#REF!</v>
      </c>
      <c r="P318" s="35" t="e">
        <v>#REF!</v>
      </c>
      <c r="Q318" s="36" t="e">
        <f t="shared" si="50"/>
        <v>#REF!</v>
      </c>
      <c r="R318" s="34" t="e">
        <f t="shared" si="51"/>
        <v>#REF!</v>
      </c>
      <c r="S318" s="37" t="e">
        <v>#REF!</v>
      </c>
      <c r="T318" s="37" t="e">
        <f t="shared" si="52"/>
        <v>#REF!</v>
      </c>
      <c r="U318" s="37" t="e">
        <f t="shared" si="53"/>
        <v>#REF!</v>
      </c>
      <c r="V318" s="37" t="e">
        <f t="shared" si="54"/>
        <v>#REF!</v>
      </c>
      <c r="W318" s="34" t="e">
        <f t="shared" si="55"/>
        <v>#REF!</v>
      </c>
      <c r="X318" s="29"/>
    </row>
    <row r="319" spans="1:24" s="2" customFormat="1" ht="18" customHeight="1">
      <c r="A319" s="6"/>
      <c r="B319" s="48"/>
      <c r="C319" s="38" t="e">
        <v>#REF!</v>
      </c>
      <c r="D319" s="39" t="e">
        <v>#REF!</v>
      </c>
      <c r="E319" s="38" t="e">
        <f t="shared" si="56"/>
        <v>#REF!</v>
      </c>
      <c r="F319" s="39" t="e">
        <v>#REF!</v>
      </c>
      <c r="G319" s="40" t="e">
        <v>#REF!</v>
      </c>
      <c r="H319" s="39" t="e">
        <v>#REF!</v>
      </c>
      <c r="I319" s="40" t="e">
        <v>#REF!</v>
      </c>
      <c r="J319" s="41" t="e">
        <f t="shared" si="57"/>
        <v>#REF!</v>
      </c>
      <c r="K319" s="40" t="e">
        <v>#REF!</v>
      </c>
      <c r="L319" s="41"/>
      <c r="M319" s="41"/>
      <c r="N319" s="42" t="e">
        <f t="shared" si="58"/>
        <v>#REF!</v>
      </c>
      <c r="O319" s="42" t="e">
        <f>IF(F319="","",N319*#REF!/100)</f>
        <v>#REF!</v>
      </c>
      <c r="P319" s="44" t="e">
        <v>#REF!</v>
      </c>
      <c r="Q319" s="45" t="e">
        <f t="shared" si="50"/>
        <v>#REF!</v>
      </c>
      <c r="R319" s="42" t="e">
        <f t="shared" si="51"/>
        <v>#REF!</v>
      </c>
      <c r="S319" s="46" t="e">
        <v>#REF!</v>
      </c>
      <c r="T319" s="46" t="e">
        <f t="shared" si="52"/>
        <v>#REF!</v>
      </c>
      <c r="U319" s="46" t="e">
        <f t="shared" si="53"/>
        <v>#REF!</v>
      </c>
      <c r="V319" s="46" t="e">
        <f t="shared" si="54"/>
        <v>#REF!</v>
      </c>
      <c r="W319" s="42" t="e">
        <f t="shared" si="55"/>
        <v>#REF!</v>
      </c>
      <c r="X319" s="29"/>
    </row>
    <row r="320" spans="1:24" s="2" customFormat="1" ht="18" customHeight="1">
      <c r="A320" s="6"/>
      <c r="B320" s="48"/>
      <c r="C320" s="30" t="e">
        <v>#REF!</v>
      </c>
      <c r="D320" s="31" t="e">
        <v>#REF!</v>
      </c>
      <c r="E320" s="30" t="e">
        <f t="shared" si="56"/>
        <v>#REF!</v>
      </c>
      <c r="F320" s="31" t="e">
        <v>#REF!</v>
      </c>
      <c r="G320" s="32" t="e">
        <v>#REF!</v>
      </c>
      <c r="H320" s="31" t="e">
        <v>#REF!</v>
      </c>
      <c r="I320" s="32" t="e">
        <v>#REF!</v>
      </c>
      <c r="J320" s="33" t="e">
        <f t="shared" si="57"/>
        <v>#REF!</v>
      </c>
      <c r="K320" s="32" t="e">
        <v>#REF!</v>
      </c>
      <c r="L320" s="33"/>
      <c r="M320" s="33"/>
      <c r="N320" s="34" t="e">
        <f t="shared" si="58"/>
        <v>#REF!</v>
      </c>
      <c r="O320" s="34" t="e">
        <f>IF(F320="","",N320*#REF!/100)</f>
        <v>#REF!</v>
      </c>
      <c r="P320" s="35" t="e">
        <v>#REF!</v>
      </c>
      <c r="Q320" s="36" t="e">
        <f t="shared" si="50"/>
        <v>#REF!</v>
      </c>
      <c r="R320" s="34" t="e">
        <f t="shared" si="51"/>
        <v>#REF!</v>
      </c>
      <c r="S320" s="37" t="e">
        <v>#REF!</v>
      </c>
      <c r="T320" s="37" t="e">
        <f t="shared" si="52"/>
        <v>#REF!</v>
      </c>
      <c r="U320" s="37" t="e">
        <f t="shared" si="53"/>
        <v>#REF!</v>
      </c>
      <c r="V320" s="37" t="e">
        <f t="shared" si="54"/>
        <v>#REF!</v>
      </c>
      <c r="W320" s="34" t="e">
        <f t="shared" si="55"/>
        <v>#REF!</v>
      </c>
      <c r="X320" s="29"/>
    </row>
    <row r="321" spans="1:24" s="2" customFormat="1" ht="18" customHeight="1">
      <c r="A321" s="6"/>
      <c r="B321" s="48"/>
      <c r="C321" s="38" t="e">
        <v>#REF!</v>
      </c>
      <c r="D321" s="39" t="e">
        <v>#REF!</v>
      </c>
      <c r="E321" s="38" t="e">
        <f t="shared" si="56"/>
        <v>#REF!</v>
      </c>
      <c r="F321" s="39" t="e">
        <v>#REF!</v>
      </c>
      <c r="G321" s="40" t="e">
        <v>#REF!</v>
      </c>
      <c r="H321" s="39" t="e">
        <v>#REF!</v>
      </c>
      <c r="I321" s="40" t="e">
        <v>#REF!</v>
      </c>
      <c r="J321" s="41" t="e">
        <f t="shared" si="57"/>
        <v>#REF!</v>
      </c>
      <c r="K321" s="40" t="e">
        <v>#REF!</v>
      </c>
      <c r="L321" s="41"/>
      <c r="M321" s="41"/>
      <c r="N321" s="42" t="e">
        <f t="shared" si="58"/>
        <v>#REF!</v>
      </c>
      <c r="O321" s="42" t="e">
        <f>IF(F321="","",N321*#REF!/100)</f>
        <v>#REF!</v>
      </c>
      <c r="P321" s="44" t="e">
        <v>#REF!</v>
      </c>
      <c r="Q321" s="45" t="e">
        <f t="shared" si="50"/>
        <v>#REF!</v>
      </c>
      <c r="R321" s="42" t="e">
        <f t="shared" si="51"/>
        <v>#REF!</v>
      </c>
      <c r="S321" s="46" t="e">
        <v>#REF!</v>
      </c>
      <c r="T321" s="46" t="e">
        <f t="shared" si="52"/>
        <v>#REF!</v>
      </c>
      <c r="U321" s="46" t="e">
        <f t="shared" si="53"/>
        <v>#REF!</v>
      </c>
      <c r="V321" s="46" t="e">
        <f t="shared" si="54"/>
        <v>#REF!</v>
      </c>
      <c r="W321" s="42" t="e">
        <f t="shared" si="55"/>
        <v>#REF!</v>
      </c>
      <c r="X321" s="29"/>
    </row>
    <row r="322" spans="1:24" s="2" customFormat="1" ht="18" customHeight="1">
      <c r="A322" s="6"/>
      <c r="B322" s="48"/>
      <c r="C322" s="30" t="e">
        <v>#REF!</v>
      </c>
      <c r="D322" s="31" t="e">
        <v>#REF!</v>
      </c>
      <c r="E322" s="30" t="e">
        <f t="shared" si="56"/>
        <v>#REF!</v>
      </c>
      <c r="F322" s="31" t="e">
        <v>#REF!</v>
      </c>
      <c r="G322" s="32" t="e">
        <v>#REF!</v>
      </c>
      <c r="H322" s="31" t="e">
        <v>#REF!</v>
      </c>
      <c r="I322" s="32" t="e">
        <v>#REF!</v>
      </c>
      <c r="J322" s="33" t="e">
        <f t="shared" si="57"/>
        <v>#REF!</v>
      </c>
      <c r="K322" s="32" t="e">
        <v>#REF!</v>
      </c>
      <c r="L322" s="33"/>
      <c r="M322" s="33"/>
      <c r="N322" s="34" t="e">
        <f t="shared" si="58"/>
        <v>#REF!</v>
      </c>
      <c r="O322" s="34" t="e">
        <f>IF(F322="","",N322*#REF!/100)</f>
        <v>#REF!</v>
      </c>
      <c r="P322" s="35" t="e">
        <v>#REF!</v>
      </c>
      <c r="Q322" s="36" t="e">
        <f t="shared" si="50"/>
        <v>#REF!</v>
      </c>
      <c r="R322" s="34" t="e">
        <f t="shared" si="51"/>
        <v>#REF!</v>
      </c>
      <c r="S322" s="37" t="e">
        <v>#REF!</v>
      </c>
      <c r="T322" s="37" t="e">
        <f t="shared" si="52"/>
        <v>#REF!</v>
      </c>
      <c r="U322" s="37" t="e">
        <f t="shared" si="53"/>
        <v>#REF!</v>
      </c>
      <c r="V322" s="37" t="e">
        <f t="shared" si="54"/>
        <v>#REF!</v>
      </c>
      <c r="W322" s="34" t="e">
        <f t="shared" si="55"/>
        <v>#REF!</v>
      </c>
      <c r="X322" s="29"/>
    </row>
    <row r="323" spans="1:24" s="2" customFormat="1" ht="18" customHeight="1">
      <c r="A323" s="6"/>
      <c r="B323" s="48"/>
      <c r="C323" s="38" t="e">
        <v>#REF!</v>
      </c>
      <c r="D323" s="39" t="e">
        <v>#REF!</v>
      </c>
      <c r="E323" s="38" t="e">
        <f t="shared" si="56"/>
        <v>#REF!</v>
      </c>
      <c r="F323" s="39" t="e">
        <v>#REF!</v>
      </c>
      <c r="G323" s="40" t="e">
        <v>#REF!</v>
      </c>
      <c r="H323" s="39" t="e">
        <v>#REF!</v>
      </c>
      <c r="I323" s="40" t="e">
        <v>#REF!</v>
      </c>
      <c r="J323" s="41" t="e">
        <f t="shared" si="57"/>
        <v>#REF!</v>
      </c>
      <c r="K323" s="40" t="e">
        <v>#REF!</v>
      </c>
      <c r="L323" s="41"/>
      <c r="M323" s="41"/>
      <c r="N323" s="42" t="e">
        <f t="shared" si="58"/>
        <v>#REF!</v>
      </c>
      <c r="O323" s="42" t="e">
        <f>IF(F323="","",N323*#REF!/100)</f>
        <v>#REF!</v>
      </c>
      <c r="P323" s="44" t="e">
        <v>#REF!</v>
      </c>
      <c r="Q323" s="45" t="e">
        <f t="shared" si="50"/>
        <v>#REF!</v>
      </c>
      <c r="R323" s="42" t="e">
        <f t="shared" si="51"/>
        <v>#REF!</v>
      </c>
      <c r="S323" s="46" t="e">
        <v>#REF!</v>
      </c>
      <c r="T323" s="46" t="e">
        <f t="shared" si="52"/>
        <v>#REF!</v>
      </c>
      <c r="U323" s="46" t="e">
        <f t="shared" si="53"/>
        <v>#REF!</v>
      </c>
      <c r="V323" s="46" t="e">
        <f t="shared" si="54"/>
        <v>#REF!</v>
      </c>
      <c r="W323" s="42" t="e">
        <f t="shared" si="55"/>
        <v>#REF!</v>
      </c>
      <c r="X323" s="29"/>
    </row>
    <row r="324" spans="1:24" s="2" customFormat="1" ht="18" customHeight="1">
      <c r="A324" s="6"/>
      <c r="B324" s="48"/>
      <c r="C324" s="30" t="e">
        <v>#REF!</v>
      </c>
      <c r="D324" s="31" t="e">
        <v>#REF!</v>
      </c>
      <c r="E324" s="30" t="e">
        <f t="shared" si="56"/>
        <v>#REF!</v>
      </c>
      <c r="F324" s="31" t="e">
        <v>#REF!</v>
      </c>
      <c r="G324" s="32" t="e">
        <v>#REF!</v>
      </c>
      <c r="H324" s="31" t="e">
        <v>#REF!</v>
      </c>
      <c r="I324" s="32" t="e">
        <v>#REF!</v>
      </c>
      <c r="J324" s="33" t="e">
        <f t="shared" si="57"/>
        <v>#REF!</v>
      </c>
      <c r="K324" s="32" t="e">
        <v>#REF!</v>
      </c>
      <c r="L324" s="33"/>
      <c r="M324" s="33"/>
      <c r="N324" s="34" t="e">
        <f t="shared" si="58"/>
        <v>#REF!</v>
      </c>
      <c r="O324" s="34" t="e">
        <f>IF(F324="","",N324*#REF!/100)</f>
        <v>#REF!</v>
      </c>
      <c r="P324" s="35" t="e">
        <v>#REF!</v>
      </c>
      <c r="Q324" s="36" t="e">
        <f t="shared" si="50"/>
        <v>#REF!</v>
      </c>
      <c r="R324" s="34" t="e">
        <f t="shared" si="51"/>
        <v>#REF!</v>
      </c>
      <c r="S324" s="37" t="e">
        <v>#REF!</v>
      </c>
      <c r="T324" s="37" t="e">
        <f t="shared" si="52"/>
        <v>#REF!</v>
      </c>
      <c r="U324" s="37" t="e">
        <f t="shared" si="53"/>
        <v>#REF!</v>
      </c>
      <c r="V324" s="37" t="e">
        <f t="shared" si="54"/>
        <v>#REF!</v>
      </c>
      <c r="W324" s="34" t="e">
        <f t="shared" si="55"/>
        <v>#REF!</v>
      </c>
      <c r="X324" s="29"/>
    </row>
    <row r="325" spans="1:24" s="2" customFormat="1" ht="18" customHeight="1">
      <c r="A325" s="6"/>
      <c r="B325" s="48"/>
      <c r="C325" s="38" t="e">
        <v>#REF!</v>
      </c>
      <c r="D325" s="39" t="e">
        <v>#REF!</v>
      </c>
      <c r="E325" s="38" t="e">
        <f t="shared" si="56"/>
        <v>#REF!</v>
      </c>
      <c r="F325" s="39" t="e">
        <v>#REF!</v>
      </c>
      <c r="G325" s="40" t="e">
        <v>#REF!</v>
      </c>
      <c r="H325" s="39" t="e">
        <v>#REF!</v>
      </c>
      <c r="I325" s="40" t="e">
        <v>#REF!</v>
      </c>
      <c r="J325" s="41" t="e">
        <f t="shared" si="57"/>
        <v>#REF!</v>
      </c>
      <c r="K325" s="40" t="e">
        <v>#REF!</v>
      </c>
      <c r="L325" s="41"/>
      <c r="M325" s="41"/>
      <c r="N325" s="42" t="e">
        <f t="shared" si="58"/>
        <v>#REF!</v>
      </c>
      <c r="O325" s="42" t="e">
        <f>IF(F325="","",N325*#REF!/100)</f>
        <v>#REF!</v>
      </c>
      <c r="P325" s="44" t="e">
        <v>#REF!</v>
      </c>
      <c r="Q325" s="45" t="e">
        <f t="shared" si="50"/>
        <v>#REF!</v>
      </c>
      <c r="R325" s="42" t="e">
        <f t="shared" si="51"/>
        <v>#REF!</v>
      </c>
      <c r="S325" s="46" t="e">
        <v>#REF!</v>
      </c>
      <c r="T325" s="46" t="e">
        <f t="shared" si="52"/>
        <v>#REF!</v>
      </c>
      <c r="U325" s="46" t="e">
        <f t="shared" si="53"/>
        <v>#REF!</v>
      </c>
      <c r="V325" s="46" t="e">
        <f t="shared" si="54"/>
        <v>#REF!</v>
      </c>
      <c r="W325" s="42" t="e">
        <f t="shared" si="55"/>
        <v>#REF!</v>
      </c>
      <c r="X325" s="29"/>
    </row>
    <row r="326" spans="1:24" s="2" customFormat="1" ht="18" customHeight="1">
      <c r="A326" s="6"/>
      <c r="B326" s="48"/>
      <c r="C326" s="30" t="e">
        <v>#REF!</v>
      </c>
      <c r="D326" s="31" t="e">
        <v>#REF!</v>
      </c>
      <c r="E326" s="30" t="e">
        <f t="shared" si="56"/>
        <v>#REF!</v>
      </c>
      <c r="F326" s="31" t="e">
        <v>#REF!</v>
      </c>
      <c r="G326" s="32" t="e">
        <v>#REF!</v>
      </c>
      <c r="H326" s="31" t="e">
        <v>#REF!</v>
      </c>
      <c r="I326" s="32" t="e">
        <v>#REF!</v>
      </c>
      <c r="J326" s="33" t="e">
        <f t="shared" si="57"/>
        <v>#REF!</v>
      </c>
      <c r="K326" s="32" t="e">
        <v>#REF!</v>
      </c>
      <c r="L326" s="33"/>
      <c r="M326" s="33"/>
      <c r="N326" s="34" t="e">
        <f t="shared" si="58"/>
        <v>#REF!</v>
      </c>
      <c r="O326" s="34" t="e">
        <f>IF(F326="","",N326*#REF!/100)</f>
        <v>#REF!</v>
      </c>
      <c r="P326" s="35" t="e">
        <v>#REF!</v>
      </c>
      <c r="Q326" s="36" t="e">
        <f t="shared" si="50"/>
        <v>#REF!</v>
      </c>
      <c r="R326" s="34" t="e">
        <f t="shared" si="51"/>
        <v>#REF!</v>
      </c>
      <c r="S326" s="37" t="e">
        <v>#REF!</v>
      </c>
      <c r="T326" s="37" t="e">
        <f t="shared" si="52"/>
        <v>#REF!</v>
      </c>
      <c r="U326" s="37" t="e">
        <f t="shared" si="53"/>
        <v>#REF!</v>
      </c>
      <c r="V326" s="37" t="e">
        <f t="shared" si="54"/>
        <v>#REF!</v>
      </c>
      <c r="W326" s="34" t="e">
        <f t="shared" si="55"/>
        <v>#REF!</v>
      </c>
      <c r="X326" s="29"/>
    </row>
    <row r="327" spans="1:24" s="2" customFormat="1" ht="18" customHeight="1">
      <c r="A327" s="6"/>
      <c r="B327" s="48"/>
      <c r="C327" s="38" t="e">
        <v>#REF!</v>
      </c>
      <c r="D327" s="39" t="e">
        <v>#REF!</v>
      </c>
      <c r="E327" s="38" t="e">
        <f t="shared" si="56"/>
        <v>#REF!</v>
      </c>
      <c r="F327" s="39" t="e">
        <v>#REF!</v>
      </c>
      <c r="G327" s="40" t="e">
        <v>#REF!</v>
      </c>
      <c r="H327" s="39" t="e">
        <v>#REF!</v>
      </c>
      <c r="I327" s="40" t="e">
        <v>#REF!</v>
      </c>
      <c r="J327" s="41" t="e">
        <f t="shared" si="57"/>
        <v>#REF!</v>
      </c>
      <c r="K327" s="40" t="e">
        <v>#REF!</v>
      </c>
      <c r="L327" s="41"/>
      <c r="M327" s="41"/>
      <c r="N327" s="42" t="e">
        <f t="shared" si="58"/>
        <v>#REF!</v>
      </c>
      <c r="O327" s="42" t="e">
        <f>IF(F327="","",N327*#REF!/100)</f>
        <v>#REF!</v>
      </c>
      <c r="P327" s="44" t="e">
        <v>#REF!</v>
      </c>
      <c r="Q327" s="45" t="e">
        <f t="shared" si="50"/>
        <v>#REF!</v>
      </c>
      <c r="R327" s="42" t="e">
        <f t="shared" si="51"/>
        <v>#REF!</v>
      </c>
      <c r="S327" s="46" t="e">
        <v>#REF!</v>
      </c>
      <c r="T327" s="46" t="e">
        <f t="shared" si="52"/>
        <v>#REF!</v>
      </c>
      <c r="U327" s="46" t="e">
        <f t="shared" si="53"/>
        <v>#REF!</v>
      </c>
      <c r="V327" s="46" t="e">
        <f t="shared" si="54"/>
        <v>#REF!</v>
      </c>
      <c r="W327" s="42" t="e">
        <f t="shared" si="55"/>
        <v>#REF!</v>
      </c>
      <c r="X327" s="29"/>
    </row>
    <row r="328" spans="1:24" s="2" customFormat="1" ht="18" customHeight="1">
      <c r="A328" s="6"/>
      <c r="B328" s="48"/>
      <c r="C328" s="30" t="e">
        <v>#REF!</v>
      </c>
      <c r="D328" s="31" t="e">
        <v>#REF!</v>
      </c>
      <c r="E328" s="30" t="e">
        <f t="shared" si="56"/>
        <v>#REF!</v>
      </c>
      <c r="F328" s="31" t="e">
        <v>#REF!</v>
      </c>
      <c r="G328" s="32" t="e">
        <v>#REF!</v>
      </c>
      <c r="H328" s="31" t="e">
        <v>#REF!</v>
      </c>
      <c r="I328" s="32" t="e">
        <v>#REF!</v>
      </c>
      <c r="J328" s="33" t="e">
        <f t="shared" si="57"/>
        <v>#REF!</v>
      </c>
      <c r="K328" s="32" t="e">
        <v>#REF!</v>
      </c>
      <c r="L328" s="33"/>
      <c r="M328" s="33"/>
      <c r="N328" s="34" t="e">
        <f t="shared" si="58"/>
        <v>#REF!</v>
      </c>
      <c r="O328" s="34" t="e">
        <f>IF(F328="","",N328*#REF!/100)</f>
        <v>#REF!</v>
      </c>
      <c r="P328" s="35" t="e">
        <v>#REF!</v>
      </c>
      <c r="Q328" s="36" t="e">
        <f t="shared" si="50"/>
        <v>#REF!</v>
      </c>
      <c r="R328" s="34" t="e">
        <f t="shared" si="51"/>
        <v>#REF!</v>
      </c>
      <c r="S328" s="37" t="e">
        <v>#REF!</v>
      </c>
      <c r="T328" s="37" t="e">
        <f t="shared" si="52"/>
        <v>#REF!</v>
      </c>
      <c r="U328" s="37" t="e">
        <f t="shared" si="53"/>
        <v>#REF!</v>
      </c>
      <c r="V328" s="37" t="e">
        <f t="shared" si="54"/>
        <v>#REF!</v>
      </c>
      <c r="W328" s="34" t="e">
        <f t="shared" si="55"/>
        <v>#REF!</v>
      </c>
      <c r="X328" s="29"/>
    </row>
    <row r="329" spans="1:24" s="2" customFormat="1" ht="18" customHeight="1">
      <c r="A329" s="6"/>
      <c r="B329" s="48"/>
      <c r="C329" s="38" t="e">
        <v>#REF!</v>
      </c>
      <c r="D329" s="39" t="e">
        <v>#REF!</v>
      </c>
      <c r="E329" s="38" t="e">
        <f t="shared" si="56"/>
        <v>#REF!</v>
      </c>
      <c r="F329" s="39" t="e">
        <v>#REF!</v>
      </c>
      <c r="G329" s="40" t="e">
        <v>#REF!</v>
      </c>
      <c r="H329" s="39" t="e">
        <v>#REF!</v>
      </c>
      <c r="I329" s="40" t="e">
        <v>#REF!</v>
      </c>
      <c r="J329" s="41" t="e">
        <f t="shared" si="57"/>
        <v>#REF!</v>
      </c>
      <c r="K329" s="40" t="e">
        <v>#REF!</v>
      </c>
      <c r="L329" s="41"/>
      <c r="M329" s="41"/>
      <c r="N329" s="42" t="e">
        <f t="shared" si="58"/>
        <v>#REF!</v>
      </c>
      <c r="O329" s="42" t="e">
        <f>IF(F329="","",N329*#REF!/100)</f>
        <v>#REF!</v>
      </c>
      <c r="P329" s="44" t="e">
        <v>#REF!</v>
      </c>
      <c r="Q329" s="45" t="e">
        <f t="shared" si="50"/>
        <v>#REF!</v>
      </c>
      <c r="R329" s="42" t="e">
        <f t="shared" si="51"/>
        <v>#REF!</v>
      </c>
      <c r="S329" s="46" t="e">
        <v>#REF!</v>
      </c>
      <c r="T329" s="46" t="e">
        <f t="shared" si="52"/>
        <v>#REF!</v>
      </c>
      <c r="U329" s="46" t="e">
        <f t="shared" si="53"/>
        <v>#REF!</v>
      </c>
      <c r="V329" s="46" t="e">
        <f t="shared" si="54"/>
        <v>#REF!</v>
      </c>
      <c r="W329" s="42" t="e">
        <f t="shared" si="55"/>
        <v>#REF!</v>
      </c>
      <c r="X329" s="29"/>
    </row>
    <row r="330" spans="1:24" s="2" customFormat="1" ht="18" customHeight="1">
      <c r="A330" s="6"/>
      <c r="B330" s="48"/>
      <c r="C330" s="30" t="e">
        <v>#REF!</v>
      </c>
      <c r="D330" s="31" t="e">
        <v>#REF!</v>
      </c>
      <c r="E330" s="30" t="e">
        <f t="shared" si="56"/>
        <v>#REF!</v>
      </c>
      <c r="F330" s="31" t="e">
        <v>#REF!</v>
      </c>
      <c r="G330" s="32" t="e">
        <v>#REF!</v>
      </c>
      <c r="H330" s="31" t="e">
        <v>#REF!</v>
      </c>
      <c r="I330" s="32" t="e">
        <v>#REF!</v>
      </c>
      <c r="J330" s="33" t="e">
        <f t="shared" si="57"/>
        <v>#REF!</v>
      </c>
      <c r="K330" s="32" t="e">
        <v>#REF!</v>
      </c>
      <c r="L330" s="33"/>
      <c r="M330" s="33"/>
      <c r="N330" s="34" t="e">
        <f t="shared" si="58"/>
        <v>#REF!</v>
      </c>
      <c r="O330" s="34" t="e">
        <f>IF(F330="","",N330*#REF!/100)</f>
        <v>#REF!</v>
      </c>
      <c r="P330" s="35" t="e">
        <v>#REF!</v>
      </c>
      <c r="Q330" s="36" t="e">
        <f t="shared" si="50"/>
        <v>#REF!</v>
      </c>
      <c r="R330" s="34" t="e">
        <f t="shared" si="51"/>
        <v>#REF!</v>
      </c>
      <c r="S330" s="37" t="e">
        <v>#REF!</v>
      </c>
      <c r="T330" s="37" t="e">
        <f t="shared" si="52"/>
        <v>#REF!</v>
      </c>
      <c r="U330" s="37" t="e">
        <f t="shared" si="53"/>
        <v>#REF!</v>
      </c>
      <c r="V330" s="37" t="e">
        <f t="shared" si="54"/>
        <v>#REF!</v>
      </c>
      <c r="W330" s="34" t="e">
        <f t="shared" si="55"/>
        <v>#REF!</v>
      </c>
      <c r="X330" s="29"/>
    </row>
    <row r="331" spans="1:24" s="2" customFormat="1" ht="18" customHeight="1">
      <c r="A331" s="6"/>
      <c r="B331" s="48"/>
      <c r="C331" s="38" t="e">
        <v>#REF!</v>
      </c>
      <c r="D331" s="39" t="e">
        <v>#REF!</v>
      </c>
      <c r="E331" s="38" t="e">
        <f t="shared" si="56"/>
        <v>#REF!</v>
      </c>
      <c r="F331" s="39" t="e">
        <v>#REF!</v>
      </c>
      <c r="G331" s="40" t="e">
        <v>#REF!</v>
      </c>
      <c r="H331" s="39" t="e">
        <v>#REF!</v>
      </c>
      <c r="I331" s="40" t="e">
        <v>#REF!</v>
      </c>
      <c r="J331" s="41" t="e">
        <f t="shared" si="57"/>
        <v>#REF!</v>
      </c>
      <c r="K331" s="40" t="e">
        <v>#REF!</v>
      </c>
      <c r="L331" s="41"/>
      <c r="M331" s="41"/>
      <c r="N331" s="42" t="e">
        <f t="shared" si="58"/>
        <v>#REF!</v>
      </c>
      <c r="O331" s="42" t="e">
        <f>IF(F331="","",N331*#REF!/100)</f>
        <v>#REF!</v>
      </c>
      <c r="P331" s="44" t="e">
        <v>#REF!</v>
      </c>
      <c r="Q331" s="45" t="e">
        <f t="shared" si="50"/>
        <v>#REF!</v>
      </c>
      <c r="R331" s="42" t="e">
        <f t="shared" si="51"/>
        <v>#REF!</v>
      </c>
      <c r="S331" s="46" t="e">
        <v>#REF!</v>
      </c>
      <c r="T331" s="46" t="e">
        <f t="shared" si="52"/>
        <v>#REF!</v>
      </c>
      <c r="U331" s="46" t="e">
        <f t="shared" si="53"/>
        <v>#REF!</v>
      </c>
      <c r="V331" s="46" t="e">
        <f t="shared" si="54"/>
        <v>#REF!</v>
      </c>
      <c r="W331" s="42" t="e">
        <f t="shared" si="55"/>
        <v>#REF!</v>
      </c>
      <c r="X331" s="29"/>
    </row>
    <row r="332" spans="1:24" s="2" customFormat="1" ht="18" customHeight="1">
      <c r="A332" s="6"/>
      <c r="B332" s="48"/>
      <c r="C332" s="30" t="e">
        <v>#REF!</v>
      </c>
      <c r="D332" s="31" t="e">
        <v>#REF!</v>
      </c>
      <c r="E332" s="30" t="e">
        <f t="shared" si="56"/>
        <v>#REF!</v>
      </c>
      <c r="F332" s="31" t="e">
        <v>#REF!</v>
      </c>
      <c r="G332" s="32" t="e">
        <v>#REF!</v>
      </c>
      <c r="H332" s="31" t="e">
        <v>#REF!</v>
      </c>
      <c r="I332" s="32" t="e">
        <v>#REF!</v>
      </c>
      <c r="J332" s="33" t="e">
        <f t="shared" si="57"/>
        <v>#REF!</v>
      </c>
      <c r="K332" s="32" t="e">
        <v>#REF!</v>
      </c>
      <c r="L332" s="33"/>
      <c r="M332" s="33"/>
      <c r="N332" s="34" t="e">
        <f t="shared" si="58"/>
        <v>#REF!</v>
      </c>
      <c r="O332" s="34" t="e">
        <f>IF(F332="","",N332*#REF!/100)</f>
        <v>#REF!</v>
      </c>
      <c r="P332" s="35" t="e">
        <v>#REF!</v>
      </c>
      <c r="Q332" s="36" t="e">
        <f t="shared" si="50"/>
        <v>#REF!</v>
      </c>
      <c r="R332" s="34" t="e">
        <f t="shared" si="51"/>
        <v>#REF!</v>
      </c>
      <c r="S332" s="37" t="e">
        <v>#REF!</v>
      </c>
      <c r="T332" s="37" t="e">
        <f t="shared" si="52"/>
        <v>#REF!</v>
      </c>
      <c r="U332" s="37" t="e">
        <f t="shared" si="53"/>
        <v>#REF!</v>
      </c>
      <c r="V332" s="37" t="e">
        <f t="shared" si="54"/>
        <v>#REF!</v>
      </c>
      <c r="W332" s="34" t="e">
        <f t="shared" si="55"/>
        <v>#REF!</v>
      </c>
      <c r="X332" s="29"/>
    </row>
    <row r="333" spans="1:24" s="2" customFormat="1" ht="18" customHeight="1">
      <c r="A333" s="6"/>
      <c r="B333" s="48"/>
      <c r="C333" s="38" t="e">
        <v>#REF!</v>
      </c>
      <c r="D333" s="39" t="e">
        <v>#REF!</v>
      </c>
      <c r="E333" s="38" t="e">
        <f t="shared" si="56"/>
        <v>#REF!</v>
      </c>
      <c r="F333" s="39" t="e">
        <v>#REF!</v>
      </c>
      <c r="G333" s="40" t="e">
        <v>#REF!</v>
      </c>
      <c r="H333" s="39" t="e">
        <v>#REF!</v>
      </c>
      <c r="I333" s="40" t="e">
        <v>#REF!</v>
      </c>
      <c r="J333" s="41" t="e">
        <f t="shared" si="57"/>
        <v>#REF!</v>
      </c>
      <c r="K333" s="40" t="e">
        <v>#REF!</v>
      </c>
      <c r="L333" s="41"/>
      <c r="M333" s="41"/>
      <c r="N333" s="42" t="e">
        <f t="shared" si="58"/>
        <v>#REF!</v>
      </c>
      <c r="O333" s="42" t="e">
        <f>IF(F333="","",N333*#REF!/100)</f>
        <v>#REF!</v>
      </c>
      <c r="P333" s="44" t="e">
        <v>#REF!</v>
      </c>
      <c r="Q333" s="45" t="e">
        <f t="shared" si="50"/>
        <v>#REF!</v>
      </c>
      <c r="R333" s="42" t="e">
        <f t="shared" si="51"/>
        <v>#REF!</v>
      </c>
      <c r="S333" s="46" t="e">
        <v>#REF!</v>
      </c>
      <c r="T333" s="46" t="e">
        <f t="shared" si="52"/>
        <v>#REF!</v>
      </c>
      <c r="U333" s="46" t="e">
        <f t="shared" si="53"/>
        <v>#REF!</v>
      </c>
      <c r="V333" s="46" t="e">
        <f t="shared" si="54"/>
        <v>#REF!</v>
      </c>
      <c r="W333" s="42" t="e">
        <f t="shared" si="55"/>
        <v>#REF!</v>
      </c>
      <c r="X333" s="29"/>
    </row>
    <row r="334" spans="1:24" s="2" customFormat="1" ht="18" customHeight="1">
      <c r="A334" s="6"/>
      <c r="B334" s="48"/>
      <c r="C334" s="49" t="e">
        <v>#REF!</v>
      </c>
      <c r="D334" s="50" t="e">
        <v>#REF!</v>
      </c>
      <c r="E334" s="49" t="e">
        <f t="shared" si="56"/>
        <v>#REF!</v>
      </c>
      <c r="F334" s="50" t="e">
        <v>#REF!</v>
      </c>
      <c r="G334" s="51" t="e">
        <v>#REF!</v>
      </c>
      <c r="H334" s="50" t="e">
        <v>#REF!</v>
      </c>
      <c r="I334" s="51" t="e">
        <v>#REF!</v>
      </c>
      <c r="J334" s="52" t="e">
        <f t="shared" si="57"/>
        <v>#REF!</v>
      </c>
      <c r="K334" s="51" t="e">
        <v>#REF!</v>
      </c>
      <c r="L334" s="33"/>
      <c r="M334" s="33"/>
      <c r="N334" s="53" t="e">
        <f t="shared" si="58"/>
        <v>#REF!</v>
      </c>
      <c r="O334" s="53" t="e">
        <f>IF(F334="","",N334*#REF!/100)</f>
        <v>#REF!</v>
      </c>
      <c r="P334" s="54" t="e">
        <v>#REF!</v>
      </c>
      <c r="Q334" s="55" t="e">
        <f t="shared" si="50"/>
        <v>#REF!</v>
      </c>
      <c r="R334" s="53" t="e">
        <f t="shared" si="51"/>
        <v>#REF!</v>
      </c>
      <c r="S334" s="56" t="e">
        <v>#REF!</v>
      </c>
      <c r="T334" s="56" t="e">
        <f t="shared" si="52"/>
        <v>#REF!</v>
      </c>
      <c r="U334" s="56" t="e">
        <f t="shared" si="53"/>
        <v>#REF!</v>
      </c>
      <c r="V334" s="56" t="e">
        <f t="shared" si="54"/>
        <v>#REF!</v>
      </c>
      <c r="W334" s="53" t="e">
        <f t="shared" si="55"/>
        <v>#REF!</v>
      </c>
      <c r="X334" s="29"/>
    </row>
    <row r="335" spans="1:24" s="2" customFormat="1" ht="18" customHeight="1">
      <c r="A335" s="6"/>
      <c r="B335" s="48"/>
      <c r="C335" s="1793"/>
      <c r="D335" s="1793"/>
      <c r="E335" s="1793"/>
      <c r="F335" s="1793"/>
      <c r="G335" s="1793"/>
      <c r="H335" s="1793"/>
      <c r="I335" s="1794"/>
      <c r="J335" s="57" t="e">
        <f>SUM(J300:J334)</f>
        <v>#REF!</v>
      </c>
      <c r="K335" s="58"/>
      <c r="L335" s="57"/>
      <c r="M335" s="57"/>
      <c r="N335" s="57" t="e">
        <f>SUM(N300:N334)</f>
        <v>#REF!</v>
      </c>
      <c r="O335" s="57" t="e">
        <f>SUM(O300:O334)</f>
        <v>#REF!</v>
      </c>
      <c r="P335" s="1530"/>
      <c r="Q335" s="1531"/>
      <c r="R335" s="60" t="e">
        <f>SUM(R300:R334)</f>
        <v>#REF!</v>
      </c>
      <c r="S335" s="61" t="s">
        <v>44</v>
      </c>
      <c r="T335" s="62"/>
      <c r="U335" s="63" t="e">
        <f>W335/O335</f>
        <v>#REF!</v>
      </c>
      <c r="V335" s="64" t="s">
        <v>45</v>
      </c>
      <c r="W335" s="65" t="e">
        <f>SUM(W300:W334)</f>
        <v>#REF!</v>
      </c>
      <c r="X335" s="29"/>
    </row>
    <row r="336" spans="1:24" s="2" customFormat="1" ht="18" customHeight="1">
      <c r="A336" s="6"/>
      <c r="B336" s="66"/>
      <c r="C336" s="1869">
        <f>+C285</f>
        <v>0</v>
      </c>
      <c r="D336" s="1870"/>
      <c r="E336" s="1870"/>
      <c r="F336" s="1870"/>
      <c r="G336" s="1870"/>
      <c r="H336" s="1870"/>
      <c r="I336" s="1870"/>
      <c r="J336" s="1870"/>
      <c r="K336" s="1870"/>
      <c r="L336" s="1870"/>
      <c r="M336" s="1870"/>
      <c r="N336" s="1870"/>
      <c r="O336" s="67" t="e">
        <f>R336/1.02</f>
        <v>#REF!</v>
      </c>
      <c r="P336" s="68">
        <f>+P285</f>
        <v>0</v>
      </c>
      <c r="Q336" s="69" t="s">
        <v>46</v>
      </c>
      <c r="R336" s="70" t="e">
        <f>+P336*R335/1000</f>
        <v>#REF!</v>
      </c>
      <c r="S336" s="1860"/>
      <c r="T336" s="1861"/>
      <c r="U336" s="1861"/>
      <c r="V336" s="1861"/>
      <c r="W336" s="1862"/>
      <c r="X336" s="29"/>
    </row>
    <row r="337" spans="1:29" s="76" customFormat="1" ht="6" customHeight="1">
      <c r="A337" s="71"/>
      <c r="B337" s="72"/>
      <c r="C337" s="73"/>
      <c r="D337" s="73"/>
      <c r="E337" s="73"/>
      <c r="F337" s="73"/>
      <c r="G337" s="73"/>
      <c r="H337" s="73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5"/>
      <c r="X337" s="29"/>
      <c r="Y337" s="2"/>
      <c r="Z337" s="2"/>
      <c r="AA337" s="2"/>
      <c r="AB337" s="2"/>
      <c r="AC337" s="2"/>
    </row>
    <row r="338" spans="1:29" s="76" customFormat="1" ht="7.5" customHeight="1">
      <c r="A338" s="71"/>
      <c r="B338" s="1863" t="s">
        <v>62</v>
      </c>
      <c r="C338" s="1864"/>
      <c r="D338" s="1864"/>
      <c r="E338" s="1864"/>
      <c r="F338" s="1864"/>
      <c r="G338" s="1864"/>
      <c r="H338" s="1864"/>
      <c r="I338" s="1864"/>
      <c r="J338" s="1864"/>
      <c r="K338" s="1864"/>
      <c r="L338" s="1864"/>
      <c r="M338" s="1864"/>
      <c r="N338" s="1864"/>
      <c r="O338" s="1864"/>
      <c r="P338" s="1864"/>
      <c r="Q338" s="1864"/>
      <c r="R338" s="1864"/>
      <c r="S338" s="1864"/>
      <c r="T338" s="1864"/>
      <c r="U338" s="1864"/>
      <c r="V338" s="1864"/>
      <c r="W338" s="1865"/>
      <c r="X338" s="29"/>
      <c r="Y338" s="2"/>
      <c r="Z338" s="2"/>
      <c r="AA338" s="2"/>
      <c r="AB338" s="2"/>
      <c r="AC338" s="2"/>
    </row>
    <row r="339" spans="1:29" s="76" customFormat="1" ht="7.5" customHeight="1">
      <c r="A339" s="71"/>
      <c r="B339" s="1866"/>
      <c r="C339" s="1867"/>
      <c r="D339" s="1867"/>
      <c r="E339" s="1867"/>
      <c r="F339" s="1867"/>
      <c r="G339" s="1867"/>
      <c r="H339" s="1867"/>
      <c r="I339" s="1867"/>
      <c r="J339" s="1867"/>
      <c r="K339" s="1867"/>
      <c r="L339" s="1867"/>
      <c r="M339" s="1867"/>
      <c r="N339" s="1867"/>
      <c r="O339" s="1867"/>
      <c r="P339" s="1867"/>
      <c r="Q339" s="1867"/>
      <c r="R339" s="1867"/>
      <c r="S339" s="1867"/>
      <c r="T339" s="1867"/>
      <c r="U339" s="1867"/>
      <c r="V339" s="1867"/>
      <c r="W339" s="1868"/>
      <c r="X339" s="29"/>
      <c r="Y339" s="2"/>
      <c r="Z339" s="2"/>
      <c r="AA339" s="2"/>
      <c r="AB339" s="2"/>
      <c r="AC339" s="2"/>
    </row>
    <row r="340" spans="1:29" s="76" customFormat="1" ht="5.0999999999999996" customHeight="1">
      <c r="A340" s="71"/>
      <c r="B340" s="72"/>
      <c r="C340" s="72"/>
      <c r="D340" s="72"/>
      <c r="E340" s="72"/>
      <c r="F340" s="72"/>
      <c r="G340" s="72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8"/>
      <c r="W340" s="78"/>
      <c r="X340" s="29"/>
      <c r="Y340" s="2"/>
      <c r="Z340" s="2"/>
      <c r="AA340" s="2"/>
      <c r="AB340" s="2"/>
      <c r="AC340" s="2"/>
    </row>
    <row r="341" spans="1:29" s="76" customFormat="1" ht="15.6" customHeight="1">
      <c r="A341" s="71"/>
      <c r="B341" s="79" t="s">
        <v>47</v>
      </c>
      <c r="C341" s="80"/>
      <c r="D341" s="80"/>
      <c r="E341" s="81"/>
      <c r="F341" s="82"/>
      <c r="G341" s="82"/>
      <c r="H341" s="83"/>
      <c r="I341" s="84"/>
      <c r="J341" s="84"/>
      <c r="K341" s="85"/>
      <c r="L341" s="86" t="s">
        <v>48</v>
      </c>
      <c r="M341" s="83" t="e">
        <f>+M290</f>
        <v>#REF!</v>
      </c>
      <c r="N341" s="82"/>
      <c r="O341" s="84"/>
      <c r="P341" s="83"/>
      <c r="Q341" s="84"/>
      <c r="R341" s="84"/>
      <c r="S341" s="83"/>
      <c r="T341" s="84"/>
      <c r="U341" s="84"/>
      <c r="V341" s="82"/>
      <c r="W341" s="87" t="s">
        <v>49</v>
      </c>
      <c r="X341" s="29"/>
      <c r="Y341" s="2"/>
      <c r="Z341" s="2"/>
      <c r="AA341" s="2"/>
      <c r="AB341" s="2"/>
      <c r="AC341" s="2"/>
    </row>
    <row r="342" spans="1:29" s="76" customFormat="1" ht="15.6" customHeight="1">
      <c r="A342" s="71"/>
      <c r="B342" s="88"/>
      <c r="C342" s="89"/>
      <c r="D342" s="89"/>
      <c r="E342" s="96"/>
      <c r="F342" s="90"/>
      <c r="G342" s="90"/>
      <c r="H342" s="91"/>
      <c r="I342" s="92"/>
      <c r="J342" s="92"/>
      <c r="K342" s="93"/>
      <c r="L342" s="94" t="s">
        <v>50</v>
      </c>
      <c r="M342" s="91" t="e">
        <f t="shared" ref="M342:M345" si="59">+M291</f>
        <v>#REF!</v>
      </c>
      <c r="N342" s="90"/>
      <c r="O342" s="92"/>
      <c r="P342" s="91"/>
      <c r="Q342" s="92"/>
      <c r="R342" s="92"/>
      <c r="S342" s="91"/>
      <c r="T342" s="92"/>
      <c r="U342" s="92"/>
      <c r="V342" s="90"/>
      <c r="W342" s="95"/>
      <c r="X342" s="29"/>
      <c r="Y342" s="2"/>
      <c r="Z342" s="2"/>
      <c r="AA342" s="2"/>
      <c r="AB342" s="2"/>
      <c r="AC342" s="2"/>
    </row>
    <row r="343" spans="1:29" s="76" customFormat="1" ht="15.6" customHeight="1">
      <c r="A343" s="71"/>
      <c r="B343" s="88"/>
      <c r="C343" s="89"/>
      <c r="D343" s="89"/>
      <c r="E343" s="96"/>
      <c r="F343" s="90"/>
      <c r="G343" s="90"/>
      <c r="H343" s="91"/>
      <c r="I343" s="92"/>
      <c r="J343" s="92"/>
      <c r="K343" s="93"/>
      <c r="L343" s="94" t="s">
        <v>51</v>
      </c>
      <c r="M343" s="91" t="e">
        <f t="shared" si="59"/>
        <v>#REF!</v>
      </c>
      <c r="N343" s="90"/>
      <c r="O343" s="92"/>
      <c r="P343" s="91"/>
      <c r="Q343" s="92"/>
      <c r="R343" s="92"/>
      <c r="S343" s="91"/>
      <c r="T343" s="92"/>
      <c r="U343" s="92"/>
      <c r="V343" s="90"/>
      <c r="W343" s="1871" t="s">
        <v>52</v>
      </c>
      <c r="X343" s="29"/>
      <c r="Y343" s="2"/>
      <c r="Z343" s="2"/>
      <c r="AA343" s="2"/>
      <c r="AB343" s="2"/>
      <c r="AC343" s="2"/>
    </row>
    <row r="344" spans="1:29" s="76" customFormat="1" ht="15.6" customHeight="1">
      <c r="A344" s="71"/>
      <c r="B344" s="88"/>
      <c r="C344" s="89"/>
      <c r="D344" s="89"/>
      <c r="E344" s="96"/>
      <c r="F344" s="90"/>
      <c r="G344" s="90"/>
      <c r="H344" s="91"/>
      <c r="I344" s="92"/>
      <c r="J344" s="92"/>
      <c r="K344" s="93"/>
      <c r="L344" s="94" t="s">
        <v>53</v>
      </c>
      <c r="M344" s="91" t="e">
        <f t="shared" si="59"/>
        <v>#REF!</v>
      </c>
      <c r="N344" s="90"/>
      <c r="O344" s="92"/>
      <c r="P344" s="91"/>
      <c r="Q344" s="92"/>
      <c r="R344" s="92"/>
      <c r="S344" s="91"/>
      <c r="T344" s="92"/>
      <c r="U344" s="92"/>
      <c r="V344" s="90"/>
      <c r="W344" s="1872"/>
      <c r="X344" s="29"/>
      <c r="Y344" s="2"/>
      <c r="Z344" s="2"/>
      <c r="AA344" s="2"/>
      <c r="AB344" s="2"/>
      <c r="AC344" s="2"/>
    </row>
    <row r="345" spans="1:29" s="76" customFormat="1" ht="15.6" customHeight="1">
      <c r="A345" s="71"/>
      <c r="B345" s="97"/>
      <c r="C345" s="73"/>
      <c r="D345" s="73"/>
      <c r="E345" s="73"/>
      <c r="F345" s="73"/>
      <c r="G345" s="73"/>
      <c r="H345" s="73"/>
      <c r="I345" s="98" t="s">
        <v>54</v>
      </c>
      <c r="J345" s="99">
        <f ca="1">TODAY()</f>
        <v>46063</v>
      </c>
      <c r="K345" s="100"/>
      <c r="L345" s="101" t="s">
        <v>55</v>
      </c>
      <c r="M345" s="74" t="e">
        <f t="shared" si="59"/>
        <v>#REF!</v>
      </c>
      <c r="N345" s="73"/>
      <c r="O345" s="74"/>
      <c r="P345" s="74"/>
      <c r="Q345" s="74"/>
      <c r="R345" s="74"/>
      <c r="S345" s="74"/>
      <c r="T345" s="74"/>
      <c r="U345" s="74"/>
      <c r="V345" s="73"/>
      <c r="W345" s="1873"/>
      <c r="X345" s="29"/>
      <c r="Y345" s="2"/>
      <c r="Z345" s="2"/>
      <c r="AA345" s="2"/>
      <c r="AB345" s="2"/>
      <c r="AC345" s="2"/>
    </row>
    <row r="346" spans="1:29" s="106" customFormat="1" ht="8.1" customHeight="1">
      <c r="A346" s="102"/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4"/>
      <c r="Y346" s="105"/>
      <c r="Z346" s="105"/>
      <c r="AA346" s="105"/>
      <c r="AB346" s="105"/>
      <c r="AC346" s="105"/>
    </row>
    <row r="347" spans="1:29">
      <c r="X347" s="105"/>
      <c r="Y347" s="2"/>
      <c r="Z347" s="2"/>
      <c r="AA347" s="2"/>
      <c r="AB347" s="2"/>
      <c r="AC347" s="2"/>
    </row>
    <row r="348" spans="1:29">
      <c r="X348" s="105"/>
      <c r="Y348" s="2"/>
      <c r="Z348" s="2"/>
      <c r="AA348" s="2"/>
      <c r="AB348" s="2"/>
      <c r="AC348" s="2"/>
    </row>
    <row r="349" spans="1:29">
      <c r="N349" s="108" t="s">
        <v>63</v>
      </c>
      <c r="O349" s="108" t="s">
        <v>22</v>
      </c>
      <c r="R349" s="108" t="s">
        <v>24</v>
      </c>
      <c r="W349" s="109" t="s">
        <v>12</v>
      </c>
      <c r="X349" s="105"/>
      <c r="Y349" s="2"/>
      <c r="Z349" s="2"/>
      <c r="AA349" s="2"/>
      <c r="AB349" s="2"/>
      <c r="AC349" s="2"/>
    </row>
    <row r="350" spans="1:29">
      <c r="X350" s="105"/>
      <c r="Y350" s="2"/>
      <c r="Z350" s="2"/>
      <c r="AA350" s="2"/>
      <c r="AB350" s="2"/>
      <c r="AC350" s="2"/>
    </row>
    <row r="351" spans="1:29">
      <c r="N351" s="57" t="e">
        <f>+N335+N284+N233+N182+N131+N80+N34</f>
        <v>#REF!</v>
      </c>
      <c r="O351" s="57" t="e">
        <f>+O335+O284+O233+O182+O131+O80+O34</f>
        <v>#REF!</v>
      </c>
      <c r="R351" s="57" t="e">
        <f>+R335+R284+R233+R182+R131+R80+R34</f>
        <v>#REF!</v>
      </c>
      <c r="S351" s="1874" t="s">
        <v>44</v>
      </c>
      <c r="T351" s="1875"/>
      <c r="U351" s="110" t="e">
        <f>W351/O351</f>
        <v>#REF!</v>
      </c>
      <c r="V351" s="111"/>
      <c r="W351" s="112" t="e">
        <f>+W335+W284+W233+W182+W131+W80+W34</f>
        <v>#REF!</v>
      </c>
      <c r="X351" s="105"/>
      <c r="Y351" s="2"/>
      <c r="Z351" s="2"/>
      <c r="AA351" s="2"/>
      <c r="AB351" s="2"/>
      <c r="AC351" s="2"/>
    </row>
    <row r="352" spans="1:29">
      <c r="X352" s="105"/>
      <c r="Y352" s="2"/>
      <c r="Z352" s="2"/>
      <c r="AA352" s="2"/>
      <c r="AB352" s="2"/>
      <c r="AC352" s="2"/>
    </row>
    <row r="353" spans="24:29">
      <c r="X353" s="105"/>
      <c r="Y353" s="2"/>
      <c r="Z353" s="2"/>
      <c r="AA353" s="2"/>
      <c r="AB353" s="2"/>
      <c r="AC353" s="2"/>
    </row>
  </sheetData>
  <mergeCells count="73">
    <mergeCell ref="W343:W345"/>
    <mergeCell ref="S351:T351"/>
    <mergeCell ref="B300:B301"/>
    <mergeCell ref="B302:B304"/>
    <mergeCell ref="C335:I335"/>
    <mergeCell ref="C336:N336"/>
    <mergeCell ref="S336:W336"/>
    <mergeCell ref="B338:W339"/>
    <mergeCell ref="C297:D297"/>
    <mergeCell ref="E297:E299"/>
    <mergeCell ref="C298:C299"/>
    <mergeCell ref="W241:W243"/>
    <mergeCell ref="C246:D246"/>
    <mergeCell ref="E246:E248"/>
    <mergeCell ref="C247:C248"/>
    <mergeCell ref="C284:I284"/>
    <mergeCell ref="C285:N285"/>
    <mergeCell ref="S285:W285"/>
    <mergeCell ref="B287:W288"/>
    <mergeCell ref="W292:W294"/>
    <mergeCell ref="B249:B250"/>
    <mergeCell ref="B251:B253"/>
    <mergeCell ref="B236:W237"/>
    <mergeCell ref="C182:I182"/>
    <mergeCell ref="C183:N183"/>
    <mergeCell ref="S183:W183"/>
    <mergeCell ref="B185:W186"/>
    <mergeCell ref="W190:W192"/>
    <mergeCell ref="C195:D195"/>
    <mergeCell ref="E195:E197"/>
    <mergeCell ref="C196:C197"/>
    <mergeCell ref="B198:B199"/>
    <mergeCell ref="B200:B202"/>
    <mergeCell ref="C233:I233"/>
    <mergeCell ref="C234:N234"/>
    <mergeCell ref="S234:W234"/>
    <mergeCell ref="W139:W141"/>
    <mergeCell ref="C144:D144"/>
    <mergeCell ref="E144:E146"/>
    <mergeCell ref="C145:C146"/>
    <mergeCell ref="B147:B148"/>
    <mergeCell ref="B149:B151"/>
    <mergeCell ref="B96:B97"/>
    <mergeCell ref="B98:B100"/>
    <mergeCell ref="C131:I131"/>
    <mergeCell ref="C132:N132"/>
    <mergeCell ref="S132:W132"/>
    <mergeCell ref="B134:W135"/>
    <mergeCell ref="C81:N81"/>
    <mergeCell ref="S81:W81"/>
    <mergeCell ref="B83:W84"/>
    <mergeCell ref="W88:W90"/>
    <mergeCell ref="C93:D93"/>
    <mergeCell ref="E93:E95"/>
    <mergeCell ref="C94:C95"/>
    <mergeCell ref="C80:I80"/>
    <mergeCell ref="B5:B6"/>
    <mergeCell ref="B7:B9"/>
    <mergeCell ref="C34:I34"/>
    <mergeCell ref="C35:N35"/>
    <mergeCell ref="C42:D42"/>
    <mergeCell ref="E42:E44"/>
    <mergeCell ref="C43:C44"/>
    <mergeCell ref="B45:B46"/>
    <mergeCell ref="B47:B49"/>
    <mergeCell ref="S35:W35"/>
    <mergeCell ref="B37:W38"/>
    <mergeCell ref="C2:D2"/>
    <mergeCell ref="E2:E4"/>
    <mergeCell ref="K2:K3"/>
    <mergeCell ref="L2:L3"/>
    <mergeCell ref="M2:M3"/>
    <mergeCell ref="C3:C4"/>
  </mergeCells>
  <conditionalFormatting sqref="L5:M5 L7:M7 L9:M9 L11:M11 L13:M13 L15:M15 L17:M17 L19:M19 L21:M21 L23:M23 L25:M25 L27:M27 L29:M29 L31:M31 L33:M33">
    <cfRule type="cellIs" dxfId="187" priority="36" operator="equal">
      <formula>0</formula>
    </cfRule>
  </conditionalFormatting>
  <conditionalFormatting sqref="L6:M6 L8:M8 L10:M10 L12:M12 L14:M14 L16:M16 L18:M18 L20:M20 L22:M22 L24:M24 L26:M26 L28:M28 L30:M30 L32:M32">
    <cfRule type="cellIs" dxfId="186" priority="35" operator="equal">
      <formula>0</formula>
    </cfRule>
  </conditionalFormatting>
  <conditionalFormatting sqref="L45:M45 L47:M47 L49:M49 L79:M79">
    <cfRule type="cellIs" dxfId="185" priority="34" operator="equal">
      <formula>0</formula>
    </cfRule>
  </conditionalFormatting>
  <conditionalFormatting sqref="L46:M46 L48:M48 L50:M50">
    <cfRule type="cellIs" dxfId="184" priority="33" operator="equal">
      <formula>0</formula>
    </cfRule>
  </conditionalFormatting>
  <conditionalFormatting sqref="L51:M51 L53:M53 L55:M55 L57:M57 L59:M59 L61:M61 L63:M63 L65:M65 L67:M67 L69:M69 L71:M71 L73:M73 L75:M75 L77:M77">
    <cfRule type="cellIs" dxfId="183" priority="32" operator="equal">
      <formula>0</formula>
    </cfRule>
  </conditionalFormatting>
  <conditionalFormatting sqref="L52:M52 L54:M54 L56:M56 L58:M58 L60:M60 L62:M62 L64:M64 L66:M66 L68:M68 L70:M70 L72:M72 L74:M74 L76:M76 L78:M78">
    <cfRule type="cellIs" dxfId="182" priority="31" operator="equal">
      <formula>0</formula>
    </cfRule>
  </conditionalFormatting>
  <conditionalFormatting sqref="L96:M96">
    <cfRule type="cellIs" dxfId="181" priority="26" operator="equal">
      <formula>0</formula>
    </cfRule>
  </conditionalFormatting>
  <conditionalFormatting sqref="L97:M97">
    <cfRule type="cellIs" dxfId="180" priority="25" operator="equal">
      <formula>0</formula>
    </cfRule>
  </conditionalFormatting>
  <conditionalFormatting sqref="L98:M98 L100:M100 L130:M130">
    <cfRule type="cellIs" dxfId="179" priority="30" operator="equal">
      <formula>0</formula>
    </cfRule>
  </conditionalFormatting>
  <conditionalFormatting sqref="L99:M99 L101:M101">
    <cfRule type="cellIs" dxfId="178" priority="29" operator="equal">
      <formula>0</formula>
    </cfRule>
  </conditionalFormatting>
  <conditionalFormatting sqref="L102:M102 L104:M104 L106:M106 L108:M108 L110:M110 L112:M112 L114:M114 L116:M116 L118:M118 L120:M120 L122:M122 L124:M124 L126:M126 L128:M128">
    <cfRule type="cellIs" dxfId="177" priority="28" operator="equal">
      <formula>0</formula>
    </cfRule>
  </conditionalFormatting>
  <conditionalFormatting sqref="L103:M103 L105:M105 L107:M107 L109:M109 L111:M111 L113:M113 L115:M115 L117:M117 L119:M119 L121:M121 L123:M123 L125:M125 L127:M127 L129:M129">
    <cfRule type="cellIs" dxfId="176" priority="27" operator="equal">
      <formula>0</formula>
    </cfRule>
  </conditionalFormatting>
  <conditionalFormatting sqref="L147:M147">
    <cfRule type="cellIs" dxfId="175" priority="20" operator="equal">
      <formula>0</formula>
    </cfRule>
  </conditionalFormatting>
  <conditionalFormatting sqref="L148:M148">
    <cfRule type="cellIs" dxfId="174" priority="19" operator="equal">
      <formula>0</formula>
    </cfRule>
  </conditionalFormatting>
  <conditionalFormatting sqref="L149:M149 L151:M151 L181:M181">
    <cfRule type="cellIs" dxfId="173" priority="24" operator="equal">
      <formula>0</formula>
    </cfRule>
  </conditionalFormatting>
  <conditionalFormatting sqref="L150:M150 L152:M152">
    <cfRule type="cellIs" dxfId="172" priority="23" operator="equal">
      <formula>0</formula>
    </cfRule>
  </conditionalFormatting>
  <conditionalFormatting sqref="L153:M153 L155:M155 L157:M157 L159:M159 L161:M161 L163:M163 L165:M165 L167:M167 L169:M169 L171:M171 L173:M173 L175:M175 L177:M177 L179:M179">
    <cfRule type="cellIs" dxfId="171" priority="22" operator="equal">
      <formula>0</formula>
    </cfRule>
  </conditionalFormatting>
  <conditionalFormatting sqref="L154:M154 L156:M156 L158:M158 L160:M160 L162:M162 L164:M164 L166:M166 L168:M168 L170:M170 L172:M172 L174:M174 L176:M176 L178:M178 L180:M180">
    <cfRule type="cellIs" dxfId="170" priority="21" operator="equal">
      <formula>0</formula>
    </cfRule>
  </conditionalFormatting>
  <conditionalFormatting sqref="L198:M198">
    <cfRule type="cellIs" dxfId="169" priority="14" operator="equal">
      <formula>0</formula>
    </cfRule>
  </conditionalFormatting>
  <conditionalFormatting sqref="L199:M199">
    <cfRule type="cellIs" dxfId="168" priority="13" operator="equal">
      <formula>0</formula>
    </cfRule>
  </conditionalFormatting>
  <conditionalFormatting sqref="L200:M200 L202:M202 L232:M232">
    <cfRule type="cellIs" dxfId="167" priority="18" operator="equal">
      <formula>0</formula>
    </cfRule>
  </conditionalFormatting>
  <conditionalFormatting sqref="L201:M201 L203:M203">
    <cfRule type="cellIs" dxfId="166" priority="17" operator="equal">
      <formula>0</formula>
    </cfRule>
  </conditionalFormatting>
  <conditionalFormatting sqref="L204:M204 L206:M206 L208:M208 L210:M210 L212:M212 L214:M214 L216:M216 L218:M218 L220:M220 L222:M222 L224:M224 L226:M226 L228:M228 L230:M230">
    <cfRule type="cellIs" dxfId="165" priority="16" operator="equal">
      <formula>0</formula>
    </cfRule>
  </conditionalFormatting>
  <conditionalFormatting sqref="L205:M205 L207:M207 L209:M209 L211:M211 L213:M213 L215:M215 L217:M217 L219:M219 L221:M221 L223:M223 L225:M225 L227:M227 L229:M229 L231:M231">
    <cfRule type="cellIs" dxfId="164" priority="15" operator="equal">
      <formula>0</formula>
    </cfRule>
  </conditionalFormatting>
  <conditionalFormatting sqref="L249:M249">
    <cfRule type="cellIs" dxfId="163" priority="8" operator="equal">
      <formula>0</formula>
    </cfRule>
  </conditionalFormatting>
  <conditionalFormatting sqref="L250:M250">
    <cfRule type="cellIs" dxfId="162" priority="7" operator="equal">
      <formula>0</formula>
    </cfRule>
  </conditionalFormatting>
  <conditionalFormatting sqref="L251:M251 L253:M253 L283:M283">
    <cfRule type="cellIs" dxfId="161" priority="12" operator="equal">
      <formula>0</formula>
    </cfRule>
  </conditionalFormatting>
  <conditionalFormatting sqref="L252:M252 L254:M254">
    <cfRule type="cellIs" dxfId="160" priority="11" operator="equal">
      <formula>0</formula>
    </cfRule>
  </conditionalFormatting>
  <conditionalFormatting sqref="L255:M255 L257:M257 L259:M259 L261:M261 L263:M263 L265:M265 L267:M267 L269:M269 L271:M271 L273:M273 L275:M275 L277:M277 L279:M279 L281:M281">
    <cfRule type="cellIs" dxfId="159" priority="10" operator="equal">
      <formula>0</formula>
    </cfRule>
  </conditionalFormatting>
  <conditionalFormatting sqref="L256:M256 L258:M258 L260:M260 L262:M262 L264:M264 L266:M266 L268:M268 L270:M270 L272:M272 L274:M274 L276:M276 L278:M278 L280:M280 L282:M282">
    <cfRule type="cellIs" dxfId="158" priority="9" operator="equal">
      <formula>0</formula>
    </cfRule>
  </conditionalFormatting>
  <conditionalFormatting sqref="L300:M300">
    <cfRule type="cellIs" dxfId="157" priority="2" operator="equal">
      <formula>0</formula>
    </cfRule>
  </conditionalFormatting>
  <conditionalFormatting sqref="L301:M301">
    <cfRule type="cellIs" dxfId="156" priority="1" operator="equal">
      <formula>0</formula>
    </cfRule>
  </conditionalFormatting>
  <conditionalFormatting sqref="L302:M302 L304:M304 L334:M334">
    <cfRule type="cellIs" dxfId="155" priority="6" operator="equal">
      <formula>0</formula>
    </cfRule>
  </conditionalFormatting>
  <conditionalFormatting sqref="L303:M303 L305:M305">
    <cfRule type="cellIs" dxfId="154" priority="5" operator="equal">
      <formula>0</formula>
    </cfRule>
  </conditionalFormatting>
  <conditionalFormatting sqref="L306:M306 L308:M308 L310:M310 L312:M312 L314:M314 L316:M316 L318:M318 L320:M320 L322:M322 L324:M324 L326:M326 L328:M328 L330:M330 L332:M332">
    <cfRule type="cellIs" dxfId="153" priority="4" operator="equal">
      <formula>0</formula>
    </cfRule>
  </conditionalFormatting>
  <conditionalFormatting sqref="L307:M307 L309:M309 L311:M311 L313:M313 L315:M315 L317:M317 L319:M319 L321:M321 L323:M323 L325:M325 L327:M327 L329:M329 L331:M331 L333:M333">
    <cfRule type="cellIs" dxfId="152" priority="3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rowBreaks count="6" manualBreakCount="6">
    <brk id="40" max="24" man="1"/>
    <brk id="91" max="24" man="1"/>
    <brk id="142" max="24" man="1"/>
    <brk id="193" max="24" man="1"/>
    <brk id="244" max="24" man="1"/>
    <brk id="295" max="2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55B0-3E84-4B13-A93C-3838707BC9B7}">
  <sheetPr>
    <tabColor rgb="FF00FF00"/>
  </sheetPr>
  <dimension ref="A1:W33"/>
  <sheetViews>
    <sheetView zoomScaleNormal="100" zoomScaleSheetLayoutView="70" workbookViewId="0">
      <selection activeCell="L18" sqref="L18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7109375" style="3" bestFit="1" customWidth="1"/>
    <col min="4" max="4" width="16.140625" style="3" customWidth="1"/>
    <col min="5" max="5" width="8.85546875" style="3" customWidth="1"/>
    <col min="6" max="6" width="17.7109375" style="3" bestFit="1" customWidth="1"/>
    <col min="7" max="7" width="11.5703125" style="3" customWidth="1"/>
    <col min="8" max="8" width="6.5703125" style="3" bestFit="1" customWidth="1"/>
    <col min="9" max="9" width="6.7109375" style="3" bestFit="1" customWidth="1"/>
    <col min="10" max="10" width="10.7109375" style="3" customWidth="1"/>
    <col min="11" max="11" width="11.28515625" style="3" customWidth="1"/>
    <col min="12" max="12" width="12.85546875" style="3" bestFit="1" customWidth="1"/>
    <col min="13" max="13" width="7.140625" style="3" bestFit="1" customWidth="1"/>
    <col min="14" max="14" width="1.85546875" style="107" customWidth="1"/>
    <col min="15" max="23" width="11.42578125" style="107"/>
    <col min="24" max="222" width="11.42578125" style="3"/>
    <col min="223" max="223" width="23.7109375" style="3" customWidth="1"/>
    <col min="224" max="224" width="0" style="3" hidden="1" customWidth="1"/>
    <col min="225" max="225" width="41.42578125" style="3" customWidth="1"/>
    <col min="226" max="226" width="19.140625" style="3" customWidth="1"/>
    <col min="227" max="227" width="6.28515625" style="3" customWidth="1"/>
    <col min="228" max="228" width="6" style="3" customWidth="1"/>
    <col min="229" max="229" width="7.42578125" style="3" customWidth="1"/>
    <col min="230" max="230" width="5.7109375" style="3" customWidth="1"/>
    <col min="231" max="231" width="5.28515625" style="3" customWidth="1"/>
    <col min="232" max="232" width="10" style="3" customWidth="1"/>
    <col min="233" max="233" width="6.28515625" style="3" customWidth="1"/>
    <col min="234" max="234" width="8.28515625" style="3" customWidth="1"/>
    <col min="235" max="235" width="12.42578125" style="3" customWidth="1"/>
    <col min="236" max="236" width="5.28515625" style="3" customWidth="1"/>
    <col min="237" max="237" width="10.85546875" style="3" customWidth="1"/>
    <col min="238" max="238" width="4.85546875" style="3" customWidth="1"/>
    <col min="239" max="239" width="5.140625" style="3" customWidth="1"/>
    <col min="240" max="240" width="10.5703125" style="3" customWidth="1"/>
    <col min="241" max="241" width="6.28515625" style="3" customWidth="1"/>
    <col min="242" max="242" width="6.5703125" style="3" customWidth="1"/>
    <col min="243" max="243" width="7.42578125" style="3" customWidth="1"/>
    <col min="244" max="244" width="6.85546875" style="3" customWidth="1"/>
    <col min="245" max="245" width="10.7109375" style="3" customWidth="1"/>
    <col min="246" max="246" width="5.140625" style="3" customWidth="1"/>
    <col min="247" max="478" width="11.42578125" style="3"/>
    <col min="479" max="479" width="23.7109375" style="3" customWidth="1"/>
    <col min="480" max="480" width="0" style="3" hidden="1" customWidth="1"/>
    <col min="481" max="481" width="41.42578125" style="3" customWidth="1"/>
    <col min="482" max="482" width="19.140625" style="3" customWidth="1"/>
    <col min="483" max="483" width="6.28515625" style="3" customWidth="1"/>
    <col min="484" max="484" width="6" style="3" customWidth="1"/>
    <col min="485" max="485" width="7.42578125" style="3" customWidth="1"/>
    <col min="486" max="486" width="5.7109375" style="3" customWidth="1"/>
    <col min="487" max="487" width="5.28515625" style="3" customWidth="1"/>
    <col min="488" max="488" width="10" style="3" customWidth="1"/>
    <col min="489" max="489" width="6.28515625" style="3" customWidth="1"/>
    <col min="490" max="490" width="8.28515625" style="3" customWidth="1"/>
    <col min="491" max="491" width="12.42578125" style="3" customWidth="1"/>
    <col min="492" max="492" width="5.28515625" style="3" customWidth="1"/>
    <col min="493" max="493" width="10.85546875" style="3" customWidth="1"/>
    <col min="494" max="494" width="4.85546875" style="3" customWidth="1"/>
    <col min="495" max="495" width="5.140625" style="3" customWidth="1"/>
    <col min="496" max="496" width="10.5703125" style="3" customWidth="1"/>
    <col min="497" max="497" width="6.28515625" style="3" customWidth="1"/>
    <col min="498" max="498" width="6.5703125" style="3" customWidth="1"/>
    <col min="499" max="499" width="7.42578125" style="3" customWidth="1"/>
    <col min="500" max="500" width="6.85546875" style="3" customWidth="1"/>
    <col min="501" max="501" width="10.7109375" style="3" customWidth="1"/>
    <col min="502" max="502" width="5.140625" style="3" customWidth="1"/>
    <col min="503" max="734" width="11.42578125" style="3"/>
    <col min="735" max="735" width="23.7109375" style="3" customWidth="1"/>
    <col min="736" max="736" width="0" style="3" hidden="1" customWidth="1"/>
    <col min="737" max="737" width="41.42578125" style="3" customWidth="1"/>
    <col min="738" max="738" width="19.140625" style="3" customWidth="1"/>
    <col min="739" max="739" width="6.28515625" style="3" customWidth="1"/>
    <col min="740" max="740" width="6" style="3" customWidth="1"/>
    <col min="741" max="741" width="7.42578125" style="3" customWidth="1"/>
    <col min="742" max="742" width="5.7109375" style="3" customWidth="1"/>
    <col min="743" max="743" width="5.28515625" style="3" customWidth="1"/>
    <col min="744" max="744" width="10" style="3" customWidth="1"/>
    <col min="745" max="745" width="6.28515625" style="3" customWidth="1"/>
    <col min="746" max="746" width="8.28515625" style="3" customWidth="1"/>
    <col min="747" max="747" width="12.42578125" style="3" customWidth="1"/>
    <col min="748" max="748" width="5.28515625" style="3" customWidth="1"/>
    <col min="749" max="749" width="10.85546875" style="3" customWidth="1"/>
    <col min="750" max="750" width="4.85546875" style="3" customWidth="1"/>
    <col min="751" max="751" width="5.140625" style="3" customWidth="1"/>
    <col min="752" max="752" width="10.5703125" style="3" customWidth="1"/>
    <col min="753" max="753" width="6.28515625" style="3" customWidth="1"/>
    <col min="754" max="754" width="6.5703125" style="3" customWidth="1"/>
    <col min="755" max="755" width="7.42578125" style="3" customWidth="1"/>
    <col min="756" max="756" width="6.85546875" style="3" customWidth="1"/>
    <col min="757" max="757" width="10.7109375" style="3" customWidth="1"/>
    <col min="758" max="758" width="5.140625" style="3" customWidth="1"/>
    <col min="759" max="990" width="11.42578125" style="3"/>
    <col min="991" max="991" width="23.7109375" style="3" customWidth="1"/>
    <col min="992" max="992" width="0" style="3" hidden="1" customWidth="1"/>
    <col min="993" max="993" width="41.42578125" style="3" customWidth="1"/>
    <col min="994" max="994" width="19.140625" style="3" customWidth="1"/>
    <col min="995" max="995" width="6.28515625" style="3" customWidth="1"/>
    <col min="996" max="996" width="6" style="3" customWidth="1"/>
    <col min="997" max="997" width="7.42578125" style="3" customWidth="1"/>
    <col min="998" max="998" width="5.7109375" style="3" customWidth="1"/>
    <col min="999" max="999" width="5.28515625" style="3" customWidth="1"/>
    <col min="1000" max="1000" width="10" style="3" customWidth="1"/>
    <col min="1001" max="1001" width="6.28515625" style="3" customWidth="1"/>
    <col min="1002" max="1002" width="8.28515625" style="3" customWidth="1"/>
    <col min="1003" max="1003" width="12.42578125" style="3" customWidth="1"/>
    <col min="1004" max="1004" width="5.28515625" style="3" customWidth="1"/>
    <col min="1005" max="1005" width="10.85546875" style="3" customWidth="1"/>
    <col min="1006" max="1006" width="4.85546875" style="3" customWidth="1"/>
    <col min="1007" max="1007" width="5.140625" style="3" customWidth="1"/>
    <col min="1008" max="1008" width="10.5703125" style="3" customWidth="1"/>
    <col min="1009" max="1009" width="6.28515625" style="3" customWidth="1"/>
    <col min="1010" max="1010" width="6.5703125" style="3" customWidth="1"/>
    <col min="1011" max="1011" width="7.42578125" style="3" customWidth="1"/>
    <col min="1012" max="1012" width="6.85546875" style="3" customWidth="1"/>
    <col min="1013" max="1013" width="10.7109375" style="3" customWidth="1"/>
    <col min="1014" max="1014" width="5.140625" style="3" customWidth="1"/>
    <col min="1015" max="1246" width="11.42578125" style="3"/>
    <col min="1247" max="1247" width="23.7109375" style="3" customWidth="1"/>
    <col min="1248" max="1248" width="0" style="3" hidden="1" customWidth="1"/>
    <col min="1249" max="1249" width="41.42578125" style="3" customWidth="1"/>
    <col min="1250" max="1250" width="19.140625" style="3" customWidth="1"/>
    <col min="1251" max="1251" width="6.28515625" style="3" customWidth="1"/>
    <col min="1252" max="1252" width="6" style="3" customWidth="1"/>
    <col min="1253" max="1253" width="7.42578125" style="3" customWidth="1"/>
    <col min="1254" max="1254" width="5.7109375" style="3" customWidth="1"/>
    <col min="1255" max="1255" width="5.28515625" style="3" customWidth="1"/>
    <col min="1256" max="1256" width="10" style="3" customWidth="1"/>
    <col min="1257" max="1257" width="6.28515625" style="3" customWidth="1"/>
    <col min="1258" max="1258" width="8.28515625" style="3" customWidth="1"/>
    <col min="1259" max="1259" width="12.42578125" style="3" customWidth="1"/>
    <col min="1260" max="1260" width="5.28515625" style="3" customWidth="1"/>
    <col min="1261" max="1261" width="10.85546875" style="3" customWidth="1"/>
    <col min="1262" max="1262" width="4.85546875" style="3" customWidth="1"/>
    <col min="1263" max="1263" width="5.140625" style="3" customWidth="1"/>
    <col min="1264" max="1264" width="10.5703125" style="3" customWidth="1"/>
    <col min="1265" max="1265" width="6.28515625" style="3" customWidth="1"/>
    <col min="1266" max="1266" width="6.5703125" style="3" customWidth="1"/>
    <col min="1267" max="1267" width="7.42578125" style="3" customWidth="1"/>
    <col min="1268" max="1268" width="6.85546875" style="3" customWidth="1"/>
    <col min="1269" max="1269" width="10.7109375" style="3" customWidth="1"/>
    <col min="1270" max="1270" width="5.140625" style="3" customWidth="1"/>
    <col min="1271" max="1502" width="11.42578125" style="3"/>
    <col min="1503" max="1503" width="23.7109375" style="3" customWidth="1"/>
    <col min="1504" max="1504" width="0" style="3" hidden="1" customWidth="1"/>
    <col min="1505" max="1505" width="41.42578125" style="3" customWidth="1"/>
    <col min="1506" max="1506" width="19.140625" style="3" customWidth="1"/>
    <col min="1507" max="1507" width="6.28515625" style="3" customWidth="1"/>
    <col min="1508" max="1508" width="6" style="3" customWidth="1"/>
    <col min="1509" max="1509" width="7.42578125" style="3" customWidth="1"/>
    <col min="1510" max="1510" width="5.7109375" style="3" customWidth="1"/>
    <col min="1511" max="1511" width="5.28515625" style="3" customWidth="1"/>
    <col min="1512" max="1512" width="10" style="3" customWidth="1"/>
    <col min="1513" max="1513" width="6.28515625" style="3" customWidth="1"/>
    <col min="1514" max="1514" width="8.28515625" style="3" customWidth="1"/>
    <col min="1515" max="1515" width="12.42578125" style="3" customWidth="1"/>
    <col min="1516" max="1516" width="5.28515625" style="3" customWidth="1"/>
    <col min="1517" max="1517" width="10.85546875" style="3" customWidth="1"/>
    <col min="1518" max="1518" width="4.85546875" style="3" customWidth="1"/>
    <col min="1519" max="1519" width="5.140625" style="3" customWidth="1"/>
    <col min="1520" max="1520" width="10.5703125" style="3" customWidth="1"/>
    <col min="1521" max="1521" width="6.28515625" style="3" customWidth="1"/>
    <col min="1522" max="1522" width="6.5703125" style="3" customWidth="1"/>
    <col min="1523" max="1523" width="7.42578125" style="3" customWidth="1"/>
    <col min="1524" max="1524" width="6.85546875" style="3" customWidth="1"/>
    <col min="1525" max="1525" width="10.7109375" style="3" customWidth="1"/>
    <col min="1526" max="1526" width="5.140625" style="3" customWidth="1"/>
    <col min="1527" max="1758" width="11.42578125" style="3"/>
    <col min="1759" max="1759" width="23.7109375" style="3" customWidth="1"/>
    <col min="1760" max="1760" width="0" style="3" hidden="1" customWidth="1"/>
    <col min="1761" max="1761" width="41.42578125" style="3" customWidth="1"/>
    <col min="1762" max="1762" width="19.140625" style="3" customWidth="1"/>
    <col min="1763" max="1763" width="6.28515625" style="3" customWidth="1"/>
    <col min="1764" max="1764" width="6" style="3" customWidth="1"/>
    <col min="1765" max="1765" width="7.42578125" style="3" customWidth="1"/>
    <col min="1766" max="1766" width="5.7109375" style="3" customWidth="1"/>
    <col min="1767" max="1767" width="5.28515625" style="3" customWidth="1"/>
    <col min="1768" max="1768" width="10" style="3" customWidth="1"/>
    <col min="1769" max="1769" width="6.28515625" style="3" customWidth="1"/>
    <col min="1770" max="1770" width="8.28515625" style="3" customWidth="1"/>
    <col min="1771" max="1771" width="12.42578125" style="3" customWidth="1"/>
    <col min="1772" max="1772" width="5.28515625" style="3" customWidth="1"/>
    <col min="1773" max="1773" width="10.85546875" style="3" customWidth="1"/>
    <col min="1774" max="1774" width="4.85546875" style="3" customWidth="1"/>
    <col min="1775" max="1775" width="5.140625" style="3" customWidth="1"/>
    <col min="1776" max="1776" width="10.5703125" style="3" customWidth="1"/>
    <col min="1777" max="1777" width="6.28515625" style="3" customWidth="1"/>
    <col min="1778" max="1778" width="6.5703125" style="3" customWidth="1"/>
    <col min="1779" max="1779" width="7.42578125" style="3" customWidth="1"/>
    <col min="1780" max="1780" width="6.85546875" style="3" customWidth="1"/>
    <col min="1781" max="1781" width="10.7109375" style="3" customWidth="1"/>
    <col min="1782" max="1782" width="5.140625" style="3" customWidth="1"/>
    <col min="1783" max="2014" width="11.42578125" style="3"/>
    <col min="2015" max="2015" width="23.7109375" style="3" customWidth="1"/>
    <col min="2016" max="2016" width="0" style="3" hidden="1" customWidth="1"/>
    <col min="2017" max="2017" width="41.42578125" style="3" customWidth="1"/>
    <col min="2018" max="2018" width="19.140625" style="3" customWidth="1"/>
    <col min="2019" max="2019" width="6.28515625" style="3" customWidth="1"/>
    <col min="2020" max="2020" width="6" style="3" customWidth="1"/>
    <col min="2021" max="2021" width="7.42578125" style="3" customWidth="1"/>
    <col min="2022" max="2022" width="5.7109375" style="3" customWidth="1"/>
    <col min="2023" max="2023" width="5.28515625" style="3" customWidth="1"/>
    <col min="2024" max="2024" width="10" style="3" customWidth="1"/>
    <col min="2025" max="2025" width="6.28515625" style="3" customWidth="1"/>
    <col min="2026" max="2026" width="8.28515625" style="3" customWidth="1"/>
    <col min="2027" max="2027" width="12.42578125" style="3" customWidth="1"/>
    <col min="2028" max="2028" width="5.28515625" style="3" customWidth="1"/>
    <col min="2029" max="2029" width="10.85546875" style="3" customWidth="1"/>
    <col min="2030" max="2030" width="4.85546875" style="3" customWidth="1"/>
    <col min="2031" max="2031" width="5.140625" style="3" customWidth="1"/>
    <col min="2032" max="2032" width="10.5703125" style="3" customWidth="1"/>
    <col min="2033" max="2033" width="6.28515625" style="3" customWidth="1"/>
    <col min="2034" max="2034" width="6.5703125" style="3" customWidth="1"/>
    <col min="2035" max="2035" width="7.42578125" style="3" customWidth="1"/>
    <col min="2036" max="2036" width="6.85546875" style="3" customWidth="1"/>
    <col min="2037" max="2037" width="10.7109375" style="3" customWidth="1"/>
    <col min="2038" max="2038" width="5.140625" style="3" customWidth="1"/>
    <col min="2039" max="2270" width="11.42578125" style="3"/>
    <col min="2271" max="2271" width="23.7109375" style="3" customWidth="1"/>
    <col min="2272" max="2272" width="0" style="3" hidden="1" customWidth="1"/>
    <col min="2273" max="2273" width="41.42578125" style="3" customWidth="1"/>
    <col min="2274" max="2274" width="19.140625" style="3" customWidth="1"/>
    <col min="2275" max="2275" width="6.28515625" style="3" customWidth="1"/>
    <col min="2276" max="2276" width="6" style="3" customWidth="1"/>
    <col min="2277" max="2277" width="7.42578125" style="3" customWidth="1"/>
    <col min="2278" max="2278" width="5.7109375" style="3" customWidth="1"/>
    <col min="2279" max="2279" width="5.28515625" style="3" customWidth="1"/>
    <col min="2280" max="2280" width="10" style="3" customWidth="1"/>
    <col min="2281" max="2281" width="6.28515625" style="3" customWidth="1"/>
    <col min="2282" max="2282" width="8.28515625" style="3" customWidth="1"/>
    <col min="2283" max="2283" width="12.42578125" style="3" customWidth="1"/>
    <col min="2284" max="2284" width="5.28515625" style="3" customWidth="1"/>
    <col min="2285" max="2285" width="10.85546875" style="3" customWidth="1"/>
    <col min="2286" max="2286" width="4.85546875" style="3" customWidth="1"/>
    <col min="2287" max="2287" width="5.140625" style="3" customWidth="1"/>
    <col min="2288" max="2288" width="10.5703125" style="3" customWidth="1"/>
    <col min="2289" max="2289" width="6.28515625" style="3" customWidth="1"/>
    <col min="2290" max="2290" width="6.5703125" style="3" customWidth="1"/>
    <col min="2291" max="2291" width="7.42578125" style="3" customWidth="1"/>
    <col min="2292" max="2292" width="6.85546875" style="3" customWidth="1"/>
    <col min="2293" max="2293" width="10.7109375" style="3" customWidth="1"/>
    <col min="2294" max="2294" width="5.140625" style="3" customWidth="1"/>
    <col min="2295" max="2526" width="11.42578125" style="3"/>
    <col min="2527" max="2527" width="23.7109375" style="3" customWidth="1"/>
    <col min="2528" max="2528" width="0" style="3" hidden="1" customWidth="1"/>
    <col min="2529" max="2529" width="41.42578125" style="3" customWidth="1"/>
    <col min="2530" max="2530" width="19.140625" style="3" customWidth="1"/>
    <col min="2531" max="2531" width="6.28515625" style="3" customWidth="1"/>
    <col min="2532" max="2532" width="6" style="3" customWidth="1"/>
    <col min="2533" max="2533" width="7.42578125" style="3" customWidth="1"/>
    <col min="2534" max="2534" width="5.7109375" style="3" customWidth="1"/>
    <col min="2535" max="2535" width="5.28515625" style="3" customWidth="1"/>
    <col min="2536" max="2536" width="10" style="3" customWidth="1"/>
    <col min="2537" max="2537" width="6.28515625" style="3" customWidth="1"/>
    <col min="2538" max="2538" width="8.28515625" style="3" customWidth="1"/>
    <col min="2539" max="2539" width="12.42578125" style="3" customWidth="1"/>
    <col min="2540" max="2540" width="5.28515625" style="3" customWidth="1"/>
    <col min="2541" max="2541" width="10.85546875" style="3" customWidth="1"/>
    <col min="2542" max="2542" width="4.85546875" style="3" customWidth="1"/>
    <col min="2543" max="2543" width="5.140625" style="3" customWidth="1"/>
    <col min="2544" max="2544" width="10.5703125" style="3" customWidth="1"/>
    <col min="2545" max="2545" width="6.28515625" style="3" customWidth="1"/>
    <col min="2546" max="2546" width="6.5703125" style="3" customWidth="1"/>
    <col min="2547" max="2547" width="7.42578125" style="3" customWidth="1"/>
    <col min="2548" max="2548" width="6.85546875" style="3" customWidth="1"/>
    <col min="2549" max="2549" width="10.7109375" style="3" customWidth="1"/>
    <col min="2550" max="2550" width="5.140625" style="3" customWidth="1"/>
    <col min="2551" max="2782" width="11.42578125" style="3"/>
    <col min="2783" max="2783" width="23.7109375" style="3" customWidth="1"/>
    <col min="2784" max="2784" width="0" style="3" hidden="1" customWidth="1"/>
    <col min="2785" max="2785" width="41.42578125" style="3" customWidth="1"/>
    <col min="2786" max="2786" width="19.140625" style="3" customWidth="1"/>
    <col min="2787" max="2787" width="6.28515625" style="3" customWidth="1"/>
    <col min="2788" max="2788" width="6" style="3" customWidth="1"/>
    <col min="2789" max="2789" width="7.42578125" style="3" customWidth="1"/>
    <col min="2790" max="2790" width="5.7109375" style="3" customWidth="1"/>
    <col min="2791" max="2791" width="5.28515625" style="3" customWidth="1"/>
    <col min="2792" max="2792" width="10" style="3" customWidth="1"/>
    <col min="2793" max="2793" width="6.28515625" style="3" customWidth="1"/>
    <col min="2794" max="2794" width="8.28515625" style="3" customWidth="1"/>
    <col min="2795" max="2795" width="12.42578125" style="3" customWidth="1"/>
    <col min="2796" max="2796" width="5.28515625" style="3" customWidth="1"/>
    <col min="2797" max="2797" width="10.85546875" style="3" customWidth="1"/>
    <col min="2798" max="2798" width="4.85546875" style="3" customWidth="1"/>
    <col min="2799" max="2799" width="5.140625" style="3" customWidth="1"/>
    <col min="2800" max="2800" width="10.5703125" style="3" customWidth="1"/>
    <col min="2801" max="2801" width="6.28515625" style="3" customWidth="1"/>
    <col min="2802" max="2802" width="6.5703125" style="3" customWidth="1"/>
    <col min="2803" max="2803" width="7.42578125" style="3" customWidth="1"/>
    <col min="2804" max="2804" width="6.85546875" style="3" customWidth="1"/>
    <col min="2805" max="2805" width="10.7109375" style="3" customWidth="1"/>
    <col min="2806" max="2806" width="5.140625" style="3" customWidth="1"/>
    <col min="2807" max="3038" width="11.42578125" style="3"/>
    <col min="3039" max="3039" width="23.7109375" style="3" customWidth="1"/>
    <col min="3040" max="3040" width="0" style="3" hidden="1" customWidth="1"/>
    <col min="3041" max="3041" width="41.42578125" style="3" customWidth="1"/>
    <col min="3042" max="3042" width="19.140625" style="3" customWidth="1"/>
    <col min="3043" max="3043" width="6.28515625" style="3" customWidth="1"/>
    <col min="3044" max="3044" width="6" style="3" customWidth="1"/>
    <col min="3045" max="3045" width="7.42578125" style="3" customWidth="1"/>
    <col min="3046" max="3046" width="5.7109375" style="3" customWidth="1"/>
    <col min="3047" max="3047" width="5.28515625" style="3" customWidth="1"/>
    <col min="3048" max="3048" width="10" style="3" customWidth="1"/>
    <col min="3049" max="3049" width="6.28515625" style="3" customWidth="1"/>
    <col min="3050" max="3050" width="8.28515625" style="3" customWidth="1"/>
    <col min="3051" max="3051" width="12.42578125" style="3" customWidth="1"/>
    <col min="3052" max="3052" width="5.28515625" style="3" customWidth="1"/>
    <col min="3053" max="3053" width="10.85546875" style="3" customWidth="1"/>
    <col min="3054" max="3054" width="4.85546875" style="3" customWidth="1"/>
    <col min="3055" max="3055" width="5.140625" style="3" customWidth="1"/>
    <col min="3056" max="3056" width="10.5703125" style="3" customWidth="1"/>
    <col min="3057" max="3057" width="6.28515625" style="3" customWidth="1"/>
    <col min="3058" max="3058" width="6.5703125" style="3" customWidth="1"/>
    <col min="3059" max="3059" width="7.42578125" style="3" customWidth="1"/>
    <col min="3060" max="3060" width="6.85546875" style="3" customWidth="1"/>
    <col min="3061" max="3061" width="10.7109375" style="3" customWidth="1"/>
    <col min="3062" max="3062" width="5.140625" style="3" customWidth="1"/>
    <col min="3063" max="3294" width="11.42578125" style="3"/>
    <col min="3295" max="3295" width="23.7109375" style="3" customWidth="1"/>
    <col min="3296" max="3296" width="0" style="3" hidden="1" customWidth="1"/>
    <col min="3297" max="3297" width="41.42578125" style="3" customWidth="1"/>
    <col min="3298" max="3298" width="19.140625" style="3" customWidth="1"/>
    <col min="3299" max="3299" width="6.28515625" style="3" customWidth="1"/>
    <col min="3300" max="3300" width="6" style="3" customWidth="1"/>
    <col min="3301" max="3301" width="7.42578125" style="3" customWidth="1"/>
    <col min="3302" max="3302" width="5.7109375" style="3" customWidth="1"/>
    <col min="3303" max="3303" width="5.28515625" style="3" customWidth="1"/>
    <col min="3304" max="3304" width="10" style="3" customWidth="1"/>
    <col min="3305" max="3305" width="6.28515625" style="3" customWidth="1"/>
    <col min="3306" max="3306" width="8.28515625" style="3" customWidth="1"/>
    <col min="3307" max="3307" width="12.42578125" style="3" customWidth="1"/>
    <col min="3308" max="3308" width="5.28515625" style="3" customWidth="1"/>
    <col min="3309" max="3309" width="10.85546875" style="3" customWidth="1"/>
    <col min="3310" max="3310" width="4.85546875" style="3" customWidth="1"/>
    <col min="3311" max="3311" width="5.140625" style="3" customWidth="1"/>
    <col min="3312" max="3312" width="10.5703125" style="3" customWidth="1"/>
    <col min="3313" max="3313" width="6.28515625" style="3" customWidth="1"/>
    <col min="3314" max="3314" width="6.5703125" style="3" customWidth="1"/>
    <col min="3315" max="3315" width="7.42578125" style="3" customWidth="1"/>
    <col min="3316" max="3316" width="6.85546875" style="3" customWidth="1"/>
    <col min="3317" max="3317" width="10.7109375" style="3" customWidth="1"/>
    <col min="3318" max="3318" width="5.140625" style="3" customWidth="1"/>
    <col min="3319" max="3550" width="11.42578125" style="3"/>
    <col min="3551" max="3551" width="23.7109375" style="3" customWidth="1"/>
    <col min="3552" max="3552" width="0" style="3" hidden="1" customWidth="1"/>
    <col min="3553" max="3553" width="41.42578125" style="3" customWidth="1"/>
    <col min="3554" max="3554" width="19.140625" style="3" customWidth="1"/>
    <col min="3555" max="3555" width="6.28515625" style="3" customWidth="1"/>
    <col min="3556" max="3556" width="6" style="3" customWidth="1"/>
    <col min="3557" max="3557" width="7.42578125" style="3" customWidth="1"/>
    <col min="3558" max="3558" width="5.7109375" style="3" customWidth="1"/>
    <col min="3559" max="3559" width="5.28515625" style="3" customWidth="1"/>
    <col min="3560" max="3560" width="10" style="3" customWidth="1"/>
    <col min="3561" max="3561" width="6.28515625" style="3" customWidth="1"/>
    <col min="3562" max="3562" width="8.28515625" style="3" customWidth="1"/>
    <col min="3563" max="3563" width="12.42578125" style="3" customWidth="1"/>
    <col min="3564" max="3564" width="5.28515625" style="3" customWidth="1"/>
    <col min="3565" max="3565" width="10.85546875" style="3" customWidth="1"/>
    <col min="3566" max="3566" width="4.85546875" style="3" customWidth="1"/>
    <col min="3567" max="3567" width="5.140625" style="3" customWidth="1"/>
    <col min="3568" max="3568" width="10.5703125" style="3" customWidth="1"/>
    <col min="3569" max="3569" width="6.28515625" style="3" customWidth="1"/>
    <col min="3570" max="3570" width="6.5703125" style="3" customWidth="1"/>
    <col min="3571" max="3571" width="7.42578125" style="3" customWidth="1"/>
    <col min="3572" max="3572" width="6.85546875" style="3" customWidth="1"/>
    <col min="3573" max="3573" width="10.7109375" style="3" customWidth="1"/>
    <col min="3574" max="3574" width="5.140625" style="3" customWidth="1"/>
    <col min="3575" max="3806" width="11.42578125" style="3"/>
    <col min="3807" max="3807" width="23.7109375" style="3" customWidth="1"/>
    <col min="3808" max="3808" width="0" style="3" hidden="1" customWidth="1"/>
    <col min="3809" max="3809" width="41.42578125" style="3" customWidth="1"/>
    <col min="3810" max="3810" width="19.140625" style="3" customWidth="1"/>
    <col min="3811" max="3811" width="6.28515625" style="3" customWidth="1"/>
    <col min="3812" max="3812" width="6" style="3" customWidth="1"/>
    <col min="3813" max="3813" width="7.42578125" style="3" customWidth="1"/>
    <col min="3814" max="3814" width="5.7109375" style="3" customWidth="1"/>
    <col min="3815" max="3815" width="5.28515625" style="3" customWidth="1"/>
    <col min="3816" max="3816" width="10" style="3" customWidth="1"/>
    <col min="3817" max="3817" width="6.28515625" style="3" customWidth="1"/>
    <col min="3818" max="3818" width="8.28515625" style="3" customWidth="1"/>
    <col min="3819" max="3819" width="12.42578125" style="3" customWidth="1"/>
    <col min="3820" max="3820" width="5.28515625" style="3" customWidth="1"/>
    <col min="3821" max="3821" width="10.85546875" style="3" customWidth="1"/>
    <col min="3822" max="3822" width="4.85546875" style="3" customWidth="1"/>
    <col min="3823" max="3823" width="5.140625" style="3" customWidth="1"/>
    <col min="3824" max="3824" width="10.5703125" style="3" customWidth="1"/>
    <col min="3825" max="3825" width="6.28515625" style="3" customWidth="1"/>
    <col min="3826" max="3826" width="6.5703125" style="3" customWidth="1"/>
    <col min="3827" max="3827" width="7.42578125" style="3" customWidth="1"/>
    <col min="3828" max="3828" width="6.85546875" style="3" customWidth="1"/>
    <col min="3829" max="3829" width="10.7109375" style="3" customWidth="1"/>
    <col min="3830" max="3830" width="5.140625" style="3" customWidth="1"/>
    <col min="3831" max="4062" width="11.42578125" style="3"/>
    <col min="4063" max="4063" width="23.7109375" style="3" customWidth="1"/>
    <col min="4064" max="4064" width="0" style="3" hidden="1" customWidth="1"/>
    <col min="4065" max="4065" width="41.42578125" style="3" customWidth="1"/>
    <col min="4066" max="4066" width="19.140625" style="3" customWidth="1"/>
    <col min="4067" max="4067" width="6.28515625" style="3" customWidth="1"/>
    <col min="4068" max="4068" width="6" style="3" customWidth="1"/>
    <col min="4069" max="4069" width="7.42578125" style="3" customWidth="1"/>
    <col min="4070" max="4070" width="5.7109375" style="3" customWidth="1"/>
    <col min="4071" max="4071" width="5.28515625" style="3" customWidth="1"/>
    <col min="4072" max="4072" width="10" style="3" customWidth="1"/>
    <col min="4073" max="4073" width="6.28515625" style="3" customWidth="1"/>
    <col min="4074" max="4074" width="8.28515625" style="3" customWidth="1"/>
    <col min="4075" max="4075" width="12.42578125" style="3" customWidth="1"/>
    <col min="4076" max="4076" width="5.28515625" style="3" customWidth="1"/>
    <col min="4077" max="4077" width="10.85546875" style="3" customWidth="1"/>
    <col min="4078" max="4078" width="4.85546875" style="3" customWidth="1"/>
    <col min="4079" max="4079" width="5.140625" style="3" customWidth="1"/>
    <col min="4080" max="4080" width="10.5703125" style="3" customWidth="1"/>
    <col min="4081" max="4081" width="6.28515625" style="3" customWidth="1"/>
    <col min="4082" max="4082" width="6.5703125" style="3" customWidth="1"/>
    <col min="4083" max="4083" width="7.42578125" style="3" customWidth="1"/>
    <col min="4084" max="4084" width="6.85546875" style="3" customWidth="1"/>
    <col min="4085" max="4085" width="10.7109375" style="3" customWidth="1"/>
    <col min="4086" max="4086" width="5.140625" style="3" customWidth="1"/>
    <col min="4087" max="4318" width="11.42578125" style="3"/>
    <col min="4319" max="4319" width="23.7109375" style="3" customWidth="1"/>
    <col min="4320" max="4320" width="0" style="3" hidden="1" customWidth="1"/>
    <col min="4321" max="4321" width="41.42578125" style="3" customWidth="1"/>
    <col min="4322" max="4322" width="19.140625" style="3" customWidth="1"/>
    <col min="4323" max="4323" width="6.28515625" style="3" customWidth="1"/>
    <col min="4324" max="4324" width="6" style="3" customWidth="1"/>
    <col min="4325" max="4325" width="7.42578125" style="3" customWidth="1"/>
    <col min="4326" max="4326" width="5.7109375" style="3" customWidth="1"/>
    <col min="4327" max="4327" width="5.28515625" style="3" customWidth="1"/>
    <col min="4328" max="4328" width="10" style="3" customWidth="1"/>
    <col min="4329" max="4329" width="6.28515625" style="3" customWidth="1"/>
    <col min="4330" max="4330" width="8.28515625" style="3" customWidth="1"/>
    <col min="4331" max="4331" width="12.42578125" style="3" customWidth="1"/>
    <col min="4332" max="4332" width="5.28515625" style="3" customWidth="1"/>
    <col min="4333" max="4333" width="10.85546875" style="3" customWidth="1"/>
    <col min="4334" max="4334" width="4.85546875" style="3" customWidth="1"/>
    <col min="4335" max="4335" width="5.140625" style="3" customWidth="1"/>
    <col min="4336" max="4336" width="10.5703125" style="3" customWidth="1"/>
    <col min="4337" max="4337" width="6.28515625" style="3" customWidth="1"/>
    <col min="4338" max="4338" width="6.5703125" style="3" customWidth="1"/>
    <col min="4339" max="4339" width="7.42578125" style="3" customWidth="1"/>
    <col min="4340" max="4340" width="6.85546875" style="3" customWidth="1"/>
    <col min="4341" max="4341" width="10.7109375" style="3" customWidth="1"/>
    <col min="4342" max="4342" width="5.140625" style="3" customWidth="1"/>
    <col min="4343" max="4574" width="11.42578125" style="3"/>
    <col min="4575" max="4575" width="23.7109375" style="3" customWidth="1"/>
    <col min="4576" max="4576" width="0" style="3" hidden="1" customWidth="1"/>
    <col min="4577" max="4577" width="41.42578125" style="3" customWidth="1"/>
    <col min="4578" max="4578" width="19.140625" style="3" customWidth="1"/>
    <col min="4579" max="4579" width="6.28515625" style="3" customWidth="1"/>
    <col min="4580" max="4580" width="6" style="3" customWidth="1"/>
    <col min="4581" max="4581" width="7.42578125" style="3" customWidth="1"/>
    <col min="4582" max="4582" width="5.7109375" style="3" customWidth="1"/>
    <col min="4583" max="4583" width="5.28515625" style="3" customWidth="1"/>
    <col min="4584" max="4584" width="10" style="3" customWidth="1"/>
    <col min="4585" max="4585" width="6.28515625" style="3" customWidth="1"/>
    <col min="4586" max="4586" width="8.28515625" style="3" customWidth="1"/>
    <col min="4587" max="4587" width="12.42578125" style="3" customWidth="1"/>
    <col min="4588" max="4588" width="5.28515625" style="3" customWidth="1"/>
    <col min="4589" max="4589" width="10.85546875" style="3" customWidth="1"/>
    <col min="4590" max="4590" width="4.85546875" style="3" customWidth="1"/>
    <col min="4591" max="4591" width="5.140625" style="3" customWidth="1"/>
    <col min="4592" max="4592" width="10.5703125" style="3" customWidth="1"/>
    <col min="4593" max="4593" width="6.28515625" style="3" customWidth="1"/>
    <col min="4594" max="4594" width="6.5703125" style="3" customWidth="1"/>
    <col min="4595" max="4595" width="7.42578125" style="3" customWidth="1"/>
    <col min="4596" max="4596" width="6.85546875" style="3" customWidth="1"/>
    <col min="4597" max="4597" width="10.7109375" style="3" customWidth="1"/>
    <col min="4598" max="4598" width="5.140625" style="3" customWidth="1"/>
    <col min="4599" max="4830" width="11.42578125" style="3"/>
    <col min="4831" max="4831" width="23.7109375" style="3" customWidth="1"/>
    <col min="4832" max="4832" width="0" style="3" hidden="1" customWidth="1"/>
    <col min="4833" max="4833" width="41.42578125" style="3" customWidth="1"/>
    <col min="4834" max="4834" width="19.140625" style="3" customWidth="1"/>
    <col min="4835" max="4835" width="6.28515625" style="3" customWidth="1"/>
    <col min="4836" max="4836" width="6" style="3" customWidth="1"/>
    <col min="4837" max="4837" width="7.42578125" style="3" customWidth="1"/>
    <col min="4838" max="4838" width="5.7109375" style="3" customWidth="1"/>
    <col min="4839" max="4839" width="5.28515625" style="3" customWidth="1"/>
    <col min="4840" max="4840" width="10" style="3" customWidth="1"/>
    <col min="4841" max="4841" width="6.28515625" style="3" customWidth="1"/>
    <col min="4842" max="4842" width="8.28515625" style="3" customWidth="1"/>
    <col min="4843" max="4843" width="12.42578125" style="3" customWidth="1"/>
    <col min="4844" max="4844" width="5.28515625" style="3" customWidth="1"/>
    <col min="4845" max="4845" width="10.85546875" style="3" customWidth="1"/>
    <col min="4846" max="4846" width="4.85546875" style="3" customWidth="1"/>
    <col min="4847" max="4847" width="5.140625" style="3" customWidth="1"/>
    <col min="4848" max="4848" width="10.5703125" style="3" customWidth="1"/>
    <col min="4849" max="4849" width="6.28515625" style="3" customWidth="1"/>
    <col min="4850" max="4850" width="6.5703125" style="3" customWidth="1"/>
    <col min="4851" max="4851" width="7.42578125" style="3" customWidth="1"/>
    <col min="4852" max="4852" width="6.85546875" style="3" customWidth="1"/>
    <col min="4853" max="4853" width="10.7109375" style="3" customWidth="1"/>
    <col min="4854" max="4854" width="5.140625" style="3" customWidth="1"/>
    <col min="4855" max="5086" width="11.42578125" style="3"/>
    <col min="5087" max="5087" width="23.7109375" style="3" customWidth="1"/>
    <col min="5088" max="5088" width="0" style="3" hidden="1" customWidth="1"/>
    <col min="5089" max="5089" width="41.42578125" style="3" customWidth="1"/>
    <col min="5090" max="5090" width="19.140625" style="3" customWidth="1"/>
    <col min="5091" max="5091" width="6.28515625" style="3" customWidth="1"/>
    <col min="5092" max="5092" width="6" style="3" customWidth="1"/>
    <col min="5093" max="5093" width="7.42578125" style="3" customWidth="1"/>
    <col min="5094" max="5094" width="5.7109375" style="3" customWidth="1"/>
    <col min="5095" max="5095" width="5.28515625" style="3" customWidth="1"/>
    <col min="5096" max="5096" width="10" style="3" customWidth="1"/>
    <col min="5097" max="5097" width="6.28515625" style="3" customWidth="1"/>
    <col min="5098" max="5098" width="8.28515625" style="3" customWidth="1"/>
    <col min="5099" max="5099" width="12.42578125" style="3" customWidth="1"/>
    <col min="5100" max="5100" width="5.28515625" style="3" customWidth="1"/>
    <col min="5101" max="5101" width="10.85546875" style="3" customWidth="1"/>
    <col min="5102" max="5102" width="4.85546875" style="3" customWidth="1"/>
    <col min="5103" max="5103" width="5.140625" style="3" customWidth="1"/>
    <col min="5104" max="5104" width="10.5703125" style="3" customWidth="1"/>
    <col min="5105" max="5105" width="6.28515625" style="3" customWidth="1"/>
    <col min="5106" max="5106" width="6.5703125" style="3" customWidth="1"/>
    <col min="5107" max="5107" width="7.42578125" style="3" customWidth="1"/>
    <col min="5108" max="5108" width="6.85546875" style="3" customWidth="1"/>
    <col min="5109" max="5109" width="10.7109375" style="3" customWidth="1"/>
    <col min="5110" max="5110" width="5.140625" style="3" customWidth="1"/>
    <col min="5111" max="5342" width="11.42578125" style="3"/>
    <col min="5343" max="5343" width="23.7109375" style="3" customWidth="1"/>
    <col min="5344" max="5344" width="0" style="3" hidden="1" customWidth="1"/>
    <col min="5345" max="5345" width="41.42578125" style="3" customWidth="1"/>
    <col min="5346" max="5346" width="19.140625" style="3" customWidth="1"/>
    <col min="5347" max="5347" width="6.28515625" style="3" customWidth="1"/>
    <col min="5348" max="5348" width="6" style="3" customWidth="1"/>
    <col min="5349" max="5349" width="7.42578125" style="3" customWidth="1"/>
    <col min="5350" max="5350" width="5.7109375" style="3" customWidth="1"/>
    <col min="5351" max="5351" width="5.28515625" style="3" customWidth="1"/>
    <col min="5352" max="5352" width="10" style="3" customWidth="1"/>
    <col min="5353" max="5353" width="6.28515625" style="3" customWidth="1"/>
    <col min="5354" max="5354" width="8.28515625" style="3" customWidth="1"/>
    <col min="5355" max="5355" width="12.42578125" style="3" customWidth="1"/>
    <col min="5356" max="5356" width="5.28515625" style="3" customWidth="1"/>
    <col min="5357" max="5357" width="10.85546875" style="3" customWidth="1"/>
    <col min="5358" max="5358" width="4.85546875" style="3" customWidth="1"/>
    <col min="5359" max="5359" width="5.140625" style="3" customWidth="1"/>
    <col min="5360" max="5360" width="10.5703125" style="3" customWidth="1"/>
    <col min="5361" max="5361" width="6.28515625" style="3" customWidth="1"/>
    <col min="5362" max="5362" width="6.5703125" style="3" customWidth="1"/>
    <col min="5363" max="5363" width="7.42578125" style="3" customWidth="1"/>
    <col min="5364" max="5364" width="6.85546875" style="3" customWidth="1"/>
    <col min="5365" max="5365" width="10.7109375" style="3" customWidth="1"/>
    <col min="5366" max="5366" width="5.140625" style="3" customWidth="1"/>
    <col min="5367" max="5598" width="11.42578125" style="3"/>
    <col min="5599" max="5599" width="23.7109375" style="3" customWidth="1"/>
    <col min="5600" max="5600" width="0" style="3" hidden="1" customWidth="1"/>
    <col min="5601" max="5601" width="41.42578125" style="3" customWidth="1"/>
    <col min="5602" max="5602" width="19.140625" style="3" customWidth="1"/>
    <col min="5603" max="5603" width="6.28515625" style="3" customWidth="1"/>
    <col min="5604" max="5604" width="6" style="3" customWidth="1"/>
    <col min="5605" max="5605" width="7.42578125" style="3" customWidth="1"/>
    <col min="5606" max="5606" width="5.7109375" style="3" customWidth="1"/>
    <col min="5607" max="5607" width="5.28515625" style="3" customWidth="1"/>
    <col min="5608" max="5608" width="10" style="3" customWidth="1"/>
    <col min="5609" max="5609" width="6.28515625" style="3" customWidth="1"/>
    <col min="5610" max="5610" width="8.28515625" style="3" customWidth="1"/>
    <col min="5611" max="5611" width="12.42578125" style="3" customWidth="1"/>
    <col min="5612" max="5612" width="5.28515625" style="3" customWidth="1"/>
    <col min="5613" max="5613" width="10.85546875" style="3" customWidth="1"/>
    <col min="5614" max="5614" width="4.85546875" style="3" customWidth="1"/>
    <col min="5615" max="5615" width="5.140625" style="3" customWidth="1"/>
    <col min="5616" max="5616" width="10.5703125" style="3" customWidth="1"/>
    <col min="5617" max="5617" width="6.28515625" style="3" customWidth="1"/>
    <col min="5618" max="5618" width="6.5703125" style="3" customWidth="1"/>
    <col min="5619" max="5619" width="7.42578125" style="3" customWidth="1"/>
    <col min="5620" max="5620" width="6.85546875" style="3" customWidth="1"/>
    <col min="5621" max="5621" width="10.7109375" style="3" customWidth="1"/>
    <col min="5622" max="5622" width="5.140625" style="3" customWidth="1"/>
    <col min="5623" max="5854" width="11.42578125" style="3"/>
    <col min="5855" max="5855" width="23.7109375" style="3" customWidth="1"/>
    <col min="5856" max="5856" width="0" style="3" hidden="1" customWidth="1"/>
    <col min="5857" max="5857" width="41.42578125" style="3" customWidth="1"/>
    <col min="5858" max="5858" width="19.140625" style="3" customWidth="1"/>
    <col min="5859" max="5859" width="6.28515625" style="3" customWidth="1"/>
    <col min="5860" max="5860" width="6" style="3" customWidth="1"/>
    <col min="5861" max="5861" width="7.42578125" style="3" customWidth="1"/>
    <col min="5862" max="5862" width="5.7109375" style="3" customWidth="1"/>
    <col min="5863" max="5863" width="5.28515625" style="3" customWidth="1"/>
    <col min="5864" max="5864" width="10" style="3" customWidth="1"/>
    <col min="5865" max="5865" width="6.28515625" style="3" customWidth="1"/>
    <col min="5866" max="5866" width="8.28515625" style="3" customWidth="1"/>
    <col min="5867" max="5867" width="12.42578125" style="3" customWidth="1"/>
    <col min="5868" max="5868" width="5.28515625" style="3" customWidth="1"/>
    <col min="5869" max="5869" width="10.85546875" style="3" customWidth="1"/>
    <col min="5870" max="5870" width="4.85546875" style="3" customWidth="1"/>
    <col min="5871" max="5871" width="5.140625" style="3" customWidth="1"/>
    <col min="5872" max="5872" width="10.5703125" style="3" customWidth="1"/>
    <col min="5873" max="5873" width="6.28515625" style="3" customWidth="1"/>
    <col min="5874" max="5874" width="6.5703125" style="3" customWidth="1"/>
    <col min="5875" max="5875" width="7.42578125" style="3" customWidth="1"/>
    <col min="5876" max="5876" width="6.85546875" style="3" customWidth="1"/>
    <col min="5877" max="5877" width="10.7109375" style="3" customWidth="1"/>
    <col min="5878" max="5878" width="5.140625" style="3" customWidth="1"/>
    <col min="5879" max="6110" width="11.42578125" style="3"/>
    <col min="6111" max="6111" width="23.7109375" style="3" customWidth="1"/>
    <col min="6112" max="6112" width="0" style="3" hidden="1" customWidth="1"/>
    <col min="6113" max="6113" width="41.42578125" style="3" customWidth="1"/>
    <col min="6114" max="6114" width="19.140625" style="3" customWidth="1"/>
    <col min="6115" max="6115" width="6.28515625" style="3" customWidth="1"/>
    <col min="6116" max="6116" width="6" style="3" customWidth="1"/>
    <col min="6117" max="6117" width="7.42578125" style="3" customWidth="1"/>
    <col min="6118" max="6118" width="5.7109375" style="3" customWidth="1"/>
    <col min="6119" max="6119" width="5.28515625" style="3" customWidth="1"/>
    <col min="6120" max="6120" width="10" style="3" customWidth="1"/>
    <col min="6121" max="6121" width="6.28515625" style="3" customWidth="1"/>
    <col min="6122" max="6122" width="8.28515625" style="3" customWidth="1"/>
    <col min="6123" max="6123" width="12.42578125" style="3" customWidth="1"/>
    <col min="6124" max="6124" width="5.28515625" style="3" customWidth="1"/>
    <col min="6125" max="6125" width="10.85546875" style="3" customWidth="1"/>
    <col min="6126" max="6126" width="4.85546875" style="3" customWidth="1"/>
    <col min="6127" max="6127" width="5.140625" style="3" customWidth="1"/>
    <col min="6128" max="6128" width="10.5703125" style="3" customWidth="1"/>
    <col min="6129" max="6129" width="6.28515625" style="3" customWidth="1"/>
    <col min="6130" max="6130" width="6.5703125" style="3" customWidth="1"/>
    <col min="6131" max="6131" width="7.42578125" style="3" customWidth="1"/>
    <col min="6132" max="6132" width="6.85546875" style="3" customWidth="1"/>
    <col min="6133" max="6133" width="10.7109375" style="3" customWidth="1"/>
    <col min="6134" max="6134" width="5.140625" style="3" customWidth="1"/>
    <col min="6135" max="6366" width="11.42578125" style="3"/>
    <col min="6367" max="6367" width="23.7109375" style="3" customWidth="1"/>
    <col min="6368" max="6368" width="0" style="3" hidden="1" customWidth="1"/>
    <col min="6369" max="6369" width="41.42578125" style="3" customWidth="1"/>
    <col min="6370" max="6370" width="19.140625" style="3" customWidth="1"/>
    <col min="6371" max="6371" width="6.28515625" style="3" customWidth="1"/>
    <col min="6372" max="6372" width="6" style="3" customWidth="1"/>
    <col min="6373" max="6373" width="7.42578125" style="3" customWidth="1"/>
    <col min="6374" max="6374" width="5.7109375" style="3" customWidth="1"/>
    <col min="6375" max="6375" width="5.28515625" style="3" customWidth="1"/>
    <col min="6376" max="6376" width="10" style="3" customWidth="1"/>
    <col min="6377" max="6377" width="6.28515625" style="3" customWidth="1"/>
    <col min="6378" max="6378" width="8.28515625" style="3" customWidth="1"/>
    <col min="6379" max="6379" width="12.42578125" style="3" customWidth="1"/>
    <col min="6380" max="6380" width="5.28515625" style="3" customWidth="1"/>
    <col min="6381" max="6381" width="10.85546875" style="3" customWidth="1"/>
    <col min="6382" max="6382" width="4.85546875" style="3" customWidth="1"/>
    <col min="6383" max="6383" width="5.140625" style="3" customWidth="1"/>
    <col min="6384" max="6384" width="10.5703125" style="3" customWidth="1"/>
    <col min="6385" max="6385" width="6.28515625" style="3" customWidth="1"/>
    <col min="6386" max="6386" width="6.5703125" style="3" customWidth="1"/>
    <col min="6387" max="6387" width="7.42578125" style="3" customWidth="1"/>
    <col min="6388" max="6388" width="6.85546875" style="3" customWidth="1"/>
    <col min="6389" max="6389" width="10.7109375" style="3" customWidth="1"/>
    <col min="6390" max="6390" width="5.140625" style="3" customWidth="1"/>
    <col min="6391" max="6622" width="11.42578125" style="3"/>
    <col min="6623" max="6623" width="23.7109375" style="3" customWidth="1"/>
    <col min="6624" max="6624" width="0" style="3" hidden="1" customWidth="1"/>
    <col min="6625" max="6625" width="41.42578125" style="3" customWidth="1"/>
    <col min="6626" max="6626" width="19.140625" style="3" customWidth="1"/>
    <col min="6627" max="6627" width="6.28515625" style="3" customWidth="1"/>
    <col min="6628" max="6628" width="6" style="3" customWidth="1"/>
    <col min="6629" max="6629" width="7.42578125" style="3" customWidth="1"/>
    <col min="6630" max="6630" width="5.7109375" style="3" customWidth="1"/>
    <col min="6631" max="6631" width="5.28515625" style="3" customWidth="1"/>
    <col min="6632" max="6632" width="10" style="3" customWidth="1"/>
    <col min="6633" max="6633" width="6.28515625" style="3" customWidth="1"/>
    <col min="6634" max="6634" width="8.28515625" style="3" customWidth="1"/>
    <col min="6635" max="6635" width="12.42578125" style="3" customWidth="1"/>
    <col min="6636" max="6636" width="5.28515625" style="3" customWidth="1"/>
    <col min="6637" max="6637" width="10.85546875" style="3" customWidth="1"/>
    <col min="6638" max="6638" width="4.85546875" style="3" customWidth="1"/>
    <col min="6639" max="6639" width="5.140625" style="3" customWidth="1"/>
    <col min="6640" max="6640" width="10.5703125" style="3" customWidth="1"/>
    <col min="6641" max="6641" width="6.28515625" style="3" customWidth="1"/>
    <col min="6642" max="6642" width="6.5703125" style="3" customWidth="1"/>
    <col min="6643" max="6643" width="7.42578125" style="3" customWidth="1"/>
    <col min="6644" max="6644" width="6.85546875" style="3" customWidth="1"/>
    <col min="6645" max="6645" width="10.7109375" style="3" customWidth="1"/>
    <col min="6646" max="6646" width="5.140625" style="3" customWidth="1"/>
    <col min="6647" max="6878" width="11.42578125" style="3"/>
    <col min="6879" max="6879" width="23.7109375" style="3" customWidth="1"/>
    <col min="6880" max="6880" width="0" style="3" hidden="1" customWidth="1"/>
    <col min="6881" max="6881" width="41.42578125" style="3" customWidth="1"/>
    <col min="6882" max="6882" width="19.140625" style="3" customWidth="1"/>
    <col min="6883" max="6883" width="6.28515625" style="3" customWidth="1"/>
    <col min="6884" max="6884" width="6" style="3" customWidth="1"/>
    <col min="6885" max="6885" width="7.42578125" style="3" customWidth="1"/>
    <col min="6886" max="6886" width="5.7109375" style="3" customWidth="1"/>
    <col min="6887" max="6887" width="5.28515625" style="3" customWidth="1"/>
    <col min="6888" max="6888" width="10" style="3" customWidth="1"/>
    <col min="6889" max="6889" width="6.28515625" style="3" customWidth="1"/>
    <col min="6890" max="6890" width="8.28515625" style="3" customWidth="1"/>
    <col min="6891" max="6891" width="12.42578125" style="3" customWidth="1"/>
    <col min="6892" max="6892" width="5.28515625" style="3" customWidth="1"/>
    <col min="6893" max="6893" width="10.85546875" style="3" customWidth="1"/>
    <col min="6894" max="6894" width="4.85546875" style="3" customWidth="1"/>
    <col min="6895" max="6895" width="5.140625" style="3" customWidth="1"/>
    <col min="6896" max="6896" width="10.5703125" style="3" customWidth="1"/>
    <col min="6897" max="6897" width="6.28515625" style="3" customWidth="1"/>
    <col min="6898" max="6898" width="6.5703125" style="3" customWidth="1"/>
    <col min="6899" max="6899" width="7.42578125" style="3" customWidth="1"/>
    <col min="6900" max="6900" width="6.85546875" style="3" customWidth="1"/>
    <col min="6901" max="6901" width="10.7109375" style="3" customWidth="1"/>
    <col min="6902" max="6902" width="5.140625" style="3" customWidth="1"/>
    <col min="6903" max="7134" width="11.42578125" style="3"/>
    <col min="7135" max="7135" width="23.7109375" style="3" customWidth="1"/>
    <col min="7136" max="7136" width="0" style="3" hidden="1" customWidth="1"/>
    <col min="7137" max="7137" width="41.42578125" style="3" customWidth="1"/>
    <col min="7138" max="7138" width="19.140625" style="3" customWidth="1"/>
    <col min="7139" max="7139" width="6.28515625" style="3" customWidth="1"/>
    <col min="7140" max="7140" width="6" style="3" customWidth="1"/>
    <col min="7141" max="7141" width="7.42578125" style="3" customWidth="1"/>
    <col min="7142" max="7142" width="5.7109375" style="3" customWidth="1"/>
    <col min="7143" max="7143" width="5.28515625" style="3" customWidth="1"/>
    <col min="7144" max="7144" width="10" style="3" customWidth="1"/>
    <col min="7145" max="7145" width="6.28515625" style="3" customWidth="1"/>
    <col min="7146" max="7146" width="8.28515625" style="3" customWidth="1"/>
    <col min="7147" max="7147" width="12.42578125" style="3" customWidth="1"/>
    <col min="7148" max="7148" width="5.28515625" style="3" customWidth="1"/>
    <col min="7149" max="7149" width="10.85546875" style="3" customWidth="1"/>
    <col min="7150" max="7150" width="4.85546875" style="3" customWidth="1"/>
    <col min="7151" max="7151" width="5.140625" style="3" customWidth="1"/>
    <col min="7152" max="7152" width="10.5703125" style="3" customWidth="1"/>
    <col min="7153" max="7153" width="6.28515625" style="3" customWidth="1"/>
    <col min="7154" max="7154" width="6.5703125" style="3" customWidth="1"/>
    <col min="7155" max="7155" width="7.42578125" style="3" customWidth="1"/>
    <col min="7156" max="7156" width="6.85546875" style="3" customWidth="1"/>
    <col min="7157" max="7157" width="10.7109375" style="3" customWidth="1"/>
    <col min="7158" max="7158" width="5.140625" style="3" customWidth="1"/>
    <col min="7159" max="7390" width="11.42578125" style="3"/>
    <col min="7391" max="7391" width="23.7109375" style="3" customWidth="1"/>
    <col min="7392" max="7392" width="0" style="3" hidden="1" customWidth="1"/>
    <col min="7393" max="7393" width="41.42578125" style="3" customWidth="1"/>
    <col min="7394" max="7394" width="19.140625" style="3" customWidth="1"/>
    <col min="7395" max="7395" width="6.28515625" style="3" customWidth="1"/>
    <col min="7396" max="7396" width="6" style="3" customWidth="1"/>
    <col min="7397" max="7397" width="7.42578125" style="3" customWidth="1"/>
    <col min="7398" max="7398" width="5.7109375" style="3" customWidth="1"/>
    <col min="7399" max="7399" width="5.28515625" style="3" customWidth="1"/>
    <col min="7400" max="7400" width="10" style="3" customWidth="1"/>
    <col min="7401" max="7401" width="6.28515625" style="3" customWidth="1"/>
    <col min="7402" max="7402" width="8.28515625" style="3" customWidth="1"/>
    <col min="7403" max="7403" width="12.42578125" style="3" customWidth="1"/>
    <col min="7404" max="7404" width="5.28515625" style="3" customWidth="1"/>
    <col min="7405" max="7405" width="10.85546875" style="3" customWidth="1"/>
    <col min="7406" max="7406" width="4.85546875" style="3" customWidth="1"/>
    <col min="7407" max="7407" width="5.140625" style="3" customWidth="1"/>
    <col min="7408" max="7408" width="10.5703125" style="3" customWidth="1"/>
    <col min="7409" max="7409" width="6.28515625" style="3" customWidth="1"/>
    <col min="7410" max="7410" width="6.5703125" style="3" customWidth="1"/>
    <col min="7411" max="7411" width="7.42578125" style="3" customWidth="1"/>
    <col min="7412" max="7412" width="6.85546875" style="3" customWidth="1"/>
    <col min="7413" max="7413" width="10.7109375" style="3" customWidth="1"/>
    <col min="7414" max="7414" width="5.140625" style="3" customWidth="1"/>
    <col min="7415" max="7646" width="11.42578125" style="3"/>
    <col min="7647" max="7647" width="23.7109375" style="3" customWidth="1"/>
    <col min="7648" max="7648" width="0" style="3" hidden="1" customWidth="1"/>
    <col min="7649" max="7649" width="41.42578125" style="3" customWidth="1"/>
    <col min="7650" max="7650" width="19.140625" style="3" customWidth="1"/>
    <col min="7651" max="7651" width="6.28515625" style="3" customWidth="1"/>
    <col min="7652" max="7652" width="6" style="3" customWidth="1"/>
    <col min="7653" max="7653" width="7.42578125" style="3" customWidth="1"/>
    <col min="7654" max="7654" width="5.7109375" style="3" customWidth="1"/>
    <col min="7655" max="7655" width="5.28515625" style="3" customWidth="1"/>
    <col min="7656" max="7656" width="10" style="3" customWidth="1"/>
    <col min="7657" max="7657" width="6.28515625" style="3" customWidth="1"/>
    <col min="7658" max="7658" width="8.28515625" style="3" customWidth="1"/>
    <col min="7659" max="7659" width="12.42578125" style="3" customWidth="1"/>
    <col min="7660" max="7660" width="5.28515625" style="3" customWidth="1"/>
    <col min="7661" max="7661" width="10.85546875" style="3" customWidth="1"/>
    <col min="7662" max="7662" width="4.85546875" style="3" customWidth="1"/>
    <col min="7663" max="7663" width="5.140625" style="3" customWidth="1"/>
    <col min="7664" max="7664" width="10.5703125" style="3" customWidth="1"/>
    <col min="7665" max="7665" width="6.28515625" style="3" customWidth="1"/>
    <col min="7666" max="7666" width="6.5703125" style="3" customWidth="1"/>
    <col min="7667" max="7667" width="7.42578125" style="3" customWidth="1"/>
    <col min="7668" max="7668" width="6.85546875" style="3" customWidth="1"/>
    <col min="7669" max="7669" width="10.7109375" style="3" customWidth="1"/>
    <col min="7670" max="7670" width="5.140625" style="3" customWidth="1"/>
    <col min="7671" max="7902" width="11.42578125" style="3"/>
    <col min="7903" max="7903" width="23.7109375" style="3" customWidth="1"/>
    <col min="7904" max="7904" width="0" style="3" hidden="1" customWidth="1"/>
    <col min="7905" max="7905" width="41.42578125" style="3" customWidth="1"/>
    <col min="7906" max="7906" width="19.140625" style="3" customWidth="1"/>
    <col min="7907" max="7907" width="6.28515625" style="3" customWidth="1"/>
    <col min="7908" max="7908" width="6" style="3" customWidth="1"/>
    <col min="7909" max="7909" width="7.42578125" style="3" customWidth="1"/>
    <col min="7910" max="7910" width="5.7109375" style="3" customWidth="1"/>
    <col min="7911" max="7911" width="5.28515625" style="3" customWidth="1"/>
    <col min="7912" max="7912" width="10" style="3" customWidth="1"/>
    <col min="7913" max="7913" width="6.28515625" style="3" customWidth="1"/>
    <col min="7914" max="7914" width="8.28515625" style="3" customWidth="1"/>
    <col min="7915" max="7915" width="12.42578125" style="3" customWidth="1"/>
    <col min="7916" max="7916" width="5.28515625" style="3" customWidth="1"/>
    <col min="7917" max="7917" width="10.85546875" style="3" customWidth="1"/>
    <col min="7918" max="7918" width="4.85546875" style="3" customWidth="1"/>
    <col min="7919" max="7919" width="5.140625" style="3" customWidth="1"/>
    <col min="7920" max="7920" width="10.5703125" style="3" customWidth="1"/>
    <col min="7921" max="7921" width="6.28515625" style="3" customWidth="1"/>
    <col min="7922" max="7922" width="6.5703125" style="3" customWidth="1"/>
    <col min="7923" max="7923" width="7.42578125" style="3" customWidth="1"/>
    <col min="7924" max="7924" width="6.85546875" style="3" customWidth="1"/>
    <col min="7925" max="7925" width="10.7109375" style="3" customWidth="1"/>
    <col min="7926" max="7926" width="5.140625" style="3" customWidth="1"/>
    <col min="7927" max="8158" width="11.42578125" style="3"/>
    <col min="8159" max="8159" width="23.7109375" style="3" customWidth="1"/>
    <col min="8160" max="8160" width="0" style="3" hidden="1" customWidth="1"/>
    <col min="8161" max="8161" width="41.42578125" style="3" customWidth="1"/>
    <col min="8162" max="8162" width="19.140625" style="3" customWidth="1"/>
    <col min="8163" max="8163" width="6.28515625" style="3" customWidth="1"/>
    <col min="8164" max="8164" width="6" style="3" customWidth="1"/>
    <col min="8165" max="8165" width="7.42578125" style="3" customWidth="1"/>
    <col min="8166" max="8166" width="5.7109375" style="3" customWidth="1"/>
    <col min="8167" max="8167" width="5.28515625" style="3" customWidth="1"/>
    <col min="8168" max="8168" width="10" style="3" customWidth="1"/>
    <col min="8169" max="8169" width="6.28515625" style="3" customWidth="1"/>
    <col min="8170" max="8170" width="8.28515625" style="3" customWidth="1"/>
    <col min="8171" max="8171" width="12.42578125" style="3" customWidth="1"/>
    <col min="8172" max="8172" width="5.28515625" style="3" customWidth="1"/>
    <col min="8173" max="8173" width="10.85546875" style="3" customWidth="1"/>
    <col min="8174" max="8174" width="4.85546875" style="3" customWidth="1"/>
    <col min="8175" max="8175" width="5.140625" style="3" customWidth="1"/>
    <col min="8176" max="8176" width="10.5703125" style="3" customWidth="1"/>
    <col min="8177" max="8177" width="6.28515625" style="3" customWidth="1"/>
    <col min="8178" max="8178" width="6.5703125" style="3" customWidth="1"/>
    <col min="8179" max="8179" width="7.42578125" style="3" customWidth="1"/>
    <col min="8180" max="8180" width="6.85546875" style="3" customWidth="1"/>
    <col min="8181" max="8181" width="10.7109375" style="3" customWidth="1"/>
    <col min="8182" max="8182" width="5.140625" style="3" customWidth="1"/>
    <col min="8183" max="8414" width="11.42578125" style="3"/>
    <col min="8415" max="8415" width="23.7109375" style="3" customWidth="1"/>
    <col min="8416" max="8416" width="0" style="3" hidden="1" customWidth="1"/>
    <col min="8417" max="8417" width="41.42578125" style="3" customWidth="1"/>
    <col min="8418" max="8418" width="19.140625" style="3" customWidth="1"/>
    <col min="8419" max="8419" width="6.28515625" style="3" customWidth="1"/>
    <col min="8420" max="8420" width="6" style="3" customWidth="1"/>
    <col min="8421" max="8421" width="7.42578125" style="3" customWidth="1"/>
    <col min="8422" max="8422" width="5.7109375" style="3" customWidth="1"/>
    <col min="8423" max="8423" width="5.28515625" style="3" customWidth="1"/>
    <col min="8424" max="8424" width="10" style="3" customWidth="1"/>
    <col min="8425" max="8425" width="6.28515625" style="3" customWidth="1"/>
    <col min="8426" max="8426" width="8.28515625" style="3" customWidth="1"/>
    <col min="8427" max="8427" width="12.42578125" style="3" customWidth="1"/>
    <col min="8428" max="8428" width="5.28515625" style="3" customWidth="1"/>
    <col min="8429" max="8429" width="10.85546875" style="3" customWidth="1"/>
    <col min="8430" max="8430" width="4.85546875" style="3" customWidth="1"/>
    <col min="8431" max="8431" width="5.140625" style="3" customWidth="1"/>
    <col min="8432" max="8432" width="10.5703125" style="3" customWidth="1"/>
    <col min="8433" max="8433" width="6.28515625" style="3" customWidth="1"/>
    <col min="8434" max="8434" width="6.5703125" style="3" customWidth="1"/>
    <col min="8435" max="8435" width="7.42578125" style="3" customWidth="1"/>
    <col min="8436" max="8436" width="6.85546875" style="3" customWidth="1"/>
    <col min="8437" max="8437" width="10.7109375" style="3" customWidth="1"/>
    <col min="8438" max="8438" width="5.140625" style="3" customWidth="1"/>
    <col min="8439" max="8670" width="11.42578125" style="3"/>
    <col min="8671" max="8671" width="23.7109375" style="3" customWidth="1"/>
    <col min="8672" max="8672" width="0" style="3" hidden="1" customWidth="1"/>
    <col min="8673" max="8673" width="41.42578125" style="3" customWidth="1"/>
    <col min="8674" max="8674" width="19.140625" style="3" customWidth="1"/>
    <col min="8675" max="8675" width="6.28515625" style="3" customWidth="1"/>
    <col min="8676" max="8676" width="6" style="3" customWidth="1"/>
    <col min="8677" max="8677" width="7.42578125" style="3" customWidth="1"/>
    <col min="8678" max="8678" width="5.7109375" style="3" customWidth="1"/>
    <col min="8679" max="8679" width="5.28515625" style="3" customWidth="1"/>
    <col min="8680" max="8680" width="10" style="3" customWidth="1"/>
    <col min="8681" max="8681" width="6.28515625" style="3" customWidth="1"/>
    <col min="8682" max="8682" width="8.28515625" style="3" customWidth="1"/>
    <col min="8683" max="8683" width="12.42578125" style="3" customWidth="1"/>
    <col min="8684" max="8684" width="5.28515625" style="3" customWidth="1"/>
    <col min="8685" max="8685" width="10.85546875" style="3" customWidth="1"/>
    <col min="8686" max="8686" width="4.85546875" style="3" customWidth="1"/>
    <col min="8687" max="8687" width="5.140625" style="3" customWidth="1"/>
    <col min="8688" max="8688" width="10.5703125" style="3" customWidth="1"/>
    <col min="8689" max="8689" width="6.28515625" style="3" customWidth="1"/>
    <col min="8690" max="8690" width="6.5703125" style="3" customWidth="1"/>
    <col min="8691" max="8691" width="7.42578125" style="3" customWidth="1"/>
    <col min="8692" max="8692" width="6.85546875" style="3" customWidth="1"/>
    <col min="8693" max="8693" width="10.7109375" style="3" customWidth="1"/>
    <col min="8694" max="8694" width="5.140625" style="3" customWidth="1"/>
    <col min="8695" max="8926" width="11.42578125" style="3"/>
    <col min="8927" max="8927" width="23.7109375" style="3" customWidth="1"/>
    <col min="8928" max="8928" width="0" style="3" hidden="1" customWidth="1"/>
    <col min="8929" max="8929" width="41.42578125" style="3" customWidth="1"/>
    <col min="8930" max="8930" width="19.140625" style="3" customWidth="1"/>
    <col min="8931" max="8931" width="6.28515625" style="3" customWidth="1"/>
    <col min="8932" max="8932" width="6" style="3" customWidth="1"/>
    <col min="8933" max="8933" width="7.42578125" style="3" customWidth="1"/>
    <col min="8934" max="8934" width="5.7109375" style="3" customWidth="1"/>
    <col min="8935" max="8935" width="5.28515625" style="3" customWidth="1"/>
    <col min="8936" max="8936" width="10" style="3" customWidth="1"/>
    <col min="8937" max="8937" width="6.28515625" style="3" customWidth="1"/>
    <col min="8938" max="8938" width="8.28515625" style="3" customWidth="1"/>
    <col min="8939" max="8939" width="12.42578125" style="3" customWidth="1"/>
    <col min="8940" max="8940" width="5.28515625" style="3" customWidth="1"/>
    <col min="8941" max="8941" width="10.85546875" style="3" customWidth="1"/>
    <col min="8942" max="8942" width="4.85546875" style="3" customWidth="1"/>
    <col min="8943" max="8943" width="5.140625" style="3" customWidth="1"/>
    <col min="8944" max="8944" width="10.5703125" style="3" customWidth="1"/>
    <col min="8945" max="8945" width="6.28515625" style="3" customWidth="1"/>
    <col min="8946" max="8946" width="6.5703125" style="3" customWidth="1"/>
    <col min="8947" max="8947" width="7.42578125" style="3" customWidth="1"/>
    <col min="8948" max="8948" width="6.85546875" style="3" customWidth="1"/>
    <col min="8949" max="8949" width="10.7109375" style="3" customWidth="1"/>
    <col min="8950" max="8950" width="5.140625" style="3" customWidth="1"/>
    <col min="8951" max="9182" width="11.42578125" style="3"/>
    <col min="9183" max="9183" width="23.7109375" style="3" customWidth="1"/>
    <col min="9184" max="9184" width="0" style="3" hidden="1" customWidth="1"/>
    <col min="9185" max="9185" width="41.42578125" style="3" customWidth="1"/>
    <col min="9186" max="9186" width="19.140625" style="3" customWidth="1"/>
    <col min="9187" max="9187" width="6.28515625" style="3" customWidth="1"/>
    <col min="9188" max="9188" width="6" style="3" customWidth="1"/>
    <col min="9189" max="9189" width="7.42578125" style="3" customWidth="1"/>
    <col min="9190" max="9190" width="5.7109375" style="3" customWidth="1"/>
    <col min="9191" max="9191" width="5.28515625" style="3" customWidth="1"/>
    <col min="9192" max="9192" width="10" style="3" customWidth="1"/>
    <col min="9193" max="9193" width="6.28515625" style="3" customWidth="1"/>
    <col min="9194" max="9194" width="8.28515625" style="3" customWidth="1"/>
    <col min="9195" max="9195" width="12.42578125" style="3" customWidth="1"/>
    <col min="9196" max="9196" width="5.28515625" style="3" customWidth="1"/>
    <col min="9197" max="9197" width="10.85546875" style="3" customWidth="1"/>
    <col min="9198" max="9198" width="4.85546875" style="3" customWidth="1"/>
    <col min="9199" max="9199" width="5.140625" style="3" customWidth="1"/>
    <col min="9200" max="9200" width="10.5703125" style="3" customWidth="1"/>
    <col min="9201" max="9201" width="6.28515625" style="3" customWidth="1"/>
    <col min="9202" max="9202" width="6.5703125" style="3" customWidth="1"/>
    <col min="9203" max="9203" width="7.42578125" style="3" customWidth="1"/>
    <col min="9204" max="9204" width="6.85546875" style="3" customWidth="1"/>
    <col min="9205" max="9205" width="10.7109375" style="3" customWidth="1"/>
    <col min="9206" max="9206" width="5.140625" style="3" customWidth="1"/>
    <col min="9207" max="9438" width="11.42578125" style="3"/>
    <col min="9439" max="9439" width="23.7109375" style="3" customWidth="1"/>
    <col min="9440" max="9440" width="0" style="3" hidden="1" customWidth="1"/>
    <col min="9441" max="9441" width="41.42578125" style="3" customWidth="1"/>
    <col min="9442" max="9442" width="19.140625" style="3" customWidth="1"/>
    <col min="9443" max="9443" width="6.28515625" style="3" customWidth="1"/>
    <col min="9444" max="9444" width="6" style="3" customWidth="1"/>
    <col min="9445" max="9445" width="7.42578125" style="3" customWidth="1"/>
    <col min="9446" max="9446" width="5.7109375" style="3" customWidth="1"/>
    <col min="9447" max="9447" width="5.28515625" style="3" customWidth="1"/>
    <col min="9448" max="9448" width="10" style="3" customWidth="1"/>
    <col min="9449" max="9449" width="6.28515625" style="3" customWidth="1"/>
    <col min="9450" max="9450" width="8.28515625" style="3" customWidth="1"/>
    <col min="9451" max="9451" width="12.42578125" style="3" customWidth="1"/>
    <col min="9452" max="9452" width="5.28515625" style="3" customWidth="1"/>
    <col min="9453" max="9453" width="10.85546875" style="3" customWidth="1"/>
    <col min="9454" max="9454" width="4.85546875" style="3" customWidth="1"/>
    <col min="9455" max="9455" width="5.140625" style="3" customWidth="1"/>
    <col min="9456" max="9456" width="10.5703125" style="3" customWidth="1"/>
    <col min="9457" max="9457" width="6.28515625" style="3" customWidth="1"/>
    <col min="9458" max="9458" width="6.5703125" style="3" customWidth="1"/>
    <col min="9459" max="9459" width="7.42578125" style="3" customWidth="1"/>
    <col min="9460" max="9460" width="6.85546875" style="3" customWidth="1"/>
    <col min="9461" max="9461" width="10.7109375" style="3" customWidth="1"/>
    <col min="9462" max="9462" width="5.140625" style="3" customWidth="1"/>
    <col min="9463" max="9694" width="11.42578125" style="3"/>
    <col min="9695" max="9695" width="23.7109375" style="3" customWidth="1"/>
    <col min="9696" max="9696" width="0" style="3" hidden="1" customWidth="1"/>
    <col min="9697" max="9697" width="41.42578125" style="3" customWidth="1"/>
    <col min="9698" max="9698" width="19.140625" style="3" customWidth="1"/>
    <col min="9699" max="9699" width="6.28515625" style="3" customWidth="1"/>
    <col min="9700" max="9700" width="6" style="3" customWidth="1"/>
    <col min="9701" max="9701" width="7.42578125" style="3" customWidth="1"/>
    <col min="9702" max="9702" width="5.7109375" style="3" customWidth="1"/>
    <col min="9703" max="9703" width="5.28515625" style="3" customWidth="1"/>
    <col min="9704" max="9704" width="10" style="3" customWidth="1"/>
    <col min="9705" max="9705" width="6.28515625" style="3" customWidth="1"/>
    <col min="9706" max="9706" width="8.28515625" style="3" customWidth="1"/>
    <col min="9707" max="9707" width="12.42578125" style="3" customWidth="1"/>
    <col min="9708" max="9708" width="5.28515625" style="3" customWidth="1"/>
    <col min="9709" max="9709" width="10.85546875" style="3" customWidth="1"/>
    <col min="9710" max="9710" width="4.85546875" style="3" customWidth="1"/>
    <col min="9711" max="9711" width="5.140625" style="3" customWidth="1"/>
    <col min="9712" max="9712" width="10.5703125" style="3" customWidth="1"/>
    <col min="9713" max="9713" width="6.28515625" style="3" customWidth="1"/>
    <col min="9714" max="9714" width="6.5703125" style="3" customWidth="1"/>
    <col min="9715" max="9715" width="7.42578125" style="3" customWidth="1"/>
    <col min="9716" max="9716" width="6.85546875" style="3" customWidth="1"/>
    <col min="9717" max="9717" width="10.7109375" style="3" customWidth="1"/>
    <col min="9718" max="9718" width="5.140625" style="3" customWidth="1"/>
    <col min="9719" max="9950" width="11.42578125" style="3"/>
    <col min="9951" max="9951" width="23.7109375" style="3" customWidth="1"/>
    <col min="9952" max="9952" width="0" style="3" hidden="1" customWidth="1"/>
    <col min="9953" max="9953" width="41.42578125" style="3" customWidth="1"/>
    <col min="9954" max="9954" width="19.140625" style="3" customWidth="1"/>
    <col min="9955" max="9955" width="6.28515625" style="3" customWidth="1"/>
    <col min="9956" max="9956" width="6" style="3" customWidth="1"/>
    <col min="9957" max="9957" width="7.42578125" style="3" customWidth="1"/>
    <col min="9958" max="9958" width="5.7109375" style="3" customWidth="1"/>
    <col min="9959" max="9959" width="5.28515625" style="3" customWidth="1"/>
    <col min="9960" max="9960" width="10" style="3" customWidth="1"/>
    <col min="9961" max="9961" width="6.28515625" style="3" customWidth="1"/>
    <col min="9962" max="9962" width="8.28515625" style="3" customWidth="1"/>
    <col min="9963" max="9963" width="12.42578125" style="3" customWidth="1"/>
    <col min="9964" max="9964" width="5.28515625" style="3" customWidth="1"/>
    <col min="9965" max="9965" width="10.85546875" style="3" customWidth="1"/>
    <col min="9966" max="9966" width="4.85546875" style="3" customWidth="1"/>
    <col min="9967" max="9967" width="5.140625" style="3" customWidth="1"/>
    <col min="9968" max="9968" width="10.5703125" style="3" customWidth="1"/>
    <col min="9969" max="9969" width="6.28515625" style="3" customWidth="1"/>
    <col min="9970" max="9970" width="6.5703125" style="3" customWidth="1"/>
    <col min="9971" max="9971" width="7.42578125" style="3" customWidth="1"/>
    <col min="9972" max="9972" width="6.85546875" style="3" customWidth="1"/>
    <col min="9973" max="9973" width="10.7109375" style="3" customWidth="1"/>
    <col min="9974" max="9974" width="5.140625" style="3" customWidth="1"/>
    <col min="9975" max="10206" width="11.42578125" style="3"/>
    <col min="10207" max="10207" width="23.7109375" style="3" customWidth="1"/>
    <col min="10208" max="10208" width="0" style="3" hidden="1" customWidth="1"/>
    <col min="10209" max="10209" width="41.42578125" style="3" customWidth="1"/>
    <col min="10210" max="10210" width="19.140625" style="3" customWidth="1"/>
    <col min="10211" max="10211" width="6.28515625" style="3" customWidth="1"/>
    <col min="10212" max="10212" width="6" style="3" customWidth="1"/>
    <col min="10213" max="10213" width="7.42578125" style="3" customWidth="1"/>
    <col min="10214" max="10214" width="5.7109375" style="3" customWidth="1"/>
    <col min="10215" max="10215" width="5.28515625" style="3" customWidth="1"/>
    <col min="10216" max="10216" width="10" style="3" customWidth="1"/>
    <col min="10217" max="10217" width="6.28515625" style="3" customWidth="1"/>
    <col min="10218" max="10218" width="8.28515625" style="3" customWidth="1"/>
    <col min="10219" max="10219" width="12.42578125" style="3" customWidth="1"/>
    <col min="10220" max="10220" width="5.28515625" style="3" customWidth="1"/>
    <col min="10221" max="10221" width="10.85546875" style="3" customWidth="1"/>
    <col min="10222" max="10222" width="4.85546875" style="3" customWidth="1"/>
    <col min="10223" max="10223" width="5.140625" style="3" customWidth="1"/>
    <col min="10224" max="10224" width="10.5703125" style="3" customWidth="1"/>
    <col min="10225" max="10225" width="6.28515625" style="3" customWidth="1"/>
    <col min="10226" max="10226" width="6.5703125" style="3" customWidth="1"/>
    <col min="10227" max="10227" width="7.42578125" style="3" customWidth="1"/>
    <col min="10228" max="10228" width="6.85546875" style="3" customWidth="1"/>
    <col min="10229" max="10229" width="10.7109375" style="3" customWidth="1"/>
    <col min="10230" max="10230" width="5.140625" style="3" customWidth="1"/>
    <col min="10231" max="10462" width="11.42578125" style="3"/>
    <col min="10463" max="10463" width="23.7109375" style="3" customWidth="1"/>
    <col min="10464" max="10464" width="0" style="3" hidden="1" customWidth="1"/>
    <col min="10465" max="10465" width="41.42578125" style="3" customWidth="1"/>
    <col min="10466" max="10466" width="19.140625" style="3" customWidth="1"/>
    <col min="10467" max="10467" width="6.28515625" style="3" customWidth="1"/>
    <col min="10468" max="10468" width="6" style="3" customWidth="1"/>
    <col min="10469" max="10469" width="7.42578125" style="3" customWidth="1"/>
    <col min="10470" max="10470" width="5.7109375" style="3" customWidth="1"/>
    <col min="10471" max="10471" width="5.28515625" style="3" customWidth="1"/>
    <col min="10472" max="10472" width="10" style="3" customWidth="1"/>
    <col min="10473" max="10473" width="6.28515625" style="3" customWidth="1"/>
    <col min="10474" max="10474" width="8.28515625" style="3" customWidth="1"/>
    <col min="10475" max="10475" width="12.42578125" style="3" customWidth="1"/>
    <col min="10476" max="10476" width="5.28515625" style="3" customWidth="1"/>
    <col min="10477" max="10477" width="10.85546875" style="3" customWidth="1"/>
    <col min="10478" max="10478" width="4.85546875" style="3" customWidth="1"/>
    <col min="10479" max="10479" width="5.140625" style="3" customWidth="1"/>
    <col min="10480" max="10480" width="10.5703125" style="3" customWidth="1"/>
    <col min="10481" max="10481" width="6.28515625" style="3" customWidth="1"/>
    <col min="10482" max="10482" width="6.5703125" style="3" customWidth="1"/>
    <col min="10483" max="10483" width="7.42578125" style="3" customWidth="1"/>
    <col min="10484" max="10484" width="6.85546875" style="3" customWidth="1"/>
    <col min="10485" max="10485" width="10.7109375" style="3" customWidth="1"/>
    <col min="10486" max="10486" width="5.140625" style="3" customWidth="1"/>
    <col min="10487" max="10718" width="11.42578125" style="3"/>
    <col min="10719" max="10719" width="23.7109375" style="3" customWidth="1"/>
    <col min="10720" max="10720" width="0" style="3" hidden="1" customWidth="1"/>
    <col min="10721" max="10721" width="41.42578125" style="3" customWidth="1"/>
    <col min="10722" max="10722" width="19.140625" style="3" customWidth="1"/>
    <col min="10723" max="10723" width="6.28515625" style="3" customWidth="1"/>
    <col min="10724" max="10724" width="6" style="3" customWidth="1"/>
    <col min="10725" max="10725" width="7.42578125" style="3" customWidth="1"/>
    <col min="10726" max="10726" width="5.7109375" style="3" customWidth="1"/>
    <col min="10727" max="10727" width="5.28515625" style="3" customWidth="1"/>
    <col min="10728" max="10728" width="10" style="3" customWidth="1"/>
    <col min="10729" max="10729" width="6.28515625" style="3" customWidth="1"/>
    <col min="10730" max="10730" width="8.28515625" style="3" customWidth="1"/>
    <col min="10731" max="10731" width="12.42578125" style="3" customWidth="1"/>
    <col min="10732" max="10732" width="5.28515625" style="3" customWidth="1"/>
    <col min="10733" max="10733" width="10.85546875" style="3" customWidth="1"/>
    <col min="10734" max="10734" width="4.85546875" style="3" customWidth="1"/>
    <col min="10735" max="10735" width="5.140625" style="3" customWidth="1"/>
    <col min="10736" max="10736" width="10.5703125" style="3" customWidth="1"/>
    <col min="10737" max="10737" width="6.28515625" style="3" customWidth="1"/>
    <col min="10738" max="10738" width="6.5703125" style="3" customWidth="1"/>
    <col min="10739" max="10739" width="7.42578125" style="3" customWidth="1"/>
    <col min="10740" max="10740" width="6.85546875" style="3" customWidth="1"/>
    <col min="10741" max="10741" width="10.7109375" style="3" customWidth="1"/>
    <col min="10742" max="10742" width="5.140625" style="3" customWidth="1"/>
    <col min="10743" max="10974" width="11.42578125" style="3"/>
    <col min="10975" max="10975" width="23.7109375" style="3" customWidth="1"/>
    <col min="10976" max="10976" width="0" style="3" hidden="1" customWidth="1"/>
    <col min="10977" max="10977" width="41.42578125" style="3" customWidth="1"/>
    <col min="10978" max="10978" width="19.140625" style="3" customWidth="1"/>
    <col min="10979" max="10979" width="6.28515625" style="3" customWidth="1"/>
    <col min="10980" max="10980" width="6" style="3" customWidth="1"/>
    <col min="10981" max="10981" width="7.42578125" style="3" customWidth="1"/>
    <col min="10982" max="10982" width="5.7109375" style="3" customWidth="1"/>
    <col min="10983" max="10983" width="5.28515625" style="3" customWidth="1"/>
    <col min="10984" max="10984" width="10" style="3" customWidth="1"/>
    <col min="10985" max="10985" width="6.28515625" style="3" customWidth="1"/>
    <col min="10986" max="10986" width="8.28515625" style="3" customWidth="1"/>
    <col min="10987" max="10987" width="12.42578125" style="3" customWidth="1"/>
    <col min="10988" max="10988" width="5.28515625" style="3" customWidth="1"/>
    <col min="10989" max="10989" width="10.85546875" style="3" customWidth="1"/>
    <col min="10990" max="10990" width="4.85546875" style="3" customWidth="1"/>
    <col min="10991" max="10991" width="5.140625" style="3" customWidth="1"/>
    <col min="10992" max="10992" width="10.5703125" style="3" customWidth="1"/>
    <col min="10993" max="10993" width="6.28515625" style="3" customWidth="1"/>
    <col min="10994" max="10994" width="6.5703125" style="3" customWidth="1"/>
    <col min="10995" max="10995" width="7.42578125" style="3" customWidth="1"/>
    <col min="10996" max="10996" width="6.85546875" style="3" customWidth="1"/>
    <col min="10997" max="10997" width="10.7109375" style="3" customWidth="1"/>
    <col min="10998" max="10998" width="5.140625" style="3" customWidth="1"/>
    <col min="10999" max="11230" width="11.42578125" style="3"/>
    <col min="11231" max="11231" width="23.7109375" style="3" customWidth="1"/>
    <col min="11232" max="11232" width="0" style="3" hidden="1" customWidth="1"/>
    <col min="11233" max="11233" width="41.42578125" style="3" customWidth="1"/>
    <col min="11234" max="11234" width="19.140625" style="3" customWidth="1"/>
    <col min="11235" max="11235" width="6.28515625" style="3" customWidth="1"/>
    <col min="11236" max="11236" width="6" style="3" customWidth="1"/>
    <col min="11237" max="11237" width="7.42578125" style="3" customWidth="1"/>
    <col min="11238" max="11238" width="5.7109375" style="3" customWidth="1"/>
    <col min="11239" max="11239" width="5.28515625" style="3" customWidth="1"/>
    <col min="11240" max="11240" width="10" style="3" customWidth="1"/>
    <col min="11241" max="11241" width="6.28515625" style="3" customWidth="1"/>
    <col min="11242" max="11242" width="8.28515625" style="3" customWidth="1"/>
    <col min="11243" max="11243" width="12.42578125" style="3" customWidth="1"/>
    <col min="11244" max="11244" width="5.28515625" style="3" customWidth="1"/>
    <col min="11245" max="11245" width="10.85546875" style="3" customWidth="1"/>
    <col min="11246" max="11246" width="4.85546875" style="3" customWidth="1"/>
    <col min="11247" max="11247" width="5.140625" style="3" customWidth="1"/>
    <col min="11248" max="11248" width="10.5703125" style="3" customWidth="1"/>
    <col min="11249" max="11249" width="6.28515625" style="3" customWidth="1"/>
    <col min="11250" max="11250" width="6.5703125" style="3" customWidth="1"/>
    <col min="11251" max="11251" width="7.42578125" style="3" customWidth="1"/>
    <col min="11252" max="11252" width="6.85546875" style="3" customWidth="1"/>
    <col min="11253" max="11253" width="10.7109375" style="3" customWidth="1"/>
    <col min="11254" max="11254" width="5.140625" style="3" customWidth="1"/>
    <col min="11255" max="11486" width="11.42578125" style="3"/>
    <col min="11487" max="11487" width="23.7109375" style="3" customWidth="1"/>
    <col min="11488" max="11488" width="0" style="3" hidden="1" customWidth="1"/>
    <col min="11489" max="11489" width="41.42578125" style="3" customWidth="1"/>
    <col min="11490" max="11490" width="19.140625" style="3" customWidth="1"/>
    <col min="11491" max="11491" width="6.28515625" style="3" customWidth="1"/>
    <col min="11492" max="11492" width="6" style="3" customWidth="1"/>
    <col min="11493" max="11493" width="7.42578125" style="3" customWidth="1"/>
    <col min="11494" max="11494" width="5.7109375" style="3" customWidth="1"/>
    <col min="11495" max="11495" width="5.28515625" style="3" customWidth="1"/>
    <col min="11496" max="11496" width="10" style="3" customWidth="1"/>
    <col min="11497" max="11497" width="6.28515625" style="3" customWidth="1"/>
    <col min="11498" max="11498" width="8.28515625" style="3" customWidth="1"/>
    <col min="11499" max="11499" width="12.42578125" style="3" customWidth="1"/>
    <col min="11500" max="11500" width="5.28515625" style="3" customWidth="1"/>
    <col min="11501" max="11501" width="10.85546875" style="3" customWidth="1"/>
    <col min="11502" max="11502" width="4.85546875" style="3" customWidth="1"/>
    <col min="11503" max="11503" width="5.140625" style="3" customWidth="1"/>
    <col min="11504" max="11504" width="10.5703125" style="3" customWidth="1"/>
    <col min="11505" max="11505" width="6.28515625" style="3" customWidth="1"/>
    <col min="11506" max="11506" width="6.5703125" style="3" customWidth="1"/>
    <col min="11507" max="11507" width="7.42578125" style="3" customWidth="1"/>
    <col min="11508" max="11508" width="6.85546875" style="3" customWidth="1"/>
    <col min="11509" max="11509" width="10.7109375" style="3" customWidth="1"/>
    <col min="11510" max="11510" width="5.140625" style="3" customWidth="1"/>
    <col min="11511" max="11742" width="11.42578125" style="3"/>
    <col min="11743" max="11743" width="23.7109375" style="3" customWidth="1"/>
    <col min="11744" max="11744" width="0" style="3" hidden="1" customWidth="1"/>
    <col min="11745" max="11745" width="41.42578125" style="3" customWidth="1"/>
    <col min="11746" max="11746" width="19.140625" style="3" customWidth="1"/>
    <col min="11747" max="11747" width="6.28515625" style="3" customWidth="1"/>
    <col min="11748" max="11748" width="6" style="3" customWidth="1"/>
    <col min="11749" max="11749" width="7.42578125" style="3" customWidth="1"/>
    <col min="11750" max="11750" width="5.7109375" style="3" customWidth="1"/>
    <col min="11751" max="11751" width="5.28515625" style="3" customWidth="1"/>
    <col min="11752" max="11752" width="10" style="3" customWidth="1"/>
    <col min="11753" max="11753" width="6.28515625" style="3" customWidth="1"/>
    <col min="11754" max="11754" width="8.28515625" style="3" customWidth="1"/>
    <col min="11755" max="11755" width="12.42578125" style="3" customWidth="1"/>
    <col min="11756" max="11756" width="5.28515625" style="3" customWidth="1"/>
    <col min="11757" max="11757" width="10.85546875" style="3" customWidth="1"/>
    <col min="11758" max="11758" width="4.85546875" style="3" customWidth="1"/>
    <col min="11759" max="11759" width="5.140625" style="3" customWidth="1"/>
    <col min="11760" max="11760" width="10.5703125" style="3" customWidth="1"/>
    <col min="11761" max="11761" width="6.28515625" style="3" customWidth="1"/>
    <col min="11762" max="11762" width="6.5703125" style="3" customWidth="1"/>
    <col min="11763" max="11763" width="7.42578125" style="3" customWidth="1"/>
    <col min="11764" max="11764" width="6.85546875" style="3" customWidth="1"/>
    <col min="11765" max="11765" width="10.7109375" style="3" customWidth="1"/>
    <col min="11766" max="11766" width="5.140625" style="3" customWidth="1"/>
    <col min="11767" max="11998" width="11.42578125" style="3"/>
    <col min="11999" max="11999" width="23.7109375" style="3" customWidth="1"/>
    <col min="12000" max="12000" width="0" style="3" hidden="1" customWidth="1"/>
    <col min="12001" max="12001" width="41.42578125" style="3" customWidth="1"/>
    <col min="12002" max="12002" width="19.140625" style="3" customWidth="1"/>
    <col min="12003" max="12003" width="6.28515625" style="3" customWidth="1"/>
    <col min="12004" max="12004" width="6" style="3" customWidth="1"/>
    <col min="12005" max="12005" width="7.42578125" style="3" customWidth="1"/>
    <col min="12006" max="12006" width="5.7109375" style="3" customWidth="1"/>
    <col min="12007" max="12007" width="5.28515625" style="3" customWidth="1"/>
    <col min="12008" max="12008" width="10" style="3" customWidth="1"/>
    <col min="12009" max="12009" width="6.28515625" style="3" customWidth="1"/>
    <col min="12010" max="12010" width="8.28515625" style="3" customWidth="1"/>
    <col min="12011" max="12011" width="12.42578125" style="3" customWidth="1"/>
    <col min="12012" max="12012" width="5.28515625" style="3" customWidth="1"/>
    <col min="12013" max="12013" width="10.85546875" style="3" customWidth="1"/>
    <col min="12014" max="12014" width="4.85546875" style="3" customWidth="1"/>
    <col min="12015" max="12015" width="5.140625" style="3" customWidth="1"/>
    <col min="12016" max="12016" width="10.5703125" style="3" customWidth="1"/>
    <col min="12017" max="12017" width="6.28515625" style="3" customWidth="1"/>
    <col min="12018" max="12018" width="6.5703125" style="3" customWidth="1"/>
    <col min="12019" max="12019" width="7.42578125" style="3" customWidth="1"/>
    <col min="12020" max="12020" width="6.85546875" style="3" customWidth="1"/>
    <col min="12021" max="12021" width="10.7109375" style="3" customWidth="1"/>
    <col min="12022" max="12022" width="5.140625" style="3" customWidth="1"/>
    <col min="12023" max="12254" width="11.42578125" style="3"/>
    <col min="12255" max="12255" width="23.7109375" style="3" customWidth="1"/>
    <col min="12256" max="12256" width="0" style="3" hidden="1" customWidth="1"/>
    <col min="12257" max="12257" width="41.42578125" style="3" customWidth="1"/>
    <col min="12258" max="12258" width="19.140625" style="3" customWidth="1"/>
    <col min="12259" max="12259" width="6.28515625" style="3" customWidth="1"/>
    <col min="12260" max="12260" width="6" style="3" customWidth="1"/>
    <col min="12261" max="12261" width="7.42578125" style="3" customWidth="1"/>
    <col min="12262" max="12262" width="5.7109375" style="3" customWidth="1"/>
    <col min="12263" max="12263" width="5.28515625" style="3" customWidth="1"/>
    <col min="12264" max="12264" width="10" style="3" customWidth="1"/>
    <col min="12265" max="12265" width="6.28515625" style="3" customWidth="1"/>
    <col min="12266" max="12266" width="8.28515625" style="3" customWidth="1"/>
    <col min="12267" max="12267" width="12.42578125" style="3" customWidth="1"/>
    <col min="12268" max="12268" width="5.28515625" style="3" customWidth="1"/>
    <col min="12269" max="12269" width="10.85546875" style="3" customWidth="1"/>
    <col min="12270" max="12270" width="4.85546875" style="3" customWidth="1"/>
    <col min="12271" max="12271" width="5.140625" style="3" customWidth="1"/>
    <col min="12272" max="12272" width="10.5703125" style="3" customWidth="1"/>
    <col min="12273" max="12273" width="6.28515625" style="3" customWidth="1"/>
    <col min="12274" max="12274" width="6.5703125" style="3" customWidth="1"/>
    <col min="12275" max="12275" width="7.42578125" style="3" customWidth="1"/>
    <col min="12276" max="12276" width="6.85546875" style="3" customWidth="1"/>
    <col min="12277" max="12277" width="10.7109375" style="3" customWidth="1"/>
    <col min="12278" max="12278" width="5.140625" style="3" customWidth="1"/>
    <col min="12279" max="12510" width="11.42578125" style="3"/>
    <col min="12511" max="12511" width="23.7109375" style="3" customWidth="1"/>
    <col min="12512" max="12512" width="0" style="3" hidden="1" customWidth="1"/>
    <col min="12513" max="12513" width="41.42578125" style="3" customWidth="1"/>
    <col min="12514" max="12514" width="19.140625" style="3" customWidth="1"/>
    <col min="12515" max="12515" width="6.28515625" style="3" customWidth="1"/>
    <col min="12516" max="12516" width="6" style="3" customWidth="1"/>
    <col min="12517" max="12517" width="7.42578125" style="3" customWidth="1"/>
    <col min="12518" max="12518" width="5.7109375" style="3" customWidth="1"/>
    <col min="12519" max="12519" width="5.28515625" style="3" customWidth="1"/>
    <col min="12520" max="12520" width="10" style="3" customWidth="1"/>
    <col min="12521" max="12521" width="6.28515625" style="3" customWidth="1"/>
    <col min="12522" max="12522" width="8.28515625" style="3" customWidth="1"/>
    <col min="12523" max="12523" width="12.42578125" style="3" customWidth="1"/>
    <col min="12524" max="12524" width="5.28515625" style="3" customWidth="1"/>
    <col min="12525" max="12525" width="10.85546875" style="3" customWidth="1"/>
    <col min="12526" max="12526" width="4.85546875" style="3" customWidth="1"/>
    <col min="12527" max="12527" width="5.140625" style="3" customWidth="1"/>
    <col min="12528" max="12528" width="10.5703125" style="3" customWidth="1"/>
    <col min="12529" max="12529" width="6.28515625" style="3" customWidth="1"/>
    <col min="12530" max="12530" width="6.5703125" style="3" customWidth="1"/>
    <col min="12531" max="12531" width="7.42578125" style="3" customWidth="1"/>
    <col min="12532" max="12532" width="6.85546875" style="3" customWidth="1"/>
    <col min="12533" max="12533" width="10.7109375" style="3" customWidth="1"/>
    <col min="12534" max="12534" width="5.140625" style="3" customWidth="1"/>
    <col min="12535" max="12766" width="11.42578125" style="3"/>
    <col min="12767" max="12767" width="23.7109375" style="3" customWidth="1"/>
    <col min="12768" max="12768" width="0" style="3" hidden="1" customWidth="1"/>
    <col min="12769" max="12769" width="41.42578125" style="3" customWidth="1"/>
    <col min="12770" max="12770" width="19.140625" style="3" customWidth="1"/>
    <col min="12771" max="12771" width="6.28515625" style="3" customWidth="1"/>
    <col min="12772" max="12772" width="6" style="3" customWidth="1"/>
    <col min="12773" max="12773" width="7.42578125" style="3" customWidth="1"/>
    <col min="12774" max="12774" width="5.7109375" style="3" customWidth="1"/>
    <col min="12775" max="12775" width="5.28515625" style="3" customWidth="1"/>
    <col min="12776" max="12776" width="10" style="3" customWidth="1"/>
    <col min="12777" max="12777" width="6.28515625" style="3" customWidth="1"/>
    <col min="12778" max="12778" width="8.28515625" style="3" customWidth="1"/>
    <col min="12779" max="12779" width="12.42578125" style="3" customWidth="1"/>
    <col min="12780" max="12780" width="5.28515625" style="3" customWidth="1"/>
    <col min="12781" max="12781" width="10.85546875" style="3" customWidth="1"/>
    <col min="12782" max="12782" width="4.85546875" style="3" customWidth="1"/>
    <col min="12783" max="12783" width="5.140625" style="3" customWidth="1"/>
    <col min="12784" max="12784" width="10.5703125" style="3" customWidth="1"/>
    <col min="12785" max="12785" width="6.28515625" style="3" customWidth="1"/>
    <col min="12786" max="12786" width="6.5703125" style="3" customWidth="1"/>
    <col min="12787" max="12787" width="7.42578125" style="3" customWidth="1"/>
    <col min="12788" max="12788" width="6.85546875" style="3" customWidth="1"/>
    <col min="12789" max="12789" width="10.7109375" style="3" customWidth="1"/>
    <col min="12790" max="12790" width="5.140625" style="3" customWidth="1"/>
    <col min="12791" max="13022" width="11.42578125" style="3"/>
    <col min="13023" max="13023" width="23.7109375" style="3" customWidth="1"/>
    <col min="13024" max="13024" width="0" style="3" hidden="1" customWidth="1"/>
    <col min="13025" max="13025" width="41.42578125" style="3" customWidth="1"/>
    <col min="13026" max="13026" width="19.140625" style="3" customWidth="1"/>
    <col min="13027" max="13027" width="6.28515625" style="3" customWidth="1"/>
    <col min="13028" max="13028" width="6" style="3" customWidth="1"/>
    <col min="13029" max="13029" width="7.42578125" style="3" customWidth="1"/>
    <col min="13030" max="13030" width="5.7109375" style="3" customWidth="1"/>
    <col min="13031" max="13031" width="5.28515625" style="3" customWidth="1"/>
    <col min="13032" max="13032" width="10" style="3" customWidth="1"/>
    <col min="13033" max="13033" width="6.28515625" style="3" customWidth="1"/>
    <col min="13034" max="13034" width="8.28515625" style="3" customWidth="1"/>
    <col min="13035" max="13035" width="12.42578125" style="3" customWidth="1"/>
    <col min="13036" max="13036" width="5.28515625" style="3" customWidth="1"/>
    <col min="13037" max="13037" width="10.85546875" style="3" customWidth="1"/>
    <col min="13038" max="13038" width="4.85546875" style="3" customWidth="1"/>
    <col min="13039" max="13039" width="5.140625" style="3" customWidth="1"/>
    <col min="13040" max="13040" width="10.5703125" style="3" customWidth="1"/>
    <col min="13041" max="13041" width="6.28515625" style="3" customWidth="1"/>
    <col min="13042" max="13042" width="6.5703125" style="3" customWidth="1"/>
    <col min="13043" max="13043" width="7.42578125" style="3" customWidth="1"/>
    <col min="13044" max="13044" width="6.85546875" style="3" customWidth="1"/>
    <col min="13045" max="13045" width="10.7109375" style="3" customWidth="1"/>
    <col min="13046" max="13046" width="5.140625" style="3" customWidth="1"/>
    <col min="13047" max="13278" width="11.42578125" style="3"/>
    <col min="13279" max="13279" width="23.7109375" style="3" customWidth="1"/>
    <col min="13280" max="13280" width="0" style="3" hidden="1" customWidth="1"/>
    <col min="13281" max="13281" width="41.42578125" style="3" customWidth="1"/>
    <col min="13282" max="13282" width="19.140625" style="3" customWidth="1"/>
    <col min="13283" max="13283" width="6.28515625" style="3" customWidth="1"/>
    <col min="13284" max="13284" width="6" style="3" customWidth="1"/>
    <col min="13285" max="13285" width="7.42578125" style="3" customWidth="1"/>
    <col min="13286" max="13286" width="5.7109375" style="3" customWidth="1"/>
    <col min="13287" max="13287" width="5.28515625" style="3" customWidth="1"/>
    <col min="13288" max="13288" width="10" style="3" customWidth="1"/>
    <col min="13289" max="13289" width="6.28515625" style="3" customWidth="1"/>
    <col min="13290" max="13290" width="8.28515625" style="3" customWidth="1"/>
    <col min="13291" max="13291" width="12.42578125" style="3" customWidth="1"/>
    <col min="13292" max="13292" width="5.28515625" style="3" customWidth="1"/>
    <col min="13293" max="13293" width="10.85546875" style="3" customWidth="1"/>
    <col min="13294" max="13294" width="4.85546875" style="3" customWidth="1"/>
    <col min="13295" max="13295" width="5.140625" style="3" customWidth="1"/>
    <col min="13296" max="13296" width="10.5703125" style="3" customWidth="1"/>
    <col min="13297" max="13297" width="6.28515625" style="3" customWidth="1"/>
    <col min="13298" max="13298" width="6.5703125" style="3" customWidth="1"/>
    <col min="13299" max="13299" width="7.42578125" style="3" customWidth="1"/>
    <col min="13300" max="13300" width="6.85546875" style="3" customWidth="1"/>
    <col min="13301" max="13301" width="10.7109375" style="3" customWidth="1"/>
    <col min="13302" max="13302" width="5.140625" style="3" customWidth="1"/>
    <col min="13303" max="13534" width="11.42578125" style="3"/>
    <col min="13535" max="13535" width="23.7109375" style="3" customWidth="1"/>
    <col min="13536" max="13536" width="0" style="3" hidden="1" customWidth="1"/>
    <col min="13537" max="13537" width="41.42578125" style="3" customWidth="1"/>
    <col min="13538" max="13538" width="19.140625" style="3" customWidth="1"/>
    <col min="13539" max="13539" width="6.28515625" style="3" customWidth="1"/>
    <col min="13540" max="13540" width="6" style="3" customWidth="1"/>
    <col min="13541" max="13541" width="7.42578125" style="3" customWidth="1"/>
    <col min="13542" max="13542" width="5.7109375" style="3" customWidth="1"/>
    <col min="13543" max="13543" width="5.28515625" style="3" customWidth="1"/>
    <col min="13544" max="13544" width="10" style="3" customWidth="1"/>
    <col min="13545" max="13545" width="6.28515625" style="3" customWidth="1"/>
    <col min="13546" max="13546" width="8.28515625" style="3" customWidth="1"/>
    <col min="13547" max="13547" width="12.42578125" style="3" customWidth="1"/>
    <col min="13548" max="13548" width="5.28515625" style="3" customWidth="1"/>
    <col min="13549" max="13549" width="10.85546875" style="3" customWidth="1"/>
    <col min="13550" max="13550" width="4.85546875" style="3" customWidth="1"/>
    <col min="13551" max="13551" width="5.140625" style="3" customWidth="1"/>
    <col min="13552" max="13552" width="10.5703125" style="3" customWidth="1"/>
    <col min="13553" max="13553" width="6.28515625" style="3" customWidth="1"/>
    <col min="13554" max="13554" width="6.5703125" style="3" customWidth="1"/>
    <col min="13555" max="13555" width="7.42578125" style="3" customWidth="1"/>
    <col min="13556" max="13556" width="6.85546875" style="3" customWidth="1"/>
    <col min="13557" max="13557" width="10.7109375" style="3" customWidth="1"/>
    <col min="13558" max="13558" width="5.140625" style="3" customWidth="1"/>
    <col min="13559" max="13790" width="11.42578125" style="3"/>
    <col min="13791" max="13791" width="23.7109375" style="3" customWidth="1"/>
    <col min="13792" max="13792" width="0" style="3" hidden="1" customWidth="1"/>
    <col min="13793" max="13793" width="41.42578125" style="3" customWidth="1"/>
    <col min="13794" max="13794" width="19.140625" style="3" customWidth="1"/>
    <col min="13795" max="13795" width="6.28515625" style="3" customWidth="1"/>
    <col min="13796" max="13796" width="6" style="3" customWidth="1"/>
    <col min="13797" max="13797" width="7.42578125" style="3" customWidth="1"/>
    <col min="13798" max="13798" width="5.7109375" style="3" customWidth="1"/>
    <col min="13799" max="13799" width="5.28515625" style="3" customWidth="1"/>
    <col min="13800" max="13800" width="10" style="3" customWidth="1"/>
    <col min="13801" max="13801" width="6.28515625" style="3" customWidth="1"/>
    <col min="13802" max="13802" width="8.28515625" style="3" customWidth="1"/>
    <col min="13803" max="13803" width="12.42578125" style="3" customWidth="1"/>
    <col min="13804" max="13804" width="5.28515625" style="3" customWidth="1"/>
    <col min="13805" max="13805" width="10.85546875" style="3" customWidth="1"/>
    <col min="13806" max="13806" width="4.85546875" style="3" customWidth="1"/>
    <col min="13807" max="13807" width="5.140625" style="3" customWidth="1"/>
    <col min="13808" max="13808" width="10.5703125" style="3" customWidth="1"/>
    <col min="13809" max="13809" width="6.28515625" style="3" customWidth="1"/>
    <col min="13810" max="13810" width="6.5703125" style="3" customWidth="1"/>
    <col min="13811" max="13811" width="7.42578125" style="3" customWidth="1"/>
    <col min="13812" max="13812" width="6.85546875" style="3" customWidth="1"/>
    <col min="13813" max="13813" width="10.7109375" style="3" customWidth="1"/>
    <col min="13814" max="13814" width="5.140625" style="3" customWidth="1"/>
    <col min="13815" max="14046" width="11.42578125" style="3"/>
    <col min="14047" max="14047" width="23.7109375" style="3" customWidth="1"/>
    <col min="14048" max="14048" width="0" style="3" hidden="1" customWidth="1"/>
    <col min="14049" max="14049" width="41.42578125" style="3" customWidth="1"/>
    <col min="14050" max="14050" width="19.140625" style="3" customWidth="1"/>
    <col min="14051" max="14051" width="6.28515625" style="3" customWidth="1"/>
    <col min="14052" max="14052" width="6" style="3" customWidth="1"/>
    <col min="14053" max="14053" width="7.42578125" style="3" customWidth="1"/>
    <col min="14054" max="14054" width="5.7109375" style="3" customWidth="1"/>
    <col min="14055" max="14055" width="5.28515625" style="3" customWidth="1"/>
    <col min="14056" max="14056" width="10" style="3" customWidth="1"/>
    <col min="14057" max="14057" width="6.28515625" style="3" customWidth="1"/>
    <col min="14058" max="14058" width="8.28515625" style="3" customWidth="1"/>
    <col min="14059" max="14059" width="12.42578125" style="3" customWidth="1"/>
    <col min="14060" max="14060" width="5.28515625" style="3" customWidth="1"/>
    <col min="14061" max="14061" width="10.85546875" style="3" customWidth="1"/>
    <col min="14062" max="14062" width="4.85546875" style="3" customWidth="1"/>
    <col min="14063" max="14063" width="5.140625" style="3" customWidth="1"/>
    <col min="14064" max="14064" width="10.5703125" style="3" customWidth="1"/>
    <col min="14065" max="14065" width="6.28515625" style="3" customWidth="1"/>
    <col min="14066" max="14066" width="6.5703125" style="3" customWidth="1"/>
    <col min="14067" max="14067" width="7.42578125" style="3" customWidth="1"/>
    <col min="14068" max="14068" width="6.85546875" style="3" customWidth="1"/>
    <col min="14069" max="14069" width="10.7109375" style="3" customWidth="1"/>
    <col min="14070" max="14070" width="5.140625" style="3" customWidth="1"/>
    <col min="14071" max="14302" width="11.42578125" style="3"/>
    <col min="14303" max="14303" width="23.7109375" style="3" customWidth="1"/>
    <col min="14304" max="14304" width="0" style="3" hidden="1" customWidth="1"/>
    <col min="14305" max="14305" width="41.42578125" style="3" customWidth="1"/>
    <col min="14306" max="14306" width="19.140625" style="3" customWidth="1"/>
    <col min="14307" max="14307" width="6.28515625" style="3" customWidth="1"/>
    <col min="14308" max="14308" width="6" style="3" customWidth="1"/>
    <col min="14309" max="14309" width="7.42578125" style="3" customWidth="1"/>
    <col min="14310" max="14310" width="5.7109375" style="3" customWidth="1"/>
    <col min="14311" max="14311" width="5.28515625" style="3" customWidth="1"/>
    <col min="14312" max="14312" width="10" style="3" customWidth="1"/>
    <col min="14313" max="14313" width="6.28515625" style="3" customWidth="1"/>
    <col min="14314" max="14314" width="8.28515625" style="3" customWidth="1"/>
    <col min="14315" max="14315" width="12.42578125" style="3" customWidth="1"/>
    <col min="14316" max="14316" width="5.28515625" style="3" customWidth="1"/>
    <col min="14317" max="14317" width="10.85546875" style="3" customWidth="1"/>
    <col min="14318" max="14318" width="4.85546875" style="3" customWidth="1"/>
    <col min="14319" max="14319" width="5.140625" style="3" customWidth="1"/>
    <col min="14320" max="14320" width="10.5703125" style="3" customWidth="1"/>
    <col min="14321" max="14321" width="6.28515625" style="3" customWidth="1"/>
    <col min="14322" max="14322" width="6.5703125" style="3" customWidth="1"/>
    <col min="14323" max="14323" width="7.42578125" style="3" customWidth="1"/>
    <col min="14324" max="14324" width="6.85546875" style="3" customWidth="1"/>
    <col min="14325" max="14325" width="10.7109375" style="3" customWidth="1"/>
    <col min="14326" max="14326" width="5.140625" style="3" customWidth="1"/>
    <col min="14327" max="14558" width="11.42578125" style="3"/>
    <col min="14559" max="14559" width="23.7109375" style="3" customWidth="1"/>
    <col min="14560" max="14560" width="0" style="3" hidden="1" customWidth="1"/>
    <col min="14561" max="14561" width="41.42578125" style="3" customWidth="1"/>
    <col min="14562" max="14562" width="19.140625" style="3" customWidth="1"/>
    <col min="14563" max="14563" width="6.28515625" style="3" customWidth="1"/>
    <col min="14564" max="14564" width="6" style="3" customWidth="1"/>
    <col min="14565" max="14565" width="7.42578125" style="3" customWidth="1"/>
    <col min="14566" max="14566" width="5.7109375" style="3" customWidth="1"/>
    <col min="14567" max="14567" width="5.28515625" style="3" customWidth="1"/>
    <col min="14568" max="14568" width="10" style="3" customWidth="1"/>
    <col min="14569" max="14569" width="6.28515625" style="3" customWidth="1"/>
    <col min="14570" max="14570" width="8.28515625" style="3" customWidth="1"/>
    <col min="14571" max="14571" width="12.42578125" style="3" customWidth="1"/>
    <col min="14572" max="14572" width="5.28515625" style="3" customWidth="1"/>
    <col min="14573" max="14573" width="10.85546875" style="3" customWidth="1"/>
    <col min="14574" max="14574" width="4.85546875" style="3" customWidth="1"/>
    <col min="14575" max="14575" width="5.140625" style="3" customWidth="1"/>
    <col min="14576" max="14576" width="10.5703125" style="3" customWidth="1"/>
    <col min="14577" max="14577" width="6.28515625" style="3" customWidth="1"/>
    <col min="14578" max="14578" width="6.5703125" style="3" customWidth="1"/>
    <col min="14579" max="14579" width="7.42578125" style="3" customWidth="1"/>
    <col min="14580" max="14580" width="6.85546875" style="3" customWidth="1"/>
    <col min="14581" max="14581" width="10.7109375" style="3" customWidth="1"/>
    <col min="14582" max="14582" width="5.140625" style="3" customWidth="1"/>
    <col min="14583" max="14814" width="11.42578125" style="3"/>
    <col min="14815" max="14815" width="23.7109375" style="3" customWidth="1"/>
    <col min="14816" max="14816" width="0" style="3" hidden="1" customWidth="1"/>
    <col min="14817" max="14817" width="41.42578125" style="3" customWidth="1"/>
    <col min="14818" max="14818" width="19.140625" style="3" customWidth="1"/>
    <col min="14819" max="14819" width="6.28515625" style="3" customWidth="1"/>
    <col min="14820" max="14820" width="6" style="3" customWidth="1"/>
    <col min="14821" max="14821" width="7.42578125" style="3" customWidth="1"/>
    <col min="14822" max="14822" width="5.7109375" style="3" customWidth="1"/>
    <col min="14823" max="14823" width="5.28515625" style="3" customWidth="1"/>
    <col min="14824" max="14824" width="10" style="3" customWidth="1"/>
    <col min="14825" max="14825" width="6.28515625" style="3" customWidth="1"/>
    <col min="14826" max="14826" width="8.28515625" style="3" customWidth="1"/>
    <col min="14827" max="14827" width="12.42578125" style="3" customWidth="1"/>
    <col min="14828" max="14828" width="5.28515625" style="3" customWidth="1"/>
    <col min="14829" max="14829" width="10.85546875" style="3" customWidth="1"/>
    <col min="14830" max="14830" width="4.85546875" style="3" customWidth="1"/>
    <col min="14831" max="14831" width="5.140625" style="3" customWidth="1"/>
    <col min="14832" max="14832" width="10.5703125" style="3" customWidth="1"/>
    <col min="14833" max="14833" width="6.28515625" style="3" customWidth="1"/>
    <col min="14834" max="14834" width="6.5703125" style="3" customWidth="1"/>
    <col min="14835" max="14835" width="7.42578125" style="3" customWidth="1"/>
    <col min="14836" max="14836" width="6.85546875" style="3" customWidth="1"/>
    <col min="14837" max="14837" width="10.7109375" style="3" customWidth="1"/>
    <col min="14838" max="14838" width="5.140625" style="3" customWidth="1"/>
    <col min="14839" max="15070" width="11.42578125" style="3"/>
    <col min="15071" max="15071" width="23.7109375" style="3" customWidth="1"/>
    <col min="15072" max="15072" width="0" style="3" hidden="1" customWidth="1"/>
    <col min="15073" max="15073" width="41.42578125" style="3" customWidth="1"/>
    <col min="15074" max="15074" width="19.140625" style="3" customWidth="1"/>
    <col min="15075" max="15075" width="6.28515625" style="3" customWidth="1"/>
    <col min="15076" max="15076" width="6" style="3" customWidth="1"/>
    <col min="15077" max="15077" width="7.42578125" style="3" customWidth="1"/>
    <col min="15078" max="15078" width="5.7109375" style="3" customWidth="1"/>
    <col min="15079" max="15079" width="5.28515625" style="3" customWidth="1"/>
    <col min="15080" max="15080" width="10" style="3" customWidth="1"/>
    <col min="15081" max="15081" width="6.28515625" style="3" customWidth="1"/>
    <col min="15082" max="15082" width="8.28515625" style="3" customWidth="1"/>
    <col min="15083" max="15083" width="12.42578125" style="3" customWidth="1"/>
    <col min="15084" max="15084" width="5.28515625" style="3" customWidth="1"/>
    <col min="15085" max="15085" width="10.85546875" style="3" customWidth="1"/>
    <col min="15086" max="15086" width="4.85546875" style="3" customWidth="1"/>
    <col min="15087" max="15087" width="5.140625" style="3" customWidth="1"/>
    <col min="15088" max="15088" width="10.5703125" style="3" customWidth="1"/>
    <col min="15089" max="15089" width="6.28515625" style="3" customWidth="1"/>
    <col min="15090" max="15090" width="6.5703125" style="3" customWidth="1"/>
    <col min="15091" max="15091" width="7.42578125" style="3" customWidth="1"/>
    <col min="15092" max="15092" width="6.85546875" style="3" customWidth="1"/>
    <col min="15093" max="15093" width="10.7109375" style="3" customWidth="1"/>
    <col min="15094" max="15094" width="5.140625" style="3" customWidth="1"/>
    <col min="15095" max="15326" width="11.42578125" style="3"/>
    <col min="15327" max="15327" width="23.7109375" style="3" customWidth="1"/>
    <col min="15328" max="15328" width="0" style="3" hidden="1" customWidth="1"/>
    <col min="15329" max="15329" width="41.42578125" style="3" customWidth="1"/>
    <col min="15330" max="15330" width="19.140625" style="3" customWidth="1"/>
    <col min="15331" max="15331" width="6.28515625" style="3" customWidth="1"/>
    <col min="15332" max="15332" width="6" style="3" customWidth="1"/>
    <col min="15333" max="15333" width="7.42578125" style="3" customWidth="1"/>
    <col min="15334" max="15334" width="5.7109375" style="3" customWidth="1"/>
    <col min="15335" max="15335" width="5.28515625" style="3" customWidth="1"/>
    <col min="15336" max="15336" width="10" style="3" customWidth="1"/>
    <col min="15337" max="15337" width="6.28515625" style="3" customWidth="1"/>
    <col min="15338" max="15338" width="8.28515625" style="3" customWidth="1"/>
    <col min="15339" max="15339" width="12.42578125" style="3" customWidth="1"/>
    <col min="15340" max="15340" width="5.28515625" style="3" customWidth="1"/>
    <col min="15341" max="15341" width="10.85546875" style="3" customWidth="1"/>
    <col min="15342" max="15342" width="4.85546875" style="3" customWidth="1"/>
    <col min="15343" max="15343" width="5.140625" style="3" customWidth="1"/>
    <col min="15344" max="15344" width="10.5703125" style="3" customWidth="1"/>
    <col min="15345" max="15345" width="6.28515625" style="3" customWidth="1"/>
    <col min="15346" max="15346" width="6.5703125" style="3" customWidth="1"/>
    <col min="15347" max="15347" width="7.42578125" style="3" customWidth="1"/>
    <col min="15348" max="15348" width="6.85546875" style="3" customWidth="1"/>
    <col min="15349" max="15349" width="10.7109375" style="3" customWidth="1"/>
    <col min="15350" max="15350" width="5.140625" style="3" customWidth="1"/>
    <col min="15351" max="15582" width="11.42578125" style="3"/>
    <col min="15583" max="15583" width="23.7109375" style="3" customWidth="1"/>
    <col min="15584" max="15584" width="0" style="3" hidden="1" customWidth="1"/>
    <col min="15585" max="15585" width="41.42578125" style="3" customWidth="1"/>
    <col min="15586" max="15586" width="19.140625" style="3" customWidth="1"/>
    <col min="15587" max="15587" width="6.28515625" style="3" customWidth="1"/>
    <col min="15588" max="15588" width="6" style="3" customWidth="1"/>
    <col min="15589" max="15589" width="7.42578125" style="3" customWidth="1"/>
    <col min="15590" max="15590" width="5.7109375" style="3" customWidth="1"/>
    <col min="15591" max="15591" width="5.28515625" style="3" customWidth="1"/>
    <col min="15592" max="15592" width="10" style="3" customWidth="1"/>
    <col min="15593" max="15593" width="6.28515625" style="3" customWidth="1"/>
    <col min="15594" max="15594" width="8.28515625" style="3" customWidth="1"/>
    <col min="15595" max="15595" width="12.42578125" style="3" customWidth="1"/>
    <col min="15596" max="15596" width="5.28515625" style="3" customWidth="1"/>
    <col min="15597" max="15597" width="10.85546875" style="3" customWidth="1"/>
    <col min="15598" max="15598" width="4.85546875" style="3" customWidth="1"/>
    <col min="15599" max="15599" width="5.140625" style="3" customWidth="1"/>
    <col min="15600" max="15600" width="10.5703125" style="3" customWidth="1"/>
    <col min="15601" max="15601" width="6.28515625" style="3" customWidth="1"/>
    <col min="15602" max="15602" width="6.5703125" style="3" customWidth="1"/>
    <col min="15603" max="15603" width="7.42578125" style="3" customWidth="1"/>
    <col min="15604" max="15604" width="6.85546875" style="3" customWidth="1"/>
    <col min="15605" max="15605" width="10.7109375" style="3" customWidth="1"/>
    <col min="15606" max="15606" width="5.140625" style="3" customWidth="1"/>
    <col min="15607" max="15838" width="11.42578125" style="3"/>
    <col min="15839" max="15839" width="23.7109375" style="3" customWidth="1"/>
    <col min="15840" max="15840" width="0" style="3" hidden="1" customWidth="1"/>
    <col min="15841" max="15841" width="41.42578125" style="3" customWidth="1"/>
    <col min="15842" max="15842" width="19.140625" style="3" customWidth="1"/>
    <col min="15843" max="15843" width="6.28515625" style="3" customWidth="1"/>
    <col min="15844" max="15844" width="6" style="3" customWidth="1"/>
    <col min="15845" max="15845" width="7.42578125" style="3" customWidth="1"/>
    <col min="15846" max="15846" width="5.7109375" style="3" customWidth="1"/>
    <col min="15847" max="15847" width="5.28515625" style="3" customWidth="1"/>
    <col min="15848" max="15848" width="10" style="3" customWidth="1"/>
    <col min="15849" max="15849" width="6.28515625" style="3" customWidth="1"/>
    <col min="15850" max="15850" width="8.28515625" style="3" customWidth="1"/>
    <col min="15851" max="15851" width="12.42578125" style="3" customWidth="1"/>
    <col min="15852" max="15852" width="5.28515625" style="3" customWidth="1"/>
    <col min="15853" max="15853" width="10.85546875" style="3" customWidth="1"/>
    <col min="15854" max="15854" width="4.85546875" style="3" customWidth="1"/>
    <col min="15855" max="15855" width="5.140625" style="3" customWidth="1"/>
    <col min="15856" max="15856" width="10.5703125" style="3" customWidth="1"/>
    <col min="15857" max="15857" width="6.28515625" style="3" customWidth="1"/>
    <col min="15858" max="15858" width="6.5703125" style="3" customWidth="1"/>
    <col min="15859" max="15859" width="7.42578125" style="3" customWidth="1"/>
    <col min="15860" max="15860" width="6.85546875" style="3" customWidth="1"/>
    <col min="15861" max="15861" width="10.7109375" style="3" customWidth="1"/>
    <col min="15862" max="15862" width="5.140625" style="3" customWidth="1"/>
    <col min="15863" max="16094" width="11.42578125" style="3"/>
    <col min="16095" max="16095" width="23.7109375" style="3" customWidth="1"/>
    <col min="16096" max="16096" width="0" style="3" hidden="1" customWidth="1"/>
    <col min="16097" max="16097" width="41.42578125" style="3" customWidth="1"/>
    <col min="16098" max="16098" width="19.140625" style="3" customWidth="1"/>
    <col min="16099" max="16099" width="6.28515625" style="3" customWidth="1"/>
    <col min="16100" max="16100" width="6" style="3" customWidth="1"/>
    <col min="16101" max="16101" width="7.42578125" style="3" customWidth="1"/>
    <col min="16102" max="16102" width="5.7109375" style="3" customWidth="1"/>
    <col min="16103" max="16103" width="5.28515625" style="3" customWidth="1"/>
    <col min="16104" max="16104" width="10" style="3" customWidth="1"/>
    <col min="16105" max="16105" width="6.28515625" style="3" customWidth="1"/>
    <col min="16106" max="16106" width="8.28515625" style="3" customWidth="1"/>
    <col min="16107" max="16107" width="12.42578125" style="3" customWidth="1"/>
    <col min="16108" max="16108" width="5.28515625" style="3" customWidth="1"/>
    <col min="16109" max="16109" width="10.85546875" style="3" customWidth="1"/>
    <col min="16110" max="16110" width="4.85546875" style="3" customWidth="1"/>
    <col min="16111" max="16111" width="5.140625" style="3" customWidth="1"/>
    <col min="16112" max="16112" width="10.5703125" style="3" customWidth="1"/>
    <col min="16113" max="16113" width="6.28515625" style="3" customWidth="1"/>
    <col min="16114" max="16114" width="6.5703125" style="3" customWidth="1"/>
    <col min="16115" max="16115" width="7.42578125" style="3" customWidth="1"/>
    <col min="16116" max="16116" width="6.85546875" style="3" customWidth="1"/>
    <col min="16117" max="16117" width="10.7109375" style="3" customWidth="1"/>
    <col min="16118" max="16118" width="5.140625" style="3" customWidth="1"/>
    <col min="16119" max="16384" width="11.42578125" style="3"/>
  </cols>
  <sheetData>
    <row r="1" spans="1:23" ht="8.1" customHeight="1"/>
    <row r="2" spans="1:23" s="2" customFormat="1" ht="22.5" customHeight="1">
      <c r="A2" s="105"/>
      <c r="B2" s="1803" t="s">
        <v>228</v>
      </c>
      <c r="C2" s="210"/>
      <c r="D2" s="1822" t="s">
        <v>4</v>
      </c>
      <c r="E2" s="1823"/>
      <c r="F2" s="1803" t="s">
        <v>5</v>
      </c>
      <c r="G2" s="1540"/>
      <c r="H2" s="212" t="s">
        <v>10</v>
      </c>
      <c r="I2" s="211"/>
      <c r="J2" s="1540"/>
      <c r="K2" s="1811" t="s">
        <v>230</v>
      </c>
      <c r="L2" s="1878" t="s">
        <v>12</v>
      </c>
      <c r="M2" s="1879"/>
      <c r="N2" s="355"/>
      <c r="O2" s="105"/>
      <c r="P2" s="105"/>
      <c r="Q2" s="105"/>
      <c r="R2" s="105"/>
      <c r="S2" s="105"/>
      <c r="T2" s="105"/>
      <c r="U2" s="105"/>
      <c r="V2" s="105"/>
      <c r="W2" s="105"/>
    </row>
    <row r="3" spans="1:23" s="2" customFormat="1" ht="22.5" customHeight="1">
      <c r="A3" s="105"/>
      <c r="B3" s="1804"/>
      <c r="C3" s="1537" t="s">
        <v>96</v>
      </c>
      <c r="D3" s="1803" t="s">
        <v>14</v>
      </c>
      <c r="E3" s="1538" t="s">
        <v>15</v>
      </c>
      <c r="F3" s="1804"/>
      <c r="G3" s="1541" t="s">
        <v>22</v>
      </c>
      <c r="H3" s="213" t="s">
        <v>23</v>
      </c>
      <c r="I3" s="214"/>
      <c r="J3" s="1541" t="s">
        <v>24</v>
      </c>
      <c r="K3" s="1812"/>
      <c r="L3" s="1880" t="s">
        <v>29</v>
      </c>
      <c r="M3" s="1881"/>
      <c r="N3" s="355"/>
      <c r="O3" s="105"/>
      <c r="P3" s="105"/>
      <c r="Q3" s="105"/>
      <c r="R3" s="105"/>
      <c r="S3" s="105"/>
      <c r="T3" s="105"/>
      <c r="U3" s="105"/>
      <c r="V3" s="105"/>
      <c r="W3" s="105"/>
    </row>
    <row r="4" spans="1:23" s="2" customFormat="1" ht="22.5" customHeight="1">
      <c r="A4" s="105"/>
      <c r="B4" s="1805"/>
      <c r="C4" s="1537"/>
      <c r="D4" s="1804"/>
      <c r="E4" s="1538" t="s">
        <v>31</v>
      </c>
      <c r="F4" s="1804"/>
      <c r="G4" s="1541" t="s">
        <v>37</v>
      </c>
      <c r="H4" s="213" t="s">
        <v>38</v>
      </c>
      <c r="I4" s="214"/>
      <c r="J4" s="1541" t="s">
        <v>39</v>
      </c>
      <c r="K4" s="1813"/>
      <c r="L4" s="1882"/>
      <c r="M4" s="1883"/>
      <c r="N4" s="355"/>
      <c r="O4" s="105"/>
      <c r="P4" s="105"/>
      <c r="Q4" s="105"/>
      <c r="R4" s="105"/>
      <c r="S4" s="105"/>
      <c r="T4" s="105"/>
      <c r="U4" s="105"/>
      <c r="V4" s="105"/>
      <c r="W4" s="105"/>
    </row>
    <row r="5" spans="1:23" s="2" customFormat="1" ht="18" customHeight="1">
      <c r="A5" s="105"/>
      <c r="B5" s="1884" t="s">
        <v>103</v>
      </c>
      <c r="C5" s="1885"/>
      <c r="D5" s="1885"/>
      <c r="E5" s="1885"/>
      <c r="F5" s="1885"/>
      <c r="G5" s="1885"/>
      <c r="H5" s="1885"/>
      <c r="I5" s="1885"/>
      <c r="J5" s="1885"/>
      <c r="K5" s="1885"/>
      <c r="L5" s="1885"/>
      <c r="M5" s="1886"/>
      <c r="N5" s="105"/>
      <c r="O5" s="105"/>
      <c r="P5" s="105"/>
      <c r="Q5" s="105"/>
      <c r="R5" s="105"/>
      <c r="S5" s="105"/>
      <c r="T5" s="105"/>
      <c r="U5" s="105"/>
      <c r="V5" s="105"/>
      <c r="W5" s="105"/>
    </row>
    <row r="6" spans="1:23" s="2" customFormat="1" ht="18" customHeight="1">
      <c r="A6" s="105"/>
      <c r="B6" s="339" t="s">
        <v>104</v>
      </c>
      <c r="C6" s="339" t="s">
        <v>93</v>
      </c>
      <c r="D6" s="121" t="s">
        <v>97</v>
      </c>
      <c r="E6" s="122">
        <v>0</v>
      </c>
      <c r="F6" s="121" t="s">
        <v>101</v>
      </c>
      <c r="G6" s="123"/>
      <c r="H6" s="141">
        <v>0.38325434000000003</v>
      </c>
      <c r="I6" s="124" t="s">
        <v>70</v>
      </c>
      <c r="J6" s="123">
        <f>G9*H6</f>
        <v>2992.9864427960001</v>
      </c>
      <c r="K6" s="338">
        <v>167.78</v>
      </c>
      <c r="L6" s="340">
        <f>+J6*K6</f>
        <v>502163.26537231292</v>
      </c>
      <c r="M6" s="124" t="s">
        <v>213</v>
      </c>
      <c r="N6" s="105"/>
      <c r="O6" s="105"/>
      <c r="P6" s="105"/>
      <c r="Q6" s="105"/>
      <c r="R6" s="105"/>
      <c r="S6" s="105"/>
      <c r="T6" s="105"/>
      <c r="U6" s="105"/>
      <c r="V6" s="105"/>
      <c r="W6" s="105"/>
    </row>
    <row r="7" spans="1:23" s="2" customFormat="1" ht="18" customHeight="1">
      <c r="A7" s="105"/>
      <c r="B7" s="137" t="s">
        <v>2</v>
      </c>
      <c r="C7" s="137" t="s">
        <v>93</v>
      </c>
      <c r="D7" s="38" t="s">
        <v>102</v>
      </c>
      <c r="E7" s="39">
        <v>304</v>
      </c>
      <c r="F7" s="38" t="s">
        <v>101</v>
      </c>
      <c r="G7" s="41">
        <f>G9*H7</f>
        <v>4750.3799259999996</v>
      </c>
      <c r="H7" s="138">
        <v>0.60829</v>
      </c>
      <c r="I7" s="45" t="s">
        <v>95</v>
      </c>
      <c r="J7" s="41"/>
      <c r="K7" s="40">
        <v>46.09</v>
      </c>
      <c r="L7" s="341">
        <f>K7*G7</f>
        <v>218945.01078934001</v>
      </c>
      <c r="M7" s="45" t="s">
        <v>214</v>
      </c>
      <c r="N7" s="105"/>
      <c r="O7" s="105"/>
      <c r="P7" s="105"/>
      <c r="Q7" s="105"/>
      <c r="R7" s="105"/>
      <c r="S7" s="105"/>
      <c r="T7" s="105"/>
      <c r="U7" s="105"/>
      <c r="V7" s="105"/>
      <c r="W7" s="105"/>
    </row>
    <row r="8" spans="1:23" s="2" customFormat="1" ht="18" customHeight="1">
      <c r="A8" s="105"/>
      <c r="B8" s="137" t="s">
        <v>1</v>
      </c>
      <c r="C8" s="137" t="s">
        <v>93</v>
      </c>
      <c r="D8" s="38" t="s">
        <v>71</v>
      </c>
      <c r="E8" s="39">
        <v>0</v>
      </c>
      <c r="F8" s="126" t="s">
        <v>101</v>
      </c>
      <c r="G8" s="41">
        <f>G9*H8</f>
        <v>5373.8824219999997</v>
      </c>
      <c r="H8" s="138">
        <v>0.68813000000000002</v>
      </c>
      <c r="I8" s="45" t="s">
        <v>95</v>
      </c>
      <c r="J8" s="41"/>
      <c r="K8" s="40">
        <v>32.380000000000003</v>
      </c>
      <c r="L8" s="341">
        <f>K8*G8</f>
        <v>174006.31282436001</v>
      </c>
      <c r="M8" s="45" t="s">
        <v>214</v>
      </c>
      <c r="N8" s="105"/>
      <c r="O8" s="105"/>
      <c r="P8" s="105"/>
      <c r="Q8" s="105"/>
      <c r="R8" s="105"/>
      <c r="S8" s="105"/>
      <c r="T8" s="105"/>
      <c r="U8" s="105"/>
      <c r="V8" s="105"/>
      <c r="W8" s="105"/>
    </row>
    <row r="9" spans="1:23" s="2" customFormat="1" ht="18" customHeight="1">
      <c r="A9" s="105"/>
      <c r="B9" s="140" t="s">
        <v>215</v>
      </c>
      <c r="C9" s="140" t="s">
        <v>94</v>
      </c>
      <c r="D9" s="342" t="str">
        <f>+F6</f>
        <v>Canteiro</v>
      </c>
      <c r="E9" s="343">
        <v>187</v>
      </c>
      <c r="F9" s="342" t="s">
        <v>3</v>
      </c>
      <c r="G9" s="346">
        <f>'MC CCP'!O27</f>
        <v>7809.4</v>
      </c>
      <c r="H9" s="347"/>
      <c r="I9" s="348"/>
      <c r="J9" s="346"/>
      <c r="K9" s="344">
        <f>'MC CCP'!R27</f>
        <v>1.8456996145734628</v>
      </c>
      <c r="L9" s="351">
        <f>K9*G9</f>
        <v>14413.806570049999</v>
      </c>
      <c r="M9" s="348" t="s">
        <v>214</v>
      </c>
      <c r="N9" s="105"/>
      <c r="O9" s="105"/>
      <c r="P9" s="105"/>
      <c r="Q9" s="105"/>
      <c r="R9" s="105"/>
      <c r="S9" s="105"/>
      <c r="T9" s="105"/>
      <c r="U9" s="105"/>
      <c r="V9" s="105"/>
      <c r="W9" s="105"/>
    </row>
    <row r="10" spans="1:23" s="2" customFormat="1" ht="6" customHeight="1">
      <c r="A10" s="105"/>
      <c r="B10" s="1887"/>
      <c r="C10" s="1888"/>
      <c r="D10" s="1888"/>
      <c r="E10" s="1888"/>
      <c r="F10" s="1888"/>
      <c r="G10" s="1888"/>
      <c r="H10" s="1888"/>
      <c r="I10" s="1888"/>
      <c r="J10" s="1888"/>
      <c r="K10" s="1888"/>
      <c r="L10" s="1888"/>
      <c r="M10" s="1889"/>
      <c r="N10" s="105"/>
      <c r="O10" s="105"/>
      <c r="P10" s="105"/>
      <c r="Q10" s="105"/>
      <c r="R10" s="105"/>
      <c r="S10" s="105"/>
      <c r="T10" s="105"/>
      <c r="U10" s="105"/>
      <c r="V10" s="105"/>
      <c r="W10" s="105"/>
    </row>
    <row r="11" spans="1:23" s="105" customFormat="1" ht="6" customHeight="1">
      <c r="B11" s="349"/>
      <c r="C11" s="350"/>
      <c r="D11" s="132"/>
      <c r="E11" s="133"/>
      <c r="F11" s="132"/>
      <c r="G11" s="136"/>
      <c r="H11" s="136"/>
      <c r="I11" s="136"/>
      <c r="J11" s="135"/>
      <c r="K11" s="134"/>
      <c r="L11" s="354"/>
      <c r="M11" s="45"/>
    </row>
    <row r="12" spans="1:23" s="105" customFormat="1" ht="18" customHeight="1">
      <c r="B12" s="1890" t="s">
        <v>98</v>
      </c>
      <c r="C12" s="1891"/>
      <c r="D12" s="1891"/>
      <c r="E12" s="1891"/>
      <c r="F12" s="1891"/>
      <c r="G12" s="1891"/>
      <c r="H12" s="1891"/>
      <c r="I12" s="1891"/>
      <c r="J12" s="1891"/>
      <c r="K12" s="1891"/>
      <c r="L12" s="1891"/>
      <c r="M12" s="1892"/>
    </row>
    <row r="13" spans="1:23" s="105" customFormat="1" ht="18" customHeight="1">
      <c r="B13" s="339" t="s">
        <v>104</v>
      </c>
      <c r="C13" s="339" t="s">
        <v>93</v>
      </c>
      <c r="D13" s="121" t="s">
        <v>97</v>
      </c>
      <c r="E13" s="122">
        <v>0</v>
      </c>
      <c r="F13" s="121" t="s">
        <v>101</v>
      </c>
      <c r="G13" s="123"/>
      <c r="H13" s="142">
        <v>8.7999999999999995E-2</v>
      </c>
      <c r="I13" s="45" t="s">
        <v>70</v>
      </c>
      <c r="J13" s="41">
        <f>G15*H13</f>
        <v>188.09823647999997</v>
      </c>
      <c r="K13" s="40">
        <f>K6</f>
        <v>167.78</v>
      </c>
      <c r="L13" s="341">
        <f>+J13*K13</f>
        <v>31559.122116614395</v>
      </c>
      <c r="M13" s="124" t="s">
        <v>213</v>
      </c>
    </row>
    <row r="14" spans="1:23" s="105" customFormat="1" ht="18" customHeight="1">
      <c r="B14" s="139" t="s">
        <v>1</v>
      </c>
      <c r="C14" s="139" t="s">
        <v>93</v>
      </c>
      <c r="D14" s="126" t="s">
        <v>71</v>
      </c>
      <c r="E14" s="127">
        <v>0</v>
      </c>
      <c r="F14" s="126" t="s">
        <v>101</v>
      </c>
      <c r="G14" s="337">
        <f>G15*H14</f>
        <v>3009.5717836799995</v>
      </c>
      <c r="H14" s="129">
        <v>1.4079999999999999</v>
      </c>
      <c r="I14" s="130" t="s">
        <v>95</v>
      </c>
      <c r="J14" s="128"/>
      <c r="K14" s="128">
        <f>K8</f>
        <v>32.380000000000003</v>
      </c>
      <c r="L14" s="341">
        <f>K14*G14</f>
        <v>97449.934355558391</v>
      </c>
      <c r="M14" s="130" t="s">
        <v>214</v>
      </c>
    </row>
    <row r="15" spans="1:23" s="105" customFormat="1" ht="18" customHeight="1">
      <c r="B15" s="140" t="s">
        <v>98</v>
      </c>
      <c r="C15" s="140" t="s">
        <v>94</v>
      </c>
      <c r="D15" s="342" t="s">
        <v>101</v>
      </c>
      <c r="E15" s="343">
        <v>187</v>
      </c>
      <c r="F15" s="342" t="s">
        <v>3</v>
      </c>
      <c r="G15" s="346">
        <f>'MC BGTC'!O117+'MC BGTC'!O137</f>
        <v>2137.4799599999997</v>
      </c>
      <c r="H15" s="1893">
        <v>1.48</v>
      </c>
      <c r="I15" s="1894"/>
      <c r="J15" s="345"/>
      <c r="K15" s="344">
        <f>'MC BGTC'!U142</f>
        <v>1.8715189195802335</v>
      </c>
      <c r="L15" s="351">
        <f>K15*G15*H15</f>
        <v>5920.4945943381281</v>
      </c>
      <c r="M15" s="130" t="s">
        <v>214</v>
      </c>
    </row>
    <row r="16" spans="1:23" s="105" customFormat="1" ht="6" customHeight="1">
      <c r="B16" s="436"/>
      <c r="C16" s="437"/>
      <c r="D16" s="352"/>
      <c r="E16" s="438"/>
      <c r="F16" s="352"/>
      <c r="G16" s="353"/>
      <c r="H16" s="439"/>
      <c r="I16" s="353"/>
      <c r="J16" s="440"/>
      <c r="K16" s="441"/>
      <c r="L16" s="442"/>
      <c r="M16" s="130"/>
    </row>
    <row r="17" spans="2:16" s="105" customFormat="1" ht="18" customHeight="1">
      <c r="B17" s="1890" t="s">
        <v>226</v>
      </c>
      <c r="C17" s="1891"/>
      <c r="D17" s="1891"/>
      <c r="E17" s="1891"/>
      <c r="F17" s="1891"/>
      <c r="G17" s="1891"/>
      <c r="H17" s="1891"/>
      <c r="I17" s="1891"/>
      <c r="J17" s="1891"/>
      <c r="K17" s="1891"/>
      <c r="L17" s="1891"/>
      <c r="M17" s="1892"/>
    </row>
    <row r="18" spans="2:16" s="105" customFormat="1" ht="18" customHeight="1">
      <c r="B18" s="339" t="s">
        <v>227</v>
      </c>
      <c r="C18" s="339" t="s">
        <v>93</v>
      </c>
      <c r="D18" s="121" t="s">
        <v>97</v>
      </c>
      <c r="E18" s="122">
        <v>0</v>
      </c>
      <c r="F18" s="121" t="s">
        <v>101</v>
      </c>
      <c r="G18" s="123"/>
      <c r="H18" s="142"/>
      <c r="I18" s="45"/>
      <c r="J18" s="41">
        <f>('MCaço CA-50'!P7+'MCaço CA-25'!S34+MCtreliça!P28)/1000</f>
        <v>88.393101720000004</v>
      </c>
      <c r="K18" s="40">
        <f>227+(187*20)/1000+0.04</f>
        <v>230.78</v>
      </c>
      <c r="L18" s="340">
        <f>+J18*K18</f>
        <v>20399.360014941602</v>
      </c>
      <c r="M18" s="124" t="s">
        <v>213</v>
      </c>
      <c r="P18" s="105">
        <f>J18*1000</f>
        <v>88393.101720000006</v>
      </c>
    </row>
    <row r="19" spans="2:16" s="105" customFormat="1" ht="18" customHeight="1">
      <c r="B19" s="140" t="s">
        <v>227</v>
      </c>
      <c r="C19" s="140" t="s">
        <v>94</v>
      </c>
      <c r="D19" s="342" t="s">
        <v>101</v>
      </c>
      <c r="E19" s="343">
        <v>187</v>
      </c>
      <c r="F19" s="342" t="s">
        <v>3</v>
      </c>
      <c r="G19" s="346"/>
      <c r="H19" s="356"/>
      <c r="I19" s="348"/>
      <c r="J19" s="346">
        <f>J18</f>
        <v>88.393101720000004</v>
      </c>
      <c r="K19" s="344">
        <f>K9</f>
        <v>1.8456996145734628</v>
      </c>
      <c r="L19" s="351">
        <f>+J19*K19</f>
        <v>163.1471137755569</v>
      </c>
      <c r="M19" s="348" t="s">
        <v>213</v>
      </c>
    </row>
    <row r="20" spans="2:16" s="90" customFormat="1" ht="6" customHeight="1">
      <c r="G20" s="330"/>
      <c r="H20" s="330"/>
      <c r="I20" s="330"/>
      <c r="J20" s="330"/>
      <c r="K20" s="330"/>
      <c r="L20" s="331"/>
      <c r="M20" s="331"/>
      <c r="N20" s="105"/>
      <c r="O20" s="105"/>
    </row>
    <row r="21" spans="2:16" s="90" customFormat="1">
      <c r="B21" s="1826" t="s">
        <v>99</v>
      </c>
      <c r="C21" s="1827"/>
      <c r="D21" s="1827"/>
      <c r="E21" s="1827"/>
      <c r="F21" s="1827"/>
      <c r="G21" s="1827"/>
      <c r="H21" s="1827"/>
      <c r="I21" s="1827"/>
      <c r="J21" s="1827"/>
      <c r="K21" s="1827"/>
      <c r="L21" s="1827"/>
      <c r="M21" s="1828"/>
      <c r="N21" s="105"/>
      <c r="O21" s="105"/>
    </row>
    <row r="22" spans="2:16" s="90" customFormat="1">
      <c r="B22" s="1829"/>
      <c r="C22" s="1830"/>
      <c r="D22" s="1830"/>
      <c r="E22" s="1830"/>
      <c r="F22" s="1830"/>
      <c r="G22" s="1830"/>
      <c r="H22" s="1830"/>
      <c r="I22" s="1830"/>
      <c r="J22" s="1830"/>
      <c r="K22" s="1830"/>
      <c r="L22" s="1830"/>
      <c r="M22" s="1831"/>
      <c r="N22" s="105"/>
      <c r="O22" s="105"/>
    </row>
    <row r="23" spans="2:16" s="107" customFormat="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6" s="107" customForma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6" s="107" customFormat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6" s="107" customForma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6" s="107" customForma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6" s="107" customForma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6" s="107" customFormat="1">
      <c r="B29" s="3"/>
      <c r="C29" s="3"/>
      <c r="D29" s="3"/>
      <c r="E29" s="3"/>
      <c r="F29" s="3"/>
      <c r="G29" s="3"/>
      <c r="H29" s="3"/>
      <c r="I29" s="3"/>
      <c r="J29" s="3"/>
      <c r="K29" s="3"/>
      <c r="L29" s="335">
        <f>L7+L8+L14</f>
        <v>490401.25796925835</v>
      </c>
      <c r="M29" s="3"/>
    </row>
    <row r="30" spans="2:16" s="107" customForma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6" s="107" customForma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6" s="107" customForma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s="107" customForma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</sheetData>
  <mergeCells count="14">
    <mergeCell ref="B21:M22"/>
    <mergeCell ref="B2:B4"/>
    <mergeCell ref="D2:E2"/>
    <mergeCell ref="F2:F4"/>
    <mergeCell ref="K2:K4"/>
    <mergeCell ref="L2:M2"/>
    <mergeCell ref="D3:D4"/>
    <mergeCell ref="L3:M3"/>
    <mergeCell ref="L4:M4"/>
    <mergeCell ref="B5:M5"/>
    <mergeCell ref="B10:M10"/>
    <mergeCell ref="B12:M12"/>
    <mergeCell ref="H15:I15"/>
    <mergeCell ref="B17:M17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9" fitToHeight="10" orientation="portrait" horizontalDpi="4294967294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FA7F-DD9A-4F86-8586-21AB3EF630C6}">
  <sheetPr>
    <tabColor rgb="FF00FF00"/>
  </sheetPr>
  <dimension ref="A1:T23"/>
  <sheetViews>
    <sheetView showGridLines="0" view="pageBreakPreview" zoomScaleNormal="100" zoomScaleSheetLayoutView="100" workbookViewId="0">
      <selection activeCell="DQ46" sqref="DQ46:DR61"/>
    </sheetView>
  </sheetViews>
  <sheetFormatPr defaultRowHeight="12.75"/>
  <cols>
    <col min="1" max="1" width="11.7109375" style="1606" customWidth="1"/>
    <col min="2" max="3" width="9.7109375" style="1606" customWidth="1"/>
    <col min="4" max="4" width="8.28515625" style="1606" customWidth="1"/>
    <col min="5" max="15" width="9.140625" style="1606"/>
    <col min="16" max="18" width="13.28515625" style="1606" customWidth="1"/>
    <col min="19" max="242" width="9.140625" style="1606"/>
    <col min="243" max="243" width="11.7109375" style="1606" customWidth="1"/>
    <col min="244" max="245" width="9.7109375" style="1606" customWidth="1"/>
    <col min="246" max="253" width="6.7109375" style="1606" customWidth="1"/>
    <col min="254" max="254" width="8.7109375" style="1606" customWidth="1"/>
    <col min="255" max="498" width="9.140625" style="1606"/>
    <col min="499" max="499" width="11.7109375" style="1606" customWidth="1"/>
    <col min="500" max="501" width="9.7109375" style="1606" customWidth="1"/>
    <col min="502" max="509" width="6.7109375" style="1606" customWidth="1"/>
    <col min="510" max="510" width="8.7109375" style="1606" customWidth="1"/>
    <col min="511" max="754" width="9.140625" style="1606"/>
    <col min="755" max="755" width="11.7109375" style="1606" customWidth="1"/>
    <col min="756" max="757" width="9.7109375" style="1606" customWidth="1"/>
    <col min="758" max="765" width="6.7109375" style="1606" customWidth="1"/>
    <col min="766" max="766" width="8.7109375" style="1606" customWidth="1"/>
    <col min="767" max="1010" width="9.140625" style="1606"/>
    <col min="1011" max="1011" width="11.7109375" style="1606" customWidth="1"/>
    <col min="1012" max="1013" width="9.7109375" style="1606" customWidth="1"/>
    <col min="1014" max="1021" width="6.7109375" style="1606" customWidth="1"/>
    <col min="1022" max="1022" width="8.7109375" style="1606" customWidth="1"/>
    <col min="1023" max="1266" width="9.140625" style="1606"/>
    <col min="1267" max="1267" width="11.7109375" style="1606" customWidth="1"/>
    <col min="1268" max="1269" width="9.7109375" style="1606" customWidth="1"/>
    <col min="1270" max="1277" width="6.7109375" style="1606" customWidth="1"/>
    <col min="1278" max="1278" width="8.7109375" style="1606" customWidth="1"/>
    <col min="1279" max="1522" width="9.140625" style="1606"/>
    <col min="1523" max="1523" width="11.7109375" style="1606" customWidth="1"/>
    <col min="1524" max="1525" width="9.7109375" style="1606" customWidth="1"/>
    <col min="1526" max="1533" width="6.7109375" style="1606" customWidth="1"/>
    <col min="1534" max="1534" width="8.7109375" style="1606" customWidth="1"/>
    <col min="1535" max="1778" width="9.140625" style="1606"/>
    <col min="1779" max="1779" width="11.7109375" style="1606" customWidth="1"/>
    <col min="1780" max="1781" width="9.7109375" style="1606" customWidth="1"/>
    <col min="1782" max="1789" width="6.7109375" style="1606" customWidth="1"/>
    <col min="1790" max="1790" width="8.7109375" style="1606" customWidth="1"/>
    <col min="1791" max="2034" width="9.140625" style="1606"/>
    <col min="2035" max="2035" width="11.7109375" style="1606" customWidth="1"/>
    <col min="2036" max="2037" width="9.7109375" style="1606" customWidth="1"/>
    <col min="2038" max="2045" width="6.7109375" style="1606" customWidth="1"/>
    <col min="2046" max="2046" width="8.7109375" style="1606" customWidth="1"/>
    <col min="2047" max="2290" width="9.140625" style="1606"/>
    <col min="2291" max="2291" width="11.7109375" style="1606" customWidth="1"/>
    <col min="2292" max="2293" width="9.7109375" style="1606" customWidth="1"/>
    <col min="2294" max="2301" width="6.7109375" style="1606" customWidth="1"/>
    <col min="2302" max="2302" width="8.7109375" style="1606" customWidth="1"/>
    <col min="2303" max="2546" width="9.140625" style="1606"/>
    <col min="2547" max="2547" width="11.7109375" style="1606" customWidth="1"/>
    <col min="2548" max="2549" width="9.7109375" style="1606" customWidth="1"/>
    <col min="2550" max="2557" width="6.7109375" style="1606" customWidth="1"/>
    <col min="2558" max="2558" width="8.7109375" style="1606" customWidth="1"/>
    <col min="2559" max="2802" width="9.140625" style="1606"/>
    <col min="2803" max="2803" width="11.7109375" style="1606" customWidth="1"/>
    <col min="2804" max="2805" width="9.7109375" style="1606" customWidth="1"/>
    <col min="2806" max="2813" width="6.7109375" style="1606" customWidth="1"/>
    <col min="2814" max="2814" width="8.7109375" style="1606" customWidth="1"/>
    <col min="2815" max="3058" width="9.140625" style="1606"/>
    <col min="3059" max="3059" width="11.7109375" style="1606" customWidth="1"/>
    <col min="3060" max="3061" width="9.7109375" style="1606" customWidth="1"/>
    <col min="3062" max="3069" width="6.7109375" style="1606" customWidth="1"/>
    <col min="3070" max="3070" width="8.7109375" style="1606" customWidth="1"/>
    <col min="3071" max="3314" width="9.140625" style="1606"/>
    <col min="3315" max="3315" width="11.7109375" style="1606" customWidth="1"/>
    <col min="3316" max="3317" width="9.7109375" style="1606" customWidth="1"/>
    <col min="3318" max="3325" width="6.7109375" style="1606" customWidth="1"/>
    <col min="3326" max="3326" width="8.7109375" style="1606" customWidth="1"/>
    <col min="3327" max="3570" width="9.140625" style="1606"/>
    <col min="3571" max="3571" width="11.7109375" style="1606" customWidth="1"/>
    <col min="3572" max="3573" width="9.7109375" style="1606" customWidth="1"/>
    <col min="3574" max="3581" width="6.7109375" style="1606" customWidth="1"/>
    <col min="3582" max="3582" width="8.7109375" style="1606" customWidth="1"/>
    <col min="3583" max="3826" width="9.140625" style="1606"/>
    <col min="3827" max="3827" width="11.7109375" style="1606" customWidth="1"/>
    <col min="3828" max="3829" width="9.7109375" style="1606" customWidth="1"/>
    <col min="3830" max="3837" width="6.7109375" style="1606" customWidth="1"/>
    <col min="3838" max="3838" width="8.7109375" style="1606" customWidth="1"/>
    <col min="3839" max="4082" width="9.140625" style="1606"/>
    <col min="4083" max="4083" width="11.7109375" style="1606" customWidth="1"/>
    <col min="4084" max="4085" width="9.7109375" style="1606" customWidth="1"/>
    <col min="4086" max="4093" width="6.7109375" style="1606" customWidth="1"/>
    <col min="4094" max="4094" width="8.7109375" style="1606" customWidth="1"/>
    <col min="4095" max="4338" width="9.140625" style="1606"/>
    <col min="4339" max="4339" width="11.7109375" style="1606" customWidth="1"/>
    <col min="4340" max="4341" width="9.7109375" style="1606" customWidth="1"/>
    <col min="4342" max="4349" width="6.7109375" style="1606" customWidth="1"/>
    <col min="4350" max="4350" width="8.7109375" style="1606" customWidth="1"/>
    <col min="4351" max="4594" width="9.140625" style="1606"/>
    <col min="4595" max="4595" width="11.7109375" style="1606" customWidth="1"/>
    <col min="4596" max="4597" width="9.7109375" style="1606" customWidth="1"/>
    <col min="4598" max="4605" width="6.7109375" style="1606" customWidth="1"/>
    <col min="4606" max="4606" width="8.7109375" style="1606" customWidth="1"/>
    <col min="4607" max="4850" width="9.140625" style="1606"/>
    <col min="4851" max="4851" width="11.7109375" style="1606" customWidth="1"/>
    <col min="4852" max="4853" width="9.7109375" style="1606" customWidth="1"/>
    <col min="4854" max="4861" width="6.7109375" style="1606" customWidth="1"/>
    <col min="4862" max="4862" width="8.7109375" style="1606" customWidth="1"/>
    <col min="4863" max="5106" width="9.140625" style="1606"/>
    <col min="5107" max="5107" width="11.7109375" style="1606" customWidth="1"/>
    <col min="5108" max="5109" width="9.7109375" style="1606" customWidth="1"/>
    <col min="5110" max="5117" width="6.7109375" style="1606" customWidth="1"/>
    <col min="5118" max="5118" width="8.7109375" style="1606" customWidth="1"/>
    <col min="5119" max="5362" width="9.140625" style="1606"/>
    <col min="5363" max="5363" width="11.7109375" style="1606" customWidth="1"/>
    <col min="5364" max="5365" width="9.7109375" style="1606" customWidth="1"/>
    <col min="5366" max="5373" width="6.7109375" style="1606" customWidth="1"/>
    <col min="5374" max="5374" width="8.7109375" style="1606" customWidth="1"/>
    <col min="5375" max="5618" width="9.140625" style="1606"/>
    <col min="5619" max="5619" width="11.7109375" style="1606" customWidth="1"/>
    <col min="5620" max="5621" width="9.7109375" style="1606" customWidth="1"/>
    <col min="5622" max="5629" width="6.7109375" style="1606" customWidth="1"/>
    <col min="5630" max="5630" width="8.7109375" style="1606" customWidth="1"/>
    <col min="5631" max="5874" width="9.140625" style="1606"/>
    <col min="5875" max="5875" width="11.7109375" style="1606" customWidth="1"/>
    <col min="5876" max="5877" width="9.7109375" style="1606" customWidth="1"/>
    <col min="5878" max="5885" width="6.7109375" style="1606" customWidth="1"/>
    <col min="5886" max="5886" width="8.7109375" style="1606" customWidth="1"/>
    <col min="5887" max="6130" width="9.140625" style="1606"/>
    <col min="6131" max="6131" width="11.7109375" style="1606" customWidth="1"/>
    <col min="6132" max="6133" width="9.7109375" style="1606" customWidth="1"/>
    <col min="6134" max="6141" width="6.7109375" style="1606" customWidth="1"/>
    <col min="6142" max="6142" width="8.7109375" style="1606" customWidth="1"/>
    <col min="6143" max="6386" width="9.140625" style="1606"/>
    <col min="6387" max="6387" width="11.7109375" style="1606" customWidth="1"/>
    <col min="6388" max="6389" width="9.7109375" style="1606" customWidth="1"/>
    <col min="6390" max="6397" width="6.7109375" style="1606" customWidth="1"/>
    <col min="6398" max="6398" width="8.7109375" style="1606" customWidth="1"/>
    <col min="6399" max="6642" width="9.140625" style="1606"/>
    <col min="6643" max="6643" width="11.7109375" style="1606" customWidth="1"/>
    <col min="6644" max="6645" width="9.7109375" style="1606" customWidth="1"/>
    <col min="6646" max="6653" width="6.7109375" style="1606" customWidth="1"/>
    <col min="6654" max="6654" width="8.7109375" style="1606" customWidth="1"/>
    <col min="6655" max="6898" width="9.140625" style="1606"/>
    <col min="6899" max="6899" width="11.7109375" style="1606" customWidth="1"/>
    <col min="6900" max="6901" width="9.7109375" style="1606" customWidth="1"/>
    <col min="6902" max="6909" width="6.7109375" style="1606" customWidth="1"/>
    <col min="6910" max="6910" width="8.7109375" style="1606" customWidth="1"/>
    <col min="6911" max="7154" width="9.140625" style="1606"/>
    <col min="7155" max="7155" width="11.7109375" style="1606" customWidth="1"/>
    <col min="7156" max="7157" width="9.7109375" style="1606" customWidth="1"/>
    <col min="7158" max="7165" width="6.7109375" style="1606" customWidth="1"/>
    <col min="7166" max="7166" width="8.7109375" style="1606" customWidth="1"/>
    <col min="7167" max="7410" width="9.140625" style="1606"/>
    <col min="7411" max="7411" width="11.7109375" style="1606" customWidth="1"/>
    <col min="7412" max="7413" width="9.7109375" style="1606" customWidth="1"/>
    <col min="7414" max="7421" width="6.7109375" style="1606" customWidth="1"/>
    <col min="7422" max="7422" width="8.7109375" style="1606" customWidth="1"/>
    <col min="7423" max="7666" width="9.140625" style="1606"/>
    <col min="7667" max="7667" width="11.7109375" style="1606" customWidth="1"/>
    <col min="7668" max="7669" width="9.7109375" style="1606" customWidth="1"/>
    <col min="7670" max="7677" width="6.7109375" style="1606" customWidth="1"/>
    <col min="7678" max="7678" width="8.7109375" style="1606" customWidth="1"/>
    <col min="7679" max="7922" width="9.140625" style="1606"/>
    <col min="7923" max="7923" width="11.7109375" style="1606" customWidth="1"/>
    <col min="7924" max="7925" width="9.7109375" style="1606" customWidth="1"/>
    <col min="7926" max="7933" width="6.7109375" style="1606" customWidth="1"/>
    <col min="7934" max="7934" width="8.7109375" style="1606" customWidth="1"/>
    <col min="7935" max="8178" width="9.140625" style="1606"/>
    <col min="8179" max="8179" width="11.7109375" style="1606" customWidth="1"/>
    <col min="8180" max="8181" width="9.7109375" style="1606" customWidth="1"/>
    <col min="8182" max="8189" width="6.7109375" style="1606" customWidth="1"/>
    <col min="8190" max="8190" width="8.7109375" style="1606" customWidth="1"/>
    <col min="8191" max="8434" width="9.140625" style="1606"/>
    <col min="8435" max="8435" width="11.7109375" style="1606" customWidth="1"/>
    <col min="8436" max="8437" width="9.7109375" style="1606" customWidth="1"/>
    <col min="8438" max="8445" width="6.7109375" style="1606" customWidth="1"/>
    <col min="8446" max="8446" width="8.7109375" style="1606" customWidth="1"/>
    <col min="8447" max="8690" width="9.140625" style="1606"/>
    <col min="8691" max="8691" width="11.7109375" style="1606" customWidth="1"/>
    <col min="8692" max="8693" width="9.7109375" style="1606" customWidth="1"/>
    <col min="8694" max="8701" width="6.7109375" style="1606" customWidth="1"/>
    <col min="8702" max="8702" width="8.7109375" style="1606" customWidth="1"/>
    <col min="8703" max="8946" width="9.140625" style="1606"/>
    <col min="8947" max="8947" width="11.7109375" style="1606" customWidth="1"/>
    <col min="8948" max="8949" width="9.7109375" style="1606" customWidth="1"/>
    <col min="8950" max="8957" width="6.7109375" style="1606" customWidth="1"/>
    <col min="8958" max="8958" width="8.7109375" style="1606" customWidth="1"/>
    <col min="8959" max="9202" width="9.140625" style="1606"/>
    <col min="9203" max="9203" width="11.7109375" style="1606" customWidth="1"/>
    <col min="9204" max="9205" width="9.7109375" style="1606" customWidth="1"/>
    <col min="9206" max="9213" width="6.7109375" style="1606" customWidth="1"/>
    <col min="9214" max="9214" width="8.7109375" style="1606" customWidth="1"/>
    <col min="9215" max="9458" width="9.140625" style="1606"/>
    <col min="9459" max="9459" width="11.7109375" style="1606" customWidth="1"/>
    <col min="9460" max="9461" width="9.7109375" style="1606" customWidth="1"/>
    <col min="9462" max="9469" width="6.7109375" style="1606" customWidth="1"/>
    <col min="9470" max="9470" width="8.7109375" style="1606" customWidth="1"/>
    <col min="9471" max="9714" width="9.140625" style="1606"/>
    <col min="9715" max="9715" width="11.7109375" style="1606" customWidth="1"/>
    <col min="9716" max="9717" width="9.7109375" style="1606" customWidth="1"/>
    <col min="9718" max="9725" width="6.7109375" style="1606" customWidth="1"/>
    <col min="9726" max="9726" width="8.7109375" style="1606" customWidth="1"/>
    <col min="9727" max="9970" width="9.140625" style="1606"/>
    <col min="9971" max="9971" width="11.7109375" style="1606" customWidth="1"/>
    <col min="9972" max="9973" width="9.7109375" style="1606" customWidth="1"/>
    <col min="9974" max="9981" width="6.7109375" style="1606" customWidth="1"/>
    <col min="9982" max="9982" width="8.7109375" style="1606" customWidth="1"/>
    <col min="9983" max="10226" width="9.140625" style="1606"/>
    <col min="10227" max="10227" width="11.7109375" style="1606" customWidth="1"/>
    <col min="10228" max="10229" width="9.7109375" style="1606" customWidth="1"/>
    <col min="10230" max="10237" width="6.7109375" style="1606" customWidth="1"/>
    <col min="10238" max="10238" width="8.7109375" style="1606" customWidth="1"/>
    <col min="10239" max="10482" width="9.140625" style="1606"/>
    <col min="10483" max="10483" width="11.7109375" style="1606" customWidth="1"/>
    <col min="10484" max="10485" width="9.7109375" style="1606" customWidth="1"/>
    <col min="10486" max="10493" width="6.7109375" style="1606" customWidth="1"/>
    <col min="10494" max="10494" width="8.7109375" style="1606" customWidth="1"/>
    <col min="10495" max="10738" width="9.140625" style="1606"/>
    <col min="10739" max="10739" width="11.7109375" style="1606" customWidth="1"/>
    <col min="10740" max="10741" width="9.7109375" style="1606" customWidth="1"/>
    <col min="10742" max="10749" width="6.7109375" style="1606" customWidth="1"/>
    <col min="10750" max="10750" width="8.7109375" style="1606" customWidth="1"/>
    <col min="10751" max="10994" width="9.140625" style="1606"/>
    <col min="10995" max="10995" width="11.7109375" style="1606" customWidth="1"/>
    <col min="10996" max="10997" width="9.7109375" style="1606" customWidth="1"/>
    <col min="10998" max="11005" width="6.7109375" style="1606" customWidth="1"/>
    <col min="11006" max="11006" width="8.7109375" style="1606" customWidth="1"/>
    <col min="11007" max="11250" width="9.140625" style="1606"/>
    <col min="11251" max="11251" width="11.7109375" style="1606" customWidth="1"/>
    <col min="11252" max="11253" width="9.7109375" style="1606" customWidth="1"/>
    <col min="11254" max="11261" width="6.7109375" style="1606" customWidth="1"/>
    <col min="11262" max="11262" width="8.7109375" style="1606" customWidth="1"/>
    <col min="11263" max="11506" width="9.140625" style="1606"/>
    <col min="11507" max="11507" width="11.7109375" style="1606" customWidth="1"/>
    <col min="11508" max="11509" width="9.7109375" style="1606" customWidth="1"/>
    <col min="11510" max="11517" width="6.7109375" style="1606" customWidth="1"/>
    <col min="11518" max="11518" width="8.7109375" style="1606" customWidth="1"/>
    <col min="11519" max="11762" width="9.140625" style="1606"/>
    <col min="11763" max="11763" width="11.7109375" style="1606" customWidth="1"/>
    <col min="11764" max="11765" width="9.7109375" style="1606" customWidth="1"/>
    <col min="11766" max="11773" width="6.7109375" style="1606" customWidth="1"/>
    <col min="11774" max="11774" width="8.7109375" style="1606" customWidth="1"/>
    <col min="11775" max="12018" width="9.140625" style="1606"/>
    <col min="12019" max="12019" width="11.7109375" style="1606" customWidth="1"/>
    <col min="12020" max="12021" width="9.7109375" style="1606" customWidth="1"/>
    <col min="12022" max="12029" width="6.7109375" style="1606" customWidth="1"/>
    <col min="12030" max="12030" width="8.7109375" style="1606" customWidth="1"/>
    <col min="12031" max="12274" width="9.140625" style="1606"/>
    <col min="12275" max="12275" width="11.7109375" style="1606" customWidth="1"/>
    <col min="12276" max="12277" width="9.7109375" style="1606" customWidth="1"/>
    <col min="12278" max="12285" width="6.7109375" style="1606" customWidth="1"/>
    <col min="12286" max="12286" width="8.7109375" style="1606" customWidth="1"/>
    <col min="12287" max="12530" width="9.140625" style="1606"/>
    <col min="12531" max="12531" width="11.7109375" style="1606" customWidth="1"/>
    <col min="12532" max="12533" width="9.7109375" style="1606" customWidth="1"/>
    <col min="12534" max="12541" width="6.7109375" style="1606" customWidth="1"/>
    <col min="12542" max="12542" width="8.7109375" style="1606" customWidth="1"/>
    <col min="12543" max="12786" width="9.140625" style="1606"/>
    <col min="12787" max="12787" width="11.7109375" style="1606" customWidth="1"/>
    <col min="12788" max="12789" width="9.7109375" style="1606" customWidth="1"/>
    <col min="12790" max="12797" width="6.7109375" style="1606" customWidth="1"/>
    <col min="12798" max="12798" width="8.7109375" style="1606" customWidth="1"/>
    <col min="12799" max="13042" width="9.140625" style="1606"/>
    <col min="13043" max="13043" width="11.7109375" style="1606" customWidth="1"/>
    <col min="13044" max="13045" width="9.7109375" style="1606" customWidth="1"/>
    <col min="13046" max="13053" width="6.7109375" style="1606" customWidth="1"/>
    <col min="13054" max="13054" width="8.7109375" style="1606" customWidth="1"/>
    <col min="13055" max="13298" width="9.140625" style="1606"/>
    <col min="13299" max="13299" width="11.7109375" style="1606" customWidth="1"/>
    <col min="13300" max="13301" width="9.7109375" style="1606" customWidth="1"/>
    <col min="13302" max="13309" width="6.7109375" style="1606" customWidth="1"/>
    <col min="13310" max="13310" width="8.7109375" style="1606" customWidth="1"/>
    <col min="13311" max="13554" width="9.140625" style="1606"/>
    <col min="13555" max="13555" width="11.7109375" style="1606" customWidth="1"/>
    <col min="13556" max="13557" width="9.7109375" style="1606" customWidth="1"/>
    <col min="13558" max="13565" width="6.7109375" style="1606" customWidth="1"/>
    <col min="13566" max="13566" width="8.7109375" style="1606" customWidth="1"/>
    <col min="13567" max="13810" width="9.140625" style="1606"/>
    <col min="13811" max="13811" width="11.7109375" style="1606" customWidth="1"/>
    <col min="13812" max="13813" width="9.7109375" style="1606" customWidth="1"/>
    <col min="13814" max="13821" width="6.7109375" style="1606" customWidth="1"/>
    <col min="13822" max="13822" width="8.7109375" style="1606" customWidth="1"/>
    <col min="13823" max="14066" width="9.140625" style="1606"/>
    <col min="14067" max="14067" width="11.7109375" style="1606" customWidth="1"/>
    <col min="14068" max="14069" width="9.7109375" style="1606" customWidth="1"/>
    <col min="14070" max="14077" width="6.7109375" style="1606" customWidth="1"/>
    <col min="14078" max="14078" width="8.7109375" style="1606" customWidth="1"/>
    <col min="14079" max="14322" width="9.140625" style="1606"/>
    <col min="14323" max="14323" width="11.7109375" style="1606" customWidth="1"/>
    <col min="14324" max="14325" width="9.7109375" style="1606" customWidth="1"/>
    <col min="14326" max="14333" width="6.7109375" style="1606" customWidth="1"/>
    <col min="14334" max="14334" width="8.7109375" style="1606" customWidth="1"/>
    <col min="14335" max="14578" width="9.140625" style="1606"/>
    <col min="14579" max="14579" width="11.7109375" style="1606" customWidth="1"/>
    <col min="14580" max="14581" width="9.7109375" style="1606" customWidth="1"/>
    <col min="14582" max="14589" width="6.7109375" style="1606" customWidth="1"/>
    <col min="14590" max="14590" width="8.7109375" style="1606" customWidth="1"/>
    <col min="14591" max="14834" width="9.140625" style="1606"/>
    <col min="14835" max="14835" width="11.7109375" style="1606" customWidth="1"/>
    <col min="14836" max="14837" width="9.7109375" style="1606" customWidth="1"/>
    <col min="14838" max="14845" width="6.7109375" style="1606" customWidth="1"/>
    <col min="14846" max="14846" width="8.7109375" style="1606" customWidth="1"/>
    <col min="14847" max="15090" width="9.140625" style="1606"/>
    <col min="15091" max="15091" width="11.7109375" style="1606" customWidth="1"/>
    <col min="15092" max="15093" width="9.7109375" style="1606" customWidth="1"/>
    <col min="15094" max="15101" width="6.7109375" style="1606" customWidth="1"/>
    <col min="15102" max="15102" width="8.7109375" style="1606" customWidth="1"/>
    <col min="15103" max="15346" width="9.140625" style="1606"/>
    <col min="15347" max="15347" width="11.7109375" style="1606" customWidth="1"/>
    <col min="15348" max="15349" width="9.7109375" style="1606" customWidth="1"/>
    <col min="15350" max="15357" width="6.7109375" style="1606" customWidth="1"/>
    <col min="15358" max="15358" width="8.7109375" style="1606" customWidth="1"/>
    <col min="15359" max="15602" width="9.140625" style="1606"/>
    <col min="15603" max="15603" width="11.7109375" style="1606" customWidth="1"/>
    <col min="15604" max="15605" width="9.7109375" style="1606" customWidth="1"/>
    <col min="15606" max="15613" width="6.7109375" style="1606" customWidth="1"/>
    <col min="15614" max="15614" width="8.7109375" style="1606" customWidth="1"/>
    <col min="15615" max="15858" width="9.140625" style="1606"/>
    <col min="15859" max="15859" width="11.7109375" style="1606" customWidth="1"/>
    <col min="15860" max="15861" width="9.7109375" style="1606" customWidth="1"/>
    <col min="15862" max="15869" width="6.7109375" style="1606" customWidth="1"/>
    <col min="15870" max="15870" width="8.7109375" style="1606" customWidth="1"/>
    <col min="15871" max="16114" width="9.140625" style="1606"/>
    <col min="16115" max="16115" width="11.7109375" style="1606" customWidth="1"/>
    <col min="16116" max="16117" width="9.7109375" style="1606" customWidth="1"/>
    <col min="16118" max="16125" width="6.7109375" style="1606" customWidth="1"/>
    <col min="16126" max="16126" width="8.7109375" style="1606" customWidth="1"/>
    <col min="16127" max="16384" width="9.140625" style="1606"/>
  </cols>
  <sheetData>
    <row r="1" spans="1:20" ht="18" customHeight="1">
      <c r="A1" s="1895" t="s">
        <v>1400</v>
      </c>
      <c r="B1" s="1895"/>
      <c r="C1" s="1896" t="s">
        <v>1401</v>
      </c>
      <c r="D1" s="1896"/>
    </row>
    <row r="2" spans="1:20" ht="18" customHeight="1">
      <c r="A2" s="1895" t="s">
        <v>1402</v>
      </c>
      <c r="B2" s="1895"/>
      <c r="C2" s="1896" t="s">
        <v>1403</v>
      </c>
      <c r="D2" s="1896"/>
    </row>
    <row r="3" spans="1:20" ht="21" customHeight="1">
      <c r="A3" s="1895" t="s">
        <v>1404</v>
      </c>
      <c r="B3" s="1895"/>
      <c r="C3" s="1897" t="s">
        <v>1405</v>
      </c>
      <c r="D3" s="1897"/>
    </row>
    <row r="4" spans="1:20" ht="18" customHeight="1">
      <c r="A4" s="1895" t="s">
        <v>1406</v>
      </c>
      <c r="B4" s="1895"/>
      <c r="C4" s="1901">
        <v>46048</v>
      </c>
      <c r="D4" s="1896"/>
    </row>
    <row r="5" spans="1:20" ht="18" customHeight="1">
      <c r="A5" s="1902" t="s">
        <v>1407</v>
      </c>
      <c r="B5" s="1902"/>
      <c r="C5" s="1902"/>
      <c r="D5" s="1607">
        <v>1</v>
      </c>
      <c r="P5" s="1606" t="s">
        <v>1408</v>
      </c>
      <c r="Q5" s="1606" t="s">
        <v>1409</v>
      </c>
      <c r="R5" s="1606" t="s">
        <v>1410</v>
      </c>
    </row>
    <row r="6" spans="1:20" ht="18" customHeight="1">
      <c r="A6" s="1896" t="s">
        <v>1411</v>
      </c>
      <c r="B6" s="1896"/>
      <c r="C6" s="1896"/>
      <c r="D6" s="1607">
        <v>1</v>
      </c>
      <c r="P6" s="1608">
        <v>0.38</v>
      </c>
      <c r="Q6" s="1608">
        <v>0.45</v>
      </c>
      <c r="R6" s="1608">
        <v>0.17</v>
      </c>
      <c r="S6" s="1608">
        <f>SUM(P6:R6)</f>
        <v>1</v>
      </c>
      <c r="T6" s="1609">
        <f>D8-D7</f>
        <v>0</v>
      </c>
    </row>
    <row r="7" spans="1:20" ht="18" customHeight="1">
      <c r="A7" s="1903" t="s">
        <v>1412</v>
      </c>
      <c r="B7" s="1610" t="s">
        <v>1413</v>
      </c>
      <c r="C7" s="1611">
        <v>9.5</v>
      </c>
      <c r="D7" s="1612">
        <f>$P$6*'[231]BRASIL '!D7+$Q$6*[231]FORTALEZA!D7+$R$6*[231]KAPIVARI!D7</f>
        <v>0</v>
      </c>
      <c r="P7" s="1606">
        <v>24.2</v>
      </c>
      <c r="Q7" s="1606">
        <v>32.5</v>
      </c>
      <c r="R7" s="1606">
        <v>131</v>
      </c>
      <c r="T7" s="1609">
        <f t="shared" ref="T7:T12" si="0">D9-D8</f>
        <v>0</v>
      </c>
    </row>
    <row r="8" spans="1:20" ht="18" customHeight="1">
      <c r="A8" s="1904"/>
      <c r="B8" s="1610" t="s">
        <v>1414</v>
      </c>
      <c r="C8" s="1611">
        <v>6.3</v>
      </c>
      <c r="D8" s="1612">
        <f>$P$6*'[231]BRASIL '!D8+$Q$6*[231]FORTALEZA!D8+$R$6*[231]KAPIVARI!D8</f>
        <v>0</v>
      </c>
      <c r="T8" s="1609">
        <f t="shared" si="0"/>
        <v>9.6406999999999989</v>
      </c>
    </row>
    <row r="9" spans="1:20" ht="18" customHeight="1">
      <c r="A9" s="1904"/>
      <c r="B9" s="1611" t="s">
        <v>1415</v>
      </c>
      <c r="C9" s="1611">
        <v>4.75</v>
      </c>
      <c r="D9" s="1612">
        <f>$P$6*'[231]BRASIL '!D9+$Q$6*[231]FORTALEZA!D9+$R$6*[231]KAPIVARI!D9</f>
        <v>0</v>
      </c>
      <c r="P9" s="1613" t="s">
        <v>28</v>
      </c>
      <c r="T9" s="1609">
        <f t="shared" si="0"/>
        <v>19.301033333333333</v>
      </c>
    </row>
    <row r="10" spans="1:20" ht="18" customHeight="1">
      <c r="A10" s="1904"/>
      <c r="B10" s="1611" t="s">
        <v>1416</v>
      </c>
      <c r="C10" s="1611">
        <v>2.36</v>
      </c>
      <c r="D10" s="1612">
        <f>$P$6*'[231]BRASIL '!D10+$Q$6*[231]FORTALEZA!D10+$R$6*[231]KAPIVARI!D10</f>
        <v>9.6406999999999989</v>
      </c>
      <c r="P10" s="1614">
        <f>P6*P7+Q6*Q7+R6*R7</f>
        <v>46.091000000000001</v>
      </c>
      <c r="T10" s="1609">
        <f t="shared" si="0"/>
        <v>15.733433333333338</v>
      </c>
    </row>
    <row r="11" spans="1:20" ht="18" customHeight="1">
      <c r="A11" s="1904"/>
      <c r="B11" s="1611" t="s">
        <v>1417</v>
      </c>
      <c r="C11" s="1611">
        <v>1.18</v>
      </c>
      <c r="D11" s="1612">
        <f>$P$6*'[231]BRASIL '!D11+$Q$6*[231]FORTALEZA!D11+$R$6*[231]KAPIVARI!D11</f>
        <v>28.941733333333332</v>
      </c>
      <c r="T11" s="1609">
        <f t="shared" si="0"/>
        <v>37.574183333333337</v>
      </c>
    </row>
    <row r="12" spans="1:20" ht="18" customHeight="1">
      <c r="A12" s="1904"/>
      <c r="B12" s="1611" t="s">
        <v>1418</v>
      </c>
      <c r="C12" s="1611">
        <v>0.6</v>
      </c>
      <c r="D12" s="1612">
        <f>$P$6*'[231]BRASIL '!D12+$Q$6*[231]FORTALEZA!D12+$R$6*[231]KAPIVARI!D12</f>
        <v>44.675166666666669</v>
      </c>
      <c r="T12" s="1609">
        <f t="shared" si="0"/>
        <v>8.4711833333333146</v>
      </c>
    </row>
    <row r="13" spans="1:20" ht="18" customHeight="1">
      <c r="A13" s="1904"/>
      <c r="B13" s="1611" t="s">
        <v>1419</v>
      </c>
      <c r="C13" s="1611">
        <v>0.3</v>
      </c>
      <c r="D13" s="1612">
        <f>$P$6*'[231]BRASIL '!D13+$Q$6*[231]FORTALEZA!D13+$R$6*[231]KAPIVARI!D13</f>
        <v>82.249350000000007</v>
      </c>
      <c r="T13" s="1609"/>
    </row>
    <row r="14" spans="1:20" ht="18" customHeight="1">
      <c r="A14" s="1905"/>
      <c r="B14" s="1611" t="s">
        <v>1420</v>
      </c>
      <c r="C14" s="1611">
        <v>0.15</v>
      </c>
      <c r="D14" s="1612">
        <f>$P$6*'[231]BRASIL '!D14+$Q$6*[231]FORTALEZA!D14+$R$6*[231]KAPIVARI!D14</f>
        <v>90.720533333333321</v>
      </c>
      <c r="T14" s="1609"/>
    </row>
    <row r="15" spans="1:20" ht="18" customHeight="1">
      <c r="A15" s="1906" t="s">
        <v>1421</v>
      </c>
      <c r="B15" s="1906"/>
      <c r="C15" s="1906"/>
      <c r="D15" s="1615">
        <f>SUM(D9:D14,D7)/100</f>
        <v>2.5622748333333334</v>
      </c>
    </row>
    <row r="16" spans="1:20" ht="15.75" customHeight="1"/>
    <row r="17" spans="6:9" ht="15.75" customHeight="1"/>
    <row r="18" spans="6:9" ht="15.75" customHeight="1">
      <c r="F18" s="1898" t="s">
        <v>1422</v>
      </c>
      <c r="G18" s="1899"/>
      <c r="H18" s="1899"/>
      <c r="I18" s="1900"/>
    </row>
    <row r="19" spans="6:9" ht="15.75" customHeight="1"/>
    <row r="20" spans="6:9" ht="20.100000000000001" customHeight="1"/>
    <row r="21" spans="6:9" ht="20.100000000000001" customHeight="1"/>
    <row r="22" spans="6:9" ht="20.100000000000001" customHeight="1"/>
    <row r="23" spans="6:9" ht="20.100000000000001" customHeight="1"/>
  </sheetData>
  <mergeCells count="13">
    <mergeCell ref="F18:I18"/>
    <mergeCell ref="A4:B4"/>
    <mergeCell ref="C4:D4"/>
    <mergeCell ref="A5:C5"/>
    <mergeCell ref="A6:C6"/>
    <mergeCell ref="A7:A14"/>
    <mergeCell ref="A15:C15"/>
    <mergeCell ref="A1:B1"/>
    <mergeCell ref="C1:D1"/>
    <mergeCell ref="A2:B2"/>
    <mergeCell ref="C2:D2"/>
    <mergeCell ref="A3:B3"/>
    <mergeCell ref="C3:D3"/>
  </mergeCells>
  <pageMargins left="0.78740157480314965" right="0.59055118110236227" top="0.78740157480314965" bottom="0.78740157480314965" header="0.31496062992125984" footer="0.31496062992125984"/>
  <pageSetup paperSize="9" orientation="landscape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3B61-7A31-4AA3-AB2A-83B99B246F65}">
  <sheetPr>
    <tabColor rgb="FFFFFF00"/>
  </sheetPr>
  <dimension ref="A1:L24"/>
  <sheetViews>
    <sheetView zoomScale="115" zoomScaleNormal="115" workbookViewId="0">
      <selection activeCell="D10" sqref="D10"/>
    </sheetView>
  </sheetViews>
  <sheetFormatPr defaultRowHeight="15"/>
  <cols>
    <col min="1" max="1" width="10" style="118" customWidth="1"/>
    <col min="2" max="2" width="48.140625" customWidth="1"/>
    <col min="3" max="3" width="11.85546875" style="149" customWidth="1"/>
    <col min="4" max="4" width="12" style="149" customWidth="1"/>
    <col min="5" max="5" width="11.28515625" style="149" hidden="1" customWidth="1"/>
    <col min="6" max="6" width="6.28515625" style="118" hidden="1" customWidth="1"/>
    <col min="7" max="7" width="7.7109375" style="118" hidden="1" customWidth="1"/>
    <col min="8" max="8" width="14.85546875" style="118" hidden="1" customWidth="1"/>
    <col min="9" max="9" width="14" bestFit="1" customWidth="1"/>
  </cols>
  <sheetData>
    <row r="1" spans="1:12" ht="30.75" customHeight="1">
      <c r="A1" s="154" t="s">
        <v>88</v>
      </c>
      <c r="B1" s="155" t="s">
        <v>89</v>
      </c>
      <c r="C1" s="156" t="s">
        <v>90</v>
      </c>
      <c r="D1" s="156" t="s">
        <v>91</v>
      </c>
      <c r="E1" s="162" t="s">
        <v>141</v>
      </c>
      <c r="F1" s="157" t="s">
        <v>138</v>
      </c>
      <c r="G1" s="157" t="s">
        <v>139</v>
      </c>
      <c r="H1" s="157" t="s">
        <v>140</v>
      </c>
    </row>
    <row r="2" spans="1:12" s="148" customFormat="1" ht="27">
      <c r="A2" s="313" t="s">
        <v>1424</v>
      </c>
      <c r="B2" s="314" t="s">
        <v>1532</v>
      </c>
      <c r="C2" s="315" t="s">
        <v>100</v>
      </c>
      <c r="D2" s="150">
        <f>'MC CCP'!$O$27</f>
        <v>7809.4</v>
      </c>
      <c r="E2" s="150">
        <v>543.21</v>
      </c>
      <c r="F2" s="316">
        <v>22.79</v>
      </c>
      <c r="G2" s="316">
        <f>E2*(1+F2/100)</f>
        <v>667.00755900000001</v>
      </c>
      <c r="H2" s="317">
        <f>G2*D2</f>
        <v>5208928.8312545996</v>
      </c>
    </row>
    <row r="3" spans="1:12" s="120" customFormat="1" ht="18.75" customHeight="1">
      <c r="A3" s="313" t="s">
        <v>1424</v>
      </c>
      <c r="B3" s="314" t="s">
        <v>137</v>
      </c>
      <c r="C3" s="315" t="s">
        <v>74</v>
      </c>
      <c r="D3" s="150">
        <f>+'MC CCP'!T27</f>
        <v>14413.806570049999</v>
      </c>
      <c r="E3" s="150">
        <v>3.06</v>
      </c>
      <c r="F3" s="150">
        <v>22.79</v>
      </c>
      <c r="G3" s="150">
        <f t="shared" ref="G3:G14" si="0">E3*(1+F3/100)</f>
        <v>3.757374</v>
      </c>
      <c r="H3" s="317">
        <f t="shared" ref="H3:H22" si="1">G3*D3</f>
        <v>54158.062047335043</v>
      </c>
    </row>
    <row r="4" spans="1:12" ht="21" customHeight="1">
      <c r="A4" s="313">
        <v>4011536</v>
      </c>
      <c r="B4" s="1617" t="s">
        <v>106</v>
      </c>
      <c r="C4" s="1618" t="s">
        <v>105</v>
      </c>
      <c r="D4" s="1619">
        <f>+'MC CCP'!M27</f>
        <v>39047.031000000003</v>
      </c>
      <c r="E4" s="150">
        <v>1.81</v>
      </c>
      <c r="F4" s="150">
        <v>22.79</v>
      </c>
      <c r="G4" s="150">
        <f t="shared" si="0"/>
        <v>2.222499</v>
      </c>
      <c r="H4" s="317">
        <f t="shared" si="1"/>
        <v>86781.987350469004</v>
      </c>
    </row>
    <row r="5" spans="1:12" s="120" customFormat="1" ht="21" customHeight="1">
      <c r="A5" s="313">
        <v>40380</v>
      </c>
      <c r="B5" s="1617" t="s">
        <v>65</v>
      </c>
      <c r="C5" s="1618" t="s">
        <v>72</v>
      </c>
      <c r="D5" s="1619">
        <f>'MC IMPR'!$M$45</f>
        <v>17974.556000000004</v>
      </c>
      <c r="E5" s="150">
        <v>0.5</v>
      </c>
      <c r="F5" s="150">
        <v>22.79</v>
      </c>
      <c r="G5" s="150">
        <f t="shared" si="0"/>
        <v>0.61395</v>
      </c>
      <c r="H5" s="317">
        <f t="shared" si="1"/>
        <v>11035.478656200003</v>
      </c>
    </row>
    <row r="6" spans="1:12" s="120" customFormat="1" ht="18.75" customHeight="1">
      <c r="A6" s="313">
        <v>40435</v>
      </c>
      <c r="B6" s="1617" t="s">
        <v>77</v>
      </c>
      <c r="C6" s="1618" t="s">
        <v>78</v>
      </c>
      <c r="D6" s="1619">
        <f>'MC IMPR'!V45</f>
        <v>32.751472041223003</v>
      </c>
      <c r="E6" s="150">
        <v>3.32</v>
      </c>
      <c r="F6" s="150">
        <v>22.79</v>
      </c>
      <c r="G6" s="150">
        <f t="shared" si="0"/>
        <v>4.0766279999999995</v>
      </c>
      <c r="H6" s="317">
        <f t="shared" si="1"/>
        <v>133.51556796446684</v>
      </c>
    </row>
    <row r="7" spans="1:12" s="120" customFormat="1" ht="21" customHeight="1">
      <c r="A7" s="313">
        <v>40617</v>
      </c>
      <c r="B7" s="1617" t="s">
        <v>87</v>
      </c>
      <c r="C7" s="1618" t="s">
        <v>73</v>
      </c>
      <c r="D7" s="1619">
        <f>'MC BGTC'!O137</f>
        <v>295.91525999999999</v>
      </c>
      <c r="E7" s="150">
        <v>241.92</v>
      </c>
      <c r="F7" s="150">
        <v>22.79</v>
      </c>
      <c r="G7" s="150">
        <f t="shared" si="0"/>
        <v>297.05356799999998</v>
      </c>
      <c r="H7" s="317">
        <f t="shared" si="1"/>
        <v>87902.683808647678</v>
      </c>
    </row>
    <row r="8" spans="1:12" s="120" customFormat="1" ht="21" customHeight="1">
      <c r="A8" s="313" t="s">
        <v>1424</v>
      </c>
      <c r="B8" s="1617" t="s">
        <v>1425</v>
      </c>
      <c r="C8" s="1618" t="s">
        <v>73</v>
      </c>
      <c r="D8" s="1619">
        <f>'MC BGTC'!O117</f>
        <v>1841.5646999999999</v>
      </c>
      <c r="E8" s="150">
        <v>241.92</v>
      </c>
      <c r="F8" s="150">
        <v>22.79</v>
      </c>
      <c r="G8" s="150">
        <f t="shared" ref="G8" si="2">E8*(1+F8/100)</f>
        <v>297.05356799999998</v>
      </c>
      <c r="H8" s="317">
        <f t="shared" ref="H8" si="3">G8*D8</f>
        <v>547043.36483784951</v>
      </c>
    </row>
    <row r="9" spans="1:12" s="1691" customFormat="1" ht="21" customHeight="1">
      <c r="A9" s="1685">
        <v>40325</v>
      </c>
      <c r="B9" s="1686" t="s">
        <v>75</v>
      </c>
      <c r="C9" s="1687" t="s">
        <v>74</v>
      </c>
      <c r="D9" s="1688">
        <f>'MC BGTC'!W117+'MC BGTC'!W137</f>
        <v>5920.4945943381281</v>
      </c>
      <c r="E9" s="1689">
        <v>3.06</v>
      </c>
      <c r="F9" s="1689">
        <v>22.79</v>
      </c>
      <c r="G9" s="1689">
        <f t="shared" si="0"/>
        <v>3.757374</v>
      </c>
      <c r="H9" s="1690">
        <f t="shared" si="1"/>
        <v>22245.512455906628</v>
      </c>
    </row>
    <row r="10" spans="1:12" s="120" customFormat="1" ht="21" customHeight="1">
      <c r="A10" s="1685">
        <v>40470</v>
      </c>
      <c r="B10" s="1686" t="s">
        <v>1526</v>
      </c>
      <c r="C10" s="1687" t="s">
        <v>73</v>
      </c>
      <c r="D10" s="1688">
        <f>'MC BGTC'!O98</f>
        <v>920.80400000000009</v>
      </c>
      <c r="E10" s="150">
        <v>9.09</v>
      </c>
      <c r="F10" s="150">
        <v>22.79</v>
      </c>
      <c r="G10" s="150">
        <f t="shared" si="0"/>
        <v>11.161611000000001</v>
      </c>
      <c r="H10" s="317">
        <f t="shared" si="1"/>
        <v>10277.656055244002</v>
      </c>
    </row>
    <row r="11" spans="1:12" s="120" customFormat="1" ht="21" customHeight="1">
      <c r="A11" s="313">
        <v>40430</v>
      </c>
      <c r="B11" s="1617" t="s">
        <v>76</v>
      </c>
      <c r="C11" s="1618" t="s">
        <v>74</v>
      </c>
      <c r="D11" s="1688">
        <f>'MC BGTC'!$W$98</f>
        <v>2270.5195520408001</v>
      </c>
      <c r="E11" s="150">
        <v>3.48</v>
      </c>
      <c r="F11" s="150">
        <v>22.79</v>
      </c>
      <c r="G11" s="150">
        <f t="shared" si="0"/>
        <v>4.2730920000000001</v>
      </c>
      <c r="H11" s="317">
        <f t="shared" si="1"/>
        <v>9702.1389336691263</v>
      </c>
      <c r="L11"/>
    </row>
    <row r="12" spans="1:12" s="120" customFormat="1" ht="21" customHeight="1">
      <c r="A12" s="313">
        <v>40310</v>
      </c>
      <c r="B12" s="1617" t="s">
        <v>1533</v>
      </c>
      <c r="C12" s="1618" t="s">
        <v>72</v>
      </c>
      <c r="D12" s="1619">
        <f>'MC Reg_Subleito'!L76</f>
        <v>16227.598000000002</v>
      </c>
      <c r="E12" s="150">
        <v>2.74</v>
      </c>
      <c r="F12" s="150">
        <v>22.79</v>
      </c>
      <c r="G12" s="150">
        <f t="shared" si="0"/>
        <v>3.364446</v>
      </c>
      <c r="H12" s="317">
        <f t="shared" si="1"/>
        <v>54596.877180708005</v>
      </c>
      <c r="L12"/>
    </row>
    <row r="13" spans="1:12" s="120" customFormat="1" ht="18.75" customHeight="1">
      <c r="A13" s="313">
        <v>40455</v>
      </c>
      <c r="B13" s="1617" t="s">
        <v>83</v>
      </c>
      <c r="C13" s="1618" t="s">
        <v>74</v>
      </c>
      <c r="D13" s="1619">
        <f>Transportes!L7+Transportes!L8+Transportes!L14</f>
        <v>490401.25796925835</v>
      </c>
      <c r="E13" s="150">
        <v>1.5</v>
      </c>
      <c r="F13" s="150">
        <v>22.79</v>
      </c>
      <c r="G13" s="150">
        <f t="shared" si="0"/>
        <v>1.84185</v>
      </c>
      <c r="H13" s="317">
        <f t="shared" si="1"/>
        <v>903245.55699067854</v>
      </c>
      <c r="L13"/>
    </row>
    <row r="14" spans="1:12" s="120" customFormat="1" ht="18.75" customHeight="1">
      <c r="A14" s="313">
        <v>40450</v>
      </c>
      <c r="B14" s="1617" t="s">
        <v>82</v>
      </c>
      <c r="C14" s="1618" t="s">
        <v>78</v>
      </c>
      <c r="D14" s="1619">
        <f>Transportes!L6+Transportes!L13</f>
        <v>533722.38748892734</v>
      </c>
      <c r="E14" s="150">
        <v>0.84</v>
      </c>
      <c r="F14" s="318">
        <v>22.79</v>
      </c>
      <c r="G14" s="318">
        <f t="shared" si="0"/>
        <v>1.031436</v>
      </c>
      <c r="H14" s="317">
        <f t="shared" si="1"/>
        <v>550500.4844620293</v>
      </c>
    </row>
    <row r="15" spans="1:12" s="152" customFormat="1" ht="18.75" customHeight="1">
      <c r="A15" s="313">
        <v>40485</v>
      </c>
      <c r="B15" s="1617" t="s">
        <v>84</v>
      </c>
      <c r="C15" s="1618" t="s">
        <v>85</v>
      </c>
      <c r="D15" s="1619">
        <f>'MC IMPR'!Q45</f>
        <v>23.366922800000005</v>
      </c>
      <c r="E15" s="150">
        <v>3906.2079244995421</v>
      </c>
      <c r="F15" s="150">
        <v>11.25</v>
      </c>
      <c r="G15" s="318">
        <f t="shared" ref="G15:G18" si="4">E15*(1+F15/100)</f>
        <v>4345.6563160057403</v>
      </c>
      <c r="H15" s="317">
        <f t="shared" si="1"/>
        <v>101544.61565143857</v>
      </c>
    </row>
    <row r="16" spans="1:12" s="152" customFormat="1" ht="18.75" customHeight="1">
      <c r="A16" s="313">
        <v>40530</v>
      </c>
      <c r="B16" s="1617" t="s">
        <v>86</v>
      </c>
      <c r="C16" s="1618" t="s">
        <v>81</v>
      </c>
      <c r="D16" s="1619">
        <f>D15*(243+3.74)</f>
        <v>5765.5545316720018</v>
      </c>
      <c r="E16" s="150">
        <v>205.04211497350985</v>
      </c>
      <c r="F16" s="150">
        <v>11.25</v>
      </c>
      <c r="G16" s="150">
        <f t="shared" si="4"/>
        <v>228.10935290802973</v>
      </c>
      <c r="H16" s="317">
        <f t="shared" si="1"/>
        <v>1315176.9133756587</v>
      </c>
    </row>
    <row r="17" spans="1:11">
      <c r="A17" s="319">
        <v>40451</v>
      </c>
      <c r="B17" s="1620" t="s">
        <v>142</v>
      </c>
      <c r="C17" s="1618" t="s">
        <v>81</v>
      </c>
      <c r="D17" s="1619">
        <f>Transportes!L18</f>
        <v>20399.360014941602</v>
      </c>
      <c r="E17" s="320">
        <v>0.8</v>
      </c>
      <c r="F17" s="150">
        <v>22.79</v>
      </c>
      <c r="G17" s="150">
        <f t="shared" si="4"/>
        <v>0.98232000000000008</v>
      </c>
      <c r="H17" s="317">
        <f t="shared" si="1"/>
        <v>20038.699329877436</v>
      </c>
      <c r="I17" s="159"/>
    </row>
    <row r="18" spans="1:11">
      <c r="A18" s="319" t="s">
        <v>144</v>
      </c>
      <c r="B18" s="1621" t="s">
        <v>143</v>
      </c>
      <c r="C18" s="1618" t="s">
        <v>81</v>
      </c>
      <c r="D18" s="1619">
        <f>Transportes!L19</f>
        <v>163.1471137755569</v>
      </c>
      <c r="E18" s="321">
        <v>1.53</v>
      </c>
      <c r="F18" s="150">
        <v>22.79</v>
      </c>
      <c r="G18" s="150">
        <f t="shared" si="4"/>
        <v>1.878687</v>
      </c>
      <c r="H18" s="317">
        <f t="shared" si="1"/>
        <v>306.50236173765967</v>
      </c>
      <c r="I18" s="159"/>
    </row>
    <row r="19" spans="1:11" s="120" customFormat="1" ht="18.75" customHeight="1">
      <c r="A19" s="319">
        <v>4011537</v>
      </c>
      <c r="B19" s="1622" t="s">
        <v>111</v>
      </c>
      <c r="C19" s="1618" t="s">
        <v>107</v>
      </c>
      <c r="D19" s="1619">
        <f>'MC serragem'!$M$34</f>
        <v>19679.64</v>
      </c>
      <c r="E19" s="150">
        <v>18.670000000000002</v>
      </c>
      <c r="F19" s="318">
        <v>22.79</v>
      </c>
      <c r="G19" s="318">
        <f>E19*(1+F19/100)</f>
        <v>22.924893000000001</v>
      </c>
      <c r="H19" s="317">
        <f t="shared" si="1"/>
        <v>451153.64127851999</v>
      </c>
      <c r="I19" s="159"/>
      <c r="J19"/>
      <c r="K19"/>
    </row>
    <row r="20" spans="1:11" s="120" customFormat="1" ht="18.75" customHeight="1">
      <c r="A20" s="161" t="s">
        <v>1527</v>
      </c>
      <c r="B20" s="1623" t="s">
        <v>1534</v>
      </c>
      <c r="C20" s="1624" t="s">
        <v>113</v>
      </c>
      <c r="D20" s="1625">
        <f>'MCaço CA-25'!S34</f>
        <v>48029.725620000005</v>
      </c>
      <c r="E20" s="147">
        <v>9.0737000000000005</v>
      </c>
      <c r="F20" s="153">
        <v>22.79</v>
      </c>
      <c r="G20" s="153">
        <f t="shared" ref="G20:G22" si="5">E20*(1+F20/100)</f>
        <v>11.141596230000001</v>
      </c>
      <c r="H20" s="317">
        <f t="shared" si="1"/>
        <v>535127.8098957265</v>
      </c>
      <c r="I20" s="159"/>
      <c r="J20"/>
      <c r="K20"/>
    </row>
    <row r="21" spans="1:11" s="120" customFormat="1" ht="18.75" customHeight="1">
      <c r="A21" s="161" t="s">
        <v>1530</v>
      </c>
      <c r="B21" s="1623" t="s">
        <v>1531</v>
      </c>
      <c r="C21" s="1624" t="s">
        <v>113</v>
      </c>
      <c r="D21" s="1625">
        <f>'MCaço CA-50'!P7</f>
        <v>5621.1897000000008</v>
      </c>
      <c r="E21" s="147">
        <v>8.0258000000000003</v>
      </c>
      <c r="F21" s="153">
        <v>22.79</v>
      </c>
      <c r="G21" s="153">
        <f t="shared" si="5"/>
        <v>9.8548798200000007</v>
      </c>
      <c r="H21" s="317">
        <f t="shared" si="1"/>
        <v>55396.14893892187</v>
      </c>
      <c r="I21" s="159"/>
    </row>
    <row r="22" spans="1:11" ht="18.75" customHeight="1">
      <c r="A22" s="161" t="s">
        <v>1528</v>
      </c>
      <c r="B22" s="1623" t="s">
        <v>1529</v>
      </c>
      <c r="C22" s="1624" t="s">
        <v>113</v>
      </c>
      <c r="D22" s="1625">
        <f>MCtreliça!P28</f>
        <v>34742.186399999999</v>
      </c>
      <c r="E22" s="147">
        <v>15.207000000000001</v>
      </c>
      <c r="F22" s="151">
        <v>22.79</v>
      </c>
      <c r="G22" s="151">
        <f t="shared" si="5"/>
        <v>18.672675300000002</v>
      </c>
      <c r="H22" s="317">
        <f t="shared" si="1"/>
        <v>648729.56585927599</v>
      </c>
    </row>
    <row r="23" spans="1:11" ht="18.75" customHeight="1">
      <c r="A23" s="1616" t="s">
        <v>1423</v>
      </c>
      <c r="B23" s="1622" t="s">
        <v>1387</v>
      </c>
      <c r="C23" s="1618" t="s">
        <v>72</v>
      </c>
      <c r="D23" s="1619">
        <f>'MCaço CA-25'!M63</f>
        <v>528.41424060000008</v>
      </c>
      <c r="E23" s="150"/>
      <c r="F23" s="318">
        <v>22.79</v>
      </c>
      <c r="G23" s="318"/>
      <c r="H23" s="317"/>
    </row>
    <row r="24" spans="1:11">
      <c r="A24" s="1616"/>
      <c r="H24" s="158">
        <f>SUM(H2:H22)</f>
        <v>10674026.046292458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6A7DD-AA5A-4803-BF6A-592695D9B5E7}">
  <sheetPr codeName="Planilha3">
    <tabColor theme="7" tint="0.79998168889431442"/>
    <pageSetUpPr fitToPage="1"/>
  </sheetPr>
  <dimension ref="A1:BH116"/>
  <sheetViews>
    <sheetView workbookViewId="0">
      <pane ySplit="5" topLeftCell="A6" activePane="bottomLeft" state="frozen"/>
      <selection activeCell="O32" sqref="O32:O33"/>
      <selection pane="bottomLeft" activeCell="T22" sqref="T22"/>
    </sheetView>
  </sheetViews>
  <sheetFormatPr defaultColWidth="8.85546875" defaultRowHeight="12.75"/>
  <cols>
    <col min="1" max="2" width="7.42578125" style="716" bestFit="1" customWidth="1"/>
    <col min="3" max="3" width="10.5703125" style="716" hidden="1" customWidth="1"/>
    <col min="4" max="4" width="2.140625" style="716" hidden="1" customWidth="1"/>
    <col min="5" max="5" width="7.85546875" style="716" hidden="1" customWidth="1"/>
    <col min="6" max="6" width="11.85546875" style="716" customWidth="1"/>
    <col min="7" max="7" width="10.140625" style="716" bestFit="1" customWidth="1"/>
    <col min="8" max="8" width="9.85546875" style="716" bestFit="1" customWidth="1"/>
    <col min="9" max="9" width="11" style="716" bestFit="1" customWidth="1"/>
    <col min="10" max="10" width="7.42578125" style="716" bestFit="1" customWidth="1"/>
    <col min="11" max="11" width="7.42578125" style="716" customWidth="1"/>
    <col min="12" max="12" width="3.85546875" style="717" bestFit="1" customWidth="1"/>
    <col min="13" max="13" width="3.85546875" style="717" customWidth="1"/>
    <col min="14" max="16" width="7.85546875" style="718" customWidth="1"/>
    <col min="17" max="17" width="9.5703125" style="719" customWidth="1"/>
    <col min="18" max="18" width="5.5703125" style="624" customWidth="1"/>
    <col min="19" max="19" width="9.5703125" style="624" customWidth="1"/>
    <col min="20" max="22" width="11" style="624" customWidth="1"/>
    <col min="23" max="23" width="1.5703125" style="624" bestFit="1" customWidth="1"/>
    <col min="24" max="24" width="7.28515625" style="624" bestFit="1" customWidth="1"/>
    <col min="25" max="25" width="34.28515625" style="624" bestFit="1" customWidth="1"/>
    <col min="26" max="26" width="2.140625" style="624" bestFit="1" customWidth="1"/>
    <col min="27" max="27" width="12.28515625" style="624" bestFit="1" customWidth="1"/>
    <col min="28" max="28" width="6.28515625" style="624" bestFit="1" customWidth="1"/>
    <col min="29" max="29" width="12.28515625" style="624" bestFit="1" customWidth="1"/>
    <col min="30" max="30" width="6.28515625" style="624" bestFit="1" customWidth="1"/>
    <col min="31" max="31" width="8.42578125" style="624" bestFit="1" customWidth="1"/>
    <col min="32" max="32" width="7.7109375" style="624" bestFit="1" customWidth="1"/>
    <col min="33" max="33" width="7.85546875" style="624" bestFit="1" customWidth="1"/>
    <col min="34" max="34" width="2.140625" style="624" bestFit="1" customWidth="1"/>
    <col min="35" max="35" width="12.42578125" style="624" bestFit="1" customWidth="1"/>
    <col min="36" max="36" width="7.28515625" style="624" bestFit="1" customWidth="1"/>
    <col min="37" max="37" width="12.42578125" style="624" bestFit="1" customWidth="1"/>
    <col min="38" max="39" width="7.28515625" style="624" bestFit="1" customWidth="1"/>
    <col min="40" max="40" width="7.7109375" style="624" bestFit="1" customWidth="1"/>
    <col min="41" max="41" width="7.85546875" style="624" bestFit="1" customWidth="1"/>
    <col min="42" max="42" width="1.7109375" style="624" hidden="1" customWidth="1"/>
    <col min="43" max="46" width="7.7109375" style="624" bestFit="1" customWidth="1"/>
    <col min="47" max="52" width="8.85546875" style="624"/>
    <col min="53" max="53" width="12.42578125" style="624" customWidth="1"/>
    <col min="54" max="55" width="8.85546875" style="624"/>
    <col min="56" max="56" width="13.85546875" style="624" customWidth="1"/>
    <col min="57" max="16384" width="8.85546875" style="624"/>
  </cols>
  <sheetData>
    <row r="1" spans="1:59" ht="25.15" customHeight="1">
      <c r="A1" s="1923"/>
      <c r="B1" s="1923"/>
      <c r="C1" s="1923"/>
      <c r="D1" s="1923"/>
      <c r="E1" s="1923"/>
      <c r="F1" s="1923"/>
      <c r="G1" s="1923"/>
      <c r="H1" s="1923"/>
      <c r="I1" s="1923"/>
      <c r="J1" s="1923"/>
      <c r="K1" s="1923"/>
      <c r="L1" s="1924" t="s">
        <v>559</v>
      </c>
      <c r="M1" s="620"/>
      <c r="N1" s="1925" t="s">
        <v>560</v>
      </c>
      <c r="O1" s="1925" t="s">
        <v>561</v>
      </c>
      <c r="P1" s="1925" t="s">
        <v>562</v>
      </c>
      <c r="Q1" s="1907" t="s">
        <v>563</v>
      </c>
      <c r="R1" s="1909" t="s">
        <v>564</v>
      </c>
      <c r="S1" s="1907" t="s">
        <v>565</v>
      </c>
      <c r="T1" s="1910" t="s">
        <v>566</v>
      </c>
      <c r="U1" s="1907" t="s">
        <v>567</v>
      </c>
      <c r="V1" s="1907" t="s">
        <v>568</v>
      </c>
      <c r="W1" s="621" t="s">
        <v>559</v>
      </c>
      <c r="X1" s="622">
        <v>0</v>
      </c>
      <c r="Y1" s="623" t="s">
        <v>569</v>
      </c>
      <c r="Z1" s="621" t="s">
        <v>559</v>
      </c>
      <c r="AH1" s="621" t="s">
        <v>559</v>
      </c>
      <c r="AP1" s="621"/>
      <c r="AQ1" s="1911" t="s">
        <v>570</v>
      </c>
      <c r="AR1" s="1911"/>
      <c r="AS1" s="1911"/>
      <c r="AT1" s="1911"/>
    </row>
    <row r="2" spans="1:59" s="621" customFormat="1" ht="25.5" customHeight="1">
      <c r="A2" s="1928" t="s">
        <v>571</v>
      </c>
      <c r="B2" s="1929"/>
      <c r="C2" s="625"/>
      <c r="D2" s="625"/>
      <c r="E2" s="625"/>
      <c r="F2" s="1930" t="s">
        <v>572</v>
      </c>
      <c r="G2" s="1931"/>
      <c r="H2" s="1931"/>
      <c r="I2" s="1932"/>
      <c r="J2" s="1933" t="s">
        <v>573</v>
      </c>
      <c r="K2" s="1931"/>
      <c r="L2" s="1924"/>
      <c r="M2" s="620"/>
      <c r="N2" s="1926"/>
      <c r="O2" s="1926"/>
      <c r="P2" s="1926"/>
      <c r="Q2" s="1907"/>
      <c r="R2" s="1909"/>
      <c r="S2" s="1907"/>
      <c r="T2" s="1910"/>
      <c r="U2" s="1907"/>
      <c r="V2" s="1907"/>
      <c r="X2" s="622">
        <v>1</v>
      </c>
      <c r="Y2" s="626" t="s">
        <v>574</v>
      </c>
      <c r="AQ2" s="1912" t="s">
        <v>571</v>
      </c>
      <c r="AR2" s="1913"/>
      <c r="AS2" s="1914" t="s">
        <v>573</v>
      </c>
      <c r="AT2" s="1915"/>
    </row>
    <row r="3" spans="1:59" s="621" customFormat="1" ht="18.75" customHeight="1">
      <c r="A3" s="627" t="s">
        <v>575</v>
      </c>
      <c r="B3" s="627" t="s">
        <v>576</v>
      </c>
      <c r="C3" s="628"/>
      <c r="D3" s="628"/>
      <c r="E3" s="628"/>
      <c r="F3" s="1934" t="s">
        <v>577</v>
      </c>
      <c r="G3" s="1937" t="s">
        <v>578</v>
      </c>
      <c r="H3" s="1937" t="s">
        <v>579</v>
      </c>
      <c r="I3" s="1938" t="s">
        <v>580</v>
      </c>
      <c r="J3" s="628" t="s">
        <v>576</v>
      </c>
      <c r="K3" s="627" t="s">
        <v>575</v>
      </c>
      <c r="L3" s="1924"/>
      <c r="M3" s="620"/>
      <c r="N3" s="1926"/>
      <c r="O3" s="1926"/>
      <c r="P3" s="1926"/>
      <c r="Q3" s="1907"/>
      <c r="R3" s="1909"/>
      <c r="S3" s="1907"/>
      <c r="T3" s="1910"/>
      <c r="U3" s="1907"/>
      <c r="V3" s="1907"/>
      <c r="X3" s="622">
        <v>2</v>
      </c>
      <c r="Y3" s="629" t="s">
        <v>581</v>
      </c>
      <c r="AA3" s="1917" t="s">
        <v>582</v>
      </c>
      <c r="AB3" s="1918"/>
      <c r="AC3" s="1918"/>
      <c r="AD3" s="1918"/>
      <c r="AE3" s="1918"/>
      <c r="AF3" s="1918"/>
      <c r="AG3" s="1919"/>
      <c r="AI3" s="1917" t="s">
        <v>583</v>
      </c>
      <c r="AJ3" s="1918"/>
      <c r="AK3" s="1918"/>
      <c r="AL3" s="1918"/>
      <c r="AM3" s="1918"/>
      <c r="AN3" s="1918"/>
      <c r="AO3" s="1919"/>
      <c r="AQ3" s="630" t="s">
        <v>575</v>
      </c>
      <c r="AR3" s="630" t="s">
        <v>576</v>
      </c>
      <c r="AS3" s="631" t="s">
        <v>576</v>
      </c>
      <c r="AT3" s="630" t="s">
        <v>575</v>
      </c>
      <c r="AV3" s="1908" t="s">
        <v>584</v>
      </c>
      <c r="AW3" s="1908"/>
      <c r="AX3" s="1908"/>
      <c r="AY3" s="1908"/>
      <c r="AZ3" s="1908"/>
      <c r="BA3" s="1908"/>
      <c r="BB3" s="1908"/>
      <c r="BC3" s="1908"/>
      <c r="BD3" s="1908"/>
      <c r="BE3" s="1908"/>
    </row>
    <row r="4" spans="1:59" s="634" customFormat="1" ht="21">
      <c r="A4" s="632" t="s">
        <v>585</v>
      </c>
      <c r="B4" s="632" t="s">
        <v>585</v>
      </c>
      <c r="C4" s="633"/>
      <c r="D4" s="633"/>
      <c r="E4" s="633"/>
      <c r="F4" s="1934"/>
      <c r="G4" s="1937"/>
      <c r="H4" s="1937"/>
      <c r="I4" s="1938"/>
      <c r="J4" s="633" t="s">
        <v>585</v>
      </c>
      <c r="K4" s="632" t="s">
        <v>585</v>
      </c>
      <c r="L4" s="1924"/>
      <c r="M4" s="620"/>
      <c r="N4" s="1927"/>
      <c r="O4" s="1927"/>
      <c r="P4" s="1926"/>
      <c r="Q4" s="1907"/>
      <c r="R4" s="1909"/>
      <c r="S4" s="1907"/>
      <c r="T4" s="1910"/>
      <c r="U4" s="1907"/>
      <c r="V4" s="1907"/>
      <c r="X4" s="622" t="s">
        <v>586</v>
      </c>
      <c r="Y4" s="635" t="s">
        <v>587</v>
      </c>
      <c r="AA4" s="1920"/>
      <c r="AB4" s="1921"/>
      <c r="AC4" s="1921"/>
      <c r="AD4" s="1921"/>
      <c r="AE4" s="1921"/>
      <c r="AF4" s="1921"/>
      <c r="AG4" s="1922"/>
      <c r="AI4" s="1920"/>
      <c r="AJ4" s="1921"/>
      <c r="AK4" s="1921"/>
      <c r="AL4" s="1921"/>
      <c r="AM4" s="1921"/>
      <c r="AN4" s="1921"/>
      <c r="AO4" s="1922"/>
      <c r="AQ4" s="636" t="s">
        <v>585</v>
      </c>
      <c r="AR4" s="636" t="s">
        <v>585</v>
      </c>
      <c r="AS4" s="637" t="s">
        <v>585</v>
      </c>
      <c r="AT4" s="636" t="s">
        <v>585</v>
      </c>
      <c r="AV4" s="1908"/>
      <c r="AW4" s="1908"/>
      <c r="AX4" s="1908"/>
      <c r="AY4" s="1908"/>
      <c r="AZ4" s="1908"/>
      <c r="BA4" s="1908"/>
      <c r="BB4" s="1908"/>
      <c r="BC4" s="1908"/>
      <c r="BD4" s="1908"/>
      <c r="BE4" s="1908"/>
    </row>
    <row r="5" spans="1:59" s="641" customFormat="1" ht="18" customHeight="1">
      <c r="A5" s="1935" t="s">
        <v>588</v>
      </c>
      <c r="B5" s="1936"/>
      <c r="C5" s="1936"/>
      <c r="D5" s="1936"/>
      <c r="E5" s="1936"/>
      <c r="F5" s="1936"/>
      <c r="G5" s="1936"/>
      <c r="H5" s="1936"/>
      <c r="I5" s="1936"/>
      <c r="J5" s="1936"/>
      <c r="K5" s="1936"/>
      <c r="L5" s="1924"/>
      <c r="M5" s="620"/>
      <c r="N5" s="638">
        <v>7.0000000000000007E-2</v>
      </c>
      <c r="O5" s="639">
        <v>0.04</v>
      </c>
      <c r="P5" s="1927"/>
      <c r="Q5" s="1907"/>
      <c r="R5" s="1909"/>
      <c r="S5" s="1907"/>
      <c r="T5" s="1910"/>
      <c r="U5" s="1907"/>
      <c r="V5" s="1907"/>
      <c r="W5" s="621"/>
      <c r="X5" s="622" t="s">
        <v>589</v>
      </c>
      <c r="Y5" s="640" t="s">
        <v>590</v>
      </c>
      <c r="AA5" s="642" t="s">
        <v>591</v>
      </c>
      <c r="AB5" s="642" t="s">
        <v>592</v>
      </c>
      <c r="AC5" s="642" t="s">
        <v>593</v>
      </c>
      <c r="AD5" s="642" t="s">
        <v>592</v>
      </c>
      <c r="AE5" s="642" t="s">
        <v>594</v>
      </c>
      <c r="AF5" s="643" t="s">
        <v>595</v>
      </c>
      <c r="AG5" s="643" t="s">
        <v>596</v>
      </c>
      <c r="AI5" s="642" t="s">
        <v>591</v>
      </c>
      <c r="AJ5" s="642" t="s">
        <v>597</v>
      </c>
      <c r="AK5" s="642" t="s">
        <v>593</v>
      </c>
      <c r="AL5" s="642" t="s">
        <v>597</v>
      </c>
      <c r="AM5" s="642" t="s">
        <v>594</v>
      </c>
      <c r="AN5" s="643" t="s">
        <v>595</v>
      </c>
      <c r="AO5" s="643" t="s">
        <v>596</v>
      </c>
      <c r="AQ5" s="1916"/>
      <c r="AR5" s="1916"/>
      <c r="AS5" s="1916"/>
      <c r="AT5" s="1916"/>
      <c r="AV5" s="644" t="s">
        <v>551</v>
      </c>
      <c r="AW5" s="644" t="s">
        <v>598</v>
      </c>
      <c r="AX5" s="644" t="s">
        <v>599</v>
      </c>
      <c r="AY5" s="644" t="s">
        <v>600</v>
      </c>
      <c r="AZ5" s="644"/>
      <c r="BA5" s="644" t="s">
        <v>601</v>
      </c>
      <c r="BB5" s="644" t="s">
        <v>602</v>
      </c>
      <c r="BC5" s="644"/>
      <c r="BD5" s="644" t="s">
        <v>603</v>
      </c>
      <c r="BE5" s="644" t="s">
        <v>602</v>
      </c>
    </row>
    <row r="6" spans="1:59" ht="13.15" customHeight="1">
      <c r="A6" s="645">
        <v>5.984</v>
      </c>
      <c r="B6" s="645">
        <v>5.95</v>
      </c>
      <c r="C6" s="646" t="s">
        <v>604</v>
      </c>
      <c r="D6" s="646" t="s">
        <v>605</v>
      </c>
      <c r="E6" s="646">
        <v>10</v>
      </c>
      <c r="F6" s="647" t="s">
        <v>606</v>
      </c>
      <c r="G6" s="648">
        <v>780.98800000000006</v>
      </c>
      <c r="H6" s="648">
        <v>781.04200000000003</v>
      </c>
      <c r="I6" s="649">
        <v>-5.3999999999973625E-2</v>
      </c>
      <c r="J6" s="645">
        <v>0</v>
      </c>
      <c r="K6" s="645">
        <v>0</v>
      </c>
      <c r="L6" s="650"/>
      <c r="M6" s="651"/>
      <c r="N6" s="652">
        <v>0.1</v>
      </c>
      <c r="O6" s="652">
        <v>0</v>
      </c>
      <c r="P6" s="652" t="s">
        <v>607</v>
      </c>
      <c r="Q6" s="653">
        <f>IF(R6=0,0,ROUND(B6+J6,2)*0.2)</f>
        <v>1.1900000000000002</v>
      </c>
      <c r="R6" s="654">
        <f>IF(C6="",NA(),IFERROR(IF(I6&lt;=0,$X$2,IF(I6&lt;=0.6,$X$3,IF(I6&lt;=3,$X$4,IF(I6&gt;3,$X$5)))),$X$1))</f>
        <v>1</v>
      </c>
      <c r="S6" s="655">
        <f>IFERROR(IF(OR(R6=$X$1,R6=$X$5),0,IF(I6&lt;0,(AR6+AS6)*0.2,(AQ6+AR6+AS6+AT6)*0.2)),0)</f>
        <v>1.1900000000000002</v>
      </c>
      <c r="T6" s="653">
        <f>IFERROR(IF(OR(R6=$X$2,AR6+AS6=0),0,IF(I6&gt;=0,ROUND((AR6+AS6+0.6*1.5)*(0.2),2),0)),0)</f>
        <v>0</v>
      </c>
      <c r="U6" s="653">
        <f>IFERROR(IF(OR(R6=$X$2,AR6+AS6=0),0,IF(I6&gt;=0,ROUND((AR6+AS6+0.6*1.5)*(0.6),2),0)),0)</f>
        <v>0</v>
      </c>
      <c r="V6" s="653">
        <f>IFERROR(IF(R6=$X$2,IF(N6&lt;=$N$5,(AR6+AS6)*0.2,(AR6+AS6)*0.2),0),0)</f>
        <v>1.1900000000000002</v>
      </c>
      <c r="W6" s="656"/>
      <c r="X6" s="624">
        <f>(C52*20+E52)-(C6*20+E6)</f>
        <v>400</v>
      </c>
      <c r="AA6" s="657" t="str">
        <f>IF(AB6=0,"","FA-RET01."&amp;COUNTIF(AB$6:$AB6,1))</f>
        <v/>
      </c>
      <c r="AB6" s="658">
        <f>IF(AND(AF7&gt;=0,AF6=1,AF5&lt;&gt;"",AF5&lt;&gt;1),1,0)</f>
        <v>0</v>
      </c>
      <c r="AC6" s="659"/>
      <c r="AD6" s="658">
        <f>IF(AND(AF7=0,AF6&lt;&gt;0,AF5&lt;&gt;""),1,0)</f>
        <v>0</v>
      </c>
      <c r="AE6" s="660">
        <f>IF(R6=$X$3,IFERROR(ROUND(IFERROR((C6*20+E6)-(C5*20+E5),"")/2*(S5+S6),2),0),0)</f>
        <v>0</v>
      </c>
      <c r="AF6" s="661">
        <f t="shared" ref="AF6:AF69" si="0">IF(R6=$X$3,1,0)</f>
        <v>0</v>
      </c>
      <c r="AG6" s="662">
        <f>IFERROR(IF(AC5&lt;&gt;"",0,AE6+AG5),0)</f>
        <v>0</v>
      </c>
      <c r="AI6" s="657" t="str">
        <f>IF(AJ6=0,"","FAA-RET01."&amp;COUNTIF($AJ$6:AJ6,1))</f>
        <v/>
      </c>
      <c r="AJ6" s="658">
        <f>IF(AND(AN7&gt;=0,AN6=1,AN5&lt;&gt;"",AN5&lt;&gt;1),1,0)</f>
        <v>0</v>
      </c>
      <c r="AK6" s="659"/>
      <c r="AL6" s="658">
        <f>IF(AND(AN7=0,AN6&lt;&gt;0,AN5&lt;&gt;""),1,0)</f>
        <v>0</v>
      </c>
      <c r="AM6" s="660">
        <f>IF(R6=$X$4,IFERROR(ROUND(IFERROR((C6*20+E6)-(C5*20+E5),"")/2*(S5+S6),2),0),0)</f>
        <v>0</v>
      </c>
      <c r="AN6" s="661">
        <f t="shared" ref="AN6:AN69" si="1">IF(R6=$X$4,1,0)</f>
        <v>0</v>
      </c>
      <c r="AO6" s="662">
        <f>IFERROR(IF(AK5&lt;&gt;"",0,AM6+AO5),0)</f>
        <v>0</v>
      </c>
      <c r="AQ6" s="663">
        <f t="shared" ref="AQ6:AQ69" si="2">IF(A6-B6&lt;0,0,A6-B6)</f>
        <v>3.3999999999999808E-2</v>
      </c>
      <c r="AR6" s="663">
        <f t="shared" ref="AR6:AR69" si="3">B6</f>
        <v>5.95</v>
      </c>
      <c r="AS6" s="663">
        <f t="shared" ref="AS6:AS69" si="4">J6</f>
        <v>0</v>
      </c>
      <c r="AT6" s="663">
        <f t="shared" ref="AT6:AT69" si="5">IF(K6-J6&lt;0,0,K6-J6)</f>
        <v>0</v>
      </c>
      <c r="AV6" s="664">
        <v>5</v>
      </c>
      <c r="AW6" s="665">
        <v>2.5</v>
      </c>
      <c r="AX6" s="665">
        <v>5</v>
      </c>
      <c r="AY6" s="665">
        <v>40</v>
      </c>
      <c r="AZ6" s="664">
        <v>15.212</v>
      </c>
      <c r="BA6" s="666">
        <f>A6</f>
        <v>5.984</v>
      </c>
      <c r="BB6" s="666">
        <f>AY6-AW6-AX6-BA6</f>
        <v>26.515999999999998</v>
      </c>
      <c r="BC6" s="665"/>
      <c r="BD6" s="666">
        <f>K6</f>
        <v>0</v>
      </c>
      <c r="BE6" s="666">
        <f>AY6-AW6-AX6-BD6</f>
        <v>32.5</v>
      </c>
      <c r="BF6" s="624">
        <v>10</v>
      </c>
      <c r="BG6" s="624">
        <f>MATCH(BF6,AV6:AV23,0)</f>
        <v>6</v>
      </c>
    </row>
    <row r="7" spans="1:59" ht="13.15" customHeight="1">
      <c r="A7" s="645">
        <v>6.242</v>
      </c>
      <c r="B7" s="645">
        <v>5.95</v>
      </c>
      <c r="C7" s="646" t="s">
        <v>608</v>
      </c>
      <c r="D7" s="646" t="s">
        <v>605</v>
      </c>
      <c r="E7" s="646">
        <v>0</v>
      </c>
      <c r="F7" s="647" t="s">
        <v>609</v>
      </c>
      <c r="G7" s="648">
        <v>781.02700000000004</v>
      </c>
      <c r="H7" s="648">
        <v>780.88599999999997</v>
      </c>
      <c r="I7" s="649">
        <v>0.1410000000000764</v>
      </c>
      <c r="J7" s="645">
        <v>9.5250000000000004</v>
      </c>
      <c r="K7" s="645">
        <v>11.286</v>
      </c>
      <c r="L7" s="650"/>
      <c r="M7" s="651"/>
      <c r="N7" s="652">
        <v>0.1</v>
      </c>
      <c r="O7" s="652">
        <v>0</v>
      </c>
      <c r="P7" s="652" t="s">
        <v>607</v>
      </c>
      <c r="Q7" s="653">
        <f t="shared" ref="Q7:Q70" si="6">IF(R7=0,0,ROUND(B7+J7+8,2)*0.2)</f>
        <v>4.6960000000000006</v>
      </c>
      <c r="R7" s="654">
        <f t="shared" ref="R7:R70" si="7">IF(C7="",NA(),IFERROR(IF(I7&lt;=0,$X$2,IF(I7&lt;=0.6,$X$3,IF(I7&lt;=3,$X$4,IF(I7&gt;3,$X$5)))),$X$1))</f>
        <v>2</v>
      </c>
      <c r="S7" s="655">
        <f>IFERROR(IF(OR(R7=$X$1,R7=$X$5),0,IF(I7&lt;0,(AR7+AS7)*0.2,(AQ7+AR7+AS7+AT7)*0.2)),0)</f>
        <v>3.5055999999999998</v>
      </c>
      <c r="T7" s="653">
        <f t="shared" ref="T7:T70" si="8">IFERROR(IF(OR(R7=$X$2,AR7+AS7=0),0,IF(I7&gt;=0,ROUND((AR7+AS7+0.6*1.5)*(0.2),2),0)),0)</f>
        <v>3.28</v>
      </c>
      <c r="U7" s="653">
        <f>IFERROR(IF(OR(R7=$X$2,AR7+AS7=0),0,IF(I7&gt;=0,ROUND((AR7+AS7+0.6*1.5)*(0.6),2),0)),0)</f>
        <v>9.83</v>
      </c>
      <c r="V7" s="653">
        <f t="shared" ref="V7:V70" si="9">IFERROR(IF(R7=$X$2,IF(N7&lt;=$N$5,(AR7+AS7)*0.2,(AR7+AS7)*0.2),0),0)</f>
        <v>0</v>
      </c>
      <c r="X7" s="624">
        <f>C73*20+E73</f>
        <v>190</v>
      </c>
      <c r="AA7" s="657" t="str">
        <f>IF(AB7=0,"","FA-RET01."&amp;COUNTIF(AB$6:$AB7,1))</f>
        <v>FA-RET01.1</v>
      </c>
      <c r="AB7" s="658">
        <f t="shared" ref="AB7:AB70" si="10">IF(AND(AF8&gt;=0,AF7=1,AF6&lt;&gt;"",AF6&lt;&gt;1),1,0)</f>
        <v>1</v>
      </c>
      <c r="AC7" s="657" t="str">
        <f>IF(AD7=0,"","FA-RET01."&amp;COUNTIF(AD$6:$AD7,1))</f>
        <v/>
      </c>
      <c r="AD7" s="658">
        <f t="shared" ref="AD7:AD70" si="11">IF(AND(AF8=0,AF7&lt;&gt;0,AF6&lt;&gt;""),1,0)</f>
        <v>0</v>
      </c>
      <c r="AE7" s="660">
        <f t="shared" ref="AE7:AE70" si="12">IF(R7=$X$3,IFERROR(ROUND(IFERROR((C7*20+E7)-(C6*20+E6),"")/2*(S6+S7),2),0),0)</f>
        <v>23.48</v>
      </c>
      <c r="AF7" s="661">
        <f t="shared" si="0"/>
        <v>1</v>
      </c>
      <c r="AG7" s="662">
        <f t="shared" ref="AG7:AG70" si="13">IFERROR(IF(AC6&lt;&gt;"",0,AE7+AG6),0)</f>
        <v>23.48</v>
      </c>
      <c r="AI7" s="657" t="str">
        <f>IF(AJ7=0,"","FAA-RET01."&amp;COUNTIF($AJ$6:AJ7,1))</f>
        <v/>
      </c>
      <c r="AJ7" s="658">
        <f t="shared" ref="AJ7:AJ70" si="14">IF(AND(AN8&gt;=0,AN7=1,AN6&lt;&gt;"",AN6&lt;&gt;1),1,0)</f>
        <v>0</v>
      </c>
      <c r="AK7" s="657" t="str">
        <f>IF(AL6=0,"","FAA-RET01."&amp;COUNTIF(AL$6:$AL7,1))</f>
        <v/>
      </c>
      <c r="AL7" s="658">
        <f t="shared" ref="AL7:AL70" si="15">IF(AND(AN8=0,AN7&lt;&gt;0,AN6&lt;&gt;""),1,0)</f>
        <v>0</v>
      </c>
      <c r="AM7" s="660">
        <f t="shared" ref="AM7:AM70" si="16">IF(R7=$X$4,IFERROR(ROUND(IFERROR((C7*20+E7)-(C6*20+E6),"")/2*(S6+S7),2),0),0)</f>
        <v>0</v>
      </c>
      <c r="AN7" s="661">
        <f t="shared" si="1"/>
        <v>0</v>
      </c>
      <c r="AO7" s="662">
        <f t="shared" ref="AO7:AO70" si="17">IFERROR(IF(AK6&lt;&gt;"",0,AM7+AO6),0)</f>
        <v>0</v>
      </c>
      <c r="AQ7" s="663">
        <f t="shared" si="2"/>
        <v>0.29199999999999982</v>
      </c>
      <c r="AR7" s="663">
        <f t="shared" si="3"/>
        <v>5.95</v>
      </c>
      <c r="AS7" s="663">
        <f t="shared" si="4"/>
        <v>9.5250000000000004</v>
      </c>
      <c r="AT7" s="663">
        <f t="shared" si="5"/>
        <v>1.7609999999999992</v>
      </c>
      <c r="AV7" s="664">
        <v>6</v>
      </c>
      <c r="AW7" s="665">
        <v>2.5</v>
      </c>
      <c r="AX7" s="665">
        <v>5</v>
      </c>
      <c r="AY7" s="665">
        <v>40</v>
      </c>
      <c r="AZ7" s="664">
        <v>15.366</v>
      </c>
      <c r="BA7" s="666">
        <f t="shared" ref="BA7:BA70" si="18">A7</f>
        <v>6.242</v>
      </c>
      <c r="BB7" s="666">
        <f t="shared" ref="BB7:BB70" si="19">AY7-AW7-AX7-BA7</f>
        <v>26.257999999999999</v>
      </c>
      <c r="BC7" s="665"/>
      <c r="BD7" s="666">
        <f t="shared" ref="BD7:BD70" si="20">K7</f>
        <v>11.286</v>
      </c>
      <c r="BE7" s="666">
        <f t="shared" ref="BE7:BE70" si="21">AY7-AW7-AX7-BD7</f>
        <v>21.213999999999999</v>
      </c>
    </row>
    <row r="8" spans="1:59" ht="13.15" customHeight="1">
      <c r="A8" s="645">
        <v>6.2569999999999997</v>
      </c>
      <c r="B8" s="645">
        <v>5.95</v>
      </c>
      <c r="C8" s="646" t="s">
        <v>608</v>
      </c>
      <c r="D8" s="646" t="s">
        <v>605</v>
      </c>
      <c r="E8" s="646">
        <v>10</v>
      </c>
      <c r="F8" s="647" t="s">
        <v>610</v>
      </c>
      <c r="G8" s="648">
        <v>781.06700000000001</v>
      </c>
      <c r="H8" s="648">
        <v>780.904</v>
      </c>
      <c r="I8" s="649">
        <v>0.16300000000001091</v>
      </c>
      <c r="J8" s="645">
        <v>9.5250000000000004</v>
      </c>
      <c r="K8" s="645">
        <v>11.207000000000001</v>
      </c>
      <c r="L8" s="650"/>
      <c r="M8" s="651"/>
      <c r="N8" s="652">
        <v>0.1</v>
      </c>
      <c r="O8" s="652">
        <v>0</v>
      </c>
      <c r="P8" s="652" t="s">
        <v>607</v>
      </c>
      <c r="Q8" s="653">
        <f t="shared" si="6"/>
        <v>4.6960000000000006</v>
      </c>
      <c r="R8" s="654">
        <f t="shared" si="7"/>
        <v>2</v>
      </c>
      <c r="S8" s="655">
        <f t="shared" ref="S8:S71" si="22">IFERROR(IF(OR(R8=$X$1,R8=$X$5),0,IF(I8&lt;0,(AR8+AS8)*0.2,(AQ8+AR8+AS8+AT8)*0.2)),0)</f>
        <v>3.4927999999999999</v>
      </c>
      <c r="T8" s="653">
        <f t="shared" si="8"/>
        <v>3.28</v>
      </c>
      <c r="U8" s="653">
        <f t="shared" ref="U8:U71" si="23">IFERROR(IF(OR(R8=$X$2,AR8+AS8=0),0,IF(I8&gt;=0,ROUND((AR8+AS8+0.6*1.5)*(0.6),2),0)),0)</f>
        <v>9.83</v>
      </c>
      <c r="V8" s="653">
        <f t="shared" si="9"/>
        <v>0</v>
      </c>
      <c r="X8" s="624">
        <f>(C87*20+E87)-(C75*20+E75)</f>
        <v>120</v>
      </c>
      <c r="AA8" s="657" t="str">
        <f>IF(AB8=0,"","FA-RET01."&amp;COUNTIF(AB$6:$AB8,1))</f>
        <v/>
      </c>
      <c r="AB8" s="658">
        <f t="shared" si="10"/>
        <v>0</v>
      </c>
      <c r="AC8" s="657" t="str">
        <f>IF(AD8=0,"","FA-RET01."&amp;COUNTIF(AD$6:$AD8,1))</f>
        <v/>
      </c>
      <c r="AD8" s="658">
        <f t="shared" si="11"/>
        <v>0</v>
      </c>
      <c r="AE8" s="660">
        <f t="shared" si="12"/>
        <v>34.99</v>
      </c>
      <c r="AF8" s="661">
        <f t="shared" si="0"/>
        <v>1</v>
      </c>
      <c r="AG8" s="662">
        <f t="shared" si="13"/>
        <v>58.47</v>
      </c>
      <c r="AI8" s="657" t="str">
        <f>IF(AJ8=0,"","FAA-RET01."&amp;COUNTIF($AJ$6:AJ8,1))</f>
        <v/>
      </c>
      <c r="AJ8" s="658">
        <f t="shared" si="14"/>
        <v>0</v>
      </c>
      <c r="AK8" s="657" t="str">
        <f>IF(AL7=0,"","FAA-RET01."&amp;COUNTIF(AL$6:$AL8,1))</f>
        <v/>
      </c>
      <c r="AL8" s="658">
        <f t="shared" si="15"/>
        <v>0</v>
      </c>
      <c r="AM8" s="660">
        <f t="shared" si="16"/>
        <v>0</v>
      </c>
      <c r="AN8" s="661">
        <f t="shared" si="1"/>
        <v>0</v>
      </c>
      <c r="AO8" s="662">
        <f t="shared" si="17"/>
        <v>0</v>
      </c>
      <c r="AQ8" s="663">
        <f t="shared" si="2"/>
        <v>0.3069999999999995</v>
      </c>
      <c r="AR8" s="663">
        <f t="shared" si="3"/>
        <v>5.95</v>
      </c>
      <c r="AS8" s="663">
        <f t="shared" si="4"/>
        <v>9.5250000000000004</v>
      </c>
      <c r="AT8" s="663">
        <f t="shared" si="5"/>
        <v>1.6820000000000004</v>
      </c>
      <c r="AV8" s="664">
        <v>7</v>
      </c>
      <c r="AW8" s="665">
        <v>2.5</v>
      </c>
      <c r="AX8" s="665">
        <v>5</v>
      </c>
      <c r="AY8" s="665">
        <v>40</v>
      </c>
      <c r="AZ8" s="664">
        <v>15.608000000000001</v>
      </c>
      <c r="BA8" s="666">
        <f t="shared" si="18"/>
        <v>6.2569999999999997</v>
      </c>
      <c r="BB8" s="666">
        <f t="shared" si="19"/>
        <v>26.243000000000002</v>
      </c>
      <c r="BC8" s="665"/>
      <c r="BD8" s="666">
        <f t="shared" si="20"/>
        <v>11.207000000000001</v>
      </c>
      <c r="BE8" s="666">
        <f t="shared" si="21"/>
        <v>21.292999999999999</v>
      </c>
    </row>
    <row r="9" spans="1:59" ht="13.15" customHeight="1">
      <c r="A9" s="645">
        <v>6.2370000000000001</v>
      </c>
      <c r="B9" s="645">
        <v>5.95</v>
      </c>
      <c r="C9" s="646" t="s">
        <v>611</v>
      </c>
      <c r="D9" s="646" t="s">
        <v>605</v>
      </c>
      <c r="E9" s="646">
        <v>0</v>
      </c>
      <c r="F9" s="647" t="s">
        <v>612</v>
      </c>
      <c r="G9" s="648">
        <v>781.11</v>
      </c>
      <c r="H9" s="648">
        <v>781.00199999999995</v>
      </c>
      <c r="I9" s="649">
        <v>0.10800000000006094</v>
      </c>
      <c r="J9" s="645">
        <v>9.5250000000000004</v>
      </c>
      <c r="K9" s="645">
        <v>11.119</v>
      </c>
      <c r="L9" s="650"/>
      <c r="M9" s="651"/>
      <c r="N9" s="652">
        <v>0.1</v>
      </c>
      <c r="O9" s="652">
        <v>0</v>
      </c>
      <c r="P9" s="652" t="s">
        <v>607</v>
      </c>
      <c r="Q9" s="653">
        <f t="shared" si="6"/>
        <v>4.6960000000000006</v>
      </c>
      <c r="R9" s="654">
        <f t="shared" si="7"/>
        <v>2</v>
      </c>
      <c r="S9" s="655">
        <f t="shared" si="22"/>
        <v>3.4712000000000005</v>
      </c>
      <c r="T9" s="653">
        <f t="shared" si="8"/>
        <v>3.28</v>
      </c>
      <c r="U9" s="653">
        <f t="shared" si="23"/>
        <v>9.83</v>
      </c>
      <c r="V9" s="653">
        <f t="shared" si="9"/>
        <v>0</v>
      </c>
      <c r="X9" s="624">
        <f>(C114*20+E114)-(C89*20+E89)</f>
        <v>250</v>
      </c>
      <c r="AA9" s="657" t="str">
        <f>IF(AB9=0,"","FA-RET01."&amp;COUNTIF(AB$6:$AB9,1))</f>
        <v/>
      </c>
      <c r="AB9" s="658">
        <f t="shared" si="10"/>
        <v>0</v>
      </c>
      <c r="AC9" s="657" t="str">
        <f>IF(AD9=0,"","FA-RET01."&amp;COUNTIF(AD$6:$AD9,1))</f>
        <v/>
      </c>
      <c r="AD9" s="658">
        <f t="shared" si="11"/>
        <v>0</v>
      </c>
      <c r="AE9" s="660">
        <f t="shared" si="12"/>
        <v>34.82</v>
      </c>
      <c r="AF9" s="661">
        <f t="shared" si="0"/>
        <v>1</v>
      </c>
      <c r="AG9" s="662">
        <f t="shared" si="13"/>
        <v>93.289999999999992</v>
      </c>
      <c r="AI9" s="657" t="str">
        <f>IF(AJ9=0,"","FAA-RET01."&amp;COUNTIF($AJ$6:AJ9,1))</f>
        <v/>
      </c>
      <c r="AJ9" s="658">
        <f t="shared" si="14"/>
        <v>0</v>
      </c>
      <c r="AK9" s="657" t="str">
        <f>IF(AL8=0,"","FAA-RET01."&amp;COUNTIF(AL$6:$AL9,1))</f>
        <v/>
      </c>
      <c r="AL9" s="658">
        <f t="shared" si="15"/>
        <v>0</v>
      </c>
      <c r="AM9" s="660">
        <f t="shared" si="16"/>
        <v>0</v>
      </c>
      <c r="AN9" s="661">
        <f t="shared" si="1"/>
        <v>0</v>
      </c>
      <c r="AO9" s="662">
        <f t="shared" si="17"/>
        <v>0</v>
      </c>
      <c r="AQ9" s="663">
        <f t="shared" si="2"/>
        <v>0.28699999999999992</v>
      </c>
      <c r="AR9" s="663">
        <f t="shared" si="3"/>
        <v>5.95</v>
      </c>
      <c r="AS9" s="663">
        <f t="shared" si="4"/>
        <v>9.5250000000000004</v>
      </c>
      <c r="AT9" s="663">
        <f t="shared" si="5"/>
        <v>1.5939999999999994</v>
      </c>
      <c r="AV9" s="664">
        <v>8</v>
      </c>
      <c r="AW9" s="665">
        <v>2.5</v>
      </c>
      <c r="AX9" s="665">
        <v>5</v>
      </c>
      <c r="AY9" s="665">
        <v>40</v>
      </c>
      <c r="AZ9" s="664">
        <v>15.938000000000001</v>
      </c>
      <c r="BA9" s="666">
        <f t="shared" si="18"/>
        <v>6.2370000000000001</v>
      </c>
      <c r="BB9" s="666">
        <f t="shared" si="19"/>
        <v>26.262999999999998</v>
      </c>
      <c r="BC9" s="665"/>
      <c r="BD9" s="666">
        <f t="shared" si="20"/>
        <v>11.119</v>
      </c>
      <c r="BE9" s="666">
        <f t="shared" si="21"/>
        <v>21.381</v>
      </c>
    </row>
    <row r="10" spans="1:59" ht="13.15" customHeight="1">
      <c r="A10" s="645">
        <v>6.1870000000000003</v>
      </c>
      <c r="B10" s="645">
        <v>5.95</v>
      </c>
      <c r="C10" s="646" t="s">
        <v>611</v>
      </c>
      <c r="D10" s="646" t="s">
        <v>605</v>
      </c>
      <c r="E10" s="646">
        <v>10</v>
      </c>
      <c r="F10" s="647" t="s">
        <v>613</v>
      </c>
      <c r="G10" s="648">
        <v>781.16300000000001</v>
      </c>
      <c r="H10" s="648">
        <v>781.096</v>
      </c>
      <c r="I10" s="649">
        <v>6.7000000000007276E-2</v>
      </c>
      <c r="J10" s="645">
        <v>9.5250000000000004</v>
      </c>
      <c r="K10" s="645">
        <v>11.000999999999999</v>
      </c>
      <c r="L10" s="650"/>
      <c r="M10" s="651"/>
      <c r="N10" s="652">
        <v>0.1</v>
      </c>
      <c r="O10" s="652">
        <v>0</v>
      </c>
      <c r="P10" s="652" t="s">
        <v>607</v>
      </c>
      <c r="Q10" s="653">
        <f t="shared" si="6"/>
        <v>4.6960000000000006</v>
      </c>
      <c r="R10" s="654">
        <f t="shared" si="7"/>
        <v>2</v>
      </c>
      <c r="S10" s="655">
        <f t="shared" si="22"/>
        <v>3.4375999999999998</v>
      </c>
      <c r="T10" s="653">
        <f t="shared" si="8"/>
        <v>3.28</v>
      </c>
      <c r="U10" s="653">
        <f t="shared" si="23"/>
        <v>9.83</v>
      </c>
      <c r="V10" s="653">
        <f t="shared" si="9"/>
        <v>0</v>
      </c>
      <c r="X10" s="667">
        <f>SUM(X6:X9)/1000</f>
        <v>0.96</v>
      </c>
      <c r="Y10" s="668" t="s">
        <v>614</v>
      </c>
      <c r="AA10" s="657" t="str">
        <f>IF(AB10=0,"","FA-RET01."&amp;COUNTIF(AB$6:$AB10,1))</f>
        <v/>
      </c>
      <c r="AB10" s="658">
        <f t="shared" si="10"/>
        <v>0</v>
      </c>
      <c r="AC10" s="657" t="str">
        <f>IF(AD10=0,"","FA-RET01."&amp;COUNTIF(AD$6:$AD10,1))</f>
        <v/>
      </c>
      <c r="AD10" s="658">
        <f t="shared" si="11"/>
        <v>0</v>
      </c>
      <c r="AE10" s="660">
        <f t="shared" si="12"/>
        <v>34.54</v>
      </c>
      <c r="AF10" s="661">
        <f t="shared" si="0"/>
        <v>1</v>
      </c>
      <c r="AG10" s="662">
        <f t="shared" si="13"/>
        <v>127.82999999999998</v>
      </c>
      <c r="AI10" s="657" t="str">
        <f>IF(AJ10=0,"","FAA-RET01."&amp;COUNTIF($AJ$6:AJ10,1))</f>
        <v/>
      </c>
      <c r="AJ10" s="658">
        <f t="shared" si="14"/>
        <v>0</v>
      </c>
      <c r="AK10" s="657" t="str">
        <f>IF(AL9=0,"","FAA-RET01."&amp;COUNTIF(AL$6:$AL10,1))</f>
        <v/>
      </c>
      <c r="AL10" s="658">
        <f t="shared" si="15"/>
        <v>0</v>
      </c>
      <c r="AM10" s="660">
        <f t="shared" si="16"/>
        <v>0</v>
      </c>
      <c r="AN10" s="661">
        <f t="shared" si="1"/>
        <v>0</v>
      </c>
      <c r="AO10" s="662">
        <f t="shared" si="17"/>
        <v>0</v>
      </c>
      <c r="AQ10" s="663">
        <f t="shared" si="2"/>
        <v>0.2370000000000001</v>
      </c>
      <c r="AR10" s="663">
        <f t="shared" si="3"/>
        <v>5.95</v>
      </c>
      <c r="AS10" s="663">
        <f t="shared" si="4"/>
        <v>9.5250000000000004</v>
      </c>
      <c r="AT10" s="663">
        <f t="shared" si="5"/>
        <v>1.4759999999999991</v>
      </c>
      <c r="AV10" s="664">
        <v>9</v>
      </c>
      <c r="AW10" s="665">
        <v>2.5</v>
      </c>
      <c r="AX10" s="665">
        <v>5</v>
      </c>
      <c r="AY10" s="665">
        <v>40</v>
      </c>
      <c r="AZ10" s="664">
        <v>16.356000000000002</v>
      </c>
      <c r="BA10" s="666">
        <f t="shared" si="18"/>
        <v>6.1870000000000003</v>
      </c>
      <c r="BB10" s="666">
        <f t="shared" si="19"/>
        <v>26.312999999999999</v>
      </c>
      <c r="BC10" s="665"/>
      <c r="BD10" s="666">
        <f t="shared" si="20"/>
        <v>11.000999999999999</v>
      </c>
      <c r="BE10" s="666">
        <f t="shared" si="21"/>
        <v>21.499000000000002</v>
      </c>
    </row>
    <row r="11" spans="1:59" ht="13.15" customHeight="1">
      <c r="A11" s="645">
        <v>6.125</v>
      </c>
      <c r="B11" s="645">
        <v>5.95</v>
      </c>
      <c r="C11" s="646" t="s">
        <v>615</v>
      </c>
      <c r="D11" s="646" t="s">
        <v>605</v>
      </c>
      <c r="E11" s="646">
        <v>0</v>
      </c>
      <c r="F11" s="647" t="s">
        <v>616</v>
      </c>
      <c r="G11" s="648">
        <v>781.226</v>
      </c>
      <c r="H11" s="648">
        <v>781.19899999999996</v>
      </c>
      <c r="I11" s="649">
        <v>2.7000000000043656E-2</v>
      </c>
      <c r="J11" s="645">
        <v>9.5250000000000004</v>
      </c>
      <c r="K11" s="645">
        <v>10.845000000000001</v>
      </c>
      <c r="L11" s="650"/>
      <c r="M11" s="651"/>
      <c r="N11" s="652">
        <v>0.1</v>
      </c>
      <c r="O11" s="652">
        <v>0</v>
      </c>
      <c r="P11" s="652" t="s">
        <v>607</v>
      </c>
      <c r="Q11" s="653">
        <f t="shared" si="6"/>
        <v>4.6960000000000006</v>
      </c>
      <c r="R11" s="654">
        <f t="shared" si="7"/>
        <v>2</v>
      </c>
      <c r="S11" s="655">
        <f t="shared" si="22"/>
        <v>3.3940000000000001</v>
      </c>
      <c r="T11" s="653">
        <f t="shared" si="8"/>
        <v>3.28</v>
      </c>
      <c r="U11" s="653">
        <f t="shared" si="23"/>
        <v>9.83</v>
      </c>
      <c r="V11" s="653">
        <f t="shared" si="9"/>
        <v>0</v>
      </c>
      <c r="AA11" s="657" t="str">
        <f>IF(AB11=0,"","FA-RET01."&amp;COUNTIF(AB$6:$AB11,1))</f>
        <v/>
      </c>
      <c r="AB11" s="658">
        <f t="shared" si="10"/>
        <v>0</v>
      </c>
      <c r="AC11" s="657" t="str">
        <f>IF(AD11=0,"","FA-RET01."&amp;COUNTIF(AD$6:$AD11,1))</f>
        <v/>
      </c>
      <c r="AD11" s="658">
        <f t="shared" si="11"/>
        <v>0</v>
      </c>
      <c r="AE11" s="660">
        <f t="shared" si="12"/>
        <v>34.159999999999997</v>
      </c>
      <c r="AF11" s="661">
        <f t="shared" si="0"/>
        <v>1</v>
      </c>
      <c r="AG11" s="662">
        <f t="shared" si="13"/>
        <v>161.98999999999998</v>
      </c>
      <c r="AI11" s="657" t="str">
        <f>IF(AJ11=0,"","FAA-RET01."&amp;COUNTIF($AJ$6:AJ11,1))</f>
        <v/>
      </c>
      <c r="AJ11" s="658">
        <f t="shared" si="14"/>
        <v>0</v>
      </c>
      <c r="AK11" s="657" t="str">
        <f>IF(AL10=0,"","FAA-RET01."&amp;COUNTIF(AL$6:$AL11,1))</f>
        <v/>
      </c>
      <c r="AL11" s="658">
        <f t="shared" si="15"/>
        <v>0</v>
      </c>
      <c r="AM11" s="660">
        <f t="shared" si="16"/>
        <v>0</v>
      </c>
      <c r="AN11" s="661">
        <f t="shared" si="1"/>
        <v>0</v>
      </c>
      <c r="AO11" s="662">
        <f t="shared" si="17"/>
        <v>0</v>
      </c>
      <c r="AQ11" s="663">
        <f t="shared" si="2"/>
        <v>0.17499999999999982</v>
      </c>
      <c r="AR11" s="663">
        <f t="shared" si="3"/>
        <v>5.95</v>
      </c>
      <c r="AS11" s="663">
        <f t="shared" si="4"/>
        <v>9.5250000000000004</v>
      </c>
      <c r="AT11" s="663">
        <f t="shared" si="5"/>
        <v>1.3200000000000003</v>
      </c>
      <c r="AV11" s="664">
        <v>10</v>
      </c>
      <c r="AW11" s="665">
        <v>2.5</v>
      </c>
      <c r="AX11" s="665">
        <v>5</v>
      </c>
      <c r="AY11" s="665">
        <v>40</v>
      </c>
      <c r="AZ11" s="664">
        <v>16.861999999999998</v>
      </c>
      <c r="BA11" s="666">
        <f t="shared" si="18"/>
        <v>6.125</v>
      </c>
      <c r="BB11" s="666">
        <f t="shared" si="19"/>
        <v>26.375</v>
      </c>
      <c r="BC11" s="665"/>
      <c r="BD11" s="666">
        <f t="shared" si="20"/>
        <v>10.845000000000001</v>
      </c>
      <c r="BE11" s="666">
        <f t="shared" si="21"/>
        <v>21.655000000000001</v>
      </c>
    </row>
    <row r="12" spans="1:59" ht="13.15" customHeight="1">
      <c r="A12" s="645">
        <v>6.06</v>
      </c>
      <c r="B12" s="645">
        <v>5.95</v>
      </c>
      <c r="C12" s="646" t="s">
        <v>615</v>
      </c>
      <c r="D12" s="646" t="s">
        <v>605</v>
      </c>
      <c r="E12" s="646">
        <v>10</v>
      </c>
      <c r="F12" s="647" t="s">
        <v>617</v>
      </c>
      <c r="G12" s="648">
        <v>781.29700000000003</v>
      </c>
      <c r="H12" s="648">
        <v>781.26</v>
      </c>
      <c r="I12" s="649">
        <v>3.7000000000034561E-2</v>
      </c>
      <c r="J12" s="645">
        <v>9.5250000000000004</v>
      </c>
      <c r="K12" s="645">
        <v>10.794</v>
      </c>
      <c r="L12" s="650"/>
      <c r="M12" s="651"/>
      <c r="N12" s="652">
        <v>0.1</v>
      </c>
      <c r="O12" s="652">
        <v>7.6318418800263058E-4</v>
      </c>
      <c r="P12" s="652" t="s">
        <v>607</v>
      </c>
      <c r="Q12" s="653">
        <f t="shared" si="6"/>
        <v>4.6960000000000006</v>
      </c>
      <c r="R12" s="654">
        <f t="shared" si="7"/>
        <v>2</v>
      </c>
      <c r="S12" s="655">
        <f t="shared" si="22"/>
        <v>3.3708</v>
      </c>
      <c r="T12" s="653">
        <f t="shared" si="8"/>
        <v>3.28</v>
      </c>
      <c r="U12" s="653">
        <f t="shared" si="23"/>
        <v>9.83</v>
      </c>
      <c r="V12" s="653">
        <f t="shared" si="9"/>
        <v>0</v>
      </c>
      <c r="AA12" s="657" t="str">
        <f>IF(AB12=0,"","FA-RET01."&amp;COUNTIF(AB$6:$AB12,1))</f>
        <v/>
      </c>
      <c r="AB12" s="658">
        <f t="shared" si="10"/>
        <v>0</v>
      </c>
      <c r="AC12" s="657" t="str">
        <f>IF(AD12=0,"","FA-RET01."&amp;COUNTIF(AD$6:$AD12,1))</f>
        <v/>
      </c>
      <c r="AD12" s="658">
        <f t="shared" si="11"/>
        <v>0</v>
      </c>
      <c r="AE12" s="660">
        <f t="shared" si="12"/>
        <v>33.82</v>
      </c>
      <c r="AF12" s="661">
        <f t="shared" si="0"/>
        <v>1</v>
      </c>
      <c r="AG12" s="662">
        <f t="shared" si="13"/>
        <v>195.80999999999997</v>
      </c>
      <c r="AI12" s="657" t="str">
        <f>IF(AJ12=0,"","FAA-RET01."&amp;COUNTIF($AJ$6:AJ12,1))</f>
        <v/>
      </c>
      <c r="AJ12" s="658">
        <f t="shared" si="14"/>
        <v>0</v>
      </c>
      <c r="AK12" s="657" t="str">
        <f>IF(AL11=0,"","FAA-RET01."&amp;COUNTIF(AL$6:$AL12,1))</f>
        <v/>
      </c>
      <c r="AL12" s="658">
        <f t="shared" si="15"/>
        <v>0</v>
      </c>
      <c r="AM12" s="660">
        <f t="shared" si="16"/>
        <v>0</v>
      </c>
      <c r="AN12" s="661">
        <f t="shared" si="1"/>
        <v>0</v>
      </c>
      <c r="AO12" s="662">
        <f t="shared" si="17"/>
        <v>0</v>
      </c>
      <c r="AQ12" s="663">
        <f t="shared" si="2"/>
        <v>0.10999999999999943</v>
      </c>
      <c r="AR12" s="663">
        <f t="shared" si="3"/>
        <v>5.95</v>
      </c>
      <c r="AS12" s="663">
        <f t="shared" si="4"/>
        <v>9.5250000000000004</v>
      </c>
      <c r="AT12" s="663">
        <f t="shared" si="5"/>
        <v>1.2690000000000001</v>
      </c>
      <c r="AV12" s="664">
        <v>11</v>
      </c>
      <c r="AW12" s="665">
        <v>2.5</v>
      </c>
      <c r="AX12" s="665">
        <v>5</v>
      </c>
      <c r="AY12" s="665">
        <v>40</v>
      </c>
      <c r="AZ12" s="664">
        <v>17.311</v>
      </c>
      <c r="BA12" s="666">
        <f t="shared" si="18"/>
        <v>6.06</v>
      </c>
      <c r="BB12" s="666">
        <f t="shared" si="19"/>
        <v>26.44</v>
      </c>
      <c r="BC12" s="665"/>
      <c r="BD12" s="666">
        <f t="shared" si="20"/>
        <v>10.794</v>
      </c>
      <c r="BE12" s="666">
        <f t="shared" si="21"/>
        <v>21.706</v>
      </c>
    </row>
    <row r="13" spans="1:59" ht="13.15" customHeight="1">
      <c r="A13" s="645">
        <v>5.9589999999999996</v>
      </c>
      <c r="B13" s="645">
        <v>5.95</v>
      </c>
      <c r="C13" s="646" t="s">
        <v>618</v>
      </c>
      <c r="D13" s="646" t="s">
        <v>605</v>
      </c>
      <c r="E13" s="646">
        <v>0</v>
      </c>
      <c r="F13" s="647" t="s">
        <v>619</v>
      </c>
      <c r="G13" s="648">
        <v>781.37699999999995</v>
      </c>
      <c r="H13" s="648">
        <v>781.26900000000001</v>
      </c>
      <c r="I13" s="649">
        <v>0.10799999999994725</v>
      </c>
      <c r="J13" s="645">
        <v>9.5250000000000004</v>
      </c>
      <c r="K13" s="645">
        <v>10.722</v>
      </c>
      <c r="L13" s="650"/>
      <c r="M13" s="651"/>
      <c r="N13" s="652">
        <v>0.1</v>
      </c>
      <c r="O13" s="652">
        <v>7.6318418800263058E-4</v>
      </c>
      <c r="P13" s="652" t="s">
        <v>607</v>
      </c>
      <c r="Q13" s="653">
        <f t="shared" si="6"/>
        <v>4.6960000000000006</v>
      </c>
      <c r="R13" s="654">
        <f t="shared" si="7"/>
        <v>2</v>
      </c>
      <c r="S13" s="655">
        <f t="shared" si="22"/>
        <v>3.3361999999999998</v>
      </c>
      <c r="T13" s="653">
        <f t="shared" si="8"/>
        <v>3.28</v>
      </c>
      <c r="U13" s="653">
        <f t="shared" si="23"/>
        <v>9.83</v>
      </c>
      <c r="V13" s="653">
        <f t="shared" si="9"/>
        <v>0</v>
      </c>
      <c r="AA13" s="657" t="str">
        <f>IF(AB13=0,"","FA-RET01."&amp;COUNTIF(AB$6:$AB13,1))</f>
        <v/>
      </c>
      <c r="AB13" s="658">
        <f t="shared" si="10"/>
        <v>0</v>
      </c>
      <c r="AC13" s="657" t="str">
        <f>IF(AD13=0,"","FA-RET01."&amp;COUNTIF(AD$6:$AD13,1))</f>
        <v/>
      </c>
      <c r="AD13" s="658">
        <f t="shared" si="11"/>
        <v>0</v>
      </c>
      <c r="AE13" s="660">
        <f t="shared" si="12"/>
        <v>33.54</v>
      </c>
      <c r="AF13" s="661">
        <f t="shared" si="0"/>
        <v>1</v>
      </c>
      <c r="AG13" s="662">
        <f t="shared" si="13"/>
        <v>229.34999999999997</v>
      </c>
      <c r="AI13" s="657" t="str">
        <f>IF(AJ13=0,"","FAA-RET01."&amp;COUNTIF($AJ$6:AJ13,1))</f>
        <v/>
      </c>
      <c r="AJ13" s="658">
        <f t="shared" si="14"/>
        <v>0</v>
      </c>
      <c r="AK13" s="657" t="str">
        <f>IF(AL12=0,"","FAA-RET01."&amp;COUNTIF(AL$6:$AL13,1))</f>
        <v/>
      </c>
      <c r="AL13" s="658">
        <f t="shared" si="15"/>
        <v>0</v>
      </c>
      <c r="AM13" s="660">
        <f t="shared" si="16"/>
        <v>0</v>
      </c>
      <c r="AN13" s="661">
        <f t="shared" si="1"/>
        <v>0</v>
      </c>
      <c r="AO13" s="662">
        <f t="shared" si="17"/>
        <v>0</v>
      </c>
      <c r="AQ13" s="663">
        <f t="shared" si="2"/>
        <v>8.9999999999994529E-3</v>
      </c>
      <c r="AR13" s="663">
        <f t="shared" si="3"/>
        <v>5.95</v>
      </c>
      <c r="AS13" s="663">
        <f t="shared" si="4"/>
        <v>9.5250000000000004</v>
      </c>
      <c r="AT13" s="663">
        <f t="shared" si="5"/>
        <v>1.1969999999999992</v>
      </c>
      <c r="AV13" s="664">
        <v>12</v>
      </c>
      <c r="AW13" s="665">
        <v>2.5</v>
      </c>
      <c r="AX13" s="665">
        <v>5</v>
      </c>
      <c r="AY13" s="665">
        <v>40</v>
      </c>
      <c r="AZ13" s="664">
        <v>17.575000000000003</v>
      </c>
      <c r="BA13" s="666">
        <f t="shared" si="18"/>
        <v>5.9589999999999996</v>
      </c>
      <c r="BB13" s="666">
        <f t="shared" si="19"/>
        <v>26.541</v>
      </c>
      <c r="BC13" s="665"/>
      <c r="BD13" s="666">
        <f t="shared" si="20"/>
        <v>10.722</v>
      </c>
      <c r="BE13" s="666">
        <f t="shared" si="21"/>
        <v>21.777999999999999</v>
      </c>
    </row>
    <row r="14" spans="1:59" ht="13.15" customHeight="1">
      <c r="A14" s="645">
        <v>6.0039999999999996</v>
      </c>
      <c r="B14" s="645">
        <v>5.95</v>
      </c>
      <c r="C14" s="646" t="s">
        <v>618</v>
      </c>
      <c r="D14" s="646" t="s">
        <v>605</v>
      </c>
      <c r="E14" s="646">
        <v>10</v>
      </c>
      <c r="F14" s="647" t="s">
        <v>620</v>
      </c>
      <c r="G14" s="648">
        <v>781.46699999999998</v>
      </c>
      <c r="H14" s="648">
        <v>781.34900000000005</v>
      </c>
      <c r="I14" s="649">
        <v>0.11799999999993815</v>
      </c>
      <c r="J14" s="645">
        <v>9.5250000000000004</v>
      </c>
      <c r="K14" s="645">
        <v>10.651999999999999</v>
      </c>
      <c r="L14" s="650"/>
      <c r="M14" s="651"/>
      <c r="N14" s="652">
        <v>0.1</v>
      </c>
      <c r="O14" s="652">
        <v>7.6318418800263058E-4</v>
      </c>
      <c r="P14" s="652" t="s">
        <v>607</v>
      </c>
      <c r="Q14" s="653">
        <f t="shared" si="6"/>
        <v>4.6960000000000006</v>
      </c>
      <c r="R14" s="654">
        <f t="shared" si="7"/>
        <v>2</v>
      </c>
      <c r="S14" s="655">
        <f t="shared" si="22"/>
        <v>3.3311999999999999</v>
      </c>
      <c r="T14" s="653">
        <f t="shared" si="8"/>
        <v>3.28</v>
      </c>
      <c r="U14" s="653">
        <f t="shared" si="23"/>
        <v>9.83</v>
      </c>
      <c r="V14" s="653">
        <f t="shared" si="9"/>
        <v>0</v>
      </c>
      <c r="AA14" s="657" t="str">
        <f>IF(AB14=0,"","FA-RET01."&amp;COUNTIF(AB$6:$AB14,1))</f>
        <v/>
      </c>
      <c r="AB14" s="658">
        <f t="shared" si="10"/>
        <v>0</v>
      </c>
      <c r="AC14" s="657" t="str">
        <f>IF(AD14=0,"","FA-RET01."&amp;COUNTIF(AD$6:$AD14,1))</f>
        <v/>
      </c>
      <c r="AD14" s="658">
        <f t="shared" si="11"/>
        <v>0</v>
      </c>
      <c r="AE14" s="660">
        <f t="shared" si="12"/>
        <v>33.340000000000003</v>
      </c>
      <c r="AF14" s="661">
        <f t="shared" si="0"/>
        <v>1</v>
      </c>
      <c r="AG14" s="662">
        <f t="shared" si="13"/>
        <v>262.68999999999994</v>
      </c>
      <c r="AI14" s="657" t="str">
        <f>IF(AJ14=0,"","FAA-RET01."&amp;COUNTIF($AJ$6:AJ14,1))</f>
        <v/>
      </c>
      <c r="AJ14" s="658">
        <f t="shared" si="14"/>
        <v>0</v>
      </c>
      <c r="AK14" s="657" t="str">
        <f>IF(AL13=0,"","FAA-RET01."&amp;COUNTIF(AL$6:$AL14,1))</f>
        <v/>
      </c>
      <c r="AL14" s="658">
        <f t="shared" si="15"/>
        <v>0</v>
      </c>
      <c r="AM14" s="660">
        <f t="shared" si="16"/>
        <v>0</v>
      </c>
      <c r="AN14" s="661">
        <f t="shared" si="1"/>
        <v>0</v>
      </c>
      <c r="AO14" s="662">
        <f t="shared" si="17"/>
        <v>0</v>
      </c>
      <c r="AQ14" s="663">
        <f t="shared" si="2"/>
        <v>5.3999999999999382E-2</v>
      </c>
      <c r="AR14" s="663">
        <f t="shared" si="3"/>
        <v>5.95</v>
      </c>
      <c r="AS14" s="663">
        <f t="shared" si="4"/>
        <v>9.5250000000000004</v>
      </c>
      <c r="AT14" s="663">
        <f t="shared" si="5"/>
        <v>1.1269999999999989</v>
      </c>
      <c r="AV14" s="664">
        <v>13</v>
      </c>
      <c r="AW14" s="665">
        <v>2.5</v>
      </c>
      <c r="AX14" s="665">
        <v>5</v>
      </c>
      <c r="AY14" s="665">
        <v>40</v>
      </c>
      <c r="AZ14" s="664">
        <v>18.04</v>
      </c>
      <c r="BA14" s="666">
        <f t="shared" si="18"/>
        <v>6.0039999999999996</v>
      </c>
      <c r="BB14" s="666">
        <f t="shared" si="19"/>
        <v>26.496000000000002</v>
      </c>
      <c r="BC14" s="665"/>
      <c r="BD14" s="666">
        <f t="shared" si="20"/>
        <v>10.651999999999999</v>
      </c>
      <c r="BE14" s="666">
        <f t="shared" si="21"/>
        <v>21.847999999999999</v>
      </c>
    </row>
    <row r="15" spans="1:59" ht="13.15" customHeight="1">
      <c r="A15" s="645">
        <v>5.9880000000000004</v>
      </c>
      <c r="B15" s="645">
        <v>5.95</v>
      </c>
      <c r="C15" s="646" t="s">
        <v>621</v>
      </c>
      <c r="D15" s="646" t="s">
        <v>605</v>
      </c>
      <c r="E15" s="646">
        <v>0</v>
      </c>
      <c r="F15" s="647" t="s">
        <v>622</v>
      </c>
      <c r="G15" s="648">
        <v>781.56600000000003</v>
      </c>
      <c r="H15" s="648">
        <v>781.43100000000004</v>
      </c>
      <c r="I15" s="649">
        <v>0.13499999999999091</v>
      </c>
      <c r="J15" s="645">
        <v>9.5250000000000004</v>
      </c>
      <c r="K15" s="645">
        <v>10.587</v>
      </c>
      <c r="L15" s="650"/>
      <c r="M15" s="651"/>
      <c r="N15" s="652">
        <v>0.1</v>
      </c>
      <c r="O15" s="652">
        <v>7.6318418800263058E-4</v>
      </c>
      <c r="P15" s="652" t="s">
        <v>607</v>
      </c>
      <c r="Q15" s="653">
        <f t="shared" si="6"/>
        <v>4.6960000000000006</v>
      </c>
      <c r="R15" s="654">
        <f t="shared" si="7"/>
        <v>2</v>
      </c>
      <c r="S15" s="655">
        <f t="shared" si="22"/>
        <v>3.3150000000000008</v>
      </c>
      <c r="T15" s="653">
        <f t="shared" si="8"/>
        <v>3.28</v>
      </c>
      <c r="U15" s="653">
        <f t="shared" si="23"/>
        <v>9.83</v>
      </c>
      <c r="V15" s="653">
        <f t="shared" si="9"/>
        <v>0</v>
      </c>
      <c r="AA15" s="657" t="str">
        <f>IF(AB15=0,"","FA-RET01."&amp;COUNTIF(AB$6:$AB15,1))</f>
        <v/>
      </c>
      <c r="AB15" s="658">
        <f t="shared" si="10"/>
        <v>0</v>
      </c>
      <c r="AC15" s="657" t="str">
        <f>IF(AD15=0,"","FA-RET01."&amp;COUNTIF(AD$6:$AD15,1))</f>
        <v/>
      </c>
      <c r="AD15" s="658">
        <f t="shared" si="11"/>
        <v>0</v>
      </c>
      <c r="AE15" s="660">
        <f t="shared" si="12"/>
        <v>33.229999999999997</v>
      </c>
      <c r="AF15" s="661">
        <f t="shared" si="0"/>
        <v>1</v>
      </c>
      <c r="AG15" s="662">
        <f t="shared" si="13"/>
        <v>295.91999999999996</v>
      </c>
      <c r="AI15" s="657" t="str">
        <f>IF(AJ15=0,"","FAA-RET01."&amp;COUNTIF($AJ$6:AJ15,1))</f>
        <v/>
      </c>
      <c r="AJ15" s="658">
        <f t="shared" si="14"/>
        <v>0</v>
      </c>
      <c r="AK15" s="657" t="str">
        <f>IF(AL14=0,"","FAA-RET01."&amp;COUNTIF(AL$6:$AL15,1))</f>
        <v/>
      </c>
      <c r="AL15" s="658">
        <f t="shared" si="15"/>
        <v>0</v>
      </c>
      <c r="AM15" s="660">
        <f t="shared" si="16"/>
        <v>0</v>
      </c>
      <c r="AN15" s="661">
        <f t="shared" si="1"/>
        <v>0</v>
      </c>
      <c r="AO15" s="662">
        <f t="shared" si="17"/>
        <v>0</v>
      </c>
      <c r="AQ15" s="663">
        <f t="shared" si="2"/>
        <v>3.8000000000000256E-2</v>
      </c>
      <c r="AR15" s="663">
        <f t="shared" si="3"/>
        <v>5.95</v>
      </c>
      <c r="AS15" s="663">
        <f t="shared" si="4"/>
        <v>9.5250000000000004</v>
      </c>
      <c r="AT15" s="663">
        <f t="shared" si="5"/>
        <v>1.0619999999999994</v>
      </c>
      <c r="AV15" s="664">
        <v>14</v>
      </c>
      <c r="AW15" s="665">
        <v>2.5</v>
      </c>
      <c r="AX15" s="665">
        <v>5</v>
      </c>
      <c r="AY15" s="665">
        <v>40</v>
      </c>
      <c r="AZ15" s="664">
        <v>18.497</v>
      </c>
      <c r="BA15" s="666">
        <f t="shared" si="18"/>
        <v>5.9880000000000004</v>
      </c>
      <c r="BB15" s="666">
        <f t="shared" si="19"/>
        <v>26.512</v>
      </c>
      <c r="BC15" s="665"/>
      <c r="BD15" s="666">
        <f t="shared" si="20"/>
        <v>10.587</v>
      </c>
      <c r="BE15" s="666">
        <f t="shared" si="21"/>
        <v>21.913</v>
      </c>
    </row>
    <row r="16" spans="1:59" ht="13.15" customHeight="1">
      <c r="A16" s="645">
        <v>5.9580000000000002</v>
      </c>
      <c r="B16" s="645">
        <v>5.95</v>
      </c>
      <c r="C16" s="646" t="s">
        <v>621</v>
      </c>
      <c r="D16" s="646" t="s">
        <v>605</v>
      </c>
      <c r="E16" s="646">
        <v>10</v>
      </c>
      <c r="F16" s="647" t="s">
        <v>623</v>
      </c>
      <c r="G16" s="648">
        <v>781.67399999999998</v>
      </c>
      <c r="H16" s="648">
        <v>781.577</v>
      </c>
      <c r="I16" s="649">
        <v>9.6999999999979991E-2</v>
      </c>
      <c r="J16" s="645">
        <v>9.5250000000000004</v>
      </c>
      <c r="K16" s="645">
        <v>10.487</v>
      </c>
      <c r="L16" s="650"/>
      <c r="M16" s="651"/>
      <c r="N16" s="652">
        <v>0.1</v>
      </c>
      <c r="O16" s="652">
        <v>7.6318418800263058E-4</v>
      </c>
      <c r="P16" s="652" t="s">
        <v>607</v>
      </c>
      <c r="Q16" s="653">
        <f t="shared" si="6"/>
        <v>4.6960000000000006</v>
      </c>
      <c r="R16" s="654">
        <f t="shared" si="7"/>
        <v>2</v>
      </c>
      <c r="S16" s="655">
        <f t="shared" si="22"/>
        <v>3.2890000000000001</v>
      </c>
      <c r="T16" s="653">
        <f t="shared" si="8"/>
        <v>3.28</v>
      </c>
      <c r="U16" s="653">
        <f t="shared" si="23"/>
        <v>9.83</v>
      </c>
      <c r="V16" s="653">
        <f t="shared" si="9"/>
        <v>0</v>
      </c>
      <c r="AA16" s="657" t="str">
        <f>IF(AB16=0,"","FA-RET01."&amp;COUNTIF(AB$6:$AB16,1))</f>
        <v/>
      </c>
      <c r="AB16" s="658">
        <f t="shared" si="10"/>
        <v>0</v>
      </c>
      <c r="AC16" s="657" t="str">
        <f>IF(AD16=0,"","FA-RET01."&amp;COUNTIF(AD$6:$AD16,1))</f>
        <v/>
      </c>
      <c r="AD16" s="658">
        <f t="shared" si="11"/>
        <v>0</v>
      </c>
      <c r="AE16" s="660">
        <f t="shared" si="12"/>
        <v>33.020000000000003</v>
      </c>
      <c r="AF16" s="661">
        <f t="shared" si="0"/>
        <v>1</v>
      </c>
      <c r="AG16" s="662">
        <f t="shared" si="13"/>
        <v>328.93999999999994</v>
      </c>
      <c r="AI16" s="657" t="str">
        <f>IF(AJ16=0,"","FAA-RET01."&amp;COUNTIF($AJ$6:AJ16,1))</f>
        <v/>
      </c>
      <c r="AJ16" s="658">
        <f t="shared" si="14"/>
        <v>0</v>
      </c>
      <c r="AK16" s="657" t="str">
        <f>IF(AL15=0,"","FAA-RET01."&amp;COUNTIF(AL$6:$AL16,1))</f>
        <v/>
      </c>
      <c r="AL16" s="658">
        <f t="shared" si="15"/>
        <v>0</v>
      </c>
      <c r="AM16" s="660">
        <f t="shared" si="16"/>
        <v>0</v>
      </c>
      <c r="AN16" s="661">
        <f t="shared" si="1"/>
        <v>0</v>
      </c>
      <c r="AO16" s="662">
        <f t="shared" si="17"/>
        <v>0</v>
      </c>
      <c r="AQ16" s="663">
        <f t="shared" si="2"/>
        <v>8.0000000000000071E-3</v>
      </c>
      <c r="AR16" s="663">
        <f t="shared" si="3"/>
        <v>5.95</v>
      </c>
      <c r="AS16" s="663">
        <f t="shared" si="4"/>
        <v>9.5250000000000004</v>
      </c>
      <c r="AT16" s="663">
        <f t="shared" si="5"/>
        <v>0.96199999999999974</v>
      </c>
      <c r="AV16" s="664">
        <v>14</v>
      </c>
      <c r="AW16" s="665">
        <v>2.5</v>
      </c>
      <c r="AX16" s="665">
        <v>5</v>
      </c>
      <c r="AY16" s="665">
        <v>40</v>
      </c>
      <c r="AZ16" s="664">
        <v>18.930999999999997</v>
      </c>
      <c r="BA16" s="666">
        <f t="shared" si="18"/>
        <v>5.9580000000000002</v>
      </c>
      <c r="BB16" s="666">
        <f t="shared" si="19"/>
        <v>26.542000000000002</v>
      </c>
      <c r="BC16" s="665"/>
      <c r="BD16" s="666">
        <f t="shared" si="20"/>
        <v>10.487</v>
      </c>
      <c r="BE16" s="666">
        <f t="shared" si="21"/>
        <v>22.012999999999998</v>
      </c>
    </row>
    <row r="17" spans="1:57" ht="13.15" customHeight="1">
      <c r="A17" s="645">
        <v>5.9850000000000003</v>
      </c>
      <c r="B17" s="645">
        <v>5.95</v>
      </c>
      <c r="C17" s="646" t="s">
        <v>624</v>
      </c>
      <c r="D17" s="646" t="s">
        <v>605</v>
      </c>
      <c r="E17" s="646">
        <v>0</v>
      </c>
      <c r="F17" s="647" t="s">
        <v>625</v>
      </c>
      <c r="G17" s="648">
        <v>781.79100000000005</v>
      </c>
      <c r="H17" s="648">
        <v>781.71600000000001</v>
      </c>
      <c r="I17" s="649">
        <v>7.5000000000045475E-2</v>
      </c>
      <c r="J17" s="645">
        <v>9.5250000000000004</v>
      </c>
      <c r="K17" s="645">
        <v>10.468999999999999</v>
      </c>
      <c r="L17" s="650"/>
      <c r="M17" s="651"/>
      <c r="N17" s="652">
        <v>0.1</v>
      </c>
      <c r="O17" s="652">
        <v>7.6318418800263058E-4</v>
      </c>
      <c r="P17" s="652" t="s">
        <v>607</v>
      </c>
      <c r="Q17" s="653">
        <f t="shared" si="6"/>
        <v>4.6960000000000006</v>
      </c>
      <c r="R17" s="654">
        <f t="shared" si="7"/>
        <v>2</v>
      </c>
      <c r="S17" s="655">
        <f t="shared" si="22"/>
        <v>3.2908000000000004</v>
      </c>
      <c r="T17" s="653">
        <f t="shared" si="8"/>
        <v>3.28</v>
      </c>
      <c r="U17" s="653">
        <f t="shared" si="23"/>
        <v>9.83</v>
      </c>
      <c r="V17" s="653">
        <f t="shared" si="9"/>
        <v>0</v>
      </c>
      <c r="AA17" s="657" t="str">
        <f>IF(AB17=0,"","FA-RET01."&amp;COUNTIF(AB$6:$AB17,1))</f>
        <v/>
      </c>
      <c r="AB17" s="658">
        <f t="shared" si="10"/>
        <v>0</v>
      </c>
      <c r="AC17" s="657" t="str">
        <f>IF(AD17=0,"","FA-RET01."&amp;COUNTIF(AD$6:$AD17,1))</f>
        <v/>
      </c>
      <c r="AD17" s="658">
        <f t="shared" si="11"/>
        <v>0</v>
      </c>
      <c r="AE17" s="660">
        <f t="shared" si="12"/>
        <v>32.9</v>
      </c>
      <c r="AF17" s="661">
        <f t="shared" si="0"/>
        <v>1</v>
      </c>
      <c r="AG17" s="662">
        <f t="shared" si="13"/>
        <v>361.83999999999992</v>
      </c>
      <c r="AI17" s="657" t="str">
        <f>IF(AJ17=0,"","FAA-RET01."&amp;COUNTIF($AJ$6:AJ17,1))</f>
        <v/>
      </c>
      <c r="AJ17" s="658">
        <f t="shared" si="14"/>
        <v>0</v>
      </c>
      <c r="AK17" s="657" t="str">
        <f>IF(AL16=0,"","FAA-RET01."&amp;COUNTIF(AL$6:$AL17,1))</f>
        <v/>
      </c>
      <c r="AL17" s="658">
        <f t="shared" si="15"/>
        <v>0</v>
      </c>
      <c r="AM17" s="660">
        <f t="shared" si="16"/>
        <v>0</v>
      </c>
      <c r="AN17" s="661">
        <f t="shared" si="1"/>
        <v>0</v>
      </c>
      <c r="AO17" s="662">
        <f t="shared" si="17"/>
        <v>0</v>
      </c>
      <c r="AQ17" s="663">
        <f t="shared" si="2"/>
        <v>3.5000000000000142E-2</v>
      </c>
      <c r="AR17" s="663">
        <f t="shared" si="3"/>
        <v>5.95</v>
      </c>
      <c r="AS17" s="663">
        <f t="shared" si="4"/>
        <v>9.5250000000000004</v>
      </c>
      <c r="AT17" s="663">
        <f t="shared" si="5"/>
        <v>0.94399999999999906</v>
      </c>
      <c r="AV17" s="664">
        <v>15</v>
      </c>
      <c r="AW17" s="665">
        <v>2.5</v>
      </c>
      <c r="AX17" s="665">
        <v>5</v>
      </c>
      <c r="AY17" s="665">
        <v>40</v>
      </c>
      <c r="AZ17" s="664">
        <v>18.968</v>
      </c>
      <c r="BA17" s="666">
        <f t="shared" si="18"/>
        <v>5.9850000000000003</v>
      </c>
      <c r="BB17" s="666">
        <f t="shared" si="19"/>
        <v>26.515000000000001</v>
      </c>
      <c r="BC17" s="665"/>
      <c r="BD17" s="666">
        <f t="shared" si="20"/>
        <v>10.468999999999999</v>
      </c>
      <c r="BE17" s="666">
        <f t="shared" si="21"/>
        <v>22.030999999999999</v>
      </c>
    </row>
    <row r="18" spans="1:57" ht="13.15" customHeight="1">
      <c r="A18" s="645">
        <v>5.992</v>
      </c>
      <c r="B18" s="645">
        <v>5.95</v>
      </c>
      <c r="C18" s="646" t="s">
        <v>624</v>
      </c>
      <c r="D18" s="646" t="s">
        <v>605</v>
      </c>
      <c r="E18" s="646">
        <v>10</v>
      </c>
      <c r="F18" s="647" t="s">
        <v>626</v>
      </c>
      <c r="G18" s="648">
        <v>781.91800000000001</v>
      </c>
      <c r="H18" s="648">
        <v>781.85400000000004</v>
      </c>
      <c r="I18" s="649">
        <v>6.399999999996453E-2</v>
      </c>
      <c r="J18" s="645">
        <v>9.5250000000000004</v>
      </c>
      <c r="K18" s="645">
        <v>10.44</v>
      </c>
      <c r="L18" s="650"/>
      <c r="M18" s="651"/>
      <c r="N18" s="652">
        <v>0.1</v>
      </c>
      <c r="O18" s="652">
        <v>7.6318418800263058E-4</v>
      </c>
      <c r="P18" s="652" t="s">
        <v>607</v>
      </c>
      <c r="Q18" s="653">
        <f t="shared" si="6"/>
        <v>4.6960000000000006</v>
      </c>
      <c r="R18" s="654">
        <f t="shared" si="7"/>
        <v>2</v>
      </c>
      <c r="S18" s="655">
        <f t="shared" si="22"/>
        <v>3.2864</v>
      </c>
      <c r="T18" s="653">
        <f t="shared" si="8"/>
        <v>3.28</v>
      </c>
      <c r="U18" s="653">
        <f t="shared" si="23"/>
        <v>9.83</v>
      </c>
      <c r="V18" s="653">
        <f t="shared" si="9"/>
        <v>0</v>
      </c>
      <c r="AA18" s="657" t="str">
        <f>IF(AB18=0,"","FA-RET01."&amp;COUNTIF(AB$6:$AB18,1))</f>
        <v/>
      </c>
      <c r="AB18" s="658">
        <f t="shared" si="10"/>
        <v>0</v>
      </c>
      <c r="AC18" s="657" t="str">
        <f>IF(AD18=0,"","FA-RET01."&amp;COUNTIF(AD$6:$AD18,1))</f>
        <v/>
      </c>
      <c r="AD18" s="658">
        <f t="shared" si="11"/>
        <v>0</v>
      </c>
      <c r="AE18" s="660">
        <f t="shared" si="12"/>
        <v>32.89</v>
      </c>
      <c r="AF18" s="661">
        <f t="shared" si="0"/>
        <v>1</v>
      </c>
      <c r="AG18" s="662">
        <f t="shared" si="13"/>
        <v>394.7299999999999</v>
      </c>
      <c r="AI18" s="657" t="str">
        <f>IF(AJ18=0,"","FAA-RET01."&amp;COUNTIF($AJ$6:AJ18,1))</f>
        <v/>
      </c>
      <c r="AJ18" s="658">
        <f t="shared" si="14"/>
        <v>0</v>
      </c>
      <c r="AK18" s="657" t="str">
        <f>IF(AL17=0,"","FAA-RET01."&amp;COUNTIF(AL$6:$AL18,1))</f>
        <v/>
      </c>
      <c r="AL18" s="658">
        <f t="shared" si="15"/>
        <v>0</v>
      </c>
      <c r="AM18" s="660">
        <f t="shared" si="16"/>
        <v>0</v>
      </c>
      <c r="AN18" s="661">
        <f t="shared" si="1"/>
        <v>0</v>
      </c>
      <c r="AO18" s="662">
        <f t="shared" si="17"/>
        <v>0</v>
      </c>
      <c r="AQ18" s="663">
        <f t="shared" si="2"/>
        <v>4.1999999999999815E-2</v>
      </c>
      <c r="AR18" s="663">
        <f t="shared" si="3"/>
        <v>5.95</v>
      </c>
      <c r="AS18" s="663">
        <f t="shared" si="4"/>
        <v>9.5250000000000004</v>
      </c>
      <c r="AT18" s="663">
        <f t="shared" si="5"/>
        <v>0.91499999999999915</v>
      </c>
      <c r="AV18" s="664">
        <v>16</v>
      </c>
      <c r="AW18" s="665">
        <v>2.5</v>
      </c>
      <c r="AX18" s="665">
        <v>5</v>
      </c>
      <c r="AY18" s="665">
        <v>40</v>
      </c>
      <c r="AZ18" s="664">
        <v>19.638999999999999</v>
      </c>
      <c r="BA18" s="666">
        <f t="shared" si="18"/>
        <v>5.992</v>
      </c>
      <c r="BB18" s="666">
        <f t="shared" si="19"/>
        <v>26.507999999999999</v>
      </c>
      <c r="BC18" s="665"/>
      <c r="BD18" s="666">
        <f t="shared" si="20"/>
        <v>10.44</v>
      </c>
      <c r="BE18" s="666">
        <f t="shared" si="21"/>
        <v>22.060000000000002</v>
      </c>
    </row>
    <row r="19" spans="1:57" ht="13.15" customHeight="1">
      <c r="A19" s="645">
        <v>6.0579999999999998</v>
      </c>
      <c r="B19" s="645">
        <v>5.95</v>
      </c>
      <c r="C19" s="646" t="s">
        <v>627</v>
      </c>
      <c r="D19" s="646" t="s">
        <v>605</v>
      </c>
      <c r="E19" s="646">
        <v>0</v>
      </c>
      <c r="F19" s="647" t="s">
        <v>628</v>
      </c>
      <c r="G19" s="648">
        <v>782.053</v>
      </c>
      <c r="H19" s="648">
        <v>782.01599999999996</v>
      </c>
      <c r="I19" s="649">
        <v>3.7000000000034561E-2</v>
      </c>
      <c r="J19" s="645">
        <v>9.5250000000000004</v>
      </c>
      <c r="K19" s="645">
        <v>10.385</v>
      </c>
      <c r="L19" s="650"/>
      <c r="M19" s="651"/>
      <c r="N19" s="652">
        <v>0.1</v>
      </c>
      <c r="O19" s="652">
        <v>0</v>
      </c>
      <c r="P19" s="652" t="s">
        <v>607</v>
      </c>
      <c r="Q19" s="653">
        <f t="shared" si="6"/>
        <v>4.6960000000000006</v>
      </c>
      <c r="R19" s="654">
        <f t="shared" si="7"/>
        <v>2</v>
      </c>
      <c r="S19" s="655">
        <f t="shared" si="22"/>
        <v>3.2885999999999997</v>
      </c>
      <c r="T19" s="653">
        <f t="shared" si="8"/>
        <v>3.28</v>
      </c>
      <c r="U19" s="653">
        <f t="shared" si="23"/>
        <v>9.83</v>
      </c>
      <c r="V19" s="653">
        <f t="shared" si="9"/>
        <v>0</v>
      </c>
      <c r="AA19" s="657" t="str">
        <f>IF(AB19=0,"","FA-RET01."&amp;COUNTIF(AB$6:$AB19,1))</f>
        <v/>
      </c>
      <c r="AB19" s="658">
        <f t="shared" si="10"/>
        <v>0</v>
      </c>
      <c r="AC19" s="657" t="str">
        <f>IF(AD19=0,"","FA-RET01."&amp;COUNTIF(AD$6:$AD19,1))</f>
        <v>FA-RET01.1</v>
      </c>
      <c r="AD19" s="658">
        <f t="shared" si="11"/>
        <v>1</v>
      </c>
      <c r="AE19" s="660">
        <f t="shared" si="12"/>
        <v>32.880000000000003</v>
      </c>
      <c r="AF19" s="661">
        <f t="shared" si="0"/>
        <v>1</v>
      </c>
      <c r="AG19" s="662">
        <f t="shared" si="13"/>
        <v>427.6099999999999</v>
      </c>
      <c r="AI19" s="657" t="str">
        <f>IF(AJ19=0,"","FAA-RET01."&amp;COUNTIF($AJ$6:AJ19,1))</f>
        <v/>
      </c>
      <c r="AJ19" s="658">
        <f t="shared" si="14"/>
        <v>0</v>
      </c>
      <c r="AK19" s="657" t="str">
        <f>IF(AL18=0,"","FAA-RET01."&amp;COUNTIF(AL$6:$AL19,1))</f>
        <v/>
      </c>
      <c r="AL19" s="658">
        <f t="shared" si="15"/>
        <v>0</v>
      </c>
      <c r="AM19" s="660">
        <f t="shared" si="16"/>
        <v>0</v>
      </c>
      <c r="AN19" s="661">
        <f t="shared" si="1"/>
        <v>0</v>
      </c>
      <c r="AO19" s="662">
        <f t="shared" si="17"/>
        <v>0</v>
      </c>
      <c r="AQ19" s="663">
        <f t="shared" si="2"/>
        <v>0.10799999999999965</v>
      </c>
      <c r="AR19" s="663">
        <f t="shared" si="3"/>
        <v>5.95</v>
      </c>
      <c r="AS19" s="663">
        <f t="shared" si="4"/>
        <v>9.5250000000000004</v>
      </c>
      <c r="AT19" s="663">
        <f t="shared" si="5"/>
        <v>0.85999999999999943</v>
      </c>
      <c r="AV19" s="664">
        <v>17</v>
      </c>
      <c r="AW19" s="665">
        <v>2.5</v>
      </c>
      <c r="AX19" s="665">
        <v>5</v>
      </c>
      <c r="AY19" s="665">
        <v>40</v>
      </c>
      <c r="AZ19" s="664">
        <v>20.863</v>
      </c>
      <c r="BA19" s="666">
        <f t="shared" si="18"/>
        <v>6.0579999999999998</v>
      </c>
      <c r="BB19" s="666">
        <f t="shared" si="19"/>
        <v>26.442</v>
      </c>
      <c r="BC19" s="665"/>
      <c r="BD19" s="666">
        <f t="shared" si="20"/>
        <v>10.385</v>
      </c>
      <c r="BE19" s="666">
        <f t="shared" si="21"/>
        <v>22.115000000000002</v>
      </c>
    </row>
    <row r="20" spans="1:57" ht="13.15" customHeight="1">
      <c r="A20" s="645">
        <v>6.008</v>
      </c>
      <c r="B20" s="645">
        <v>5.95</v>
      </c>
      <c r="C20" s="646" t="s">
        <v>627</v>
      </c>
      <c r="D20" s="646" t="s">
        <v>605</v>
      </c>
      <c r="E20" s="646">
        <v>10</v>
      </c>
      <c r="F20" s="647" t="s">
        <v>629</v>
      </c>
      <c r="G20" s="648">
        <v>782.19799999999998</v>
      </c>
      <c r="H20" s="648">
        <v>782.20299999999997</v>
      </c>
      <c r="I20" s="649">
        <v>-4.9999999999954525E-3</v>
      </c>
      <c r="J20" s="645">
        <v>9.5250000000000004</v>
      </c>
      <c r="K20" s="645">
        <v>10.385</v>
      </c>
      <c r="L20" s="650"/>
      <c r="M20" s="651"/>
      <c r="N20" s="652">
        <v>0.1</v>
      </c>
      <c r="O20" s="652">
        <v>0</v>
      </c>
      <c r="P20" s="652" t="s">
        <v>607</v>
      </c>
      <c r="Q20" s="653">
        <f t="shared" si="6"/>
        <v>4.6960000000000006</v>
      </c>
      <c r="R20" s="654">
        <f t="shared" si="7"/>
        <v>1</v>
      </c>
      <c r="S20" s="655">
        <f t="shared" si="22"/>
        <v>3.0950000000000006</v>
      </c>
      <c r="T20" s="653">
        <f t="shared" si="8"/>
        <v>0</v>
      </c>
      <c r="U20" s="653">
        <f t="shared" si="23"/>
        <v>0</v>
      </c>
      <c r="V20" s="653">
        <f t="shared" si="9"/>
        <v>3.0950000000000006</v>
      </c>
      <c r="AA20" s="657" t="str">
        <f>IF(AB20=0,"","FA-RET01."&amp;COUNTIF(AB$6:$AB20,1))</f>
        <v/>
      </c>
      <c r="AB20" s="658">
        <f t="shared" si="10"/>
        <v>0</v>
      </c>
      <c r="AC20" s="657" t="str">
        <f>IF(AD20=0,"","FA-RET01."&amp;COUNTIF(AD$6:$AD20,1))</f>
        <v/>
      </c>
      <c r="AD20" s="658">
        <f t="shared" si="11"/>
        <v>0</v>
      </c>
      <c r="AE20" s="660">
        <f t="shared" si="12"/>
        <v>0</v>
      </c>
      <c r="AF20" s="661">
        <f t="shared" si="0"/>
        <v>0</v>
      </c>
      <c r="AG20" s="662">
        <f t="shared" si="13"/>
        <v>0</v>
      </c>
      <c r="AI20" s="657" t="str">
        <f>IF(AJ20=0,"","FAA-RET01."&amp;COUNTIF($AJ$6:AJ20,1))</f>
        <v/>
      </c>
      <c r="AJ20" s="658">
        <f t="shared" si="14"/>
        <v>0</v>
      </c>
      <c r="AK20" s="657" t="str">
        <f>IF(AL19=0,"","FAA-RET01."&amp;COUNTIF(AL$6:$AL20,1))</f>
        <v/>
      </c>
      <c r="AL20" s="658">
        <f t="shared" si="15"/>
        <v>0</v>
      </c>
      <c r="AM20" s="660">
        <f t="shared" si="16"/>
        <v>0</v>
      </c>
      <c r="AN20" s="661">
        <f t="shared" si="1"/>
        <v>0</v>
      </c>
      <c r="AO20" s="662">
        <f t="shared" si="17"/>
        <v>0</v>
      </c>
      <c r="AQ20" s="663">
        <f t="shared" si="2"/>
        <v>5.7999999999999829E-2</v>
      </c>
      <c r="AR20" s="663">
        <f t="shared" si="3"/>
        <v>5.95</v>
      </c>
      <c r="AS20" s="663">
        <f t="shared" si="4"/>
        <v>9.5250000000000004</v>
      </c>
      <c r="AT20" s="663">
        <f t="shared" si="5"/>
        <v>0.85999999999999943</v>
      </c>
      <c r="AV20" s="664">
        <v>18</v>
      </c>
      <c r="AW20" s="665">
        <v>2.5</v>
      </c>
      <c r="AX20" s="665">
        <v>5</v>
      </c>
      <c r="AY20" s="665">
        <v>40</v>
      </c>
      <c r="AZ20" s="664">
        <v>21.593</v>
      </c>
      <c r="BA20" s="666">
        <f t="shared" si="18"/>
        <v>6.008</v>
      </c>
      <c r="BB20" s="666">
        <f t="shared" si="19"/>
        <v>26.492000000000001</v>
      </c>
      <c r="BC20" s="665"/>
      <c r="BD20" s="666">
        <f t="shared" si="20"/>
        <v>10.385</v>
      </c>
      <c r="BE20" s="666">
        <f t="shared" si="21"/>
        <v>22.115000000000002</v>
      </c>
    </row>
    <row r="21" spans="1:57" ht="13.15" customHeight="1">
      <c r="A21" s="645">
        <v>5.9809999999999999</v>
      </c>
      <c r="B21" s="645">
        <v>5.95</v>
      </c>
      <c r="C21" s="646" t="s">
        <v>630</v>
      </c>
      <c r="D21" s="646" t="s">
        <v>605</v>
      </c>
      <c r="E21" s="646">
        <v>0</v>
      </c>
      <c r="F21" s="647" t="s">
        <v>631</v>
      </c>
      <c r="G21" s="648">
        <v>782.35199999999998</v>
      </c>
      <c r="H21" s="648">
        <v>782.42700000000002</v>
      </c>
      <c r="I21" s="649">
        <v>-7.5000000000045475E-2</v>
      </c>
      <c r="J21" s="645">
        <v>9.5250000000000004</v>
      </c>
      <c r="K21" s="645">
        <v>10.375</v>
      </c>
      <c r="L21" s="650"/>
      <c r="M21" s="651"/>
      <c r="N21" s="652">
        <v>0.1</v>
      </c>
      <c r="O21" s="652">
        <v>0</v>
      </c>
      <c r="P21" s="652" t="s">
        <v>607</v>
      </c>
      <c r="Q21" s="653">
        <f t="shared" si="6"/>
        <v>4.6960000000000006</v>
      </c>
      <c r="R21" s="654">
        <f t="shared" si="7"/>
        <v>1</v>
      </c>
      <c r="S21" s="655">
        <f t="shared" si="22"/>
        <v>3.0950000000000006</v>
      </c>
      <c r="T21" s="653">
        <f t="shared" si="8"/>
        <v>0</v>
      </c>
      <c r="U21" s="653">
        <f t="shared" si="23"/>
        <v>0</v>
      </c>
      <c r="V21" s="653">
        <f t="shared" si="9"/>
        <v>3.0950000000000006</v>
      </c>
      <c r="AA21" s="657" t="str">
        <f>IF(AB21=0,"","FA-RET01."&amp;COUNTIF(AB$6:$AB21,1))</f>
        <v/>
      </c>
      <c r="AB21" s="658">
        <f t="shared" si="10"/>
        <v>0</v>
      </c>
      <c r="AC21" s="657" t="str">
        <f>IF(AD21=0,"","FA-RET01."&amp;COUNTIF(AD$6:$AD21,1))</f>
        <v/>
      </c>
      <c r="AD21" s="658">
        <f t="shared" si="11"/>
        <v>0</v>
      </c>
      <c r="AE21" s="660">
        <f t="shared" si="12"/>
        <v>0</v>
      </c>
      <c r="AF21" s="661">
        <f t="shared" si="0"/>
        <v>0</v>
      </c>
      <c r="AG21" s="662">
        <f t="shared" si="13"/>
        <v>0</v>
      </c>
      <c r="AI21" s="657" t="str">
        <f>IF(AJ21=0,"","FAA-RET01."&amp;COUNTIF($AJ$6:AJ21,1))</f>
        <v/>
      </c>
      <c r="AJ21" s="658">
        <f t="shared" si="14"/>
        <v>0</v>
      </c>
      <c r="AK21" s="657" t="str">
        <f>IF(AL20=0,"","FAA-RET01."&amp;COUNTIF(AL$6:$AL21,1))</f>
        <v/>
      </c>
      <c r="AL21" s="658">
        <f t="shared" si="15"/>
        <v>0</v>
      </c>
      <c r="AM21" s="660">
        <f t="shared" si="16"/>
        <v>0</v>
      </c>
      <c r="AN21" s="661">
        <f t="shared" si="1"/>
        <v>0</v>
      </c>
      <c r="AO21" s="662">
        <f t="shared" si="17"/>
        <v>0</v>
      </c>
      <c r="AQ21" s="663">
        <f t="shared" si="2"/>
        <v>3.0999999999999694E-2</v>
      </c>
      <c r="AR21" s="663">
        <f t="shared" si="3"/>
        <v>5.95</v>
      </c>
      <c r="AS21" s="663">
        <f t="shared" si="4"/>
        <v>9.5250000000000004</v>
      </c>
      <c r="AT21" s="663">
        <f t="shared" si="5"/>
        <v>0.84999999999999964</v>
      </c>
      <c r="AV21" s="664">
        <v>18</v>
      </c>
      <c r="AW21" s="665">
        <v>2.5</v>
      </c>
      <c r="AX21" s="665">
        <v>5</v>
      </c>
      <c r="AY21" s="665">
        <v>40</v>
      </c>
      <c r="AZ21" s="664">
        <v>22.478999999999999</v>
      </c>
      <c r="BA21" s="666">
        <f t="shared" si="18"/>
        <v>5.9809999999999999</v>
      </c>
      <c r="BB21" s="666">
        <f t="shared" si="19"/>
        <v>26.518999999999998</v>
      </c>
      <c r="BC21" s="665"/>
      <c r="BD21" s="666">
        <f t="shared" si="20"/>
        <v>10.375</v>
      </c>
      <c r="BE21" s="666">
        <f t="shared" si="21"/>
        <v>22.125</v>
      </c>
    </row>
    <row r="22" spans="1:57" ht="13.15" customHeight="1">
      <c r="A22" s="645">
        <v>5.9530000000000003</v>
      </c>
      <c r="B22" s="645">
        <v>5.95</v>
      </c>
      <c r="C22" s="646" t="s">
        <v>630</v>
      </c>
      <c r="D22" s="646" t="s">
        <v>605</v>
      </c>
      <c r="E22" s="646">
        <v>3.1720000000000002</v>
      </c>
      <c r="F22" s="647" t="s">
        <v>632</v>
      </c>
      <c r="G22" s="648">
        <v>782.40300000000002</v>
      </c>
      <c r="H22" s="648">
        <v>782.476</v>
      </c>
      <c r="I22" s="649">
        <v>-7.2999999999979082E-2</v>
      </c>
      <c r="J22" s="645">
        <v>9.5250000000000004</v>
      </c>
      <c r="K22" s="645">
        <v>10.382999999999999</v>
      </c>
      <c r="L22" s="650"/>
      <c r="M22" s="651"/>
      <c r="N22" s="652">
        <v>0.1</v>
      </c>
      <c r="O22" s="652">
        <v>0</v>
      </c>
      <c r="P22" s="652" t="s">
        <v>607</v>
      </c>
      <c r="Q22" s="653">
        <f t="shared" si="6"/>
        <v>4.6960000000000006</v>
      </c>
      <c r="R22" s="654">
        <f t="shared" si="7"/>
        <v>1</v>
      </c>
      <c r="S22" s="655">
        <f t="shared" si="22"/>
        <v>3.0950000000000006</v>
      </c>
      <c r="T22" s="653">
        <f t="shared" si="8"/>
        <v>0</v>
      </c>
      <c r="U22" s="653">
        <f t="shared" si="23"/>
        <v>0</v>
      </c>
      <c r="V22" s="653">
        <f t="shared" si="9"/>
        <v>3.0950000000000006</v>
      </c>
      <c r="AA22" s="657" t="str">
        <f>IF(AB22=0,"","FA-RET01."&amp;COUNTIF(AB$6:$AB22,1))</f>
        <v/>
      </c>
      <c r="AB22" s="658">
        <f t="shared" si="10"/>
        <v>0</v>
      </c>
      <c r="AC22" s="657" t="str">
        <f>IF(AD22=0,"","FA-RET01."&amp;COUNTIF(AD$6:$AD22,1))</f>
        <v/>
      </c>
      <c r="AD22" s="658">
        <f t="shared" si="11"/>
        <v>0</v>
      </c>
      <c r="AE22" s="660">
        <f t="shared" si="12"/>
        <v>0</v>
      </c>
      <c r="AF22" s="661">
        <f t="shared" si="0"/>
        <v>0</v>
      </c>
      <c r="AG22" s="662">
        <f t="shared" si="13"/>
        <v>0</v>
      </c>
      <c r="AI22" s="657" t="str">
        <f>IF(AJ22=0,"","FAA-RET01."&amp;COUNTIF($AJ$6:AJ22,1))</f>
        <v/>
      </c>
      <c r="AJ22" s="658">
        <f t="shared" si="14"/>
        <v>0</v>
      </c>
      <c r="AK22" s="657" t="str">
        <f>IF(AL21=0,"","FAA-RET01."&amp;COUNTIF(AL$6:$AL22,1))</f>
        <v/>
      </c>
      <c r="AL22" s="658">
        <f t="shared" si="15"/>
        <v>0</v>
      </c>
      <c r="AM22" s="660">
        <f t="shared" si="16"/>
        <v>0</v>
      </c>
      <c r="AN22" s="661">
        <f t="shared" si="1"/>
        <v>0</v>
      </c>
      <c r="AO22" s="662">
        <f t="shared" si="17"/>
        <v>0</v>
      </c>
      <c r="AQ22" s="663">
        <f t="shared" si="2"/>
        <v>3.0000000000001137E-3</v>
      </c>
      <c r="AR22" s="663">
        <f t="shared" si="3"/>
        <v>5.95</v>
      </c>
      <c r="AS22" s="663">
        <f t="shared" si="4"/>
        <v>9.5250000000000004</v>
      </c>
      <c r="AT22" s="663">
        <f t="shared" si="5"/>
        <v>0.85799999999999876</v>
      </c>
      <c r="AV22" s="664">
        <v>19</v>
      </c>
      <c r="AW22" s="665">
        <v>2.5</v>
      </c>
      <c r="AX22" s="665">
        <v>5</v>
      </c>
      <c r="AY22" s="665">
        <v>40</v>
      </c>
      <c r="AZ22" s="664">
        <v>22.488999999999997</v>
      </c>
      <c r="BA22" s="666">
        <f t="shared" si="18"/>
        <v>5.9530000000000003</v>
      </c>
      <c r="BB22" s="666">
        <f t="shared" si="19"/>
        <v>26.547000000000001</v>
      </c>
      <c r="BC22" s="665"/>
      <c r="BD22" s="666">
        <f t="shared" si="20"/>
        <v>10.382999999999999</v>
      </c>
      <c r="BE22" s="666">
        <f t="shared" si="21"/>
        <v>22.117000000000001</v>
      </c>
    </row>
    <row r="23" spans="1:57" ht="13.15" customHeight="1">
      <c r="A23" s="645">
        <v>5.96</v>
      </c>
      <c r="B23" s="645">
        <v>5.95</v>
      </c>
      <c r="C23" s="646" t="s">
        <v>630</v>
      </c>
      <c r="D23" s="646" t="s">
        <v>605</v>
      </c>
      <c r="E23" s="646">
        <v>10</v>
      </c>
      <c r="F23" s="647" t="s">
        <v>633</v>
      </c>
      <c r="G23" s="648">
        <v>782.51499999999999</v>
      </c>
      <c r="H23" s="648">
        <v>782.58199999999999</v>
      </c>
      <c r="I23" s="649">
        <v>-6.7000000000007276E-2</v>
      </c>
      <c r="J23" s="645">
        <v>9.5250000000000004</v>
      </c>
      <c r="K23" s="645">
        <v>10.41</v>
      </c>
      <c r="L23" s="650"/>
      <c r="M23" s="651"/>
      <c r="N23" s="652">
        <v>0.1</v>
      </c>
      <c r="O23" s="652">
        <v>0</v>
      </c>
      <c r="P23" s="652" t="s">
        <v>607</v>
      </c>
      <c r="Q23" s="653">
        <f t="shared" si="6"/>
        <v>4.6960000000000006</v>
      </c>
      <c r="R23" s="654">
        <f t="shared" si="7"/>
        <v>1</v>
      </c>
      <c r="S23" s="655">
        <f t="shared" si="22"/>
        <v>3.0950000000000006</v>
      </c>
      <c r="T23" s="653">
        <f t="shared" si="8"/>
        <v>0</v>
      </c>
      <c r="U23" s="653">
        <f t="shared" si="23"/>
        <v>0</v>
      </c>
      <c r="V23" s="653">
        <f t="shared" si="9"/>
        <v>3.0950000000000006</v>
      </c>
      <c r="AA23" s="657" t="str">
        <f>IF(AB23=0,"","FA-RET01."&amp;COUNTIF(AB$6:$AB23,1))</f>
        <v/>
      </c>
      <c r="AB23" s="658">
        <f t="shared" si="10"/>
        <v>0</v>
      </c>
      <c r="AC23" s="657" t="str">
        <f>IF(AD23=0,"","FA-RET01."&amp;COUNTIF(AD$6:$AD23,1))</f>
        <v/>
      </c>
      <c r="AD23" s="658">
        <f t="shared" si="11"/>
        <v>0</v>
      </c>
      <c r="AE23" s="660">
        <f t="shared" si="12"/>
        <v>0</v>
      </c>
      <c r="AF23" s="661">
        <f t="shared" si="0"/>
        <v>0</v>
      </c>
      <c r="AG23" s="662">
        <f t="shared" si="13"/>
        <v>0</v>
      </c>
      <c r="AI23" s="657" t="str">
        <f>IF(AJ23=0,"","FAA-RET01."&amp;COUNTIF($AJ$6:AJ23,1))</f>
        <v/>
      </c>
      <c r="AJ23" s="658">
        <f t="shared" si="14"/>
        <v>0</v>
      </c>
      <c r="AK23" s="657" t="str">
        <f>IF(AL22=0,"","FAA-RET01."&amp;COUNTIF(AL$6:$AL23,1))</f>
        <v/>
      </c>
      <c r="AL23" s="658">
        <f t="shared" si="15"/>
        <v>0</v>
      </c>
      <c r="AM23" s="660">
        <f t="shared" si="16"/>
        <v>0</v>
      </c>
      <c r="AN23" s="661">
        <f t="shared" si="1"/>
        <v>0</v>
      </c>
      <c r="AO23" s="662">
        <f t="shared" si="17"/>
        <v>0</v>
      </c>
      <c r="AQ23" s="663">
        <f t="shared" si="2"/>
        <v>9.9999999999997868E-3</v>
      </c>
      <c r="AR23" s="663">
        <f t="shared" si="3"/>
        <v>5.95</v>
      </c>
      <c r="AS23" s="663">
        <f t="shared" si="4"/>
        <v>9.5250000000000004</v>
      </c>
      <c r="AT23" s="663">
        <f t="shared" si="5"/>
        <v>0.88499999999999979</v>
      </c>
      <c r="AV23" s="664">
        <v>20</v>
      </c>
      <c r="AW23" s="665">
        <v>2.5</v>
      </c>
      <c r="AX23" s="665">
        <v>5</v>
      </c>
      <c r="AY23" s="665">
        <v>40</v>
      </c>
      <c r="AZ23" s="664">
        <v>23.372</v>
      </c>
      <c r="BA23" s="666">
        <f t="shared" si="18"/>
        <v>5.96</v>
      </c>
      <c r="BB23" s="666">
        <f t="shared" si="19"/>
        <v>26.54</v>
      </c>
      <c r="BC23" s="665"/>
      <c r="BD23" s="666">
        <f t="shared" si="20"/>
        <v>10.41</v>
      </c>
      <c r="BE23" s="666">
        <f t="shared" si="21"/>
        <v>22.09</v>
      </c>
    </row>
    <row r="24" spans="1:57" ht="13.15" customHeight="1">
      <c r="A24" s="645">
        <v>6.0359999999999996</v>
      </c>
      <c r="B24" s="645">
        <v>5.95</v>
      </c>
      <c r="C24" s="646" t="s">
        <v>634</v>
      </c>
      <c r="D24" s="646" t="s">
        <v>605</v>
      </c>
      <c r="E24" s="646">
        <v>0</v>
      </c>
      <c r="F24" s="647" t="s">
        <v>635</v>
      </c>
      <c r="G24" s="648">
        <v>782.68799999999999</v>
      </c>
      <c r="H24" s="648">
        <v>782.79200000000003</v>
      </c>
      <c r="I24" s="649">
        <v>-0.10400000000004184</v>
      </c>
      <c r="J24" s="645">
        <v>9.5250000000000004</v>
      </c>
      <c r="K24" s="645">
        <v>10.388</v>
      </c>
      <c r="L24" s="650"/>
      <c r="M24" s="651"/>
      <c r="N24" s="652">
        <v>0.1</v>
      </c>
      <c r="O24" s="652">
        <v>0</v>
      </c>
      <c r="P24" s="652" t="s">
        <v>607</v>
      </c>
      <c r="Q24" s="653">
        <f t="shared" si="6"/>
        <v>4.6960000000000006</v>
      </c>
      <c r="R24" s="654">
        <f t="shared" si="7"/>
        <v>1</v>
      </c>
      <c r="S24" s="655">
        <f t="shared" si="22"/>
        <v>3.0950000000000006</v>
      </c>
      <c r="T24" s="653">
        <f t="shared" si="8"/>
        <v>0</v>
      </c>
      <c r="U24" s="653">
        <f t="shared" si="23"/>
        <v>0</v>
      </c>
      <c r="V24" s="653">
        <f t="shared" si="9"/>
        <v>3.0950000000000006</v>
      </c>
      <c r="AA24" s="657" t="str">
        <f>IF(AB24=0,"","FA-RET01."&amp;COUNTIF(AB$6:$AB24,1))</f>
        <v/>
      </c>
      <c r="AB24" s="658">
        <f t="shared" si="10"/>
        <v>0</v>
      </c>
      <c r="AC24" s="657" t="str">
        <f>IF(AD24=0,"","FA-RET01."&amp;COUNTIF(AD$6:$AD24,1))</f>
        <v/>
      </c>
      <c r="AD24" s="658">
        <f t="shared" si="11"/>
        <v>0</v>
      </c>
      <c r="AE24" s="660">
        <f t="shared" si="12"/>
        <v>0</v>
      </c>
      <c r="AF24" s="661">
        <f t="shared" si="0"/>
        <v>0</v>
      </c>
      <c r="AG24" s="662">
        <f t="shared" si="13"/>
        <v>0</v>
      </c>
      <c r="AI24" s="657" t="str">
        <f>IF(AJ24=0,"","FAA-RET01."&amp;COUNTIF($AJ$6:AJ24,1))</f>
        <v/>
      </c>
      <c r="AJ24" s="658">
        <f t="shared" si="14"/>
        <v>0</v>
      </c>
      <c r="AK24" s="657" t="str">
        <f>IF(AL23=0,"","FAA-RET01."&amp;COUNTIF(AL$6:$AL24,1))</f>
        <v/>
      </c>
      <c r="AL24" s="658">
        <f t="shared" si="15"/>
        <v>0</v>
      </c>
      <c r="AM24" s="660">
        <f t="shared" si="16"/>
        <v>0</v>
      </c>
      <c r="AN24" s="661">
        <f t="shared" si="1"/>
        <v>0</v>
      </c>
      <c r="AO24" s="662">
        <f t="shared" si="17"/>
        <v>0</v>
      </c>
      <c r="AQ24" s="663">
        <f t="shared" si="2"/>
        <v>8.599999999999941E-2</v>
      </c>
      <c r="AR24" s="663">
        <f t="shared" si="3"/>
        <v>5.95</v>
      </c>
      <c r="AS24" s="663">
        <f t="shared" si="4"/>
        <v>9.5250000000000004</v>
      </c>
      <c r="AT24" s="663">
        <f t="shared" si="5"/>
        <v>0.86299999999999955</v>
      </c>
      <c r="AV24" s="664">
        <v>21</v>
      </c>
      <c r="AW24" s="665">
        <v>2.5</v>
      </c>
      <c r="AX24" s="665">
        <v>5</v>
      </c>
      <c r="AY24" s="665">
        <v>40</v>
      </c>
      <c r="AZ24" s="664">
        <v>23.247</v>
      </c>
      <c r="BA24" s="666">
        <f t="shared" si="18"/>
        <v>6.0359999999999996</v>
      </c>
      <c r="BB24" s="666">
        <f t="shared" si="19"/>
        <v>26.463999999999999</v>
      </c>
      <c r="BC24" s="665"/>
      <c r="BD24" s="666">
        <f t="shared" si="20"/>
        <v>10.388</v>
      </c>
      <c r="BE24" s="666">
        <f t="shared" si="21"/>
        <v>22.112000000000002</v>
      </c>
    </row>
    <row r="25" spans="1:57" ht="13.15" customHeight="1">
      <c r="A25" s="645">
        <v>6.0430000000000001</v>
      </c>
      <c r="B25" s="645">
        <v>5.95</v>
      </c>
      <c r="C25" s="646" t="s">
        <v>634</v>
      </c>
      <c r="D25" s="646" t="s">
        <v>605</v>
      </c>
      <c r="E25" s="646">
        <v>10</v>
      </c>
      <c r="F25" s="647" t="s">
        <v>636</v>
      </c>
      <c r="G25" s="648">
        <v>782.86900000000003</v>
      </c>
      <c r="H25" s="648">
        <v>782.95100000000002</v>
      </c>
      <c r="I25" s="649">
        <v>-8.1999999999993634E-2</v>
      </c>
      <c r="J25" s="645">
        <v>9.5250000000000004</v>
      </c>
      <c r="K25" s="645">
        <v>10.375999999999999</v>
      </c>
      <c r="L25" s="650"/>
      <c r="M25" s="651"/>
      <c r="N25" s="652">
        <v>0.1</v>
      </c>
      <c r="O25" s="652">
        <v>0</v>
      </c>
      <c r="P25" s="652" t="s">
        <v>607</v>
      </c>
      <c r="Q25" s="653">
        <f t="shared" si="6"/>
        <v>4.6960000000000006</v>
      </c>
      <c r="R25" s="654">
        <f t="shared" si="7"/>
        <v>1</v>
      </c>
      <c r="S25" s="655">
        <f t="shared" si="22"/>
        <v>3.0950000000000006</v>
      </c>
      <c r="T25" s="653">
        <f t="shared" si="8"/>
        <v>0</v>
      </c>
      <c r="U25" s="653">
        <f t="shared" si="23"/>
        <v>0</v>
      </c>
      <c r="V25" s="653">
        <f t="shared" si="9"/>
        <v>3.0950000000000006</v>
      </c>
      <c r="AA25" s="657" t="str">
        <f>IF(AB25=0,"","FA-RET01."&amp;COUNTIF(AB$6:$AB25,1))</f>
        <v/>
      </c>
      <c r="AB25" s="658">
        <f t="shared" si="10"/>
        <v>0</v>
      </c>
      <c r="AC25" s="657" t="str">
        <f>IF(AD25=0,"","FA-RET01."&amp;COUNTIF(AD$6:$AD25,1))</f>
        <v/>
      </c>
      <c r="AD25" s="658">
        <f t="shared" si="11"/>
        <v>0</v>
      </c>
      <c r="AE25" s="660">
        <f t="shared" si="12"/>
        <v>0</v>
      </c>
      <c r="AF25" s="661">
        <f t="shared" si="0"/>
        <v>0</v>
      </c>
      <c r="AG25" s="662">
        <f t="shared" si="13"/>
        <v>0</v>
      </c>
      <c r="AI25" s="657" t="str">
        <f>IF(AJ25=0,"","FAA-RET01."&amp;COUNTIF($AJ$6:AJ25,1))</f>
        <v/>
      </c>
      <c r="AJ25" s="658">
        <f t="shared" si="14"/>
        <v>0</v>
      </c>
      <c r="AK25" s="657" t="str">
        <f>IF(AL24=0,"","FAA-RET01."&amp;COUNTIF(AL$6:$AL25,1))</f>
        <v/>
      </c>
      <c r="AL25" s="658">
        <f t="shared" si="15"/>
        <v>0</v>
      </c>
      <c r="AM25" s="660">
        <f t="shared" si="16"/>
        <v>0</v>
      </c>
      <c r="AN25" s="661">
        <f t="shared" si="1"/>
        <v>0</v>
      </c>
      <c r="AO25" s="662">
        <f t="shared" si="17"/>
        <v>0</v>
      </c>
      <c r="AQ25" s="663">
        <f t="shared" si="2"/>
        <v>9.2999999999999972E-2</v>
      </c>
      <c r="AR25" s="663">
        <f t="shared" si="3"/>
        <v>5.95</v>
      </c>
      <c r="AS25" s="663">
        <f t="shared" si="4"/>
        <v>9.5250000000000004</v>
      </c>
      <c r="AT25" s="663">
        <f t="shared" si="5"/>
        <v>0.85099999999999909</v>
      </c>
      <c r="AV25" s="664">
        <v>22</v>
      </c>
      <c r="AW25" s="665">
        <v>2.5</v>
      </c>
      <c r="AX25" s="665">
        <v>5</v>
      </c>
      <c r="AY25" s="665">
        <v>40</v>
      </c>
      <c r="AZ25" s="664">
        <v>23.484999999999999</v>
      </c>
      <c r="BA25" s="666">
        <f t="shared" si="18"/>
        <v>6.0430000000000001</v>
      </c>
      <c r="BB25" s="666">
        <f t="shared" si="19"/>
        <v>26.457000000000001</v>
      </c>
      <c r="BC25" s="665"/>
      <c r="BD25" s="666">
        <f t="shared" si="20"/>
        <v>10.375999999999999</v>
      </c>
      <c r="BE25" s="666">
        <f t="shared" si="21"/>
        <v>22.124000000000002</v>
      </c>
    </row>
    <row r="26" spans="1:57" ht="13.15" customHeight="1">
      <c r="A26" s="645">
        <v>6.0949999999999998</v>
      </c>
      <c r="B26" s="645">
        <v>5.95</v>
      </c>
      <c r="C26" s="646" t="s">
        <v>637</v>
      </c>
      <c r="D26" s="646" t="s">
        <v>605</v>
      </c>
      <c r="E26" s="646">
        <v>0</v>
      </c>
      <c r="F26" s="647" t="s">
        <v>638</v>
      </c>
      <c r="G26" s="648">
        <v>783.06</v>
      </c>
      <c r="H26" s="648">
        <v>783.16099999999994</v>
      </c>
      <c r="I26" s="649">
        <v>-0.10099999999999909</v>
      </c>
      <c r="J26" s="645">
        <v>9.5250000000000004</v>
      </c>
      <c r="K26" s="645">
        <v>10.361000000000001</v>
      </c>
      <c r="L26" s="650"/>
      <c r="M26" s="651"/>
      <c r="N26" s="652">
        <v>0.1</v>
      </c>
      <c r="O26" s="652">
        <v>0</v>
      </c>
      <c r="P26" s="652" t="s">
        <v>607</v>
      </c>
      <c r="Q26" s="653">
        <f t="shared" si="6"/>
        <v>4.6960000000000006</v>
      </c>
      <c r="R26" s="654">
        <f t="shared" si="7"/>
        <v>1</v>
      </c>
      <c r="S26" s="655">
        <f t="shared" si="22"/>
        <v>3.0950000000000006</v>
      </c>
      <c r="T26" s="653">
        <f t="shared" si="8"/>
        <v>0</v>
      </c>
      <c r="U26" s="653">
        <f t="shared" si="23"/>
        <v>0</v>
      </c>
      <c r="V26" s="653">
        <f t="shared" si="9"/>
        <v>3.0950000000000006</v>
      </c>
      <c r="AA26" s="657" t="str">
        <f>IF(AB26=0,"","FA-RET01."&amp;COUNTIF(AB$6:$AB26,1))</f>
        <v/>
      </c>
      <c r="AB26" s="658">
        <f t="shared" si="10"/>
        <v>0</v>
      </c>
      <c r="AC26" s="657" t="str">
        <f>IF(AD26=0,"","FA-RET01."&amp;COUNTIF(AD$6:$AD26,1))</f>
        <v/>
      </c>
      <c r="AD26" s="658">
        <f t="shared" si="11"/>
        <v>0</v>
      </c>
      <c r="AE26" s="660">
        <f t="shared" si="12"/>
        <v>0</v>
      </c>
      <c r="AF26" s="661">
        <f t="shared" si="0"/>
        <v>0</v>
      </c>
      <c r="AG26" s="662">
        <f t="shared" si="13"/>
        <v>0</v>
      </c>
      <c r="AI26" s="657" t="str">
        <f>IF(AJ26=0,"","FAA-RET01."&amp;COUNTIF($AJ$6:AJ26,1))</f>
        <v/>
      </c>
      <c r="AJ26" s="658">
        <f t="shared" si="14"/>
        <v>0</v>
      </c>
      <c r="AK26" s="657" t="str">
        <f>IF(AL25=0,"","FAA-RET01."&amp;COUNTIF(AL$6:$AL26,1))</f>
        <v/>
      </c>
      <c r="AL26" s="658">
        <f t="shared" si="15"/>
        <v>0</v>
      </c>
      <c r="AM26" s="660">
        <f t="shared" si="16"/>
        <v>0</v>
      </c>
      <c r="AN26" s="661">
        <f t="shared" si="1"/>
        <v>0</v>
      </c>
      <c r="AO26" s="662">
        <f t="shared" si="17"/>
        <v>0</v>
      </c>
      <c r="AQ26" s="663">
        <f t="shared" si="2"/>
        <v>0.14499999999999957</v>
      </c>
      <c r="AR26" s="663">
        <f t="shared" si="3"/>
        <v>5.95</v>
      </c>
      <c r="AS26" s="663">
        <f t="shared" si="4"/>
        <v>9.5250000000000004</v>
      </c>
      <c r="AT26" s="663">
        <f t="shared" si="5"/>
        <v>0.8360000000000003</v>
      </c>
      <c r="AV26" s="664">
        <v>23</v>
      </c>
      <c r="AW26" s="665">
        <v>2.5</v>
      </c>
      <c r="AX26" s="665">
        <v>5</v>
      </c>
      <c r="AY26" s="665">
        <v>40</v>
      </c>
      <c r="AZ26" s="664">
        <v>22.725000000000001</v>
      </c>
      <c r="BA26" s="666">
        <f t="shared" si="18"/>
        <v>6.0949999999999998</v>
      </c>
      <c r="BB26" s="666">
        <f t="shared" si="19"/>
        <v>26.405000000000001</v>
      </c>
      <c r="BC26" s="665"/>
      <c r="BD26" s="666">
        <f t="shared" si="20"/>
        <v>10.361000000000001</v>
      </c>
      <c r="BE26" s="666">
        <f t="shared" si="21"/>
        <v>22.138999999999999</v>
      </c>
    </row>
    <row r="27" spans="1:57" ht="13.15" customHeight="1">
      <c r="A27" s="645">
        <v>6.1319999999999997</v>
      </c>
      <c r="B27" s="645">
        <v>5.95</v>
      </c>
      <c r="C27" s="646" t="s">
        <v>637</v>
      </c>
      <c r="D27" s="646" t="s">
        <v>605</v>
      </c>
      <c r="E27" s="646">
        <v>1.3240000000000001</v>
      </c>
      <c r="F27" s="647" t="s">
        <v>639</v>
      </c>
      <c r="G27" s="648">
        <v>783.08600000000001</v>
      </c>
      <c r="H27" s="648">
        <v>783.18799999999999</v>
      </c>
      <c r="I27" s="649">
        <v>-0.10199999999997544</v>
      </c>
      <c r="J27" s="645">
        <v>9.5250000000000004</v>
      </c>
      <c r="K27" s="645">
        <v>10.446999999999999</v>
      </c>
      <c r="L27" s="650"/>
      <c r="M27" s="651"/>
      <c r="N27" s="652">
        <v>0.1</v>
      </c>
      <c r="O27" s="652">
        <v>1.1403508771929815E-3</v>
      </c>
      <c r="P27" s="652" t="s">
        <v>607</v>
      </c>
      <c r="Q27" s="653">
        <f t="shared" si="6"/>
        <v>4.6960000000000006</v>
      </c>
      <c r="R27" s="654">
        <f t="shared" si="7"/>
        <v>1</v>
      </c>
      <c r="S27" s="655">
        <f t="shared" si="22"/>
        <v>3.0950000000000006</v>
      </c>
      <c r="T27" s="653">
        <f t="shared" si="8"/>
        <v>0</v>
      </c>
      <c r="U27" s="653">
        <f t="shared" si="23"/>
        <v>0</v>
      </c>
      <c r="V27" s="653">
        <f t="shared" si="9"/>
        <v>3.0950000000000006</v>
      </c>
      <c r="AA27" s="657" t="str">
        <f>IF(AB27=0,"","FA-RET01."&amp;COUNTIF(AB$6:$AB27,1))</f>
        <v/>
      </c>
      <c r="AB27" s="658">
        <f t="shared" si="10"/>
        <v>0</v>
      </c>
      <c r="AC27" s="657" t="str">
        <f>IF(AD27=0,"","FA-RET01."&amp;COUNTIF(AD$6:$AD27,1))</f>
        <v/>
      </c>
      <c r="AD27" s="658">
        <f t="shared" si="11"/>
        <v>0</v>
      </c>
      <c r="AE27" s="660">
        <f t="shared" si="12"/>
        <v>0</v>
      </c>
      <c r="AF27" s="661">
        <f t="shared" si="0"/>
        <v>0</v>
      </c>
      <c r="AG27" s="662">
        <f t="shared" si="13"/>
        <v>0</v>
      </c>
      <c r="AI27" s="657" t="str">
        <f>IF(AJ27=0,"","FAA-RET01."&amp;COUNTIF($AJ$6:AJ27,1))</f>
        <v/>
      </c>
      <c r="AJ27" s="658">
        <f t="shared" si="14"/>
        <v>0</v>
      </c>
      <c r="AK27" s="657" t="str">
        <f>IF(AL26=0,"","FAA-RET01."&amp;COUNTIF(AL$6:$AL27,1))</f>
        <v/>
      </c>
      <c r="AL27" s="658">
        <f t="shared" si="15"/>
        <v>0</v>
      </c>
      <c r="AM27" s="660">
        <f t="shared" si="16"/>
        <v>0</v>
      </c>
      <c r="AN27" s="661">
        <f t="shared" si="1"/>
        <v>0</v>
      </c>
      <c r="AO27" s="662">
        <f t="shared" si="17"/>
        <v>0</v>
      </c>
      <c r="AQ27" s="663">
        <f t="shared" si="2"/>
        <v>0.1819999999999995</v>
      </c>
      <c r="AR27" s="663">
        <f t="shared" si="3"/>
        <v>5.95</v>
      </c>
      <c r="AS27" s="663">
        <f t="shared" si="4"/>
        <v>9.5250000000000004</v>
      </c>
      <c r="AT27" s="663">
        <f t="shared" si="5"/>
        <v>0.92199999999999882</v>
      </c>
      <c r="AV27" s="664">
        <v>24</v>
      </c>
      <c r="AW27" s="665">
        <v>2.5</v>
      </c>
      <c r="AX27" s="665">
        <v>5</v>
      </c>
      <c r="AY27" s="665">
        <v>40</v>
      </c>
      <c r="AZ27" s="664">
        <v>22.058</v>
      </c>
      <c r="BA27" s="666">
        <f t="shared" si="18"/>
        <v>6.1319999999999997</v>
      </c>
      <c r="BB27" s="666">
        <f t="shared" si="19"/>
        <v>26.368000000000002</v>
      </c>
      <c r="BC27" s="665"/>
      <c r="BD27" s="666">
        <f t="shared" si="20"/>
        <v>10.446999999999999</v>
      </c>
      <c r="BE27" s="666">
        <f t="shared" si="21"/>
        <v>22.053000000000001</v>
      </c>
    </row>
    <row r="28" spans="1:57" ht="13.15" customHeight="1">
      <c r="A28" s="645">
        <v>6.1239999999999997</v>
      </c>
      <c r="B28" s="645">
        <v>5.95</v>
      </c>
      <c r="C28" s="646" t="s">
        <v>637</v>
      </c>
      <c r="D28" s="646" t="s">
        <v>605</v>
      </c>
      <c r="E28" s="646">
        <v>10</v>
      </c>
      <c r="F28" s="647" t="s">
        <v>640</v>
      </c>
      <c r="G28" s="648">
        <v>783.26</v>
      </c>
      <c r="H28" s="648">
        <v>783.34</v>
      </c>
      <c r="I28" s="649">
        <v>-8.0000000000040927E-2</v>
      </c>
      <c r="J28" s="645">
        <v>9.5250000000000004</v>
      </c>
      <c r="K28" s="645">
        <v>10.452</v>
      </c>
      <c r="L28" s="650"/>
      <c r="M28" s="651"/>
      <c r="N28" s="652">
        <v>0.1</v>
      </c>
      <c r="O28" s="652">
        <v>1.1403508771929815E-3</v>
      </c>
      <c r="P28" s="652" t="s">
        <v>607</v>
      </c>
      <c r="Q28" s="653">
        <f t="shared" si="6"/>
        <v>4.6960000000000006</v>
      </c>
      <c r="R28" s="654">
        <f t="shared" si="7"/>
        <v>1</v>
      </c>
      <c r="S28" s="655">
        <f t="shared" si="22"/>
        <v>3.0950000000000006</v>
      </c>
      <c r="T28" s="653">
        <f t="shared" si="8"/>
        <v>0</v>
      </c>
      <c r="U28" s="653">
        <f t="shared" si="23"/>
        <v>0</v>
      </c>
      <c r="V28" s="653">
        <f t="shared" si="9"/>
        <v>3.0950000000000006</v>
      </c>
      <c r="AA28" s="657" t="str">
        <f>IF(AB28=0,"","FA-RET01."&amp;COUNTIF(AB$6:$AB28,1))</f>
        <v/>
      </c>
      <c r="AB28" s="658">
        <f t="shared" si="10"/>
        <v>0</v>
      </c>
      <c r="AC28" s="657" t="str">
        <f>IF(AD28=0,"","FA-RET01."&amp;COUNTIF(AD$6:$AD28,1))</f>
        <v/>
      </c>
      <c r="AD28" s="658">
        <f t="shared" si="11"/>
        <v>0</v>
      </c>
      <c r="AE28" s="660">
        <f t="shared" si="12"/>
        <v>0</v>
      </c>
      <c r="AF28" s="661">
        <f t="shared" si="0"/>
        <v>0</v>
      </c>
      <c r="AG28" s="662">
        <f t="shared" si="13"/>
        <v>0</v>
      </c>
      <c r="AI28" s="657" t="str">
        <f>IF(AJ28=0,"","FAA-RET01."&amp;COUNTIF($AJ$6:AJ28,1))</f>
        <v/>
      </c>
      <c r="AJ28" s="658">
        <f t="shared" si="14"/>
        <v>0</v>
      </c>
      <c r="AK28" s="657" t="str">
        <f>IF(AL27=0,"","FAA-RET01."&amp;COUNTIF(AL$6:$AL28,1))</f>
        <v/>
      </c>
      <c r="AL28" s="658">
        <f t="shared" si="15"/>
        <v>0</v>
      </c>
      <c r="AM28" s="660">
        <f t="shared" si="16"/>
        <v>0</v>
      </c>
      <c r="AN28" s="661">
        <f t="shared" si="1"/>
        <v>0</v>
      </c>
      <c r="AO28" s="662">
        <f t="shared" si="17"/>
        <v>0</v>
      </c>
      <c r="AQ28" s="663">
        <f t="shared" si="2"/>
        <v>0.17399999999999949</v>
      </c>
      <c r="AR28" s="663">
        <f t="shared" si="3"/>
        <v>5.95</v>
      </c>
      <c r="AS28" s="663">
        <f t="shared" si="4"/>
        <v>9.5250000000000004</v>
      </c>
      <c r="AT28" s="663">
        <f t="shared" si="5"/>
        <v>0.9269999999999996</v>
      </c>
      <c r="AV28" s="664">
        <v>25</v>
      </c>
      <c r="AW28" s="665">
        <v>2.5</v>
      </c>
      <c r="AX28" s="665">
        <v>5</v>
      </c>
      <c r="AY28" s="665">
        <v>40</v>
      </c>
      <c r="AZ28" s="664">
        <v>21.161000000000001</v>
      </c>
      <c r="BA28" s="666">
        <f t="shared" si="18"/>
        <v>6.1239999999999997</v>
      </c>
      <c r="BB28" s="666">
        <f t="shared" si="19"/>
        <v>26.376000000000001</v>
      </c>
      <c r="BC28" s="665"/>
      <c r="BD28" s="666">
        <f t="shared" si="20"/>
        <v>10.452</v>
      </c>
      <c r="BE28" s="666">
        <f t="shared" si="21"/>
        <v>22.048000000000002</v>
      </c>
    </row>
    <row r="29" spans="1:57" ht="13.15" customHeight="1">
      <c r="A29" s="645">
        <v>6.157</v>
      </c>
      <c r="B29" s="645">
        <v>5.95</v>
      </c>
      <c r="C29" s="646" t="s">
        <v>641</v>
      </c>
      <c r="D29" s="646" t="s">
        <v>605</v>
      </c>
      <c r="E29" s="646">
        <v>0</v>
      </c>
      <c r="F29" s="647" t="s">
        <v>642</v>
      </c>
      <c r="G29" s="648">
        <v>783.46900000000005</v>
      </c>
      <c r="H29" s="648">
        <v>783.49900000000002</v>
      </c>
      <c r="I29" s="649">
        <v>-2.9999999999972715E-2</v>
      </c>
      <c r="J29" s="645">
        <v>9.5250000000000004</v>
      </c>
      <c r="K29" s="645">
        <v>9.8350000000000009</v>
      </c>
      <c r="L29" s="650"/>
      <c r="M29" s="651"/>
      <c r="N29" s="652">
        <v>0.1</v>
      </c>
      <c r="O29" s="652">
        <v>1.1403508771929815E-3</v>
      </c>
      <c r="P29" s="652" t="s">
        <v>607</v>
      </c>
      <c r="Q29" s="653">
        <f t="shared" si="6"/>
        <v>4.6960000000000006</v>
      </c>
      <c r="R29" s="654">
        <f t="shared" si="7"/>
        <v>1</v>
      </c>
      <c r="S29" s="655">
        <f t="shared" si="22"/>
        <v>3.0950000000000006</v>
      </c>
      <c r="T29" s="653">
        <f t="shared" si="8"/>
        <v>0</v>
      </c>
      <c r="U29" s="653">
        <f t="shared" si="23"/>
        <v>0</v>
      </c>
      <c r="V29" s="653">
        <f t="shared" si="9"/>
        <v>3.0950000000000006</v>
      </c>
      <c r="AA29" s="657" t="str">
        <f>IF(AB29=0,"","FA-RET01."&amp;COUNTIF(AB$6:$AB29,1))</f>
        <v/>
      </c>
      <c r="AB29" s="658">
        <f t="shared" si="10"/>
        <v>0</v>
      </c>
      <c r="AC29" s="657" t="str">
        <f>IF(AD29=0,"","FA-RET01."&amp;COUNTIF(AD$6:$AD29,1))</f>
        <v/>
      </c>
      <c r="AD29" s="658">
        <f t="shared" si="11"/>
        <v>0</v>
      </c>
      <c r="AE29" s="660">
        <f t="shared" si="12"/>
        <v>0</v>
      </c>
      <c r="AF29" s="661">
        <f t="shared" si="0"/>
        <v>0</v>
      </c>
      <c r="AG29" s="662">
        <f t="shared" si="13"/>
        <v>0</v>
      </c>
      <c r="AI29" s="657" t="str">
        <f>IF(AJ29=0,"","FAA-RET01."&amp;COUNTIF($AJ$6:AJ29,1))</f>
        <v/>
      </c>
      <c r="AJ29" s="658">
        <f t="shared" si="14"/>
        <v>0</v>
      </c>
      <c r="AK29" s="657" t="str">
        <f>IF(AL28=0,"","FAA-RET01."&amp;COUNTIF(AL$6:$AL29,1))</f>
        <v/>
      </c>
      <c r="AL29" s="658">
        <f t="shared" si="15"/>
        <v>0</v>
      </c>
      <c r="AM29" s="660">
        <f t="shared" si="16"/>
        <v>0</v>
      </c>
      <c r="AN29" s="661">
        <f t="shared" si="1"/>
        <v>0</v>
      </c>
      <c r="AO29" s="662">
        <f t="shared" si="17"/>
        <v>0</v>
      </c>
      <c r="AQ29" s="663">
        <f t="shared" si="2"/>
        <v>0.20699999999999985</v>
      </c>
      <c r="AR29" s="663">
        <f t="shared" si="3"/>
        <v>5.95</v>
      </c>
      <c r="AS29" s="663">
        <f t="shared" si="4"/>
        <v>9.5250000000000004</v>
      </c>
      <c r="AT29" s="663">
        <f t="shared" si="5"/>
        <v>0.3100000000000005</v>
      </c>
      <c r="AV29" s="664">
        <v>26</v>
      </c>
      <c r="AW29" s="665">
        <v>2.5</v>
      </c>
      <c r="AX29" s="665">
        <v>5</v>
      </c>
      <c r="AY29" s="665">
        <v>40</v>
      </c>
      <c r="AZ29" s="664">
        <v>20.414999999999999</v>
      </c>
      <c r="BA29" s="666">
        <f t="shared" si="18"/>
        <v>6.157</v>
      </c>
      <c r="BB29" s="666">
        <f t="shared" si="19"/>
        <v>26.343</v>
      </c>
      <c r="BC29" s="665"/>
      <c r="BD29" s="666">
        <f t="shared" si="20"/>
        <v>9.8350000000000009</v>
      </c>
      <c r="BE29" s="666">
        <f t="shared" si="21"/>
        <v>22.664999999999999</v>
      </c>
    </row>
    <row r="30" spans="1:57" ht="13.15" customHeight="1">
      <c r="A30" s="645">
        <v>6.173</v>
      </c>
      <c r="B30" s="645">
        <v>5.95</v>
      </c>
      <c r="C30" s="646" t="s">
        <v>641</v>
      </c>
      <c r="D30" s="646" t="s">
        <v>605</v>
      </c>
      <c r="E30" s="646">
        <v>10</v>
      </c>
      <c r="F30" s="647" t="s">
        <v>643</v>
      </c>
      <c r="G30" s="648">
        <v>783.68700000000001</v>
      </c>
      <c r="H30" s="648">
        <v>783.69600000000003</v>
      </c>
      <c r="I30" s="649">
        <v>-9.0000000000145519E-3</v>
      </c>
      <c r="J30" s="645">
        <v>9.5250000000000004</v>
      </c>
      <c r="K30" s="645">
        <v>9.6479999999999997</v>
      </c>
      <c r="L30" s="650"/>
      <c r="M30" s="651"/>
      <c r="N30" s="652">
        <v>0.1</v>
      </c>
      <c r="O30" s="652">
        <v>1.1403508771929815E-3</v>
      </c>
      <c r="P30" s="652" t="s">
        <v>607</v>
      </c>
      <c r="Q30" s="653">
        <f t="shared" si="6"/>
        <v>4.6960000000000006</v>
      </c>
      <c r="R30" s="654">
        <f t="shared" si="7"/>
        <v>1</v>
      </c>
      <c r="S30" s="655">
        <f t="shared" si="22"/>
        <v>3.0950000000000006</v>
      </c>
      <c r="T30" s="653">
        <f t="shared" si="8"/>
        <v>0</v>
      </c>
      <c r="U30" s="653">
        <f t="shared" si="23"/>
        <v>0</v>
      </c>
      <c r="V30" s="653">
        <f t="shared" si="9"/>
        <v>3.0950000000000006</v>
      </c>
      <c r="AA30" s="657" t="str">
        <f>IF(AB30=0,"","FA-RET01."&amp;COUNTIF(AB$6:$AB30,1))</f>
        <v/>
      </c>
      <c r="AB30" s="658">
        <f t="shared" si="10"/>
        <v>0</v>
      </c>
      <c r="AC30" s="657" t="str">
        <f>IF(AD30=0,"","FA-RET01."&amp;COUNTIF(AD$6:$AD30,1))</f>
        <v/>
      </c>
      <c r="AD30" s="658">
        <f t="shared" si="11"/>
        <v>0</v>
      </c>
      <c r="AE30" s="660">
        <f t="shared" si="12"/>
        <v>0</v>
      </c>
      <c r="AF30" s="661">
        <f t="shared" si="0"/>
        <v>0</v>
      </c>
      <c r="AG30" s="662">
        <f t="shared" si="13"/>
        <v>0</v>
      </c>
      <c r="AI30" s="657" t="str">
        <f>IF(AJ30=0,"","FAA-RET01."&amp;COUNTIF($AJ$6:AJ30,1))</f>
        <v/>
      </c>
      <c r="AJ30" s="658">
        <f t="shared" si="14"/>
        <v>0</v>
      </c>
      <c r="AK30" s="657" t="str">
        <f>IF(AL29=0,"","FAA-RET01."&amp;COUNTIF(AL$6:$AL30,1))</f>
        <v/>
      </c>
      <c r="AL30" s="658">
        <f t="shared" si="15"/>
        <v>0</v>
      </c>
      <c r="AM30" s="660">
        <f t="shared" si="16"/>
        <v>0</v>
      </c>
      <c r="AN30" s="661">
        <f t="shared" si="1"/>
        <v>0</v>
      </c>
      <c r="AO30" s="662">
        <f t="shared" si="17"/>
        <v>0</v>
      </c>
      <c r="AQ30" s="663">
        <f t="shared" si="2"/>
        <v>0.22299999999999986</v>
      </c>
      <c r="AR30" s="663">
        <f t="shared" si="3"/>
        <v>5.95</v>
      </c>
      <c r="AS30" s="663">
        <f t="shared" si="4"/>
        <v>9.5250000000000004</v>
      </c>
      <c r="AT30" s="663">
        <f t="shared" si="5"/>
        <v>0.12299999999999933</v>
      </c>
      <c r="AV30" s="664">
        <v>27</v>
      </c>
      <c r="AW30" s="665">
        <v>2.5</v>
      </c>
      <c r="AX30" s="665">
        <v>5</v>
      </c>
      <c r="AY30" s="665">
        <v>40</v>
      </c>
      <c r="AZ30" s="664">
        <v>20.206000000000003</v>
      </c>
      <c r="BA30" s="666">
        <f t="shared" si="18"/>
        <v>6.173</v>
      </c>
      <c r="BB30" s="666">
        <f t="shared" si="19"/>
        <v>26.326999999999998</v>
      </c>
      <c r="BC30" s="665"/>
      <c r="BD30" s="666">
        <f t="shared" si="20"/>
        <v>9.6479999999999997</v>
      </c>
      <c r="BE30" s="666">
        <f t="shared" si="21"/>
        <v>22.852</v>
      </c>
    </row>
    <row r="31" spans="1:57" ht="13.15" customHeight="1">
      <c r="A31" s="645">
        <v>6.1870000000000003</v>
      </c>
      <c r="B31" s="645">
        <v>5.95</v>
      </c>
      <c r="C31" s="646" t="s">
        <v>641</v>
      </c>
      <c r="D31" s="646" t="s">
        <v>605</v>
      </c>
      <c r="E31" s="646">
        <v>19.475000000000001</v>
      </c>
      <c r="F31" s="647" t="s">
        <v>644</v>
      </c>
      <c r="G31" s="648">
        <v>783.90200000000004</v>
      </c>
      <c r="H31" s="648">
        <v>783.93299999999999</v>
      </c>
      <c r="I31" s="649">
        <v>-3.0999999999949068E-2</v>
      </c>
      <c r="J31" s="645">
        <v>9.5250000000000004</v>
      </c>
      <c r="K31" s="645">
        <v>9.6929999999999996</v>
      </c>
      <c r="L31" s="650"/>
      <c r="M31" s="651"/>
      <c r="N31" s="652">
        <v>0.1</v>
      </c>
      <c r="O31" s="652">
        <v>1.1403508771929815E-3</v>
      </c>
      <c r="P31" s="652" t="s">
        <v>607</v>
      </c>
      <c r="Q31" s="653">
        <f t="shared" si="6"/>
        <v>4.6960000000000006</v>
      </c>
      <c r="R31" s="654">
        <f t="shared" si="7"/>
        <v>1</v>
      </c>
      <c r="S31" s="655">
        <f t="shared" si="22"/>
        <v>3.0950000000000006</v>
      </c>
      <c r="T31" s="653">
        <f t="shared" si="8"/>
        <v>0</v>
      </c>
      <c r="U31" s="653">
        <f t="shared" si="23"/>
        <v>0</v>
      </c>
      <c r="V31" s="653">
        <f t="shared" si="9"/>
        <v>3.0950000000000006</v>
      </c>
      <c r="AA31" s="657" t="str">
        <f>IF(AB31=0,"","FA-RET01."&amp;COUNTIF(AB$6:$AB31,1))</f>
        <v/>
      </c>
      <c r="AB31" s="658">
        <f t="shared" si="10"/>
        <v>0</v>
      </c>
      <c r="AC31" s="657" t="str">
        <f>IF(AD31=0,"","FA-RET01."&amp;COUNTIF(AD$6:$AD31,1))</f>
        <v/>
      </c>
      <c r="AD31" s="658">
        <f t="shared" si="11"/>
        <v>0</v>
      </c>
      <c r="AE31" s="660">
        <f t="shared" si="12"/>
        <v>0</v>
      </c>
      <c r="AF31" s="661">
        <f t="shared" si="0"/>
        <v>0</v>
      </c>
      <c r="AG31" s="662">
        <f t="shared" si="13"/>
        <v>0</v>
      </c>
      <c r="AI31" s="657" t="str">
        <f>IF(AJ31=0,"","FAA-RET01."&amp;COUNTIF($AJ$6:AJ31,1))</f>
        <v/>
      </c>
      <c r="AJ31" s="658">
        <f t="shared" si="14"/>
        <v>0</v>
      </c>
      <c r="AK31" s="657" t="str">
        <f>IF(AL30=0,"","FAA-RET01."&amp;COUNTIF(AL$6:$AL31,1))</f>
        <v/>
      </c>
      <c r="AL31" s="658">
        <f t="shared" si="15"/>
        <v>0</v>
      </c>
      <c r="AM31" s="660">
        <f t="shared" si="16"/>
        <v>0</v>
      </c>
      <c r="AN31" s="661">
        <f t="shared" si="1"/>
        <v>0</v>
      </c>
      <c r="AO31" s="662">
        <f t="shared" si="17"/>
        <v>0</v>
      </c>
      <c r="AQ31" s="663">
        <f t="shared" si="2"/>
        <v>0.2370000000000001</v>
      </c>
      <c r="AR31" s="663">
        <f t="shared" si="3"/>
        <v>5.95</v>
      </c>
      <c r="AS31" s="663">
        <f t="shared" si="4"/>
        <v>9.5250000000000004</v>
      </c>
      <c r="AT31" s="663">
        <f t="shared" si="5"/>
        <v>0.16799999999999926</v>
      </c>
      <c r="AV31" s="664">
        <v>27</v>
      </c>
      <c r="AW31" s="665">
        <v>2.5</v>
      </c>
      <c r="AX31" s="665">
        <v>5</v>
      </c>
      <c r="AY31" s="665">
        <v>40</v>
      </c>
      <c r="AZ31" s="664">
        <v>19.844000000000001</v>
      </c>
      <c r="BA31" s="666">
        <f t="shared" si="18"/>
        <v>6.1870000000000003</v>
      </c>
      <c r="BB31" s="666">
        <f t="shared" si="19"/>
        <v>26.312999999999999</v>
      </c>
      <c r="BC31" s="665"/>
      <c r="BD31" s="666">
        <f t="shared" si="20"/>
        <v>9.6929999999999996</v>
      </c>
      <c r="BE31" s="666">
        <f t="shared" si="21"/>
        <v>22.807000000000002</v>
      </c>
    </row>
    <row r="32" spans="1:57" ht="13.15" customHeight="1">
      <c r="A32" s="645">
        <v>6.1890000000000001</v>
      </c>
      <c r="B32" s="645">
        <v>5.95</v>
      </c>
      <c r="C32" s="646" t="s">
        <v>645</v>
      </c>
      <c r="D32" s="646" t="s">
        <v>605</v>
      </c>
      <c r="E32" s="646">
        <v>0</v>
      </c>
      <c r="F32" s="647" t="s">
        <v>646</v>
      </c>
      <c r="G32" s="648">
        <v>783.91399999999999</v>
      </c>
      <c r="H32" s="648">
        <v>783.94799999999998</v>
      </c>
      <c r="I32" s="649">
        <v>-3.3999999999991815E-2</v>
      </c>
      <c r="J32" s="645">
        <v>9.5250000000000004</v>
      </c>
      <c r="K32" s="645">
        <v>9.6999999999999993</v>
      </c>
      <c r="L32" s="650"/>
      <c r="M32" s="651"/>
      <c r="N32" s="652">
        <v>0.1</v>
      </c>
      <c r="O32" s="652">
        <v>1.1403508771929815E-3</v>
      </c>
      <c r="P32" s="652" t="s">
        <v>607</v>
      </c>
      <c r="Q32" s="653">
        <f t="shared" si="6"/>
        <v>4.6960000000000006</v>
      </c>
      <c r="R32" s="654">
        <f t="shared" si="7"/>
        <v>1</v>
      </c>
      <c r="S32" s="655">
        <f t="shared" si="22"/>
        <v>3.0950000000000006</v>
      </c>
      <c r="T32" s="653">
        <f t="shared" si="8"/>
        <v>0</v>
      </c>
      <c r="U32" s="653">
        <f t="shared" si="23"/>
        <v>0</v>
      </c>
      <c r="V32" s="653">
        <f t="shared" si="9"/>
        <v>3.0950000000000006</v>
      </c>
      <c r="AA32" s="657" t="str">
        <f>IF(AB32=0,"","FA-RET01."&amp;COUNTIF(AB$6:$AB32,1))</f>
        <v/>
      </c>
      <c r="AB32" s="658">
        <f t="shared" si="10"/>
        <v>0</v>
      </c>
      <c r="AC32" s="657" t="str">
        <f>IF(AD32=0,"","FA-RET01."&amp;COUNTIF(AD$6:$AD32,1))</f>
        <v/>
      </c>
      <c r="AD32" s="658">
        <f t="shared" si="11"/>
        <v>0</v>
      </c>
      <c r="AE32" s="660">
        <f t="shared" si="12"/>
        <v>0</v>
      </c>
      <c r="AF32" s="661">
        <f t="shared" si="0"/>
        <v>0</v>
      </c>
      <c r="AG32" s="662">
        <f t="shared" si="13"/>
        <v>0</v>
      </c>
      <c r="AI32" s="657" t="str">
        <f>IF(AJ32=0,"","FAA-RET01."&amp;COUNTIF($AJ$6:AJ32,1))</f>
        <v/>
      </c>
      <c r="AJ32" s="658">
        <f t="shared" si="14"/>
        <v>0</v>
      </c>
      <c r="AK32" s="657" t="str">
        <f>IF(AL31=0,"","FAA-RET01."&amp;COUNTIF(AL$6:$AL32,1))</f>
        <v/>
      </c>
      <c r="AL32" s="658">
        <f t="shared" si="15"/>
        <v>0</v>
      </c>
      <c r="AM32" s="660">
        <f t="shared" si="16"/>
        <v>0</v>
      </c>
      <c r="AN32" s="661">
        <f t="shared" si="1"/>
        <v>0</v>
      </c>
      <c r="AO32" s="662">
        <f t="shared" si="17"/>
        <v>0</v>
      </c>
      <c r="AQ32" s="663">
        <f t="shared" si="2"/>
        <v>0.23899999999999988</v>
      </c>
      <c r="AR32" s="663">
        <f t="shared" si="3"/>
        <v>5.95</v>
      </c>
      <c r="AS32" s="663">
        <f t="shared" si="4"/>
        <v>9.5250000000000004</v>
      </c>
      <c r="AT32" s="663">
        <f t="shared" si="5"/>
        <v>0.17499999999999893</v>
      </c>
      <c r="AV32" s="664">
        <v>28</v>
      </c>
      <c r="AW32" s="665">
        <v>2.5</v>
      </c>
      <c r="AX32" s="665">
        <v>5</v>
      </c>
      <c r="AY32" s="665">
        <v>40</v>
      </c>
      <c r="AZ32" s="664">
        <v>19.741999999999997</v>
      </c>
      <c r="BA32" s="666">
        <f t="shared" si="18"/>
        <v>6.1890000000000001</v>
      </c>
      <c r="BB32" s="666">
        <f t="shared" si="19"/>
        <v>26.311</v>
      </c>
      <c r="BC32" s="665"/>
      <c r="BD32" s="666">
        <f t="shared" si="20"/>
        <v>9.6999999999999993</v>
      </c>
      <c r="BE32" s="666">
        <f t="shared" si="21"/>
        <v>22.8</v>
      </c>
    </row>
    <row r="33" spans="1:57" ht="13.15" customHeight="1">
      <c r="A33" s="645">
        <v>6.1959999999999997</v>
      </c>
      <c r="B33" s="645">
        <v>5.95</v>
      </c>
      <c r="C33" s="646" t="s">
        <v>645</v>
      </c>
      <c r="D33" s="646" t="s">
        <v>605</v>
      </c>
      <c r="E33" s="646">
        <v>10</v>
      </c>
      <c r="F33" s="647" t="s">
        <v>647</v>
      </c>
      <c r="G33" s="648">
        <v>784.15099999999995</v>
      </c>
      <c r="H33" s="648">
        <v>784.16600000000005</v>
      </c>
      <c r="I33" s="649">
        <v>-1.5000000000100044E-2</v>
      </c>
      <c r="J33" s="645">
        <v>9.5250000000000004</v>
      </c>
      <c r="K33" s="645">
        <v>9.718</v>
      </c>
      <c r="L33" s="650"/>
      <c r="M33" s="651"/>
      <c r="N33" s="652">
        <v>0.1</v>
      </c>
      <c r="O33" s="652">
        <v>1.1403508771929815E-3</v>
      </c>
      <c r="P33" s="652" t="s">
        <v>607</v>
      </c>
      <c r="Q33" s="653">
        <f t="shared" si="6"/>
        <v>4.6960000000000006</v>
      </c>
      <c r="R33" s="654">
        <f t="shared" si="7"/>
        <v>1</v>
      </c>
      <c r="S33" s="655">
        <f t="shared" si="22"/>
        <v>3.0950000000000006</v>
      </c>
      <c r="T33" s="653">
        <f t="shared" si="8"/>
        <v>0</v>
      </c>
      <c r="U33" s="653">
        <f t="shared" si="23"/>
        <v>0</v>
      </c>
      <c r="V33" s="653">
        <f t="shared" si="9"/>
        <v>3.0950000000000006</v>
      </c>
      <c r="AA33" s="657" t="str">
        <f>IF(AB33=0,"","FA-RET01."&amp;COUNTIF(AB$6:$AB33,1))</f>
        <v/>
      </c>
      <c r="AB33" s="658">
        <f t="shared" si="10"/>
        <v>0</v>
      </c>
      <c r="AC33" s="657" t="str">
        <f>IF(AD33=0,"","FA-RET01."&amp;COUNTIF(AD$6:$AD33,1))</f>
        <v/>
      </c>
      <c r="AD33" s="658">
        <f t="shared" si="11"/>
        <v>0</v>
      </c>
      <c r="AE33" s="660">
        <f t="shared" si="12"/>
        <v>0</v>
      </c>
      <c r="AF33" s="661">
        <f t="shared" si="0"/>
        <v>0</v>
      </c>
      <c r="AG33" s="662">
        <f t="shared" si="13"/>
        <v>0</v>
      </c>
      <c r="AI33" s="657" t="str">
        <f>IF(AJ33=0,"","FAA-RET01."&amp;COUNTIF($AJ$6:AJ33,1))</f>
        <v/>
      </c>
      <c r="AJ33" s="658">
        <f t="shared" si="14"/>
        <v>0</v>
      </c>
      <c r="AK33" s="657" t="str">
        <f>IF(AL32=0,"","FAA-RET01."&amp;COUNTIF(AL$6:$AL33,1))</f>
        <v/>
      </c>
      <c r="AL33" s="658">
        <f t="shared" si="15"/>
        <v>0</v>
      </c>
      <c r="AM33" s="660">
        <f t="shared" si="16"/>
        <v>0</v>
      </c>
      <c r="AN33" s="661">
        <f t="shared" si="1"/>
        <v>0</v>
      </c>
      <c r="AO33" s="662">
        <f t="shared" si="17"/>
        <v>0</v>
      </c>
      <c r="AQ33" s="663">
        <f t="shared" si="2"/>
        <v>0.24599999999999955</v>
      </c>
      <c r="AR33" s="663">
        <f t="shared" si="3"/>
        <v>5.95</v>
      </c>
      <c r="AS33" s="663">
        <f t="shared" si="4"/>
        <v>9.5250000000000004</v>
      </c>
      <c r="AT33" s="663">
        <f t="shared" si="5"/>
        <v>0.19299999999999962</v>
      </c>
      <c r="AV33" s="664">
        <v>29</v>
      </c>
      <c r="AW33" s="665">
        <v>2.5</v>
      </c>
      <c r="AX33" s="665">
        <v>5</v>
      </c>
      <c r="AY33" s="665">
        <v>40</v>
      </c>
      <c r="AZ33" s="664">
        <v>19.091999999999999</v>
      </c>
      <c r="BA33" s="666">
        <f t="shared" si="18"/>
        <v>6.1959999999999997</v>
      </c>
      <c r="BB33" s="666">
        <f t="shared" si="19"/>
        <v>26.304000000000002</v>
      </c>
      <c r="BC33" s="665"/>
      <c r="BD33" s="666">
        <f t="shared" si="20"/>
        <v>9.718</v>
      </c>
      <c r="BE33" s="666">
        <f t="shared" si="21"/>
        <v>22.782</v>
      </c>
    </row>
    <row r="34" spans="1:57" ht="13.15" customHeight="1">
      <c r="A34" s="645">
        <v>6.1719999999999997</v>
      </c>
      <c r="B34" s="645">
        <v>5.95</v>
      </c>
      <c r="C34" s="646" t="s">
        <v>648</v>
      </c>
      <c r="D34" s="646" t="s">
        <v>605</v>
      </c>
      <c r="E34" s="646">
        <v>0</v>
      </c>
      <c r="F34" s="647" t="s">
        <v>649</v>
      </c>
      <c r="G34" s="648">
        <v>784.39700000000005</v>
      </c>
      <c r="H34" s="648">
        <v>784.44200000000001</v>
      </c>
      <c r="I34" s="649">
        <v>-4.4999999999959073E-2</v>
      </c>
      <c r="J34" s="645">
        <v>9.5250000000000004</v>
      </c>
      <c r="K34" s="645">
        <v>9.6259999999999994</v>
      </c>
      <c r="L34" s="650"/>
      <c r="M34" s="651"/>
      <c r="N34" s="652">
        <v>0.1</v>
      </c>
      <c r="O34" s="652">
        <v>1.1403508771929815E-3</v>
      </c>
      <c r="P34" s="652" t="s">
        <v>607</v>
      </c>
      <c r="Q34" s="653">
        <f t="shared" si="6"/>
        <v>4.6960000000000006</v>
      </c>
      <c r="R34" s="654">
        <f t="shared" si="7"/>
        <v>1</v>
      </c>
      <c r="S34" s="655">
        <f t="shared" si="22"/>
        <v>3.0950000000000006</v>
      </c>
      <c r="T34" s="653">
        <f t="shared" si="8"/>
        <v>0</v>
      </c>
      <c r="U34" s="653">
        <f t="shared" si="23"/>
        <v>0</v>
      </c>
      <c r="V34" s="653">
        <f t="shared" si="9"/>
        <v>3.0950000000000006</v>
      </c>
      <c r="AA34" s="657" t="str">
        <f>IF(AB34=0,"","FA-RET01."&amp;COUNTIF(AB$6:$AB34,1))</f>
        <v/>
      </c>
      <c r="AB34" s="658">
        <f t="shared" si="10"/>
        <v>0</v>
      </c>
      <c r="AC34" s="657" t="str">
        <f>IF(AD34=0,"","FA-RET01."&amp;COUNTIF(AD$6:$AD34,1))</f>
        <v/>
      </c>
      <c r="AD34" s="658">
        <f t="shared" si="11"/>
        <v>0</v>
      </c>
      <c r="AE34" s="660">
        <f t="shared" si="12"/>
        <v>0</v>
      </c>
      <c r="AF34" s="661">
        <f t="shared" si="0"/>
        <v>0</v>
      </c>
      <c r="AG34" s="662">
        <f t="shared" si="13"/>
        <v>0</v>
      </c>
      <c r="AI34" s="657" t="str">
        <f>IF(AJ34=0,"","FAA-RET01."&amp;COUNTIF($AJ$6:AJ34,1))</f>
        <v/>
      </c>
      <c r="AJ34" s="658">
        <f t="shared" si="14"/>
        <v>0</v>
      </c>
      <c r="AK34" s="657" t="str">
        <f>IF(AL33=0,"","FAA-RET01."&amp;COUNTIF(AL$6:$AL34,1))</f>
        <v/>
      </c>
      <c r="AL34" s="658">
        <f t="shared" si="15"/>
        <v>0</v>
      </c>
      <c r="AM34" s="660">
        <f t="shared" si="16"/>
        <v>0</v>
      </c>
      <c r="AN34" s="661">
        <f t="shared" si="1"/>
        <v>0</v>
      </c>
      <c r="AO34" s="662">
        <f t="shared" si="17"/>
        <v>0</v>
      </c>
      <c r="AQ34" s="663">
        <f t="shared" si="2"/>
        <v>0.22199999999999953</v>
      </c>
      <c r="AR34" s="663">
        <f t="shared" si="3"/>
        <v>5.95</v>
      </c>
      <c r="AS34" s="663">
        <f t="shared" si="4"/>
        <v>9.5250000000000004</v>
      </c>
      <c r="AT34" s="663">
        <f t="shared" si="5"/>
        <v>0.10099999999999909</v>
      </c>
      <c r="AV34" s="664">
        <v>30</v>
      </c>
      <c r="AW34" s="665">
        <v>2.5</v>
      </c>
      <c r="AX34" s="665">
        <v>5</v>
      </c>
      <c r="AY34" s="665">
        <v>40</v>
      </c>
      <c r="AZ34" s="664">
        <v>18.744</v>
      </c>
      <c r="BA34" s="666">
        <f t="shared" si="18"/>
        <v>6.1719999999999997</v>
      </c>
      <c r="BB34" s="666">
        <f t="shared" si="19"/>
        <v>26.327999999999999</v>
      </c>
      <c r="BC34" s="665"/>
      <c r="BD34" s="666">
        <f t="shared" si="20"/>
        <v>9.6259999999999994</v>
      </c>
      <c r="BE34" s="666">
        <f t="shared" si="21"/>
        <v>22.874000000000002</v>
      </c>
    </row>
    <row r="35" spans="1:57" ht="13.15" customHeight="1">
      <c r="A35" s="645">
        <v>6.157</v>
      </c>
      <c r="B35" s="645">
        <v>5.95</v>
      </c>
      <c r="C35" s="646" t="s">
        <v>648</v>
      </c>
      <c r="D35" s="646" t="s">
        <v>605</v>
      </c>
      <c r="E35" s="646">
        <v>10</v>
      </c>
      <c r="F35" s="647" t="s">
        <v>650</v>
      </c>
      <c r="G35" s="648">
        <v>784.65200000000004</v>
      </c>
      <c r="H35" s="648">
        <v>784.80499999999995</v>
      </c>
      <c r="I35" s="649">
        <v>-0.15299999999990632</v>
      </c>
      <c r="J35" s="645">
        <v>9.5250000000000004</v>
      </c>
      <c r="K35" s="645">
        <v>9.6620000000000008</v>
      </c>
      <c r="L35" s="650"/>
      <c r="M35" s="651"/>
      <c r="N35" s="652">
        <v>0.1</v>
      </c>
      <c r="O35" s="652">
        <v>1.1403508771929815E-3</v>
      </c>
      <c r="P35" s="652" t="s">
        <v>607</v>
      </c>
      <c r="Q35" s="653">
        <f t="shared" si="6"/>
        <v>4.6960000000000006</v>
      </c>
      <c r="R35" s="654">
        <f t="shared" si="7"/>
        <v>1</v>
      </c>
      <c r="S35" s="655">
        <f t="shared" si="22"/>
        <v>3.0950000000000006</v>
      </c>
      <c r="T35" s="653">
        <f t="shared" si="8"/>
        <v>0</v>
      </c>
      <c r="U35" s="653">
        <f t="shared" si="23"/>
        <v>0</v>
      </c>
      <c r="V35" s="653">
        <f t="shared" si="9"/>
        <v>3.0950000000000006</v>
      </c>
      <c r="AA35" s="657" t="str">
        <f>IF(AB35=0,"","FA-RET01."&amp;COUNTIF(AB$6:$AB35,1))</f>
        <v/>
      </c>
      <c r="AB35" s="658">
        <f t="shared" si="10"/>
        <v>0</v>
      </c>
      <c r="AC35" s="657" t="str">
        <f>IF(AD35=0,"","FA-RET01."&amp;COUNTIF(AD$6:$AD35,1))</f>
        <v/>
      </c>
      <c r="AD35" s="658">
        <f t="shared" si="11"/>
        <v>0</v>
      </c>
      <c r="AE35" s="660">
        <f t="shared" si="12"/>
        <v>0</v>
      </c>
      <c r="AF35" s="661">
        <f t="shared" si="0"/>
        <v>0</v>
      </c>
      <c r="AG35" s="662">
        <f t="shared" si="13"/>
        <v>0</v>
      </c>
      <c r="AI35" s="657" t="str">
        <f>IF(AJ35=0,"","FAA-RET01."&amp;COUNTIF($AJ$6:AJ35,1))</f>
        <v/>
      </c>
      <c r="AJ35" s="658">
        <f t="shared" si="14"/>
        <v>0</v>
      </c>
      <c r="AK35" s="657" t="str">
        <f>IF(AL34=0,"","FAA-RET01."&amp;COUNTIF(AL$6:$AL35,1))</f>
        <v/>
      </c>
      <c r="AL35" s="658">
        <f t="shared" si="15"/>
        <v>0</v>
      </c>
      <c r="AM35" s="660">
        <f t="shared" si="16"/>
        <v>0</v>
      </c>
      <c r="AN35" s="661">
        <f t="shared" si="1"/>
        <v>0</v>
      </c>
      <c r="AO35" s="662">
        <f t="shared" si="17"/>
        <v>0</v>
      </c>
      <c r="AQ35" s="663">
        <f t="shared" si="2"/>
        <v>0.20699999999999985</v>
      </c>
      <c r="AR35" s="663">
        <f t="shared" si="3"/>
        <v>5.95</v>
      </c>
      <c r="AS35" s="663">
        <f t="shared" si="4"/>
        <v>9.5250000000000004</v>
      </c>
      <c r="AT35" s="663">
        <f t="shared" si="5"/>
        <v>0.13700000000000045</v>
      </c>
      <c r="AV35" s="664">
        <v>31</v>
      </c>
      <c r="AW35" s="665">
        <v>2.5</v>
      </c>
      <c r="AX35" s="665">
        <v>5</v>
      </c>
      <c r="AY35" s="665">
        <v>40</v>
      </c>
      <c r="AZ35" s="664">
        <v>18.279000000000003</v>
      </c>
      <c r="BA35" s="666">
        <f t="shared" si="18"/>
        <v>6.157</v>
      </c>
      <c r="BB35" s="666">
        <f t="shared" si="19"/>
        <v>26.343</v>
      </c>
      <c r="BC35" s="665"/>
      <c r="BD35" s="666">
        <f t="shared" si="20"/>
        <v>9.6620000000000008</v>
      </c>
      <c r="BE35" s="666">
        <f t="shared" si="21"/>
        <v>22.838000000000001</v>
      </c>
    </row>
    <row r="36" spans="1:57" ht="13.15" customHeight="1">
      <c r="A36" s="645">
        <v>6.0910000000000002</v>
      </c>
      <c r="B36" s="645">
        <v>5.95</v>
      </c>
      <c r="C36" s="646" t="s">
        <v>651</v>
      </c>
      <c r="D36" s="646" t="s">
        <v>605</v>
      </c>
      <c r="E36" s="646">
        <v>0</v>
      </c>
      <c r="F36" s="647" t="s">
        <v>652</v>
      </c>
      <c r="G36" s="648">
        <v>784.91600000000005</v>
      </c>
      <c r="H36" s="648">
        <v>785.02599999999995</v>
      </c>
      <c r="I36" s="649">
        <v>-0.10999999999989996</v>
      </c>
      <c r="J36" s="645">
        <v>9.5250000000000004</v>
      </c>
      <c r="K36" s="645">
        <v>9.6229999999999993</v>
      </c>
      <c r="L36" s="650"/>
      <c r="M36" s="651"/>
      <c r="N36" s="652">
        <v>0.1</v>
      </c>
      <c r="O36" s="652">
        <v>1.1403508771929815E-3</v>
      </c>
      <c r="P36" s="652" t="s">
        <v>607</v>
      </c>
      <c r="Q36" s="653">
        <f t="shared" si="6"/>
        <v>4.6960000000000006</v>
      </c>
      <c r="R36" s="654">
        <f t="shared" si="7"/>
        <v>1</v>
      </c>
      <c r="S36" s="655">
        <f t="shared" si="22"/>
        <v>3.0950000000000006</v>
      </c>
      <c r="T36" s="653">
        <f t="shared" si="8"/>
        <v>0</v>
      </c>
      <c r="U36" s="653">
        <f t="shared" si="23"/>
        <v>0</v>
      </c>
      <c r="V36" s="653">
        <f t="shared" si="9"/>
        <v>3.0950000000000006</v>
      </c>
      <c r="AA36" s="657" t="str">
        <f>IF(AB36=0,"","FA-RET01."&amp;COUNTIF(AB$6:$AB36,1))</f>
        <v/>
      </c>
      <c r="AB36" s="658">
        <f t="shared" si="10"/>
        <v>0</v>
      </c>
      <c r="AC36" s="657" t="str">
        <f>IF(AD36=0,"","FA-RET01."&amp;COUNTIF(AD$6:$AD36,1))</f>
        <v/>
      </c>
      <c r="AD36" s="658">
        <f t="shared" si="11"/>
        <v>0</v>
      </c>
      <c r="AE36" s="660">
        <f t="shared" si="12"/>
        <v>0</v>
      </c>
      <c r="AF36" s="661">
        <f t="shared" si="0"/>
        <v>0</v>
      </c>
      <c r="AG36" s="662">
        <f t="shared" si="13"/>
        <v>0</v>
      </c>
      <c r="AI36" s="657" t="str">
        <f>IF(AJ36=0,"","FAA-RET01."&amp;COUNTIF($AJ$6:AJ36,1))</f>
        <v/>
      </c>
      <c r="AJ36" s="658">
        <f t="shared" si="14"/>
        <v>0</v>
      </c>
      <c r="AK36" s="657" t="str">
        <f>IF(AL35=0,"","FAA-RET01."&amp;COUNTIF(AL$6:$AL36,1))</f>
        <v/>
      </c>
      <c r="AL36" s="658">
        <f t="shared" si="15"/>
        <v>0</v>
      </c>
      <c r="AM36" s="660">
        <f t="shared" si="16"/>
        <v>0</v>
      </c>
      <c r="AN36" s="661">
        <f t="shared" si="1"/>
        <v>0</v>
      </c>
      <c r="AO36" s="662">
        <f t="shared" si="17"/>
        <v>0</v>
      </c>
      <c r="AQ36" s="663">
        <f t="shared" si="2"/>
        <v>0.14100000000000001</v>
      </c>
      <c r="AR36" s="663">
        <f t="shared" si="3"/>
        <v>5.95</v>
      </c>
      <c r="AS36" s="663">
        <f t="shared" si="4"/>
        <v>9.5250000000000004</v>
      </c>
      <c r="AT36" s="663">
        <f t="shared" si="5"/>
        <v>9.7999999999998977E-2</v>
      </c>
      <c r="AV36" s="664">
        <v>32</v>
      </c>
      <c r="AW36" s="665">
        <v>2.5</v>
      </c>
      <c r="AX36" s="665">
        <v>5</v>
      </c>
      <c r="AY36" s="665">
        <v>40</v>
      </c>
      <c r="AZ36" s="664">
        <v>18.183999999999997</v>
      </c>
      <c r="BA36" s="666">
        <f t="shared" si="18"/>
        <v>6.0910000000000002</v>
      </c>
      <c r="BB36" s="666">
        <f t="shared" si="19"/>
        <v>26.408999999999999</v>
      </c>
      <c r="BC36" s="665"/>
      <c r="BD36" s="666">
        <f t="shared" si="20"/>
        <v>9.6229999999999993</v>
      </c>
      <c r="BE36" s="666">
        <f t="shared" si="21"/>
        <v>22.877000000000002</v>
      </c>
    </row>
    <row r="37" spans="1:57" ht="13.15" customHeight="1">
      <c r="A37" s="645">
        <v>6.0289999999999999</v>
      </c>
      <c r="B37" s="645">
        <v>5.95</v>
      </c>
      <c r="C37" s="646" t="s">
        <v>651</v>
      </c>
      <c r="D37" s="646" t="s">
        <v>605</v>
      </c>
      <c r="E37" s="646">
        <v>10</v>
      </c>
      <c r="F37" s="647" t="s">
        <v>653</v>
      </c>
      <c r="G37" s="648">
        <v>785.18899999999996</v>
      </c>
      <c r="H37" s="648">
        <v>785.255</v>
      </c>
      <c r="I37" s="649">
        <v>-6.6000000000030923E-2</v>
      </c>
      <c r="J37" s="645">
        <v>9.5250000000000004</v>
      </c>
      <c r="K37" s="645">
        <v>9.5749999999999993</v>
      </c>
      <c r="L37" s="650"/>
      <c r="M37" s="651"/>
      <c r="N37" s="652">
        <v>0.1</v>
      </c>
      <c r="O37" s="652">
        <v>1.1403508771929815E-3</v>
      </c>
      <c r="P37" s="652" t="s">
        <v>607</v>
      </c>
      <c r="Q37" s="653">
        <f t="shared" si="6"/>
        <v>4.6960000000000006</v>
      </c>
      <c r="R37" s="654">
        <f t="shared" si="7"/>
        <v>1</v>
      </c>
      <c r="S37" s="655">
        <f t="shared" si="22"/>
        <v>3.0950000000000006</v>
      </c>
      <c r="T37" s="653">
        <f t="shared" si="8"/>
        <v>0</v>
      </c>
      <c r="U37" s="653">
        <f t="shared" si="23"/>
        <v>0</v>
      </c>
      <c r="V37" s="653">
        <f t="shared" si="9"/>
        <v>3.0950000000000006</v>
      </c>
      <c r="AA37" s="657" t="str">
        <f>IF(AB37=0,"","FA-RET01."&amp;COUNTIF(AB$6:$AB37,1))</f>
        <v/>
      </c>
      <c r="AB37" s="658">
        <f t="shared" si="10"/>
        <v>0</v>
      </c>
      <c r="AC37" s="657" t="str">
        <f>IF(AD37=0,"","FA-RET01."&amp;COUNTIF(AD$6:$AD37,1))</f>
        <v/>
      </c>
      <c r="AD37" s="658">
        <f t="shared" si="11"/>
        <v>0</v>
      </c>
      <c r="AE37" s="660">
        <f t="shared" si="12"/>
        <v>0</v>
      </c>
      <c r="AF37" s="661">
        <f t="shared" si="0"/>
        <v>0</v>
      </c>
      <c r="AG37" s="662">
        <f t="shared" si="13"/>
        <v>0</v>
      </c>
      <c r="AI37" s="657" t="str">
        <f>IF(AJ37=0,"","FAA-RET01."&amp;COUNTIF($AJ$6:AJ37,1))</f>
        <v/>
      </c>
      <c r="AJ37" s="658">
        <f t="shared" si="14"/>
        <v>0</v>
      </c>
      <c r="AK37" s="657" t="str">
        <f>IF(AL36=0,"","FAA-RET01."&amp;COUNTIF(AL$6:$AL37,1))</f>
        <v/>
      </c>
      <c r="AL37" s="658">
        <f t="shared" si="15"/>
        <v>0</v>
      </c>
      <c r="AM37" s="660">
        <f t="shared" si="16"/>
        <v>0</v>
      </c>
      <c r="AN37" s="661">
        <f t="shared" si="1"/>
        <v>0</v>
      </c>
      <c r="AO37" s="662">
        <f t="shared" si="17"/>
        <v>0</v>
      </c>
      <c r="AQ37" s="663">
        <f t="shared" si="2"/>
        <v>7.8999999999999737E-2</v>
      </c>
      <c r="AR37" s="663">
        <f t="shared" si="3"/>
        <v>5.95</v>
      </c>
      <c r="AS37" s="663">
        <f t="shared" si="4"/>
        <v>9.5250000000000004</v>
      </c>
      <c r="AT37" s="663">
        <f t="shared" si="5"/>
        <v>4.9999999999998934E-2</v>
      </c>
      <c r="AV37" s="664">
        <v>33</v>
      </c>
      <c r="AW37" s="665">
        <v>2.5</v>
      </c>
      <c r="AX37" s="665">
        <v>5</v>
      </c>
      <c r="AY37" s="665">
        <v>40</v>
      </c>
      <c r="AZ37" s="664">
        <v>17.765999999999998</v>
      </c>
      <c r="BA37" s="666">
        <f t="shared" si="18"/>
        <v>6.0289999999999999</v>
      </c>
      <c r="BB37" s="666">
        <f t="shared" si="19"/>
        <v>26.471</v>
      </c>
      <c r="BC37" s="665"/>
      <c r="BD37" s="666">
        <f t="shared" si="20"/>
        <v>9.5749999999999993</v>
      </c>
      <c r="BE37" s="666">
        <f t="shared" si="21"/>
        <v>22.925000000000001</v>
      </c>
    </row>
    <row r="38" spans="1:57" ht="13.15" customHeight="1">
      <c r="A38" s="645">
        <v>5.5910000000000002</v>
      </c>
      <c r="B38" s="645">
        <v>5.95</v>
      </c>
      <c r="C38" s="646" t="s">
        <v>654</v>
      </c>
      <c r="D38" s="646" t="s">
        <v>605</v>
      </c>
      <c r="E38" s="646">
        <v>0</v>
      </c>
      <c r="F38" s="647" t="s">
        <v>655</v>
      </c>
      <c r="G38" s="648">
        <v>785.47199999999998</v>
      </c>
      <c r="H38" s="648">
        <v>785.51099999999997</v>
      </c>
      <c r="I38" s="649">
        <v>-3.8999999999987267E-2</v>
      </c>
      <c r="J38" s="645">
        <v>9.5250000000000004</v>
      </c>
      <c r="K38" s="645">
        <v>9.6679999999999993</v>
      </c>
      <c r="L38" s="650"/>
      <c r="M38" s="651"/>
      <c r="N38" s="652">
        <v>0.1</v>
      </c>
      <c r="O38" s="652">
        <v>1.1403508771929815E-3</v>
      </c>
      <c r="P38" s="652" t="s">
        <v>607</v>
      </c>
      <c r="Q38" s="653">
        <f t="shared" si="6"/>
        <v>4.6960000000000006</v>
      </c>
      <c r="R38" s="654">
        <f t="shared" si="7"/>
        <v>1</v>
      </c>
      <c r="S38" s="655">
        <f t="shared" si="22"/>
        <v>3.0950000000000006</v>
      </c>
      <c r="T38" s="653">
        <f t="shared" si="8"/>
        <v>0</v>
      </c>
      <c r="U38" s="653">
        <f t="shared" si="23"/>
        <v>0</v>
      </c>
      <c r="V38" s="653">
        <f t="shared" si="9"/>
        <v>3.0950000000000006</v>
      </c>
      <c r="AA38" s="657" t="str">
        <f>IF(AB38=0,"","FA-RET01."&amp;COUNTIF(AB$6:$AB38,1))</f>
        <v/>
      </c>
      <c r="AB38" s="658">
        <f t="shared" si="10"/>
        <v>0</v>
      </c>
      <c r="AC38" s="657" t="str">
        <f>IF(AD38=0,"","FA-RET01."&amp;COUNTIF(AD$6:$AD38,1))</f>
        <v/>
      </c>
      <c r="AD38" s="658">
        <f t="shared" si="11"/>
        <v>0</v>
      </c>
      <c r="AE38" s="660">
        <f t="shared" si="12"/>
        <v>0</v>
      </c>
      <c r="AF38" s="661">
        <f t="shared" si="0"/>
        <v>0</v>
      </c>
      <c r="AG38" s="662">
        <f t="shared" si="13"/>
        <v>0</v>
      </c>
      <c r="AI38" s="657" t="str">
        <f>IF(AJ38=0,"","FAA-RET01."&amp;COUNTIF($AJ$6:AJ38,1))</f>
        <v/>
      </c>
      <c r="AJ38" s="658">
        <f t="shared" si="14"/>
        <v>0</v>
      </c>
      <c r="AK38" s="657" t="str">
        <f>IF(AL37=0,"","FAA-RET01."&amp;COUNTIF(AL$6:$AL38,1))</f>
        <v/>
      </c>
      <c r="AL38" s="658">
        <f t="shared" si="15"/>
        <v>0</v>
      </c>
      <c r="AM38" s="660">
        <f t="shared" si="16"/>
        <v>0</v>
      </c>
      <c r="AN38" s="661">
        <f t="shared" si="1"/>
        <v>0</v>
      </c>
      <c r="AO38" s="662">
        <f t="shared" si="17"/>
        <v>0</v>
      </c>
      <c r="AQ38" s="663">
        <f t="shared" si="2"/>
        <v>0</v>
      </c>
      <c r="AR38" s="663">
        <f t="shared" si="3"/>
        <v>5.95</v>
      </c>
      <c r="AS38" s="663">
        <f t="shared" si="4"/>
        <v>9.5250000000000004</v>
      </c>
      <c r="AT38" s="663">
        <f t="shared" si="5"/>
        <v>0.14299999999999891</v>
      </c>
      <c r="AV38" s="664">
        <v>34</v>
      </c>
      <c r="AW38" s="665">
        <v>2.5</v>
      </c>
      <c r="AX38" s="665">
        <v>5</v>
      </c>
      <c r="AY38" s="665">
        <v>40</v>
      </c>
      <c r="AZ38" s="664">
        <v>17.768999999999998</v>
      </c>
      <c r="BA38" s="666">
        <f t="shared" si="18"/>
        <v>5.5910000000000002</v>
      </c>
      <c r="BB38" s="666">
        <f t="shared" si="19"/>
        <v>26.908999999999999</v>
      </c>
      <c r="BC38" s="665"/>
      <c r="BD38" s="666">
        <f t="shared" si="20"/>
        <v>9.6679999999999993</v>
      </c>
      <c r="BE38" s="666">
        <f t="shared" si="21"/>
        <v>22.832000000000001</v>
      </c>
    </row>
    <row r="39" spans="1:57" ht="13.15" customHeight="1">
      <c r="A39" s="645">
        <v>6.1479999999999997</v>
      </c>
      <c r="B39" s="645">
        <v>5.95</v>
      </c>
      <c r="C39" s="646" t="s">
        <v>654</v>
      </c>
      <c r="D39" s="646" t="s">
        <v>605</v>
      </c>
      <c r="E39" s="646">
        <v>10</v>
      </c>
      <c r="F39" s="647" t="s">
        <v>656</v>
      </c>
      <c r="G39" s="648">
        <v>785.76400000000001</v>
      </c>
      <c r="H39" s="648">
        <v>785.78300000000002</v>
      </c>
      <c r="I39" s="649">
        <v>-1.9000000000005457E-2</v>
      </c>
      <c r="J39" s="645">
        <v>9.5250000000000004</v>
      </c>
      <c r="K39" s="645">
        <v>9.8149999999999995</v>
      </c>
      <c r="L39" s="650"/>
      <c r="M39" s="651"/>
      <c r="N39" s="652">
        <v>0.1</v>
      </c>
      <c r="O39" s="652">
        <v>9.7092094560177419E-4</v>
      </c>
      <c r="P39" s="652" t="s">
        <v>607</v>
      </c>
      <c r="Q39" s="653">
        <f t="shared" si="6"/>
        <v>4.6960000000000006</v>
      </c>
      <c r="R39" s="654">
        <f t="shared" si="7"/>
        <v>1</v>
      </c>
      <c r="S39" s="655">
        <f t="shared" si="22"/>
        <v>3.0950000000000006</v>
      </c>
      <c r="T39" s="653">
        <f t="shared" si="8"/>
        <v>0</v>
      </c>
      <c r="U39" s="653">
        <f t="shared" si="23"/>
        <v>0</v>
      </c>
      <c r="V39" s="653">
        <f t="shared" si="9"/>
        <v>3.0950000000000006</v>
      </c>
      <c r="AA39" s="657" t="str">
        <f>IF(AB39=0,"","FA-RET01."&amp;COUNTIF(AB$6:$AB39,1))</f>
        <v/>
      </c>
      <c r="AB39" s="658">
        <f t="shared" si="10"/>
        <v>0</v>
      </c>
      <c r="AC39" s="657" t="str">
        <f>IF(AD39=0,"","FA-RET01."&amp;COUNTIF(AD$6:$AD39,1))</f>
        <v/>
      </c>
      <c r="AD39" s="658">
        <f t="shared" si="11"/>
        <v>0</v>
      </c>
      <c r="AE39" s="660">
        <f t="shared" si="12"/>
        <v>0</v>
      </c>
      <c r="AF39" s="661">
        <f t="shared" si="0"/>
        <v>0</v>
      </c>
      <c r="AG39" s="662">
        <f t="shared" si="13"/>
        <v>0</v>
      </c>
      <c r="AI39" s="657" t="str">
        <f>IF(AJ39=0,"","FAA-RET01."&amp;COUNTIF($AJ$6:AJ39,1))</f>
        <v/>
      </c>
      <c r="AJ39" s="658">
        <f t="shared" si="14"/>
        <v>0</v>
      </c>
      <c r="AK39" s="657" t="str">
        <f>IF(AL38=0,"","FAA-RET01."&amp;COUNTIF(AL$6:$AL39,1))</f>
        <v/>
      </c>
      <c r="AL39" s="658">
        <f t="shared" si="15"/>
        <v>0</v>
      </c>
      <c r="AM39" s="660">
        <f t="shared" si="16"/>
        <v>0</v>
      </c>
      <c r="AN39" s="661">
        <f t="shared" si="1"/>
        <v>0</v>
      </c>
      <c r="AO39" s="662">
        <f t="shared" si="17"/>
        <v>0</v>
      </c>
      <c r="AQ39" s="663">
        <f t="shared" si="2"/>
        <v>0.19799999999999951</v>
      </c>
      <c r="AR39" s="663">
        <f t="shared" si="3"/>
        <v>5.95</v>
      </c>
      <c r="AS39" s="663">
        <f t="shared" si="4"/>
        <v>9.5250000000000004</v>
      </c>
      <c r="AT39" s="663">
        <f t="shared" si="5"/>
        <v>0.28999999999999915</v>
      </c>
      <c r="AV39" s="664">
        <v>35</v>
      </c>
      <c r="AW39" s="665">
        <v>2.5</v>
      </c>
      <c r="AX39" s="665">
        <v>5</v>
      </c>
      <c r="AY39" s="665">
        <v>40</v>
      </c>
      <c r="AZ39" s="664">
        <v>17.71</v>
      </c>
      <c r="BA39" s="666">
        <f t="shared" si="18"/>
        <v>6.1479999999999997</v>
      </c>
      <c r="BB39" s="666">
        <f t="shared" si="19"/>
        <v>26.352</v>
      </c>
      <c r="BC39" s="665"/>
      <c r="BD39" s="666">
        <f t="shared" si="20"/>
        <v>9.8149999999999995</v>
      </c>
      <c r="BE39" s="666">
        <f t="shared" si="21"/>
        <v>22.685000000000002</v>
      </c>
    </row>
    <row r="40" spans="1:57" ht="13.15" customHeight="1">
      <c r="A40" s="645">
        <v>6.4749999999999996</v>
      </c>
      <c r="B40" s="645">
        <v>5.95</v>
      </c>
      <c r="C40" s="646" t="s">
        <v>654</v>
      </c>
      <c r="D40" s="646" t="s">
        <v>605</v>
      </c>
      <c r="E40" s="646">
        <v>14.426</v>
      </c>
      <c r="F40" s="647" t="s">
        <v>657</v>
      </c>
      <c r="G40" s="648">
        <v>785.89599999999996</v>
      </c>
      <c r="H40" s="648">
        <v>785.89800000000002</v>
      </c>
      <c r="I40" s="649">
        <v>-2.0000000000663931E-3</v>
      </c>
      <c r="J40" s="645">
        <v>9.5250000000000004</v>
      </c>
      <c r="K40" s="645">
        <v>9.9220000000000006</v>
      </c>
      <c r="L40" s="650"/>
      <c r="M40" s="651"/>
      <c r="N40" s="652">
        <v>0.1</v>
      </c>
      <c r="O40" s="652">
        <v>9.7092094560177419E-4</v>
      </c>
      <c r="P40" s="652" t="s">
        <v>607</v>
      </c>
      <c r="Q40" s="653">
        <f t="shared" si="6"/>
        <v>4.6960000000000006</v>
      </c>
      <c r="R40" s="654">
        <f t="shared" si="7"/>
        <v>1</v>
      </c>
      <c r="S40" s="655">
        <f t="shared" si="22"/>
        <v>3.0950000000000006</v>
      </c>
      <c r="T40" s="653">
        <f t="shared" si="8"/>
        <v>0</v>
      </c>
      <c r="U40" s="653">
        <f t="shared" si="23"/>
        <v>0</v>
      </c>
      <c r="V40" s="653">
        <f t="shared" si="9"/>
        <v>3.0950000000000006</v>
      </c>
      <c r="AA40" s="657" t="str">
        <f>IF(AB40=0,"","FA-RET01."&amp;COUNTIF(AB$6:$AB40,1))</f>
        <v/>
      </c>
      <c r="AB40" s="658">
        <f t="shared" si="10"/>
        <v>0</v>
      </c>
      <c r="AC40" s="657" t="str">
        <f>IF(AD40=0,"","FA-RET01."&amp;COUNTIF(AD$6:$AD40,1))</f>
        <v/>
      </c>
      <c r="AD40" s="658">
        <f t="shared" si="11"/>
        <v>0</v>
      </c>
      <c r="AE40" s="660">
        <f t="shared" si="12"/>
        <v>0</v>
      </c>
      <c r="AF40" s="661">
        <f t="shared" si="0"/>
        <v>0</v>
      </c>
      <c r="AG40" s="662">
        <f t="shared" si="13"/>
        <v>0</v>
      </c>
      <c r="AI40" s="657" t="str">
        <f>IF(AJ40=0,"","FAA-RET01."&amp;COUNTIF($AJ$6:AJ40,1))</f>
        <v/>
      </c>
      <c r="AJ40" s="658">
        <f t="shared" si="14"/>
        <v>0</v>
      </c>
      <c r="AK40" s="657" t="str">
        <f>IF(AL39=0,"","FAA-RET01."&amp;COUNTIF(AL$6:$AL40,1))</f>
        <v/>
      </c>
      <c r="AL40" s="658">
        <f t="shared" si="15"/>
        <v>0</v>
      </c>
      <c r="AM40" s="660">
        <f t="shared" si="16"/>
        <v>0</v>
      </c>
      <c r="AN40" s="661">
        <f t="shared" si="1"/>
        <v>0</v>
      </c>
      <c r="AO40" s="662">
        <f t="shared" si="17"/>
        <v>0</v>
      </c>
      <c r="AQ40" s="663">
        <f t="shared" si="2"/>
        <v>0.52499999999999947</v>
      </c>
      <c r="AR40" s="663">
        <f t="shared" si="3"/>
        <v>5.95</v>
      </c>
      <c r="AS40" s="663">
        <f t="shared" si="4"/>
        <v>9.5250000000000004</v>
      </c>
      <c r="AT40" s="663">
        <f t="shared" si="5"/>
        <v>0.39700000000000024</v>
      </c>
      <c r="AV40" s="664">
        <v>36</v>
      </c>
      <c r="AW40" s="665">
        <v>2.5</v>
      </c>
      <c r="AX40" s="665">
        <v>5</v>
      </c>
      <c r="AY40" s="665">
        <v>40</v>
      </c>
      <c r="AZ40" s="664">
        <v>17.265999999999998</v>
      </c>
      <c r="BA40" s="666">
        <f t="shared" si="18"/>
        <v>6.4749999999999996</v>
      </c>
      <c r="BB40" s="666">
        <f t="shared" si="19"/>
        <v>26.024999999999999</v>
      </c>
      <c r="BC40" s="665"/>
      <c r="BD40" s="666">
        <f t="shared" si="20"/>
        <v>9.9220000000000006</v>
      </c>
      <c r="BE40" s="666">
        <f t="shared" si="21"/>
        <v>22.577999999999999</v>
      </c>
    </row>
    <row r="41" spans="1:57" ht="13.15" customHeight="1">
      <c r="A41" s="645">
        <v>6.5119999999999996</v>
      </c>
      <c r="B41" s="645">
        <v>5.95</v>
      </c>
      <c r="C41" s="646" t="s">
        <v>658</v>
      </c>
      <c r="D41" s="646" t="s">
        <v>605</v>
      </c>
      <c r="E41" s="646">
        <v>0</v>
      </c>
      <c r="F41" s="647" t="s">
        <v>659</v>
      </c>
      <c r="G41" s="648">
        <v>786.06399999999996</v>
      </c>
      <c r="H41" s="648">
        <v>786.05700000000002</v>
      </c>
      <c r="I41" s="649">
        <v>6.9999999999481588E-3</v>
      </c>
      <c r="J41" s="645">
        <v>9.5250000000000004</v>
      </c>
      <c r="K41" s="645">
        <v>9.6669999999999998</v>
      </c>
      <c r="L41" s="650"/>
      <c r="M41" s="651"/>
      <c r="N41" s="652">
        <v>0.1</v>
      </c>
      <c r="O41" s="652">
        <v>9.7092094560177419E-4</v>
      </c>
      <c r="P41" s="652" t="s">
        <v>607</v>
      </c>
      <c r="Q41" s="653">
        <f t="shared" si="6"/>
        <v>4.6960000000000006</v>
      </c>
      <c r="R41" s="654">
        <f t="shared" si="7"/>
        <v>2</v>
      </c>
      <c r="S41" s="655">
        <f t="shared" si="22"/>
        <v>3.2357999999999998</v>
      </c>
      <c r="T41" s="653">
        <f t="shared" si="8"/>
        <v>3.28</v>
      </c>
      <c r="U41" s="653">
        <f t="shared" si="23"/>
        <v>9.83</v>
      </c>
      <c r="V41" s="653">
        <f t="shared" si="9"/>
        <v>0</v>
      </c>
      <c r="AA41" s="657" t="str">
        <f>IF(AB41=0,"","FA-RET01."&amp;COUNTIF(AB$6:$AB41,1))</f>
        <v>FA-RET01.2</v>
      </c>
      <c r="AB41" s="658">
        <f t="shared" si="10"/>
        <v>1</v>
      </c>
      <c r="AC41" s="657" t="str">
        <f>IF(AD41=0,"","FA-RET01."&amp;COUNTIF(AD$6:$AD41,1))</f>
        <v/>
      </c>
      <c r="AD41" s="658">
        <f t="shared" si="11"/>
        <v>0</v>
      </c>
      <c r="AE41" s="660">
        <f t="shared" si="12"/>
        <v>17.64</v>
      </c>
      <c r="AF41" s="661">
        <f t="shared" si="0"/>
        <v>1</v>
      </c>
      <c r="AG41" s="662">
        <f t="shared" si="13"/>
        <v>17.64</v>
      </c>
      <c r="AI41" s="657" t="str">
        <f>IF(AJ41=0,"","FAA-RET01."&amp;COUNTIF($AJ$6:AJ41,1))</f>
        <v/>
      </c>
      <c r="AJ41" s="658">
        <f t="shared" si="14"/>
        <v>0</v>
      </c>
      <c r="AK41" s="657" t="str">
        <f>IF(AL40=0,"","FAA-RET01."&amp;COUNTIF(AL$6:$AL41,1))</f>
        <v/>
      </c>
      <c r="AL41" s="658">
        <f t="shared" si="15"/>
        <v>0</v>
      </c>
      <c r="AM41" s="660">
        <f t="shared" si="16"/>
        <v>0</v>
      </c>
      <c r="AN41" s="661">
        <f t="shared" si="1"/>
        <v>0</v>
      </c>
      <c r="AO41" s="662">
        <f t="shared" si="17"/>
        <v>0</v>
      </c>
      <c r="AQ41" s="663">
        <f t="shared" si="2"/>
        <v>0.56199999999999939</v>
      </c>
      <c r="AR41" s="663">
        <f t="shared" si="3"/>
        <v>5.95</v>
      </c>
      <c r="AS41" s="663">
        <f t="shared" si="4"/>
        <v>9.5250000000000004</v>
      </c>
      <c r="AT41" s="663">
        <f t="shared" si="5"/>
        <v>0.14199999999999946</v>
      </c>
      <c r="AV41" s="664">
        <v>36</v>
      </c>
      <c r="AW41" s="665">
        <v>2.5</v>
      </c>
      <c r="AX41" s="665">
        <v>5</v>
      </c>
      <c r="AY41" s="665">
        <v>40</v>
      </c>
      <c r="AZ41" s="664">
        <v>18.015000000000001</v>
      </c>
      <c r="BA41" s="666">
        <f t="shared" si="18"/>
        <v>6.5119999999999996</v>
      </c>
      <c r="BB41" s="666">
        <f t="shared" si="19"/>
        <v>25.988</v>
      </c>
      <c r="BC41" s="665"/>
      <c r="BD41" s="666">
        <f t="shared" si="20"/>
        <v>9.6669999999999998</v>
      </c>
      <c r="BE41" s="666">
        <f t="shared" si="21"/>
        <v>22.832999999999998</v>
      </c>
    </row>
    <row r="42" spans="1:57" ht="13.15" customHeight="1">
      <c r="A42" s="645">
        <v>6.3120000000000003</v>
      </c>
      <c r="B42" s="645">
        <v>5.95</v>
      </c>
      <c r="C42" s="646" t="s">
        <v>658</v>
      </c>
      <c r="D42" s="646" t="s">
        <v>605</v>
      </c>
      <c r="E42" s="646">
        <v>10</v>
      </c>
      <c r="F42" s="647" t="s">
        <v>660</v>
      </c>
      <c r="G42" s="648">
        <v>786.375</v>
      </c>
      <c r="H42" s="648">
        <v>786.36800000000005</v>
      </c>
      <c r="I42" s="649">
        <v>6.9999999999481588E-3</v>
      </c>
      <c r="J42" s="645">
        <v>9.5250000000000004</v>
      </c>
      <c r="K42" s="645">
        <v>9.9250000000000007</v>
      </c>
      <c r="L42" s="650"/>
      <c r="M42" s="651"/>
      <c r="N42" s="652">
        <v>0.1</v>
      </c>
      <c r="O42" s="652">
        <v>9.7092094560177419E-4</v>
      </c>
      <c r="P42" s="652" t="s">
        <v>607</v>
      </c>
      <c r="Q42" s="653">
        <f t="shared" si="6"/>
        <v>4.6960000000000006</v>
      </c>
      <c r="R42" s="654">
        <f t="shared" si="7"/>
        <v>2</v>
      </c>
      <c r="S42" s="655">
        <f t="shared" si="22"/>
        <v>3.2474000000000007</v>
      </c>
      <c r="T42" s="653">
        <f t="shared" si="8"/>
        <v>3.28</v>
      </c>
      <c r="U42" s="653">
        <f t="shared" si="23"/>
        <v>9.83</v>
      </c>
      <c r="V42" s="653">
        <f t="shared" si="9"/>
        <v>0</v>
      </c>
      <c r="AA42" s="657" t="str">
        <f>IF(AB42=0,"","FA-RET01."&amp;COUNTIF(AB$6:$AB42,1))</f>
        <v/>
      </c>
      <c r="AB42" s="658">
        <f t="shared" si="10"/>
        <v>0</v>
      </c>
      <c r="AC42" s="657" t="str">
        <f>IF(AD42=0,"","FA-RET01."&amp;COUNTIF(AD$6:$AD42,1))</f>
        <v/>
      </c>
      <c r="AD42" s="658">
        <f t="shared" si="11"/>
        <v>0</v>
      </c>
      <c r="AE42" s="660">
        <f t="shared" si="12"/>
        <v>32.42</v>
      </c>
      <c r="AF42" s="661">
        <f t="shared" si="0"/>
        <v>1</v>
      </c>
      <c r="AG42" s="662">
        <f t="shared" si="13"/>
        <v>50.06</v>
      </c>
      <c r="AI42" s="657" t="str">
        <f>IF(AJ42=0,"","FAA-RET01."&amp;COUNTIF($AJ$6:AJ42,1))</f>
        <v/>
      </c>
      <c r="AJ42" s="658">
        <f t="shared" si="14"/>
        <v>0</v>
      </c>
      <c r="AK42" s="657" t="str">
        <f>IF(AL41=0,"","FAA-RET01."&amp;COUNTIF(AL$6:$AL42,1))</f>
        <v/>
      </c>
      <c r="AL42" s="658">
        <f t="shared" si="15"/>
        <v>0</v>
      </c>
      <c r="AM42" s="660">
        <f t="shared" si="16"/>
        <v>0</v>
      </c>
      <c r="AN42" s="661">
        <f t="shared" si="1"/>
        <v>0</v>
      </c>
      <c r="AO42" s="662">
        <f t="shared" si="17"/>
        <v>0</v>
      </c>
      <c r="AQ42" s="663">
        <f t="shared" si="2"/>
        <v>0.3620000000000001</v>
      </c>
      <c r="AR42" s="663">
        <f t="shared" si="3"/>
        <v>5.95</v>
      </c>
      <c r="AS42" s="663">
        <f t="shared" si="4"/>
        <v>9.5250000000000004</v>
      </c>
      <c r="AT42" s="663">
        <f t="shared" si="5"/>
        <v>0.40000000000000036</v>
      </c>
      <c r="AV42" s="664">
        <v>37</v>
      </c>
      <c r="AW42" s="665">
        <v>2.5</v>
      </c>
      <c r="AX42" s="665">
        <v>5</v>
      </c>
      <c r="AY42" s="665">
        <v>40</v>
      </c>
      <c r="AZ42" s="664">
        <v>18.240000000000002</v>
      </c>
      <c r="BA42" s="666">
        <f t="shared" si="18"/>
        <v>6.3120000000000003</v>
      </c>
      <c r="BB42" s="666">
        <f t="shared" si="19"/>
        <v>26.187999999999999</v>
      </c>
      <c r="BC42" s="665"/>
      <c r="BD42" s="666">
        <f t="shared" si="20"/>
        <v>9.9250000000000007</v>
      </c>
      <c r="BE42" s="666">
        <f t="shared" si="21"/>
        <v>22.574999999999999</v>
      </c>
    </row>
    <row r="43" spans="1:57" ht="13.15" customHeight="1">
      <c r="A43" s="645">
        <v>6.319</v>
      </c>
      <c r="B43" s="645">
        <v>5.95</v>
      </c>
      <c r="C43" s="646" t="s">
        <v>661</v>
      </c>
      <c r="D43" s="646" t="s">
        <v>605</v>
      </c>
      <c r="E43" s="646">
        <v>0</v>
      </c>
      <c r="F43" s="647" t="s">
        <v>662</v>
      </c>
      <c r="G43" s="648">
        <v>786.68899999999996</v>
      </c>
      <c r="H43" s="648">
        <v>786.65200000000004</v>
      </c>
      <c r="I43" s="649">
        <v>3.6999999999920874E-2</v>
      </c>
      <c r="J43" s="645">
        <v>9.5250000000000004</v>
      </c>
      <c r="K43" s="645">
        <v>9.6430000000000007</v>
      </c>
      <c r="L43" s="650"/>
      <c r="M43" s="651"/>
      <c r="N43" s="652">
        <v>0.1</v>
      </c>
      <c r="O43" s="652">
        <v>9.7092094560177419E-4</v>
      </c>
      <c r="P43" s="652" t="s">
        <v>607</v>
      </c>
      <c r="Q43" s="653">
        <f t="shared" si="6"/>
        <v>4.6960000000000006</v>
      </c>
      <c r="R43" s="654">
        <f t="shared" si="7"/>
        <v>2</v>
      </c>
      <c r="S43" s="655">
        <f t="shared" si="22"/>
        <v>3.1924000000000006</v>
      </c>
      <c r="T43" s="653">
        <f t="shared" si="8"/>
        <v>3.28</v>
      </c>
      <c r="U43" s="653">
        <f t="shared" si="23"/>
        <v>9.83</v>
      </c>
      <c r="V43" s="653">
        <f t="shared" si="9"/>
        <v>0</v>
      </c>
      <c r="AA43" s="657" t="str">
        <f>IF(AB43=0,"","FA-RET01."&amp;COUNTIF(AB$6:$AB43,1))</f>
        <v/>
      </c>
      <c r="AB43" s="658">
        <f t="shared" si="10"/>
        <v>0</v>
      </c>
      <c r="AC43" s="657" t="str">
        <f>IF(AD43=0,"","FA-RET01."&amp;COUNTIF(AD$6:$AD43,1))</f>
        <v/>
      </c>
      <c r="AD43" s="658">
        <f t="shared" si="11"/>
        <v>0</v>
      </c>
      <c r="AE43" s="660">
        <f t="shared" si="12"/>
        <v>32.200000000000003</v>
      </c>
      <c r="AF43" s="661">
        <f t="shared" si="0"/>
        <v>1</v>
      </c>
      <c r="AG43" s="662">
        <f t="shared" si="13"/>
        <v>82.26</v>
      </c>
      <c r="AI43" s="657" t="str">
        <f>IF(AJ43=0,"","FAA-RET01."&amp;COUNTIF($AJ$6:AJ43,1))</f>
        <v/>
      </c>
      <c r="AJ43" s="658">
        <f t="shared" si="14"/>
        <v>0</v>
      </c>
      <c r="AK43" s="657" t="str">
        <f>IF(AL42=0,"","FAA-RET01."&amp;COUNTIF(AL$6:$AL43,1))</f>
        <v/>
      </c>
      <c r="AL43" s="658">
        <f t="shared" si="15"/>
        <v>0</v>
      </c>
      <c r="AM43" s="660">
        <f t="shared" si="16"/>
        <v>0</v>
      </c>
      <c r="AN43" s="661">
        <f t="shared" si="1"/>
        <v>0</v>
      </c>
      <c r="AO43" s="662">
        <f t="shared" si="17"/>
        <v>0</v>
      </c>
      <c r="AQ43" s="663">
        <f t="shared" si="2"/>
        <v>0.36899999999999977</v>
      </c>
      <c r="AR43" s="663">
        <f t="shared" si="3"/>
        <v>5.95</v>
      </c>
      <c r="AS43" s="663">
        <f t="shared" si="4"/>
        <v>9.5250000000000004</v>
      </c>
      <c r="AT43" s="663">
        <f t="shared" si="5"/>
        <v>0.11800000000000033</v>
      </c>
      <c r="AV43" s="664">
        <v>38</v>
      </c>
      <c r="AW43" s="665">
        <v>2.5</v>
      </c>
      <c r="AX43" s="665">
        <v>5</v>
      </c>
      <c r="AY43" s="665">
        <v>40</v>
      </c>
      <c r="AZ43" s="664">
        <v>18.487000000000002</v>
      </c>
      <c r="BA43" s="666">
        <f t="shared" si="18"/>
        <v>6.319</v>
      </c>
      <c r="BB43" s="666">
        <f t="shared" si="19"/>
        <v>26.181000000000001</v>
      </c>
      <c r="BC43" s="665"/>
      <c r="BD43" s="666">
        <f t="shared" si="20"/>
        <v>9.6430000000000007</v>
      </c>
      <c r="BE43" s="666">
        <f t="shared" si="21"/>
        <v>22.856999999999999</v>
      </c>
    </row>
    <row r="44" spans="1:57" ht="13.15" customHeight="1">
      <c r="A44" s="645">
        <v>6.3929999999999998</v>
      </c>
      <c r="B44" s="645">
        <v>5.95</v>
      </c>
      <c r="C44" s="646" t="s">
        <v>661</v>
      </c>
      <c r="D44" s="646" t="s">
        <v>605</v>
      </c>
      <c r="E44" s="646">
        <v>10</v>
      </c>
      <c r="F44" s="647" t="s">
        <v>663</v>
      </c>
      <c r="G44" s="648">
        <v>787.00400000000002</v>
      </c>
      <c r="H44" s="648">
        <v>786.85599999999999</v>
      </c>
      <c r="I44" s="649">
        <v>0.14800000000002456</v>
      </c>
      <c r="J44" s="645">
        <v>9.5250000000000004</v>
      </c>
      <c r="K44" s="645">
        <v>9.59</v>
      </c>
      <c r="L44" s="650"/>
      <c r="M44" s="651"/>
      <c r="N44" s="652">
        <v>0.1</v>
      </c>
      <c r="O44" s="652">
        <v>9.7092094560177419E-4</v>
      </c>
      <c r="P44" s="652" t="s">
        <v>607</v>
      </c>
      <c r="Q44" s="653">
        <f t="shared" si="6"/>
        <v>4.6960000000000006</v>
      </c>
      <c r="R44" s="654">
        <f t="shared" si="7"/>
        <v>2</v>
      </c>
      <c r="S44" s="655">
        <f t="shared" si="22"/>
        <v>3.1966000000000001</v>
      </c>
      <c r="T44" s="653">
        <f t="shared" si="8"/>
        <v>3.28</v>
      </c>
      <c r="U44" s="653">
        <f t="shared" si="23"/>
        <v>9.83</v>
      </c>
      <c r="V44" s="653">
        <f t="shared" si="9"/>
        <v>0</v>
      </c>
      <c r="AA44" s="657" t="str">
        <f>IF(AB44=0,"","FA-RET01."&amp;COUNTIF(AB$6:$AB44,1))</f>
        <v/>
      </c>
      <c r="AB44" s="658">
        <f t="shared" si="10"/>
        <v>0</v>
      </c>
      <c r="AC44" s="657" t="str">
        <f>IF(AD44=0,"","FA-RET01."&amp;COUNTIF(AD$6:$AD44,1))</f>
        <v/>
      </c>
      <c r="AD44" s="658">
        <f t="shared" si="11"/>
        <v>0</v>
      </c>
      <c r="AE44" s="660">
        <f t="shared" si="12"/>
        <v>31.95</v>
      </c>
      <c r="AF44" s="661">
        <f t="shared" si="0"/>
        <v>1</v>
      </c>
      <c r="AG44" s="662">
        <f t="shared" si="13"/>
        <v>114.21000000000001</v>
      </c>
      <c r="AI44" s="657" t="str">
        <f>IF(AJ44=0,"","FAA-RET01."&amp;COUNTIF($AJ$6:AJ44,1))</f>
        <v/>
      </c>
      <c r="AJ44" s="658">
        <f t="shared" si="14"/>
        <v>0</v>
      </c>
      <c r="AK44" s="657" t="str">
        <f>IF(AL43=0,"","FAA-RET01."&amp;COUNTIF(AL$6:$AL44,1))</f>
        <v/>
      </c>
      <c r="AL44" s="658">
        <f t="shared" si="15"/>
        <v>0</v>
      </c>
      <c r="AM44" s="660">
        <f t="shared" si="16"/>
        <v>0</v>
      </c>
      <c r="AN44" s="661">
        <f t="shared" si="1"/>
        <v>0</v>
      </c>
      <c r="AO44" s="662">
        <f t="shared" si="17"/>
        <v>0</v>
      </c>
      <c r="AQ44" s="663">
        <f t="shared" si="2"/>
        <v>0.44299999999999962</v>
      </c>
      <c r="AR44" s="663">
        <f t="shared" si="3"/>
        <v>5.95</v>
      </c>
      <c r="AS44" s="663">
        <f t="shared" si="4"/>
        <v>9.5250000000000004</v>
      </c>
      <c r="AT44" s="663">
        <f t="shared" si="5"/>
        <v>6.4999999999999503E-2</v>
      </c>
      <c r="AV44" s="664">
        <v>39</v>
      </c>
      <c r="AW44" s="665">
        <v>2.5</v>
      </c>
      <c r="AX44" s="665">
        <v>5</v>
      </c>
      <c r="AY44" s="665">
        <v>40</v>
      </c>
      <c r="AZ44" s="664">
        <v>18.579999999999998</v>
      </c>
      <c r="BA44" s="666">
        <f t="shared" si="18"/>
        <v>6.3929999999999998</v>
      </c>
      <c r="BB44" s="666">
        <f t="shared" si="19"/>
        <v>26.106999999999999</v>
      </c>
      <c r="BC44" s="665"/>
      <c r="BD44" s="666">
        <f t="shared" si="20"/>
        <v>9.59</v>
      </c>
      <c r="BE44" s="666">
        <f t="shared" si="21"/>
        <v>22.91</v>
      </c>
    </row>
    <row r="45" spans="1:57" ht="13.15" customHeight="1">
      <c r="A45" s="645">
        <v>6.4039999999999999</v>
      </c>
      <c r="B45" s="645">
        <v>5.95</v>
      </c>
      <c r="C45" s="646" t="s">
        <v>661</v>
      </c>
      <c r="D45" s="646" t="s">
        <v>605</v>
      </c>
      <c r="E45" s="646">
        <v>12.268000000000001</v>
      </c>
      <c r="F45" s="647" t="s">
        <v>664</v>
      </c>
      <c r="G45" s="648">
        <v>787.07500000000005</v>
      </c>
      <c r="H45" s="648">
        <v>786.92100000000005</v>
      </c>
      <c r="I45" s="649">
        <v>0.15399999999999636</v>
      </c>
      <c r="J45" s="645">
        <v>9.5250000000000004</v>
      </c>
      <c r="K45" s="645">
        <v>9.6010000000000009</v>
      </c>
      <c r="L45" s="650"/>
      <c r="M45" s="651"/>
      <c r="N45" s="652">
        <v>0.1</v>
      </c>
      <c r="O45" s="652">
        <v>9.7092094560177419E-4</v>
      </c>
      <c r="P45" s="652" t="s">
        <v>607</v>
      </c>
      <c r="Q45" s="653">
        <f t="shared" si="6"/>
        <v>4.6960000000000006</v>
      </c>
      <c r="R45" s="654">
        <f t="shared" si="7"/>
        <v>2</v>
      </c>
      <c r="S45" s="655">
        <f t="shared" si="22"/>
        <v>3.2010000000000005</v>
      </c>
      <c r="T45" s="653">
        <f t="shared" si="8"/>
        <v>3.28</v>
      </c>
      <c r="U45" s="653">
        <f t="shared" si="23"/>
        <v>9.83</v>
      </c>
      <c r="V45" s="653">
        <f t="shared" si="9"/>
        <v>0</v>
      </c>
      <c r="AA45" s="657" t="str">
        <f>IF(AB45=0,"","FA-RET01."&amp;COUNTIF(AB$6:$AB45,1))</f>
        <v/>
      </c>
      <c r="AB45" s="658">
        <f t="shared" si="10"/>
        <v>0</v>
      </c>
      <c r="AC45" s="657" t="str">
        <f>IF(AD45=0,"","FA-RET01."&amp;COUNTIF(AD$6:$AD45,1))</f>
        <v/>
      </c>
      <c r="AD45" s="658">
        <f t="shared" si="11"/>
        <v>0</v>
      </c>
      <c r="AE45" s="660">
        <f t="shared" si="12"/>
        <v>7.25</v>
      </c>
      <c r="AF45" s="661">
        <f t="shared" si="0"/>
        <v>1</v>
      </c>
      <c r="AG45" s="662">
        <f t="shared" si="13"/>
        <v>121.46000000000001</v>
      </c>
      <c r="AI45" s="657" t="str">
        <f>IF(AJ45=0,"","FAA-RET01."&amp;COUNTIF($AJ$6:AJ45,1))</f>
        <v/>
      </c>
      <c r="AJ45" s="658">
        <f t="shared" si="14"/>
        <v>0</v>
      </c>
      <c r="AK45" s="657" t="str">
        <f>IF(AL44=0,"","FAA-RET01."&amp;COUNTIF(AL$6:$AL45,1))</f>
        <v/>
      </c>
      <c r="AL45" s="658">
        <f t="shared" si="15"/>
        <v>0</v>
      </c>
      <c r="AM45" s="660">
        <f t="shared" si="16"/>
        <v>0</v>
      </c>
      <c r="AN45" s="661">
        <f t="shared" si="1"/>
        <v>0</v>
      </c>
      <c r="AO45" s="662">
        <f t="shared" si="17"/>
        <v>0</v>
      </c>
      <c r="AQ45" s="663">
        <f t="shared" si="2"/>
        <v>0.45399999999999974</v>
      </c>
      <c r="AR45" s="663">
        <f t="shared" si="3"/>
        <v>5.95</v>
      </c>
      <c r="AS45" s="663">
        <f t="shared" si="4"/>
        <v>9.5250000000000004</v>
      </c>
      <c r="AT45" s="663">
        <f t="shared" si="5"/>
        <v>7.6000000000000512E-2</v>
      </c>
      <c r="AV45" s="664">
        <v>40</v>
      </c>
      <c r="AW45" s="665">
        <v>2.5</v>
      </c>
      <c r="AX45" s="665">
        <v>5</v>
      </c>
      <c r="AY45" s="665">
        <v>40</v>
      </c>
      <c r="AZ45" s="664">
        <v>18.563000000000002</v>
      </c>
      <c r="BA45" s="666">
        <f t="shared" si="18"/>
        <v>6.4039999999999999</v>
      </c>
      <c r="BB45" s="666">
        <f t="shared" si="19"/>
        <v>26.096</v>
      </c>
      <c r="BC45" s="665"/>
      <c r="BD45" s="666">
        <f t="shared" si="20"/>
        <v>9.6010000000000009</v>
      </c>
      <c r="BE45" s="666">
        <f t="shared" si="21"/>
        <v>22.899000000000001</v>
      </c>
    </row>
    <row r="46" spans="1:57" ht="13.15" customHeight="1">
      <c r="A46" s="645">
        <v>6.4219999999999997</v>
      </c>
      <c r="B46" s="645">
        <v>5.95</v>
      </c>
      <c r="C46" s="646" t="s">
        <v>665</v>
      </c>
      <c r="D46" s="646" t="s">
        <v>605</v>
      </c>
      <c r="E46" s="646">
        <v>0</v>
      </c>
      <c r="F46" s="647" t="s">
        <v>666</v>
      </c>
      <c r="G46" s="648">
        <v>787.31899999999996</v>
      </c>
      <c r="H46" s="648">
        <v>787.18399999999997</v>
      </c>
      <c r="I46" s="649">
        <v>0.13499999999999091</v>
      </c>
      <c r="J46" s="645">
        <v>9.5250000000000004</v>
      </c>
      <c r="K46" s="645">
        <v>9.6080000000000005</v>
      </c>
      <c r="L46" s="650"/>
      <c r="M46" s="651"/>
      <c r="N46" s="652">
        <v>0.1</v>
      </c>
      <c r="O46" s="652">
        <v>9.7092094560177419E-4</v>
      </c>
      <c r="P46" s="652" t="s">
        <v>607</v>
      </c>
      <c r="Q46" s="653">
        <f t="shared" si="6"/>
        <v>4.6960000000000006</v>
      </c>
      <c r="R46" s="654">
        <f t="shared" si="7"/>
        <v>2</v>
      </c>
      <c r="S46" s="655">
        <f t="shared" si="22"/>
        <v>3.2060000000000004</v>
      </c>
      <c r="T46" s="653">
        <f t="shared" si="8"/>
        <v>3.28</v>
      </c>
      <c r="U46" s="653">
        <f t="shared" si="23"/>
        <v>9.83</v>
      </c>
      <c r="V46" s="653">
        <f t="shared" si="9"/>
        <v>0</v>
      </c>
      <c r="AA46" s="657" t="str">
        <f>IF(AB46=0,"","FA-RET01."&amp;COUNTIF(AB$6:$AB46,1))</f>
        <v/>
      </c>
      <c r="AB46" s="658">
        <f t="shared" si="10"/>
        <v>0</v>
      </c>
      <c r="AC46" s="657" t="str">
        <f>IF(AD46=0,"","FA-RET01."&amp;COUNTIF(AD$6:$AD46,1))</f>
        <v/>
      </c>
      <c r="AD46" s="658">
        <f t="shared" si="11"/>
        <v>0</v>
      </c>
      <c r="AE46" s="660">
        <f t="shared" si="12"/>
        <v>24.77</v>
      </c>
      <c r="AF46" s="661">
        <f t="shared" si="0"/>
        <v>1</v>
      </c>
      <c r="AG46" s="662">
        <f t="shared" si="13"/>
        <v>146.23000000000002</v>
      </c>
      <c r="AI46" s="657" t="str">
        <f>IF(AJ46=0,"","FAA-RET01."&amp;COUNTIF($AJ$6:AJ46,1))</f>
        <v/>
      </c>
      <c r="AJ46" s="658">
        <f t="shared" si="14"/>
        <v>0</v>
      </c>
      <c r="AK46" s="657" t="str">
        <f>IF(AL45=0,"","FAA-RET01."&amp;COUNTIF(AL$6:$AL46,1))</f>
        <v/>
      </c>
      <c r="AL46" s="658">
        <f t="shared" si="15"/>
        <v>0</v>
      </c>
      <c r="AM46" s="660">
        <f t="shared" si="16"/>
        <v>0</v>
      </c>
      <c r="AN46" s="661">
        <f t="shared" si="1"/>
        <v>0</v>
      </c>
      <c r="AO46" s="662">
        <f t="shared" si="17"/>
        <v>0</v>
      </c>
      <c r="AQ46" s="663">
        <f t="shared" si="2"/>
        <v>0.47199999999999953</v>
      </c>
      <c r="AR46" s="663">
        <f t="shared" si="3"/>
        <v>5.95</v>
      </c>
      <c r="AS46" s="663">
        <f t="shared" si="4"/>
        <v>9.5250000000000004</v>
      </c>
      <c r="AT46" s="663">
        <f t="shared" si="5"/>
        <v>8.3000000000000185E-2</v>
      </c>
      <c r="AV46" s="664">
        <v>40</v>
      </c>
      <c r="AW46" s="665">
        <v>2.5</v>
      </c>
      <c r="AX46" s="665">
        <v>5</v>
      </c>
      <c r="AY46" s="665">
        <v>40</v>
      </c>
      <c r="AZ46" s="664">
        <v>18.445</v>
      </c>
      <c r="BA46" s="666">
        <f t="shared" si="18"/>
        <v>6.4219999999999997</v>
      </c>
      <c r="BB46" s="666">
        <f t="shared" si="19"/>
        <v>26.077999999999999</v>
      </c>
      <c r="BC46" s="665"/>
      <c r="BD46" s="666">
        <f t="shared" si="20"/>
        <v>9.6080000000000005</v>
      </c>
      <c r="BE46" s="666">
        <f t="shared" si="21"/>
        <v>22.891999999999999</v>
      </c>
    </row>
    <row r="47" spans="1:57" ht="13.15" customHeight="1">
      <c r="A47" s="645">
        <v>6.4059999999999997</v>
      </c>
      <c r="B47" s="645">
        <v>5.95</v>
      </c>
      <c r="C47" s="646" t="s">
        <v>665</v>
      </c>
      <c r="D47" s="646" t="s">
        <v>605</v>
      </c>
      <c r="E47" s="646">
        <v>10</v>
      </c>
      <c r="F47" s="647" t="s">
        <v>667</v>
      </c>
      <c r="G47" s="648">
        <v>787.63300000000004</v>
      </c>
      <c r="H47" s="648">
        <v>787.61500000000001</v>
      </c>
      <c r="I47" s="649">
        <v>1.8000000000029104E-2</v>
      </c>
      <c r="J47" s="645">
        <v>9.5250000000000004</v>
      </c>
      <c r="K47" s="645">
        <v>9.59</v>
      </c>
      <c r="L47" s="650"/>
      <c r="M47" s="651"/>
      <c r="N47" s="652">
        <v>0.1</v>
      </c>
      <c r="O47" s="652">
        <v>9.7092094560177419E-4</v>
      </c>
      <c r="P47" s="652" t="s">
        <v>607</v>
      </c>
      <c r="Q47" s="653">
        <f t="shared" si="6"/>
        <v>4.6960000000000006</v>
      </c>
      <c r="R47" s="654">
        <f t="shared" si="7"/>
        <v>2</v>
      </c>
      <c r="S47" s="655">
        <f t="shared" si="22"/>
        <v>3.1992000000000003</v>
      </c>
      <c r="T47" s="653">
        <f t="shared" si="8"/>
        <v>3.28</v>
      </c>
      <c r="U47" s="653">
        <f t="shared" si="23"/>
        <v>9.83</v>
      </c>
      <c r="V47" s="653">
        <f t="shared" si="9"/>
        <v>0</v>
      </c>
      <c r="AA47" s="657" t="str">
        <f>IF(AB47=0,"","FA-RET01."&amp;COUNTIF(AB$6:$AB47,1))</f>
        <v/>
      </c>
      <c r="AB47" s="658">
        <f t="shared" si="10"/>
        <v>0</v>
      </c>
      <c r="AC47" s="657" t="str">
        <f>IF(AD47=0,"","FA-RET01."&amp;COUNTIF(AD$6:$AD47,1))</f>
        <v>FA-RET01.2</v>
      </c>
      <c r="AD47" s="658">
        <f t="shared" si="11"/>
        <v>1</v>
      </c>
      <c r="AE47" s="660">
        <f t="shared" si="12"/>
        <v>32.03</v>
      </c>
      <c r="AF47" s="661">
        <f t="shared" si="0"/>
        <v>1</v>
      </c>
      <c r="AG47" s="662">
        <f t="shared" si="13"/>
        <v>178.26000000000002</v>
      </c>
      <c r="AI47" s="657" t="str">
        <f>IF(AJ47=0,"","FAA-RET01."&amp;COUNTIF($AJ$6:AJ47,1))</f>
        <v/>
      </c>
      <c r="AJ47" s="658">
        <f t="shared" si="14"/>
        <v>0</v>
      </c>
      <c r="AK47" s="657" t="str">
        <f>IF(AL46=0,"","FAA-RET01."&amp;COUNTIF(AL$6:$AL47,1))</f>
        <v/>
      </c>
      <c r="AL47" s="658">
        <f t="shared" si="15"/>
        <v>0</v>
      </c>
      <c r="AM47" s="660">
        <f t="shared" si="16"/>
        <v>0</v>
      </c>
      <c r="AN47" s="661">
        <f t="shared" si="1"/>
        <v>0</v>
      </c>
      <c r="AO47" s="662">
        <f t="shared" si="17"/>
        <v>0</v>
      </c>
      <c r="AQ47" s="663">
        <f t="shared" si="2"/>
        <v>0.45599999999999952</v>
      </c>
      <c r="AR47" s="663">
        <f t="shared" si="3"/>
        <v>5.95</v>
      </c>
      <c r="AS47" s="663">
        <f t="shared" si="4"/>
        <v>9.5250000000000004</v>
      </c>
      <c r="AT47" s="663">
        <f t="shared" si="5"/>
        <v>6.4999999999999503E-2</v>
      </c>
      <c r="AV47" s="664">
        <v>41</v>
      </c>
      <c r="AW47" s="665">
        <v>2.5</v>
      </c>
      <c r="AX47" s="665">
        <v>5</v>
      </c>
      <c r="AY47" s="665">
        <v>40</v>
      </c>
      <c r="AZ47" s="664">
        <v>18.405000000000001</v>
      </c>
      <c r="BA47" s="666">
        <f t="shared" si="18"/>
        <v>6.4059999999999997</v>
      </c>
      <c r="BB47" s="666">
        <f t="shared" si="19"/>
        <v>26.094000000000001</v>
      </c>
      <c r="BC47" s="665"/>
      <c r="BD47" s="666">
        <f t="shared" si="20"/>
        <v>9.59</v>
      </c>
      <c r="BE47" s="666">
        <f t="shared" si="21"/>
        <v>22.91</v>
      </c>
    </row>
    <row r="48" spans="1:57" ht="13.15" customHeight="1">
      <c r="A48" s="645">
        <v>6.3849999999999998</v>
      </c>
      <c r="B48" s="645">
        <v>5.95</v>
      </c>
      <c r="C48" s="646" t="s">
        <v>668</v>
      </c>
      <c r="D48" s="646" t="s">
        <v>605</v>
      </c>
      <c r="E48" s="646">
        <v>0</v>
      </c>
      <c r="F48" s="647" t="s">
        <v>669</v>
      </c>
      <c r="G48" s="648">
        <v>787.94799999999998</v>
      </c>
      <c r="H48" s="648">
        <v>787.96400000000006</v>
      </c>
      <c r="I48" s="649">
        <v>-1.6000000000076398E-2</v>
      </c>
      <c r="J48" s="645">
        <v>9.5250000000000004</v>
      </c>
      <c r="K48" s="645">
        <v>9.7929999999999993</v>
      </c>
      <c r="L48" s="650"/>
      <c r="M48" s="651"/>
      <c r="N48" s="652">
        <v>0.1</v>
      </c>
      <c r="O48" s="652">
        <v>9.7092094560177419E-4</v>
      </c>
      <c r="P48" s="652" t="s">
        <v>607</v>
      </c>
      <c r="Q48" s="653">
        <f t="shared" si="6"/>
        <v>4.6960000000000006</v>
      </c>
      <c r="R48" s="654">
        <f t="shared" si="7"/>
        <v>1</v>
      </c>
      <c r="S48" s="655">
        <f t="shared" si="22"/>
        <v>3.0950000000000006</v>
      </c>
      <c r="T48" s="653">
        <f t="shared" si="8"/>
        <v>0</v>
      </c>
      <c r="U48" s="653">
        <f t="shared" si="23"/>
        <v>0</v>
      </c>
      <c r="V48" s="653">
        <f t="shared" si="9"/>
        <v>3.0950000000000006</v>
      </c>
      <c r="AA48" s="657" t="str">
        <f>IF(AB48=0,"","FA-RET01."&amp;COUNTIF(AB$6:$AB48,1))</f>
        <v/>
      </c>
      <c r="AB48" s="658">
        <f t="shared" si="10"/>
        <v>0</v>
      </c>
      <c r="AC48" s="657" t="str">
        <f>IF(AD48=0,"","FA-RET01."&amp;COUNTIF(AD$6:$AD48,1))</f>
        <v/>
      </c>
      <c r="AD48" s="658">
        <f t="shared" si="11"/>
        <v>0</v>
      </c>
      <c r="AE48" s="660">
        <f t="shared" si="12"/>
        <v>0</v>
      </c>
      <c r="AF48" s="661">
        <f t="shared" si="0"/>
        <v>0</v>
      </c>
      <c r="AG48" s="662">
        <f t="shared" si="13"/>
        <v>0</v>
      </c>
      <c r="AI48" s="657" t="str">
        <f>IF(AJ48=0,"","FAA-RET01."&amp;COUNTIF($AJ$6:AJ48,1))</f>
        <v/>
      </c>
      <c r="AJ48" s="658">
        <f t="shared" si="14"/>
        <v>0</v>
      </c>
      <c r="AK48" s="657" t="str">
        <f>IF(AL47=0,"","FAA-RET01."&amp;COUNTIF(AL$6:$AL48,1))</f>
        <v/>
      </c>
      <c r="AL48" s="658">
        <f t="shared" si="15"/>
        <v>0</v>
      </c>
      <c r="AM48" s="660">
        <f t="shared" si="16"/>
        <v>0</v>
      </c>
      <c r="AN48" s="661">
        <f t="shared" si="1"/>
        <v>0</v>
      </c>
      <c r="AO48" s="662">
        <f t="shared" si="17"/>
        <v>0</v>
      </c>
      <c r="AQ48" s="663">
        <f t="shared" si="2"/>
        <v>0.43499999999999961</v>
      </c>
      <c r="AR48" s="663">
        <f t="shared" si="3"/>
        <v>5.95</v>
      </c>
      <c r="AS48" s="663">
        <f t="shared" si="4"/>
        <v>9.5250000000000004</v>
      </c>
      <c r="AT48" s="663">
        <f t="shared" si="5"/>
        <v>0.26799999999999891</v>
      </c>
      <c r="AV48" s="664">
        <v>42</v>
      </c>
      <c r="AW48" s="665">
        <v>2.5</v>
      </c>
      <c r="AX48" s="665">
        <v>5</v>
      </c>
      <c r="AY48" s="665">
        <v>40</v>
      </c>
      <c r="AZ48" s="664">
        <v>18.484000000000002</v>
      </c>
      <c r="BA48" s="666">
        <f t="shared" si="18"/>
        <v>6.3849999999999998</v>
      </c>
      <c r="BB48" s="666">
        <f t="shared" si="19"/>
        <v>26.115000000000002</v>
      </c>
      <c r="BC48" s="665"/>
      <c r="BD48" s="666">
        <f t="shared" si="20"/>
        <v>9.7929999999999993</v>
      </c>
      <c r="BE48" s="666">
        <f t="shared" si="21"/>
        <v>22.707000000000001</v>
      </c>
    </row>
    <row r="49" spans="1:60" ht="13.15" customHeight="1">
      <c r="A49" s="645">
        <v>6.4450000000000003</v>
      </c>
      <c r="B49" s="645">
        <v>5.95</v>
      </c>
      <c r="C49" s="646" t="s">
        <v>668</v>
      </c>
      <c r="D49" s="646" t="s">
        <v>605</v>
      </c>
      <c r="E49" s="646">
        <v>10</v>
      </c>
      <c r="F49" s="647" t="s">
        <v>670</v>
      </c>
      <c r="G49" s="648">
        <v>788.26300000000003</v>
      </c>
      <c r="H49" s="648">
        <v>788.27300000000002</v>
      </c>
      <c r="I49" s="649">
        <v>-9.9999999999909051E-3</v>
      </c>
      <c r="J49" s="645">
        <v>9.5250000000000004</v>
      </c>
      <c r="K49" s="645">
        <v>9.7569999999999997</v>
      </c>
      <c r="L49" s="650"/>
      <c r="M49" s="651"/>
      <c r="N49" s="652">
        <v>0.1</v>
      </c>
      <c r="O49" s="652">
        <v>9.7092094560177419E-4</v>
      </c>
      <c r="P49" s="652" t="s">
        <v>607</v>
      </c>
      <c r="Q49" s="653">
        <f t="shared" si="6"/>
        <v>4.6960000000000006</v>
      </c>
      <c r="R49" s="654">
        <f t="shared" si="7"/>
        <v>1</v>
      </c>
      <c r="S49" s="655">
        <f t="shared" si="22"/>
        <v>3.0950000000000006</v>
      </c>
      <c r="T49" s="653">
        <f t="shared" si="8"/>
        <v>0</v>
      </c>
      <c r="U49" s="653">
        <f t="shared" si="23"/>
        <v>0</v>
      </c>
      <c r="V49" s="653">
        <f t="shared" si="9"/>
        <v>3.0950000000000006</v>
      </c>
      <c r="AA49" s="657" t="str">
        <f>IF(AB49=0,"","FA-RET01."&amp;COUNTIF(AB$6:$AB49,1))</f>
        <v/>
      </c>
      <c r="AB49" s="658">
        <f t="shared" si="10"/>
        <v>0</v>
      </c>
      <c r="AC49" s="657" t="str">
        <f>IF(AD49=0,"","FA-RET01."&amp;COUNTIF(AD$6:$AD49,1))</f>
        <v/>
      </c>
      <c r="AD49" s="658">
        <f t="shared" si="11"/>
        <v>0</v>
      </c>
      <c r="AE49" s="660">
        <f t="shared" si="12"/>
        <v>0</v>
      </c>
      <c r="AF49" s="661">
        <f t="shared" si="0"/>
        <v>0</v>
      </c>
      <c r="AG49" s="662">
        <f t="shared" si="13"/>
        <v>0</v>
      </c>
      <c r="AI49" s="657" t="str">
        <f>IF(AJ49=0,"","FAA-RET01."&amp;COUNTIF($AJ$6:AJ49,1))</f>
        <v/>
      </c>
      <c r="AJ49" s="658">
        <f t="shared" si="14"/>
        <v>0</v>
      </c>
      <c r="AK49" s="657" t="str">
        <f>IF(AL48=0,"","FAA-RET01."&amp;COUNTIF(AL$6:$AL49,1))</f>
        <v/>
      </c>
      <c r="AL49" s="658">
        <f t="shared" si="15"/>
        <v>0</v>
      </c>
      <c r="AM49" s="660">
        <f t="shared" si="16"/>
        <v>0</v>
      </c>
      <c r="AN49" s="661">
        <f t="shared" si="1"/>
        <v>0</v>
      </c>
      <c r="AO49" s="662">
        <f t="shared" si="17"/>
        <v>0</v>
      </c>
      <c r="AQ49" s="663">
        <f t="shared" si="2"/>
        <v>0.49500000000000011</v>
      </c>
      <c r="AR49" s="663">
        <f t="shared" si="3"/>
        <v>5.95</v>
      </c>
      <c r="AS49" s="663">
        <f t="shared" si="4"/>
        <v>9.5250000000000004</v>
      </c>
      <c r="AT49" s="663">
        <f t="shared" si="5"/>
        <v>0.23199999999999932</v>
      </c>
      <c r="AV49" s="664">
        <v>43</v>
      </c>
      <c r="AW49" s="665">
        <v>2.5</v>
      </c>
      <c r="AX49" s="665">
        <v>5</v>
      </c>
      <c r="AY49" s="665">
        <v>40</v>
      </c>
      <c r="AZ49" s="664">
        <v>18.396000000000001</v>
      </c>
      <c r="BA49" s="666">
        <f t="shared" si="18"/>
        <v>6.4450000000000003</v>
      </c>
      <c r="BB49" s="666">
        <f t="shared" si="19"/>
        <v>26.055</v>
      </c>
      <c r="BC49" s="665"/>
      <c r="BD49" s="666">
        <f t="shared" si="20"/>
        <v>9.7569999999999997</v>
      </c>
      <c r="BE49" s="666">
        <f t="shared" si="21"/>
        <v>22.743000000000002</v>
      </c>
    </row>
    <row r="50" spans="1:60" ht="13.15" customHeight="1">
      <c r="A50" s="645">
        <v>6.4459999999999997</v>
      </c>
      <c r="B50" s="645">
        <v>5.95</v>
      </c>
      <c r="C50" s="646" t="s">
        <v>668</v>
      </c>
      <c r="D50" s="646" t="s">
        <v>605</v>
      </c>
      <c r="E50" s="646">
        <v>10.109</v>
      </c>
      <c r="F50" s="647" t="s">
        <v>671</v>
      </c>
      <c r="G50" s="648">
        <v>788.26599999999996</v>
      </c>
      <c r="H50" s="648">
        <v>788.27499999999998</v>
      </c>
      <c r="I50" s="649">
        <v>-9.0000000000145519E-3</v>
      </c>
      <c r="J50" s="645">
        <v>9.5250000000000004</v>
      </c>
      <c r="K50" s="645">
        <v>9.76</v>
      </c>
      <c r="L50" s="650"/>
      <c r="M50" s="651"/>
      <c r="N50" s="652">
        <v>0.1</v>
      </c>
      <c r="O50" s="652">
        <v>9.7092094560177419E-4</v>
      </c>
      <c r="P50" s="652" t="s">
        <v>607</v>
      </c>
      <c r="Q50" s="653">
        <f t="shared" si="6"/>
        <v>4.6960000000000006</v>
      </c>
      <c r="R50" s="654">
        <f t="shared" si="7"/>
        <v>1</v>
      </c>
      <c r="S50" s="655">
        <f t="shared" si="22"/>
        <v>3.0950000000000006</v>
      </c>
      <c r="T50" s="653">
        <f t="shared" si="8"/>
        <v>0</v>
      </c>
      <c r="U50" s="653">
        <f t="shared" si="23"/>
        <v>0</v>
      </c>
      <c r="V50" s="653">
        <f t="shared" si="9"/>
        <v>3.0950000000000006</v>
      </c>
      <c r="AA50" s="657" t="str">
        <f>IF(AB50=0,"","FA-RET01."&amp;COUNTIF(AB$6:$AB50,1))</f>
        <v/>
      </c>
      <c r="AB50" s="658">
        <f t="shared" si="10"/>
        <v>0</v>
      </c>
      <c r="AC50" s="657" t="str">
        <f>IF(AD50=0,"","FA-RET01."&amp;COUNTIF(AD$6:$AD50,1))</f>
        <v/>
      </c>
      <c r="AD50" s="658">
        <f t="shared" si="11"/>
        <v>0</v>
      </c>
      <c r="AE50" s="660">
        <f t="shared" si="12"/>
        <v>0</v>
      </c>
      <c r="AF50" s="661">
        <f t="shared" si="0"/>
        <v>0</v>
      </c>
      <c r="AG50" s="662">
        <f t="shared" si="13"/>
        <v>0</v>
      </c>
      <c r="AI50" s="657" t="str">
        <f>IF(AJ50=0,"","FAA-RET01."&amp;COUNTIF($AJ$6:AJ50,1))</f>
        <v/>
      </c>
      <c r="AJ50" s="658">
        <f t="shared" si="14"/>
        <v>0</v>
      </c>
      <c r="AK50" s="657" t="str">
        <f>IF(AL49=0,"","FAA-RET01."&amp;COUNTIF(AL$6:$AL50,1))</f>
        <v/>
      </c>
      <c r="AL50" s="658">
        <f t="shared" si="15"/>
        <v>0</v>
      </c>
      <c r="AM50" s="660">
        <f t="shared" si="16"/>
        <v>0</v>
      </c>
      <c r="AN50" s="661">
        <f t="shared" si="1"/>
        <v>0</v>
      </c>
      <c r="AO50" s="662">
        <f t="shared" si="17"/>
        <v>0</v>
      </c>
      <c r="AQ50" s="663">
        <f t="shared" si="2"/>
        <v>0.49599999999999955</v>
      </c>
      <c r="AR50" s="663">
        <f t="shared" si="3"/>
        <v>5.95</v>
      </c>
      <c r="AS50" s="663">
        <f t="shared" si="4"/>
        <v>9.5250000000000004</v>
      </c>
      <c r="AT50" s="663">
        <f t="shared" si="5"/>
        <v>0.23499999999999943</v>
      </c>
      <c r="AV50" s="664">
        <v>44</v>
      </c>
      <c r="AW50" s="665">
        <v>2.5</v>
      </c>
      <c r="AX50" s="665">
        <v>5</v>
      </c>
      <c r="AY50" s="665">
        <v>40</v>
      </c>
      <c r="AZ50" s="664">
        <v>18.555999999999997</v>
      </c>
      <c r="BA50" s="666">
        <f t="shared" si="18"/>
        <v>6.4459999999999997</v>
      </c>
      <c r="BB50" s="666">
        <f t="shared" si="19"/>
        <v>26.054000000000002</v>
      </c>
      <c r="BC50" s="665"/>
      <c r="BD50" s="666">
        <f t="shared" si="20"/>
        <v>9.76</v>
      </c>
      <c r="BE50" s="666">
        <f t="shared" si="21"/>
        <v>22.740000000000002</v>
      </c>
    </row>
    <row r="51" spans="1:60" ht="13.15" customHeight="1">
      <c r="A51" s="645">
        <v>6.3220000000000001</v>
      </c>
      <c r="B51" s="645">
        <v>5.95</v>
      </c>
      <c r="C51" s="646" t="s">
        <v>672</v>
      </c>
      <c r="D51" s="646" t="s">
        <v>605</v>
      </c>
      <c r="E51" s="646">
        <v>0</v>
      </c>
      <c r="F51" s="647" t="s">
        <v>673</v>
      </c>
      <c r="G51" s="648">
        <v>788.577</v>
      </c>
      <c r="H51" s="648">
        <v>788.56899999999996</v>
      </c>
      <c r="I51" s="649">
        <v>8.0000000000381988E-3</v>
      </c>
      <c r="J51" s="645">
        <v>8.6270000000000007</v>
      </c>
      <c r="K51" s="645">
        <v>0</v>
      </c>
      <c r="L51" s="650"/>
      <c r="M51" s="651"/>
      <c r="N51" s="652">
        <v>0.1</v>
      </c>
      <c r="O51" s="652">
        <v>9.7092094560177419E-4</v>
      </c>
      <c r="P51" s="652" t="s">
        <v>607</v>
      </c>
      <c r="Q51" s="653">
        <f t="shared" si="6"/>
        <v>4.516</v>
      </c>
      <c r="R51" s="654">
        <f t="shared" si="7"/>
        <v>2</v>
      </c>
      <c r="S51" s="655">
        <f t="shared" si="22"/>
        <v>2.9898000000000007</v>
      </c>
      <c r="T51" s="653">
        <f t="shared" si="8"/>
        <v>3.1</v>
      </c>
      <c r="U51" s="653">
        <f t="shared" si="23"/>
        <v>9.2899999999999991</v>
      </c>
      <c r="V51" s="653">
        <f t="shared" si="9"/>
        <v>0</v>
      </c>
      <c r="AA51" s="657" t="str">
        <f>IF(AB51=0,"","FA-RET01."&amp;COUNTIF(AB$6:$AB51,1))</f>
        <v>FA-RET01.3</v>
      </c>
      <c r="AB51" s="658">
        <f t="shared" si="10"/>
        <v>1</v>
      </c>
      <c r="AC51" s="657" t="str">
        <f>IF(AD51=0,"","FA-RET01."&amp;COUNTIF(AD$6:$AD51,1))</f>
        <v>FA-RET01.3</v>
      </c>
      <c r="AD51" s="658">
        <f t="shared" si="11"/>
        <v>1</v>
      </c>
      <c r="AE51" s="660">
        <f t="shared" si="12"/>
        <v>30.09</v>
      </c>
      <c r="AF51" s="661">
        <f t="shared" si="0"/>
        <v>1</v>
      </c>
      <c r="AG51" s="662">
        <f t="shared" si="13"/>
        <v>30.09</v>
      </c>
      <c r="AI51" s="657" t="str">
        <f>IF(AJ51=0,"","FAA-RET01."&amp;COUNTIF($AJ$6:AJ51,1))</f>
        <v/>
      </c>
      <c r="AJ51" s="658">
        <f t="shared" si="14"/>
        <v>0</v>
      </c>
      <c r="AK51" s="657" t="str">
        <f>IF(AL50=0,"","FAA-RET01."&amp;COUNTIF(AL$6:$AL51,1))</f>
        <v/>
      </c>
      <c r="AL51" s="658">
        <f t="shared" si="15"/>
        <v>0</v>
      </c>
      <c r="AM51" s="660">
        <f t="shared" si="16"/>
        <v>0</v>
      </c>
      <c r="AN51" s="661">
        <f t="shared" si="1"/>
        <v>0</v>
      </c>
      <c r="AO51" s="662">
        <f t="shared" si="17"/>
        <v>0</v>
      </c>
      <c r="AQ51" s="663">
        <f t="shared" si="2"/>
        <v>0.37199999999999989</v>
      </c>
      <c r="AR51" s="663">
        <f t="shared" si="3"/>
        <v>5.95</v>
      </c>
      <c r="AS51" s="663">
        <f t="shared" si="4"/>
        <v>8.6270000000000007</v>
      </c>
      <c r="AT51" s="663">
        <f t="shared" si="5"/>
        <v>0</v>
      </c>
      <c r="AV51" s="664">
        <v>45</v>
      </c>
      <c r="AW51" s="665">
        <v>2.5</v>
      </c>
      <c r="AX51" s="665">
        <v>5</v>
      </c>
      <c r="AY51" s="665">
        <v>40</v>
      </c>
      <c r="AZ51" s="664">
        <v>18.127000000000002</v>
      </c>
      <c r="BA51" s="666">
        <f t="shared" si="18"/>
        <v>6.3220000000000001</v>
      </c>
      <c r="BB51" s="666">
        <f t="shared" si="19"/>
        <v>26.178000000000001</v>
      </c>
      <c r="BC51" s="665"/>
      <c r="BD51" s="666">
        <f t="shared" si="20"/>
        <v>0</v>
      </c>
      <c r="BE51" s="666">
        <f t="shared" si="21"/>
        <v>32.5</v>
      </c>
    </row>
    <row r="52" spans="1:60" ht="13.15" customHeight="1">
      <c r="A52" s="645">
        <v>6.1669999999999998</v>
      </c>
      <c r="B52" s="645">
        <v>5.95</v>
      </c>
      <c r="C52" s="646" t="s">
        <v>672</v>
      </c>
      <c r="D52" s="646" t="s">
        <v>605</v>
      </c>
      <c r="E52" s="646">
        <v>10</v>
      </c>
      <c r="F52" s="647" t="s">
        <v>674</v>
      </c>
      <c r="G52" s="648">
        <v>788.89200000000005</v>
      </c>
      <c r="H52" s="648">
        <v>788.99300000000005</v>
      </c>
      <c r="I52" s="649">
        <v>-0.10099999999999909</v>
      </c>
      <c r="J52" s="645">
        <v>8.3119999999999994</v>
      </c>
      <c r="K52" s="645">
        <v>0</v>
      </c>
      <c r="L52" s="650"/>
      <c r="M52" s="651"/>
      <c r="N52" s="652">
        <v>0.1</v>
      </c>
      <c r="O52" s="652">
        <v>9.7092094560177419E-4</v>
      </c>
      <c r="P52" s="652" t="s">
        <v>607</v>
      </c>
      <c r="Q52" s="653">
        <f t="shared" si="6"/>
        <v>4.4520000000000008</v>
      </c>
      <c r="R52" s="654">
        <f t="shared" si="7"/>
        <v>1</v>
      </c>
      <c r="S52" s="655">
        <f t="shared" si="22"/>
        <v>2.8524000000000003</v>
      </c>
      <c r="T52" s="653">
        <f t="shared" si="8"/>
        <v>0</v>
      </c>
      <c r="U52" s="653">
        <f t="shared" si="23"/>
        <v>0</v>
      </c>
      <c r="V52" s="653">
        <f t="shared" si="9"/>
        <v>2.8524000000000003</v>
      </c>
      <c r="AA52" s="657" t="str">
        <f>IF(AB52=0,"","FA-RET01."&amp;COUNTIF(AB$6:$AB52,1))</f>
        <v/>
      </c>
      <c r="AB52" s="658">
        <f t="shared" si="10"/>
        <v>0</v>
      </c>
      <c r="AC52" s="657" t="str">
        <f>IF(AD52=0,"","FA-RET01."&amp;COUNTIF(AD$6:$AD52,1))</f>
        <v/>
      </c>
      <c r="AD52" s="658">
        <f t="shared" si="11"/>
        <v>0</v>
      </c>
      <c r="AE52" s="660">
        <f t="shared" si="12"/>
        <v>0</v>
      </c>
      <c r="AF52" s="661">
        <f t="shared" si="0"/>
        <v>0</v>
      </c>
      <c r="AG52" s="662">
        <f t="shared" si="13"/>
        <v>0</v>
      </c>
      <c r="AI52" s="657" t="str">
        <f>IF(AJ52=0,"","FAA-RET01."&amp;COUNTIF($AJ$6:AJ52,1))</f>
        <v/>
      </c>
      <c r="AJ52" s="658">
        <f t="shared" si="14"/>
        <v>0</v>
      </c>
      <c r="AK52" s="657" t="str">
        <f>IF(AL51=0,"","FAA-RET01."&amp;COUNTIF(AL$6:$AL52,1))</f>
        <v/>
      </c>
      <c r="AL52" s="658">
        <f t="shared" si="15"/>
        <v>0</v>
      </c>
      <c r="AM52" s="660">
        <f t="shared" si="16"/>
        <v>0</v>
      </c>
      <c r="AN52" s="661">
        <f t="shared" si="1"/>
        <v>0</v>
      </c>
      <c r="AO52" s="662">
        <f t="shared" si="17"/>
        <v>0</v>
      </c>
      <c r="AQ52" s="663">
        <f t="shared" si="2"/>
        <v>0.21699999999999964</v>
      </c>
      <c r="AR52" s="663">
        <f t="shared" si="3"/>
        <v>5.95</v>
      </c>
      <c r="AS52" s="663">
        <f t="shared" si="4"/>
        <v>8.3119999999999994</v>
      </c>
      <c r="AT52" s="663">
        <f t="shared" si="5"/>
        <v>0</v>
      </c>
      <c r="AV52" s="664">
        <v>45</v>
      </c>
      <c r="AW52" s="665">
        <v>2.5</v>
      </c>
      <c r="AX52" s="665">
        <v>5</v>
      </c>
      <c r="AY52" s="665">
        <v>40</v>
      </c>
      <c r="AZ52" s="664">
        <v>18.127000000000002</v>
      </c>
      <c r="BA52" s="666">
        <f t="shared" si="18"/>
        <v>6.1669999999999998</v>
      </c>
      <c r="BB52" s="666">
        <f t="shared" si="19"/>
        <v>26.332999999999998</v>
      </c>
      <c r="BC52" s="665"/>
      <c r="BD52" s="666">
        <f t="shared" si="20"/>
        <v>0</v>
      </c>
      <c r="BE52" s="666">
        <f t="shared" si="21"/>
        <v>32.5</v>
      </c>
    </row>
    <row r="53" spans="1:60" s="676" customFormat="1" ht="13.15" customHeight="1">
      <c r="A53" s="669"/>
      <c r="B53" s="669"/>
      <c r="C53" s="670"/>
      <c r="D53" s="670"/>
      <c r="E53" s="670"/>
      <c r="F53" s="671"/>
      <c r="G53" s="672"/>
      <c r="H53" s="672"/>
      <c r="I53" s="673"/>
      <c r="J53" s="669"/>
      <c r="K53" s="669"/>
      <c r="L53" s="650"/>
      <c r="M53" s="651"/>
      <c r="N53" s="674"/>
      <c r="O53" s="674"/>
      <c r="P53" s="674"/>
      <c r="Q53" s="655"/>
      <c r="R53" s="675"/>
      <c r="S53" s="655"/>
      <c r="T53" s="655"/>
      <c r="U53" s="655"/>
      <c r="V53" s="655"/>
      <c r="AA53" s="657" t="str">
        <f>IF(AB53=0,"","FA-RET01."&amp;COUNTIF(AB$6:$AB53,1))</f>
        <v/>
      </c>
      <c r="AB53" s="677"/>
      <c r="AC53" s="678"/>
      <c r="AD53" s="677"/>
      <c r="AE53" s="679"/>
      <c r="AF53" s="680">
        <v>0</v>
      </c>
      <c r="AG53" s="681"/>
      <c r="AI53" s="678"/>
      <c r="AJ53" s="677"/>
      <c r="AK53" s="678"/>
      <c r="AL53" s="677"/>
      <c r="AM53" s="679"/>
      <c r="AN53" s="680"/>
      <c r="AO53" s="681"/>
      <c r="AQ53" s="682"/>
      <c r="AR53" s="682"/>
      <c r="AS53" s="682"/>
      <c r="AT53" s="682"/>
      <c r="AV53" s="683"/>
      <c r="AW53" s="684"/>
      <c r="AX53" s="684"/>
      <c r="AY53" s="684"/>
      <c r="AZ53" s="683"/>
      <c r="BA53" s="685"/>
      <c r="BB53" s="685"/>
      <c r="BC53" s="684"/>
      <c r="BD53" s="685"/>
      <c r="BE53" s="685"/>
    </row>
    <row r="54" spans="1:60" ht="13.15" customHeight="1">
      <c r="A54" s="645">
        <v>5.9569999999999999</v>
      </c>
      <c r="B54" s="645">
        <v>5.95</v>
      </c>
      <c r="C54" s="646" t="s">
        <v>675</v>
      </c>
      <c r="D54" s="646" t="s">
        <v>605</v>
      </c>
      <c r="E54" s="646">
        <v>0</v>
      </c>
      <c r="F54" s="647" t="s">
        <v>676</v>
      </c>
      <c r="G54" s="648">
        <v>795.15300000000002</v>
      </c>
      <c r="H54" s="648">
        <v>795.14099999999996</v>
      </c>
      <c r="I54" s="649">
        <v>1.2000000000057298E-2</v>
      </c>
      <c r="J54" s="645">
        <v>5.931</v>
      </c>
      <c r="K54" s="645">
        <v>6.093</v>
      </c>
      <c r="L54" s="650"/>
      <c r="M54" s="651"/>
      <c r="N54" s="652">
        <v>0.1</v>
      </c>
      <c r="O54" s="652">
        <v>8.8470529152069989E-4</v>
      </c>
      <c r="P54" s="652" t="s">
        <v>607</v>
      </c>
      <c r="Q54" s="653">
        <f t="shared" si="6"/>
        <v>3.976</v>
      </c>
      <c r="R54" s="654">
        <f>IF(C54="",NA(),IFERROR(IF(I54&lt;=0,$X$2,IF(I54&lt;=0.6,$X$3,IF(I54&lt;=3,$X$4,IF(I54&gt;3,$X$5)))),$X$1))</f>
        <v>2</v>
      </c>
      <c r="S54" s="655">
        <f t="shared" si="22"/>
        <v>2.41</v>
      </c>
      <c r="T54" s="653">
        <f t="shared" si="8"/>
        <v>2.56</v>
      </c>
      <c r="U54" s="653">
        <f t="shared" si="23"/>
        <v>7.67</v>
      </c>
      <c r="V54" s="653">
        <f t="shared" si="9"/>
        <v>0</v>
      </c>
      <c r="AA54" s="657" t="str">
        <f>IF(AB54=0,"","FA.RET02-"&amp;COUNTIF(AB$6:$AB54,1))</f>
        <v>FA.RET02-4</v>
      </c>
      <c r="AB54" s="658">
        <f t="shared" si="10"/>
        <v>1</v>
      </c>
      <c r="AC54" s="657" t="str">
        <f>IF(AD54=0,"","FA.RET02-"&amp;COUNTIF(AD$6:$AD54,1))</f>
        <v/>
      </c>
      <c r="AD54" s="658">
        <f t="shared" si="11"/>
        <v>0</v>
      </c>
      <c r="AE54" s="660">
        <f t="shared" si="12"/>
        <v>0</v>
      </c>
      <c r="AF54" s="661">
        <f>IF(R54=$X$3,1,0)</f>
        <v>1</v>
      </c>
      <c r="AG54" s="662">
        <f t="shared" si="13"/>
        <v>0</v>
      </c>
      <c r="AI54" s="657" t="str">
        <f>IF(AJ54=0,"","FAA.RET02-"&amp;COUNTIF($AJ$6:AJ54,1))</f>
        <v/>
      </c>
      <c r="AJ54" s="658">
        <f t="shared" si="14"/>
        <v>0</v>
      </c>
      <c r="AK54" s="657" t="str">
        <f>IF(AL53=0,"","FAA.RET02-"&amp;COUNTIF(AL$6:$AL54,1))</f>
        <v/>
      </c>
      <c r="AL54" s="658">
        <f t="shared" si="15"/>
        <v>0</v>
      </c>
      <c r="AM54" s="660">
        <f t="shared" si="16"/>
        <v>0</v>
      </c>
      <c r="AN54" s="661">
        <f t="shared" si="1"/>
        <v>0</v>
      </c>
      <c r="AO54" s="662">
        <f t="shared" si="17"/>
        <v>0</v>
      </c>
      <c r="AQ54" s="663">
        <f t="shared" si="2"/>
        <v>6.9999999999996732E-3</v>
      </c>
      <c r="AR54" s="663">
        <f t="shared" si="3"/>
        <v>5.95</v>
      </c>
      <c r="AS54" s="663">
        <f t="shared" si="4"/>
        <v>5.931</v>
      </c>
      <c r="AT54" s="663">
        <f t="shared" si="5"/>
        <v>0.16199999999999992</v>
      </c>
      <c r="AV54" s="664">
        <v>48</v>
      </c>
      <c r="AW54" s="665">
        <v>2.5</v>
      </c>
      <c r="AX54" s="665">
        <v>5</v>
      </c>
      <c r="AY54" s="665">
        <v>40</v>
      </c>
      <c r="AZ54" s="664">
        <v>17.420999999999999</v>
      </c>
      <c r="BA54" s="666">
        <f t="shared" si="18"/>
        <v>5.9569999999999999</v>
      </c>
      <c r="BB54" s="666">
        <f t="shared" si="19"/>
        <v>26.542999999999999</v>
      </c>
      <c r="BC54" s="665"/>
      <c r="BD54" s="666">
        <f t="shared" si="20"/>
        <v>6.093</v>
      </c>
      <c r="BE54" s="666">
        <f t="shared" si="21"/>
        <v>26.407</v>
      </c>
    </row>
    <row r="55" spans="1:60" ht="13.15" customHeight="1">
      <c r="A55" s="645">
        <v>5.9960000000000004</v>
      </c>
      <c r="B55" s="645">
        <v>5.95</v>
      </c>
      <c r="C55" s="646" t="s">
        <v>675</v>
      </c>
      <c r="D55" s="646" t="s">
        <v>605</v>
      </c>
      <c r="E55" s="646">
        <v>10</v>
      </c>
      <c r="F55" s="647" t="s">
        <v>677</v>
      </c>
      <c r="G55" s="648">
        <v>795.56100000000004</v>
      </c>
      <c r="H55" s="648">
        <v>795.53099999999995</v>
      </c>
      <c r="I55" s="649">
        <v>3.0000000000086402E-2</v>
      </c>
      <c r="J55" s="645">
        <v>5.9390000000000001</v>
      </c>
      <c r="K55" s="645">
        <v>6.0919999999999996</v>
      </c>
      <c r="L55" s="650"/>
      <c r="M55" s="651"/>
      <c r="N55" s="652">
        <v>0.1</v>
      </c>
      <c r="O55" s="652">
        <v>8.8470529152069989E-4</v>
      </c>
      <c r="P55" s="652" t="s">
        <v>607</v>
      </c>
      <c r="Q55" s="653">
        <f t="shared" si="6"/>
        <v>3.9780000000000002</v>
      </c>
      <c r="R55" s="654">
        <f t="shared" si="7"/>
        <v>2</v>
      </c>
      <c r="S55" s="655">
        <f t="shared" si="22"/>
        <v>2.4176000000000002</v>
      </c>
      <c r="T55" s="653">
        <f t="shared" si="8"/>
        <v>2.56</v>
      </c>
      <c r="U55" s="653">
        <f t="shared" si="23"/>
        <v>7.67</v>
      </c>
      <c r="V55" s="653">
        <f t="shared" si="9"/>
        <v>0</v>
      </c>
      <c r="AA55" s="657" t="str">
        <f>IF(AB55=0,"","FA.RET02-"&amp;COUNTIF(AB$6:$AB55,1))</f>
        <v/>
      </c>
      <c r="AB55" s="658">
        <f t="shared" si="10"/>
        <v>0</v>
      </c>
      <c r="AC55" s="657" t="str">
        <f>IF(AD55=0,"","FA.RET02-"&amp;COUNTIF(AD$6:$AD55,1))</f>
        <v/>
      </c>
      <c r="AD55" s="658">
        <f t="shared" si="11"/>
        <v>0</v>
      </c>
      <c r="AE55" s="660">
        <f t="shared" si="12"/>
        <v>24.14</v>
      </c>
      <c r="AF55" s="661">
        <f t="shared" si="0"/>
        <v>1</v>
      </c>
      <c r="AG55" s="662">
        <f t="shared" si="13"/>
        <v>24.14</v>
      </c>
      <c r="AI55" s="657" t="str">
        <f>IF(AJ55=0,"","FAA.RET02-"&amp;COUNTIF($AJ$6:AJ55,1))</f>
        <v/>
      </c>
      <c r="AJ55" s="658">
        <f t="shared" si="14"/>
        <v>0</v>
      </c>
      <c r="AK55" s="657" t="str">
        <f>IF(AL54=0,"","FAA.RET02-"&amp;COUNTIF(AL$6:$AL55,1))</f>
        <v/>
      </c>
      <c r="AL55" s="658">
        <f t="shared" si="15"/>
        <v>0</v>
      </c>
      <c r="AM55" s="660">
        <f t="shared" si="16"/>
        <v>0</v>
      </c>
      <c r="AN55" s="661">
        <f t="shared" si="1"/>
        <v>0</v>
      </c>
      <c r="AO55" s="662">
        <f t="shared" si="17"/>
        <v>0</v>
      </c>
      <c r="AQ55" s="663">
        <f t="shared" si="2"/>
        <v>4.6000000000000263E-2</v>
      </c>
      <c r="AR55" s="663">
        <f t="shared" si="3"/>
        <v>5.95</v>
      </c>
      <c r="AS55" s="663">
        <f t="shared" si="4"/>
        <v>5.9390000000000001</v>
      </c>
      <c r="AT55" s="663">
        <f t="shared" si="5"/>
        <v>0.15299999999999958</v>
      </c>
      <c r="AV55" s="664">
        <v>49</v>
      </c>
      <c r="AW55" s="665">
        <v>2.5</v>
      </c>
      <c r="AX55" s="665">
        <v>5</v>
      </c>
      <c r="AY55" s="665">
        <v>40</v>
      </c>
      <c r="AZ55" s="664">
        <v>17.978999999999999</v>
      </c>
      <c r="BA55" s="666">
        <f t="shared" si="18"/>
        <v>5.9960000000000004</v>
      </c>
      <c r="BB55" s="666">
        <f t="shared" si="19"/>
        <v>26.503999999999998</v>
      </c>
      <c r="BC55" s="665"/>
      <c r="BD55" s="666">
        <f t="shared" si="20"/>
        <v>6.0919999999999996</v>
      </c>
      <c r="BE55" s="666">
        <f t="shared" si="21"/>
        <v>26.408000000000001</v>
      </c>
    </row>
    <row r="56" spans="1:60" ht="13.15" customHeight="1">
      <c r="A56" s="645">
        <v>6.0119999999999996</v>
      </c>
      <c r="B56" s="645">
        <v>5.95</v>
      </c>
      <c r="C56" s="646" t="s">
        <v>352</v>
      </c>
      <c r="D56" s="646" t="s">
        <v>605</v>
      </c>
      <c r="E56" s="646">
        <v>0</v>
      </c>
      <c r="F56" s="647" t="s">
        <v>678</v>
      </c>
      <c r="G56" s="648">
        <v>795.98900000000003</v>
      </c>
      <c r="H56" s="648">
        <v>795.95</v>
      </c>
      <c r="I56" s="649">
        <v>3.8999999999987267E-2</v>
      </c>
      <c r="J56" s="645">
        <v>6.165</v>
      </c>
      <c r="K56" s="645">
        <v>6.2990000000000004</v>
      </c>
      <c r="L56" s="650"/>
      <c r="M56" s="651"/>
      <c r="N56" s="652">
        <v>0.1</v>
      </c>
      <c r="O56" s="652">
        <v>8.8470529152069989E-4</v>
      </c>
      <c r="P56" s="652" t="s">
        <v>607</v>
      </c>
      <c r="Q56" s="653">
        <f t="shared" si="6"/>
        <v>4.024</v>
      </c>
      <c r="R56" s="654">
        <f t="shared" si="7"/>
        <v>2</v>
      </c>
      <c r="S56" s="655">
        <f t="shared" si="22"/>
        <v>2.4622000000000002</v>
      </c>
      <c r="T56" s="653">
        <f t="shared" si="8"/>
        <v>2.6</v>
      </c>
      <c r="U56" s="653">
        <f t="shared" si="23"/>
        <v>7.81</v>
      </c>
      <c r="V56" s="653">
        <f t="shared" si="9"/>
        <v>0</v>
      </c>
      <c r="AA56" s="657" t="str">
        <f>IF(AB56=0,"","FA.RET02-"&amp;COUNTIF(AB$6:$AB56,1))</f>
        <v/>
      </c>
      <c r="AB56" s="658">
        <f t="shared" si="10"/>
        <v>0</v>
      </c>
      <c r="AC56" s="657" t="str">
        <f>IF(AD56=0,"","FA.RET02-"&amp;COUNTIF(AD$6:$AD56,1))</f>
        <v/>
      </c>
      <c r="AD56" s="658">
        <f t="shared" si="11"/>
        <v>0</v>
      </c>
      <c r="AE56" s="660">
        <f t="shared" si="12"/>
        <v>24.4</v>
      </c>
      <c r="AF56" s="661">
        <f t="shared" si="0"/>
        <v>1</v>
      </c>
      <c r="AG56" s="662">
        <f t="shared" si="13"/>
        <v>48.54</v>
      </c>
      <c r="AI56" s="657" t="str">
        <f>IF(AJ56=0,"","FAA.RET02-"&amp;COUNTIF($AJ$6:AJ56,1))</f>
        <v/>
      </c>
      <c r="AJ56" s="658">
        <f t="shared" si="14"/>
        <v>0</v>
      </c>
      <c r="AK56" s="657" t="str">
        <f>IF(AL55=0,"","FAA.RET02-"&amp;COUNTIF(AL$6:$AL56,1))</f>
        <v/>
      </c>
      <c r="AL56" s="658">
        <f t="shared" si="15"/>
        <v>0</v>
      </c>
      <c r="AM56" s="660">
        <f t="shared" si="16"/>
        <v>0</v>
      </c>
      <c r="AN56" s="661">
        <f t="shared" si="1"/>
        <v>0</v>
      </c>
      <c r="AO56" s="662">
        <f t="shared" si="17"/>
        <v>0</v>
      </c>
      <c r="AQ56" s="663">
        <f t="shared" si="2"/>
        <v>6.1999999999999389E-2</v>
      </c>
      <c r="AR56" s="663">
        <f t="shared" si="3"/>
        <v>5.95</v>
      </c>
      <c r="AS56" s="663">
        <f t="shared" si="4"/>
        <v>6.165</v>
      </c>
      <c r="AT56" s="663">
        <f t="shared" si="5"/>
        <v>0.13400000000000034</v>
      </c>
      <c r="AV56" s="664">
        <v>50</v>
      </c>
      <c r="AW56" s="665">
        <v>2.5</v>
      </c>
      <c r="AX56" s="665">
        <v>5</v>
      </c>
      <c r="AY56" s="665">
        <v>40</v>
      </c>
      <c r="AZ56" s="664">
        <v>17.779</v>
      </c>
      <c r="BA56" s="666">
        <f t="shared" si="18"/>
        <v>6.0119999999999996</v>
      </c>
      <c r="BB56" s="666">
        <f t="shared" si="19"/>
        <v>26.488</v>
      </c>
      <c r="BC56" s="665"/>
      <c r="BD56" s="666">
        <f t="shared" si="20"/>
        <v>6.2990000000000004</v>
      </c>
      <c r="BE56" s="666">
        <f t="shared" si="21"/>
        <v>26.201000000000001</v>
      </c>
    </row>
    <row r="57" spans="1:60" ht="13.15" customHeight="1">
      <c r="A57" s="645">
        <v>6.0190000000000001</v>
      </c>
      <c r="B57" s="645">
        <v>5.95</v>
      </c>
      <c r="C57" s="646" t="s">
        <v>352</v>
      </c>
      <c r="D57" s="646" t="s">
        <v>605</v>
      </c>
      <c r="E57" s="646">
        <v>10</v>
      </c>
      <c r="F57" s="647" t="s">
        <v>679</v>
      </c>
      <c r="G57" s="648">
        <v>796.43600000000004</v>
      </c>
      <c r="H57" s="648">
        <v>796.37099999999998</v>
      </c>
      <c r="I57" s="649">
        <v>6.500000000005457E-2</v>
      </c>
      <c r="J57" s="645">
        <v>6.6790000000000003</v>
      </c>
      <c r="K57" s="645">
        <v>6.86</v>
      </c>
      <c r="L57" s="650"/>
      <c r="M57" s="651"/>
      <c r="N57" s="652">
        <v>0.1</v>
      </c>
      <c r="O57" s="652">
        <v>8.8470529152069989E-4</v>
      </c>
      <c r="P57" s="652" t="s">
        <v>607</v>
      </c>
      <c r="Q57" s="653">
        <f t="shared" si="6"/>
        <v>4.1260000000000003</v>
      </c>
      <c r="R57" s="654">
        <f t="shared" si="7"/>
        <v>2</v>
      </c>
      <c r="S57" s="655">
        <f t="shared" si="22"/>
        <v>2.5758000000000005</v>
      </c>
      <c r="T57" s="653">
        <f t="shared" si="8"/>
        <v>2.71</v>
      </c>
      <c r="U57" s="653">
        <f t="shared" si="23"/>
        <v>8.1199999999999992</v>
      </c>
      <c r="V57" s="653">
        <f t="shared" si="9"/>
        <v>0</v>
      </c>
      <c r="AA57" s="657" t="str">
        <f>IF(AB57=0,"","FA.RET02-"&amp;COUNTIF(AB$6:$AB57,1))</f>
        <v/>
      </c>
      <c r="AB57" s="658">
        <f t="shared" si="10"/>
        <v>0</v>
      </c>
      <c r="AC57" s="657" t="str">
        <f>IF(AD57=0,"","FA.RET02-"&amp;COUNTIF(AD$6:$AD57,1))</f>
        <v/>
      </c>
      <c r="AD57" s="658">
        <f t="shared" si="11"/>
        <v>0</v>
      </c>
      <c r="AE57" s="660">
        <f t="shared" si="12"/>
        <v>25.19</v>
      </c>
      <c r="AF57" s="661">
        <f t="shared" si="0"/>
        <v>1</v>
      </c>
      <c r="AG57" s="662">
        <f t="shared" si="13"/>
        <v>73.73</v>
      </c>
      <c r="AI57" s="657" t="str">
        <f>IF(AJ57=0,"","FAA.RET02-"&amp;COUNTIF($AJ$6:AJ57,1))</f>
        <v/>
      </c>
      <c r="AJ57" s="658">
        <f t="shared" si="14"/>
        <v>0</v>
      </c>
      <c r="AK57" s="657" t="str">
        <f>IF(AL56=0,"","FAA.RET02-"&amp;COUNTIF(AL$6:$AL57,1))</f>
        <v/>
      </c>
      <c r="AL57" s="658">
        <f t="shared" si="15"/>
        <v>0</v>
      </c>
      <c r="AM57" s="660">
        <f t="shared" si="16"/>
        <v>0</v>
      </c>
      <c r="AN57" s="661">
        <f t="shared" si="1"/>
        <v>0</v>
      </c>
      <c r="AO57" s="662">
        <f t="shared" si="17"/>
        <v>0</v>
      </c>
      <c r="AQ57" s="663">
        <f t="shared" si="2"/>
        <v>6.899999999999995E-2</v>
      </c>
      <c r="AR57" s="663">
        <f t="shared" si="3"/>
        <v>5.95</v>
      </c>
      <c r="AS57" s="663">
        <f t="shared" si="4"/>
        <v>6.6790000000000003</v>
      </c>
      <c r="AT57" s="663">
        <f t="shared" si="5"/>
        <v>0.18100000000000005</v>
      </c>
      <c r="AV57" s="664">
        <v>51</v>
      </c>
      <c r="AW57" s="665">
        <v>2.5</v>
      </c>
      <c r="AX57" s="665">
        <v>5</v>
      </c>
      <c r="AY57" s="665">
        <v>40</v>
      </c>
      <c r="AZ57" s="664">
        <v>18.119</v>
      </c>
      <c r="BA57" s="666">
        <f t="shared" si="18"/>
        <v>6.0190000000000001</v>
      </c>
      <c r="BB57" s="666">
        <f t="shared" si="19"/>
        <v>26.481000000000002</v>
      </c>
      <c r="BC57" s="665"/>
      <c r="BD57" s="666">
        <f t="shared" si="20"/>
        <v>6.86</v>
      </c>
      <c r="BE57" s="666">
        <f t="shared" si="21"/>
        <v>25.64</v>
      </c>
    </row>
    <row r="58" spans="1:60" ht="13.15" customHeight="1">
      <c r="A58" s="645">
        <v>6.016</v>
      </c>
      <c r="B58" s="645">
        <v>5.95</v>
      </c>
      <c r="C58" s="646" t="s">
        <v>680</v>
      </c>
      <c r="D58" s="646" t="s">
        <v>605</v>
      </c>
      <c r="E58" s="646">
        <v>0</v>
      </c>
      <c r="F58" s="647" t="s">
        <v>681</v>
      </c>
      <c r="G58" s="648">
        <v>796.90300000000002</v>
      </c>
      <c r="H58" s="648">
        <v>796.86900000000003</v>
      </c>
      <c r="I58" s="649">
        <v>3.3999999999991815E-2</v>
      </c>
      <c r="J58" s="645">
        <v>7.3970000000000002</v>
      </c>
      <c r="K58" s="645">
        <v>7.51</v>
      </c>
      <c r="L58" s="650"/>
      <c r="M58" s="651"/>
      <c r="N58" s="652">
        <v>0.1</v>
      </c>
      <c r="O58" s="652">
        <v>8.8470529152069989E-4</v>
      </c>
      <c r="P58" s="652" t="s">
        <v>607</v>
      </c>
      <c r="Q58" s="653">
        <f t="shared" si="6"/>
        <v>4.2700000000000005</v>
      </c>
      <c r="R58" s="654">
        <f t="shared" si="7"/>
        <v>2</v>
      </c>
      <c r="S58" s="655">
        <f t="shared" si="22"/>
        <v>2.7052</v>
      </c>
      <c r="T58" s="653">
        <f t="shared" si="8"/>
        <v>2.85</v>
      </c>
      <c r="U58" s="653">
        <f t="shared" si="23"/>
        <v>8.5500000000000007</v>
      </c>
      <c r="V58" s="653">
        <f t="shared" si="9"/>
        <v>0</v>
      </c>
      <c r="AA58" s="657" t="str">
        <f>IF(AB58=0,"","FA.RET02-"&amp;COUNTIF(AB$6:$AB58,1))</f>
        <v/>
      </c>
      <c r="AB58" s="658">
        <f t="shared" si="10"/>
        <v>0</v>
      </c>
      <c r="AC58" s="657" t="str">
        <f>IF(AD58=0,"","FA.RET02-"&amp;COUNTIF(AD$6:$AD58,1))</f>
        <v>FA.RET02-4</v>
      </c>
      <c r="AD58" s="658">
        <f t="shared" si="11"/>
        <v>1</v>
      </c>
      <c r="AE58" s="660">
        <f t="shared" si="12"/>
        <v>26.41</v>
      </c>
      <c r="AF58" s="661">
        <f t="shared" si="0"/>
        <v>1</v>
      </c>
      <c r="AG58" s="662">
        <f t="shared" si="13"/>
        <v>100.14</v>
      </c>
      <c r="AI58" s="657" t="str">
        <f>IF(AJ58=0,"","FAA.RET02-"&amp;COUNTIF($AJ$6:AJ58,1))</f>
        <v/>
      </c>
      <c r="AJ58" s="658">
        <f t="shared" si="14"/>
        <v>0</v>
      </c>
      <c r="AK58" s="657" t="str">
        <f>IF(AL57=0,"","FAA.RET02-"&amp;COUNTIF(AL$6:$AL58,1))</f>
        <v/>
      </c>
      <c r="AL58" s="658">
        <f t="shared" si="15"/>
        <v>0</v>
      </c>
      <c r="AM58" s="660">
        <f t="shared" si="16"/>
        <v>0</v>
      </c>
      <c r="AN58" s="661">
        <f t="shared" si="1"/>
        <v>0</v>
      </c>
      <c r="AO58" s="662">
        <f t="shared" si="17"/>
        <v>0</v>
      </c>
      <c r="AQ58" s="663">
        <f t="shared" si="2"/>
        <v>6.5999999999999837E-2</v>
      </c>
      <c r="AR58" s="663">
        <f t="shared" si="3"/>
        <v>5.95</v>
      </c>
      <c r="AS58" s="663">
        <f t="shared" si="4"/>
        <v>7.3970000000000002</v>
      </c>
      <c r="AT58" s="663">
        <f t="shared" si="5"/>
        <v>0.11299999999999955</v>
      </c>
      <c r="AV58" s="664">
        <v>52</v>
      </c>
      <c r="AW58" s="665">
        <v>2.5</v>
      </c>
      <c r="AX58" s="665">
        <v>5</v>
      </c>
      <c r="AY58" s="665">
        <v>40</v>
      </c>
      <c r="AZ58" s="664">
        <v>18.012999999999998</v>
      </c>
      <c r="BA58" s="666">
        <f t="shared" si="18"/>
        <v>6.016</v>
      </c>
      <c r="BB58" s="666">
        <f t="shared" si="19"/>
        <v>26.484000000000002</v>
      </c>
      <c r="BC58" s="665"/>
      <c r="BD58" s="666">
        <f t="shared" si="20"/>
        <v>7.51</v>
      </c>
      <c r="BE58" s="666">
        <f t="shared" si="21"/>
        <v>24.990000000000002</v>
      </c>
    </row>
    <row r="59" spans="1:60" ht="13.15" customHeight="1">
      <c r="A59" s="645">
        <v>5.9580000000000002</v>
      </c>
      <c r="B59" s="645">
        <v>5.95</v>
      </c>
      <c r="C59" s="646" t="s">
        <v>680</v>
      </c>
      <c r="D59" s="646" t="s">
        <v>605</v>
      </c>
      <c r="E59" s="646">
        <v>10</v>
      </c>
      <c r="F59" s="647" t="s">
        <v>682</v>
      </c>
      <c r="G59" s="648">
        <v>797.38900000000001</v>
      </c>
      <c r="H59" s="648">
        <v>797.39300000000003</v>
      </c>
      <c r="I59" s="649">
        <v>-4.0000000000190994E-3</v>
      </c>
      <c r="J59" s="645">
        <v>8.0069999999999997</v>
      </c>
      <c r="K59" s="645">
        <v>8.19</v>
      </c>
      <c r="L59" s="650"/>
      <c r="M59" s="651"/>
      <c r="N59" s="652">
        <v>0.1</v>
      </c>
      <c r="O59" s="652">
        <v>8.8470529152069989E-4</v>
      </c>
      <c r="P59" s="652" t="s">
        <v>607</v>
      </c>
      <c r="Q59" s="653">
        <f t="shared" si="6"/>
        <v>4.3920000000000003</v>
      </c>
      <c r="R59" s="654">
        <f t="shared" si="7"/>
        <v>1</v>
      </c>
      <c r="S59" s="655">
        <f t="shared" si="22"/>
        <v>2.7914000000000003</v>
      </c>
      <c r="T59" s="653">
        <f t="shared" si="8"/>
        <v>0</v>
      </c>
      <c r="U59" s="653">
        <f t="shared" si="23"/>
        <v>0</v>
      </c>
      <c r="V59" s="653">
        <f t="shared" si="9"/>
        <v>2.7914000000000003</v>
      </c>
      <c r="AA59" s="657" t="str">
        <f>IF(AB59=0,"","FA.RET02-"&amp;COUNTIF(AB$6:$AB59,1))</f>
        <v/>
      </c>
      <c r="AB59" s="658">
        <f t="shared" si="10"/>
        <v>0</v>
      </c>
      <c r="AC59" s="657" t="str">
        <f>IF(AD59=0,"","FA.RET02-"&amp;COUNTIF(AD$6:$AD59,1))</f>
        <v/>
      </c>
      <c r="AD59" s="658">
        <f t="shared" si="11"/>
        <v>0</v>
      </c>
      <c r="AE59" s="660">
        <f t="shared" si="12"/>
        <v>0</v>
      </c>
      <c r="AF59" s="661">
        <f t="shared" si="0"/>
        <v>0</v>
      </c>
      <c r="AG59" s="662">
        <f t="shared" si="13"/>
        <v>0</v>
      </c>
      <c r="AI59" s="657" t="str">
        <f>IF(AJ59=0,"","FAA.RET02-"&amp;COUNTIF($AJ$6:AJ59,1))</f>
        <v/>
      </c>
      <c r="AJ59" s="658">
        <f t="shared" si="14"/>
        <v>0</v>
      </c>
      <c r="AK59" s="657" t="str">
        <f>IF(AL58=0,"","FAA.RET02-"&amp;COUNTIF(AL$6:$AL59,1))</f>
        <v/>
      </c>
      <c r="AL59" s="658">
        <f t="shared" si="15"/>
        <v>0</v>
      </c>
      <c r="AM59" s="660">
        <f t="shared" si="16"/>
        <v>0</v>
      </c>
      <c r="AN59" s="661">
        <f t="shared" si="1"/>
        <v>0</v>
      </c>
      <c r="AO59" s="662">
        <f t="shared" si="17"/>
        <v>0</v>
      </c>
      <c r="AQ59" s="663">
        <f t="shared" si="2"/>
        <v>8.0000000000000071E-3</v>
      </c>
      <c r="AR59" s="663">
        <f t="shared" si="3"/>
        <v>5.95</v>
      </c>
      <c r="AS59" s="663">
        <f t="shared" si="4"/>
        <v>8.0069999999999997</v>
      </c>
      <c r="AT59" s="663">
        <f t="shared" si="5"/>
        <v>0.18299999999999983</v>
      </c>
      <c r="AV59" s="664">
        <v>53</v>
      </c>
      <c r="AW59" s="665">
        <v>2.5</v>
      </c>
      <c r="AX59" s="665">
        <v>5</v>
      </c>
      <c r="AY59" s="665">
        <v>40</v>
      </c>
      <c r="AZ59" s="664">
        <v>17.704999999999998</v>
      </c>
      <c r="BA59" s="666">
        <f t="shared" si="18"/>
        <v>5.9580000000000002</v>
      </c>
      <c r="BB59" s="666">
        <f t="shared" si="19"/>
        <v>26.542000000000002</v>
      </c>
      <c r="BC59" s="665"/>
      <c r="BD59" s="666">
        <f t="shared" si="20"/>
        <v>8.19</v>
      </c>
      <c r="BE59" s="666">
        <f t="shared" si="21"/>
        <v>24.310000000000002</v>
      </c>
    </row>
    <row r="60" spans="1:60" ht="13.15" customHeight="1">
      <c r="A60" s="645">
        <v>5.9740000000000002</v>
      </c>
      <c r="B60" s="645">
        <v>5.95</v>
      </c>
      <c r="C60" s="646" t="s">
        <v>683</v>
      </c>
      <c r="D60" s="646" t="s">
        <v>605</v>
      </c>
      <c r="E60" s="646">
        <v>0</v>
      </c>
      <c r="F60" s="647" t="s">
        <v>684</v>
      </c>
      <c r="G60" s="648">
        <v>797.89400000000001</v>
      </c>
      <c r="H60" s="648">
        <v>797.89099999999996</v>
      </c>
      <c r="I60" s="649">
        <v>3.0000000000427463E-3</v>
      </c>
      <c r="J60" s="645">
        <v>8.3469999999999995</v>
      </c>
      <c r="K60" s="645">
        <v>8.4060000000000006</v>
      </c>
      <c r="L60" s="650"/>
      <c r="M60" s="651"/>
      <c r="N60" s="652">
        <v>0.1</v>
      </c>
      <c r="O60" s="652">
        <v>8.8470529152069989E-4</v>
      </c>
      <c r="P60" s="652" t="s">
        <v>607</v>
      </c>
      <c r="Q60" s="653">
        <f t="shared" si="6"/>
        <v>4.46</v>
      </c>
      <c r="R60" s="654">
        <f t="shared" si="7"/>
        <v>2</v>
      </c>
      <c r="S60" s="655">
        <f t="shared" si="22"/>
        <v>2.8760000000000003</v>
      </c>
      <c r="T60" s="653">
        <f t="shared" si="8"/>
        <v>3.04</v>
      </c>
      <c r="U60" s="653">
        <f t="shared" si="23"/>
        <v>9.1199999999999992</v>
      </c>
      <c r="V60" s="653">
        <f t="shared" si="9"/>
        <v>0</v>
      </c>
      <c r="AA60" s="657" t="str">
        <f>IF(AB60=0,"","FA.RET02-"&amp;COUNTIF(AB$6:$AB60,1))</f>
        <v>FA.RET02-5</v>
      </c>
      <c r="AB60" s="658">
        <f t="shared" si="10"/>
        <v>1</v>
      </c>
      <c r="AC60" s="657" t="str">
        <f>IF(AD60=0,"","FA.RET02-"&amp;COUNTIF(AD$6:$AD60,1))</f>
        <v/>
      </c>
      <c r="AD60" s="658">
        <f t="shared" si="11"/>
        <v>0</v>
      </c>
      <c r="AE60" s="660">
        <f t="shared" si="12"/>
        <v>28.34</v>
      </c>
      <c r="AF60" s="661">
        <f t="shared" si="0"/>
        <v>1</v>
      </c>
      <c r="AG60" s="662">
        <f t="shared" si="13"/>
        <v>28.34</v>
      </c>
      <c r="AI60" s="657" t="str">
        <f>IF(AJ60=0,"","FAA.RET02-"&amp;COUNTIF($AJ$6:AJ60,1))</f>
        <v/>
      </c>
      <c r="AJ60" s="658">
        <f t="shared" si="14"/>
        <v>0</v>
      </c>
      <c r="AK60" s="657" t="str">
        <f>IF(AL59=0,"","FAA.RET02-"&amp;COUNTIF(AL$6:$AL60,1))</f>
        <v/>
      </c>
      <c r="AL60" s="658">
        <f t="shared" si="15"/>
        <v>0</v>
      </c>
      <c r="AM60" s="660">
        <f t="shared" si="16"/>
        <v>0</v>
      </c>
      <c r="AN60" s="661">
        <f t="shared" si="1"/>
        <v>0</v>
      </c>
      <c r="AO60" s="662">
        <f t="shared" si="17"/>
        <v>0</v>
      </c>
      <c r="AQ60" s="663">
        <f t="shared" si="2"/>
        <v>2.4000000000000021E-2</v>
      </c>
      <c r="AR60" s="663">
        <f t="shared" si="3"/>
        <v>5.95</v>
      </c>
      <c r="AS60" s="663">
        <f t="shared" si="4"/>
        <v>8.3469999999999995</v>
      </c>
      <c r="AT60" s="663">
        <f t="shared" si="5"/>
        <v>5.9000000000001052E-2</v>
      </c>
      <c r="AV60" s="664">
        <v>54</v>
      </c>
      <c r="AW60" s="665">
        <v>2.5</v>
      </c>
      <c r="AX60" s="665">
        <v>5</v>
      </c>
      <c r="AY60" s="665">
        <v>40</v>
      </c>
      <c r="AZ60" s="664">
        <v>17.661999999999999</v>
      </c>
      <c r="BA60" s="666">
        <f t="shared" si="18"/>
        <v>5.9740000000000002</v>
      </c>
      <c r="BB60" s="666">
        <f t="shared" si="19"/>
        <v>26.526</v>
      </c>
      <c r="BC60" s="665"/>
      <c r="BD60" s="666">
        <f t="shared" si="20"/>
        <v>8.4060000000000006</v>
      </c>
      <c r="BE60" s="666">
        <f t="shared" si="21"/>
        <v>24.094000000000001</v>
      </c>
      <c r="BH60" s="624" t="e">
        <f>AVERAGEIFS(AZ6:$AZ$115,$AV$6:$AV$115,19,$AV$6:$AV$115,20)</f>
        <v>#DIV/0!</v>
      </c>
    </row>
    <row r="61" spans="1:60" ht="13.15" customHeight="1">
      <c r="A61" s="645">
        <v>6.0110000000000001</v>
      </c>
      <c r="B61" s="645">
        <v>5.95</v>
      </c>
      <c r="C61" s="646" t="s">
        <v>683</v>
      </c>
      <c r="D61" s="646" t="s">
        <v>605</v>
      </c>
      <c r="E61" s="646">
        <v>10</v>
      </c>
      <c r="F61" s="647" t="s">
        <v>685</v>
      </c>
      <c r="G61" s="648">
        <v>798.41800000000001</v>
      </c>
      <c r="H61" s="648">
        <v>798.399</v>
      </c>
      <c r="I61" s="649">
        <v>1.9000000000005457E-2</v>
      </c>
      <c r="J61" s="645">
        <v>8.4250000000000007</v>
      </c>
      <c r="K61" s="645">
        <v>8.51</v>
      </c>
      <c r="L61" s="650"/>
      <c r="M61" s="651"/>
      <c r="N61" s="652">
        <v>0.1</v>
      </c>
      <c r="O61" s="652">
        <v>8.8470529152069989E-4</v>
      </c>
      <c r="P61" s="652" t="s">
        <v>607</v>
      </c>
      <c r="Q61" s="653">
        <f t="shared" si="6"/>
        <v>4.476</v>
      </c>
      <c r="R61" s="654">
        <f t="shared" si="7"/>
        <v>2</v>
      </c>
      <c r="S61" s="655">
        <f t="shared" si="22"/>
        <v>2.9041999999999999</v>
      </c>
      <c r="T61" s="653">
        <f t="shared" si="8"/>
        <v>3.06</v>
      </c>
      <c r="U61" s="653">
        <f t="shared" si="23"/>
        <v>9.17</v>
      </c>
      <c r="V61" s="653">
        <f t="shared" si="9"/>
        <v>0</v>
      </c>
      <c r="AA61" s="657" t="str">
        <f>IF(AB61=0,"","FA.RET02-"&amp;COUNTIF(AB$6:$AB61,1))</f>
        <v/>
      </c>
      <c r="AB61" s="658">
        <f t="shared" si="10"/>
        <v>0</v>
      </c>
      <c r="AC61" s="657" t="str">
        <f>IF(AD61=0,"","FA.RET02-"&amp;COUNTIF(AD$6:$AD61,1))</f>
        <v/>
      </c>
      <c r="AD61" s="658">
        <f t="shared" si="11"/>
        <v>0</v>
      </c>
      <c r="AE61" s="660">
        <f t="shared" si="12"/>
        <v>28.9</v>
      </c>
      <c r="AF61" s="661">
        <f t="shared" si="0"/>
        <v>1</v>
      </c>
      <c r="AG61" s="662">
        <f t="shared" si="13"/>
        <v>57.239999999999995</v>
      </c>
      <c r="AI61" s="657" t="str">
        <f>IF(AJ61=0,"","FAA.RET02-"&amp;COUNTIF($AJ$6:AJ61,1))</f>
        <v/>
      </c>
      <c r="AJ61" s="658">
        <f t="shared" si="14"/>
        <v>0</v>
      </c>
      <c r="AK61" s="657" t="str">
        <f>IF(AL60=0,"","FAA.RET02-"&amp;COUNTIF(AL$6:$AL61,1))</f>
        <v/>
      </c>
      <c r="AL61" s="658">
        <f t="shared" si="15"/>
        <v>0</v>
      </c>
      <c r="AM61" s="660">
        <f t="shared" si="16"/>
        <v>0</v>
      </c>
      <c r="AN61" s="661">
        <f t="shared" si="1"/>
        <v>0</v>
      </c>
      <c r="AO61" s="662">
        <f t="shared" si="17"/>
        <v>0</v>
      </c>
      <c r="AQ61" s="663">
        <f t="shared" si="2"/>
        <v>6.0999999999999943E-2</v>
      </c>
      <c r="AR61" s="663">
        <f t="shared" si="3"/>
        <v>5.95</v>
      </c>
      <c r="AS61" s="663">
        <f t="shared" si="4"/>
        <v>8.4250000000000007</v>
      </c>
      <c r="AT61" s="663">
        <f t="shared" si="5"/>
        <v>8.4999999999999076E-2</v>
      </c>
      <c r="AV61" s="664">
        <v>55</v>
      </c>
      <c r="AW61" s="665">
        <v>2.5</v>
      </c>
      <c r="AX61" s="665">
        <v>5</v>
      </c>
      <c r="AY61" s="665">
        <v>40</v>
      </c>
      <c r="AZ61" s="664">
        <v>17.035</v>
      </c>
      <c r="BA61" s="666">
        <f t="shared" si="18"/>
        <v>6.0110000000000001</v>
      </c>
      <c r="BB61" s="666">
        <f t="shared" si="19"/>
        <v>26.489000000000001</v>
      </c>
      <c r="BC61" s="665"/>
      <c r="BD61" s="666">
        <f t="shared" si="20"/>
        <v>8.51</v>
      </c>
      <c r="BE61" s="686">
        <f t="shared" si="21"/>
        <v>23.990000000000002</v>
      </c>
      <c r="BG61" s="687">
        <f>MIN(BE61:BE97)</f>
        <v>21.753</v>
      </c>
      <c r="BH61" s="624">
        <f>AVERAGEIFS(AZ6:AZ115,AV6:AV115,"&gt;=55",AV6:AV115,"&lt;100")</f>
        <v>19.473489795918365</v>
      </c>
    </row>
    <row r="62" spans="1:60" ht="13.15" customHeight="1">
      <c r="A62" s="645">
        <v>6.0110000000000001</v>
      </c>
      <c r="B62" s="645">
        <v>5.95</v>
      </c>
      <c r="C62" s="646" t="s">
        <v>686</v>
      </c>
      <c r="D62" s="646" t="s">
        <v>605</v>
      </c>
      <c r="E62" s="646">
        <v>0</v>
      </c>
      <c r="F62" s="647" t="s">
        <v>687</v>
      </c>
      <c r="G62" s="648">
        <v>798.96199999999999</v>
      </c>
      <c r="H62" s="648">
        <v>798.94100000000003</v>
      </c>
      <c r="I62" s="649">
        <v>2.0999999999958163E-2</v>
      </c>
      <c r="J62" s="645">
        <v>8.4250000000000007</v>
      </c>
      <c r="K62" s="645">
        <v>8.51</v>
      </c>
      <c r="L62" s="650"/>
      <c r="M62" s="651"/>
      <c r="N62" s="652">
        <v>0.1</v>
      </c>
      <c r="O62" s="652">
        <v>8.8470529152069989E-4</v>
      </c>
      <c r="P62" s="652" t="s">
        <v>607</v>
      </c>
      <c r="Q62" s="653">
        <f t="shared" si="6"/>
        <v>4.476</v>
      </c>
      <c r="R62" s="654">
        <f t="shared" si="7"/>
        <v>2</v>
      </c>
      <c r="S62" s="655">
        <f t="shared" si="22"/>
        <v>2.9041999999999999</v>
      </c>
      <c r="T62" s="653">
        <f t="shared" si="8"/>
        <v>3.06</v>
      </c>
      <c r="U62" s="653">
        <f t="shared" si="23"/>
        <v>9.17</v>
      </c>
      <c r="V62" s="653">
        <f t="shared" si="9"/>
        <v>0</v>
      </c>
      <c r="AA62" s="657" t="str">
        <f>IF(AB62=0,"","FA.RET02-"&amp;COUNTIF(AB$6:$AB62,1))</f>
        <v/>
      </c>
      <c r="AB62" s="658">
        <f t="shared" si="10"/>
        <v>0</v>
      </c>
      <c r="AC62" s="657" t="str">
        <f>IF(AD62=0,"","FA.RET02-"&amp;COUNTIF(AD$6:$AD62,1))</f>
        <v/>
      </c>
      <c r="AD62" s="658">
        <f t="shared" si="11"/>
        <v>0</v>
      </c>
      <c r="AE62" s="660">
        <f t="shared" si="12"/>
        <v>29.04</v>
      </c>
      <c r="AF62" s="661">
        <f t="shared" si="0"/>
        <v>1</v>
      </c>
      <c r="AG62" s="662">
        <f t="shared" si="13"/>
        <v>86.28</v>
      </c>
      <c r="AI62" s="657" t="str">
        <f>IF(AJ62=0,"","FAA.RET02-"&amp;COUNTIF($AJ$6:AJ62,1))</f>
        <v/>
      </c>
      <c r="AJ62" s="658">
        <f t="shared" si="14"/>
        <v>0</v>
      </c>
      <c r="AK62" s="657" t="str">
        <f>IF(AL61=0,"","FAA.RET02-"&amp;COUNTIF(AL$6:$AL62,1))</f>
        <v/>
      </c>
      <c r="AL62" s="658">
        <f t="shared" si="15"/>
        <v>0</v>
      </c>
      <c r="AM62" s="660">
        <f t="shared" si="16"/>
        <v>0</v>
      </c>
      <c r="AN62" s="661">
        <f t="shared" si="1"/>
        <v>0</v>
      </c>
      <c r="AO62" s="662">
        <f t="shared" si="17"/>
        <v>0</v>
      </c>
      <c r="AQ62" s="663">
        <f t="shared" si="2"/>
        <v>6.0999999999999943E-2</v>
      </c>
      <c r="AR62" s="663">
        <f t="shared" si="3"/>
        <v>5.95</v>
      </c>
      <c r="AS62" s="663">
        <f t="shared" si="4"/>
        <v>8.4250000000000007</v>
      </c>
      <c r="AT62" s="663">
        <f t="shared" si="5"/>
        <v>8.4999999999999076E-2</v>
      </c>
      <c r="AV62" s="664">
        <v>56</v>
      </c>
      <c r="AW62" s="665">
        <v>2.5</v>
      </c>
      <c r="AX62" s="665">
        <v>5</v>
      </c>
      <c r="AY62" s="665">
        <v>40</v>
      </c>
      <c r="AZ62" s="664">
        <v>16.757000000000001</v>
      </c>
      <c r="BA62" s="666">
        <f t="shared" si="18"/>
        <v>6.0110000000000001</v>
      </c>
      <c r="BB62" s="666">
        <f t="shared" si="19"/>
        <v>26.489000000000001</v>
      </c>
      <c r="BC62" s="665"/>
      <c r="BD62" s="666">
        <f t="shared" si="20"/>
        <v>8.51</v>
      </c>
      <c r="BE62" s="686">
        <f t="shared" si="21"/>
        <v>23.990000000000002</v>
      </c>
    </row>
    <row r="63" spans="1:60" ht="13.15" customHeight="1">
      <c r="A63" s="645">
        <v>5.992</v>
      </c>
      <c r="B63" s="645">
        <v>5.95</v>
      </c>
      <c r="C63" s="646" t="s">
        <v>686</v>
      </c>
      <c r="D63" s="646" t="s">
        <v>605</v>
      </c>
      <c r="E63" s="646">
        <v>10</v>
      </c>
      <c r="F63" s="647" t="s">
        <v>688</v>
      </c>
      <c r="G63" s="648">
        <v>799.51599999999996</v>
      </c>
      <c r="H63" s="648">
        <v>799.50800000000004</v>
      </c>
      <c r="I63" s="649">
        <v>7.9999999999245119E-3</v>
      </c>
      <c r="J63" s="645">
        <v>8.4250000000000007</v>
      </c>
      <c r="K63" s="645">
        <v>8.5990000000000002</v>
      </c>
      <c r="L63" s="650"/>
      <c r="M63" s="651"/>
      <c r="N63" s="652">
        <v>0.1</v>
      </c>
      <c r="O63" s="652">
        <v>8.8470529152069989E-4</v>
      </c>
      <c r="P63" s="652" t="s">
        <v>607</v>
      </c>
      <c r="Q63" s="653">
        <f t="shared" si="6"/>
        <v>4.476</v>
      </c>
      <c r="R63" s="654">
        <f t="shared" si="7"/>
        <v>2</v>
      </c>
      <c r="S63" s="655">
        <f t="shared" si="22"/>
        <v>2.9182000000000006</v>
      </c>
      <c r="T63" s="653">
        <f t="shared" si="8"/>
        <v>3.06</v>
      </c>
      <c r="U63" s="653">
        <f t="shared" si="23"/>
        <v>9.17</v>
      </c>
      <c r="V63" s="653">
        <f t="shared" si="9"/>
        <v>0</v>
      </c>
      <c r="AA63" s="657" t="str">
        <f>IF(AB63=0,"","FA.RET02-"&amp;COUNTIF(AB$6:$AB63,1))</f>
        <v/>
      </c>
      <c r="AB63" s="658">
        <f t="shared" si="10"/>
        <v>0</v>
      </c>
      <c r="AC63" s="657" t="str">
        <f>IF(AD63=0,"","FA.RET02-"&amp;COUNTIF(AD$6:$AD63,1))</f>
        <v>FA.RET02-5</v>
      </c>
      <c r="AD63" s="658">
        <f t="shared" si="11"/>
        <v>1</v>
      </c>
      <c r="AE63" s="660">
        <f t="shared" si="12"/>
        <v>29.11</v>
      </c>
      <c r="AF63" s="661">
        <f t="shared" si="0"/>
        <v>1</v>
      </c>
      <c r="AG63" s="662">
        <f t="shared" si="13"/>
        <v>115.39</v>
      </c>
      <c r="AI63" s="657" t="str">
        <f>IF(AJ63=0,"","FAA.RET02-"&amp;COUNTIF($AJ$6:AJ63,1))</f>
        <v/>
      </c>
      <c r="AJ63" s="658">
        <f t="shared" si="14"/>
        <v>0</v>
      </c>
      <c r="AK63" s="657" t="str">
        <f>IF(AL62=0,"","FAA.RET02-"&amp;COUNTIF(AL$6:$AL63,1))</f>
        <v/>
      </c>
      <c r="AL63" s="658">
        <f t="shared" si="15"/>
        <v>0</v>
      </c>
      <c r="AM63" s="660">
        <f t="shared" si="16"/>
        <v>0</v>
      </c>
      <c r="AN63" s="661">
        <f t="shared" si="1"/>
        <v>0</v>
      </c>
      <c r="AO63" s="662">
        <f t="shared" si="17"/>
        <v>0</v>
      </c>
      <c r="AQ63" s="663">
        <f t="shared" si="2"/>
        <v>4.1999999999999815E-2</v>
      </c>
      <c r="AR63" s="663">
        <f t="shared" si="3"/>
        <v>5.95</v>
      </c>
      <c r="AS63" s="663">
        <f t="shared" si="4"/>
        <v>8.4250000000000007</v>
      </c>
      <c r="AT63" s="663">
        <f t="shared" si="5"/>
        <v>0.17399999999999949</v>
      </c>
      <c r="AV63" s="664">
        <v>57</v>
      </c>
      <c r="AW63" s="665">
        <v>2.5</v>
      </c>
      <c r="AX63" s="665">
        <v>5</v>
      </c>
      <c r="AY63" s="665">
        <v>40</v>
      </c>
      <c r="AZ63" s="664">
        <v>17.402999999999999</v>
      </c>
      <c r="BA63" s="666">
        <f t="shared" si="18"/>
        <v>5.992</v>
      </c>
      <c r="BB63" s="666">
        <f t="shared" si="19"/>
        <v>26.507999999999999</v>
      </c>
      <c r="BC63" s="665"/>
      <c r="BD63" s="666">
        <f t="shared" si="20"/>
        <v>8.5990000000000002</v>
      </c>
      <c r="BE63" s="686">
        <f t="shared" si="21"/>
        <v>23.901</v>
      </c>
    </row>
    <row r="64" spans="1:60" ht="13.15" customHeight="1">
      <c r="A64" s="645">
        <v>6.0140000000000002</v>
      </c>
      <c r="B64" s="645">
        <v>5.95</v>
      </c>
      <c r="C64" s="646" t="s">
        <v>689</v>
      </c>
      <c r="D64" s="646" t="s">
        <v>605</v>
      </c>
      <c r="E64" s="646">
        <v>0</v>
      </c>
      <c r="F64" s="647" t="s">
        <v>690</v>
      </c>
      <c r="G64" s="648">
        <v>800.07</v>
      </c>
      <c r="H64" s="648">
        <v>800.07100000000003</v>
      </c>
      <c r="I64" s="649">
        <v>-9.9999999997635314E-4</v>
      </c>
      <c r="J64" s="645">
        <v>8.4250000000000007</v>
      </c>
      <c r="K64" s="645">
        <v>8.532</v>
      </c>
      <c r="L64" s="650"/>
      <c r="M64" s="651"/>
      <c r="N64" s="652">
        <v>0.1</v>
      </c>
      <c r="O64" s="652">
        <v>8.8470529152069989E-4</v>
      </c>
      <c r="P64" s="652" t="s">
        <v>607</v>
      </c>
      <c r="Q64" s="653">
        <f t="shared" si="6"/>
        <v>4.476</v>
      </c>
      <c r="R64" s="654">
        <f t="shared" si="7"/>
        <v>1</v>
      </c>
      <c r="S64" s="655">
        <f t="shared" si="22"/>
        <v>2.875</v>
      </c>
      <c r="T64" s="653">
        <f t="shared" si="8"/>
        <v>0</v>
      </c>
      <c r="U64" s="653">
        <f t="shared" si="23"/>
        <v>0</v>
      </c>
      <c r="V64" s="653">
        <f t="shared" si="9"/>
        <v>2.875</v>
      </c>
      <c r="AA64" s="657" t="str">
        <f>IF(AB64=0,"","FA.RET02-"&amp;COUNTIF(AB$6:$AB64,1))</f>
        <v/>
      </c>
      <c r="AB64" s="658">
        <f t="shared" si="10"/>
        <v>0</v>
      </c>
      <c r="AC64" s="657" t="str">
        <f>IF(AD64=0,"","FA.RET02-"&amp;COUNTIF(AD$6:$AD64,1))</f>
        <v/>
      </c>
      <c r="AD64" s="658">
        <f t="shared" si="11"/>
        <v>0</v>
      </c>
      <c r="AE64" s="660">
        <f t="shared" si="12"/>
        <v>0</v>
      </c>
      <c r="AF64" s="661">
        <f t="shared" si="0"/>
        <v>0</v>
      </c>
      <c r="AG64" s="662">
        <f t="shared" si="13"/>
        <v>0</v>
      </c>
      <c r="AI64" s="657" t="str">
        <f>IF(AJ64=0,"","FAA.RET02-"&amp;COUNTIF($AJ$6:AJ64,1))</f>
        <v/>
      </c>
      <c r="AJ64" s="658">
        <f t="shared" si="14"/>
        <v>0</v>
      </c>
      <c r="AK64" s="657" t="str">
        <f>IF(AL63=0,"","FAA.RET02-"&amp;COUNTIF(AL$6:$AL64,1))</f>
        <v/>
      </c>
      <c r="AL64" s="658">
        <f t="shared" si="15"/>
        <v>0</v>
      </c>
      <c r="AM64" s="660">
        <f t="shared" si="16"/>
        <v>0</v>
      </c>
      <c r="AN64" s="661">
        <f t="shared" si="1"/>
        <v>0</v>
      </c>
      <c r="AO64" s="662">
        <f t="shared" si="17"/>
        <v>0</v>
      </c>
      <c r="AQ64" s="663">
        <f t="shared" si="2"/>
        <v>6.4000000000000057E-2</v>
      </c>
      <c r="AR64" s="663">
        <f t="shared" si="3"/>
        <v>5.95</v>
      </c>
      <c r="AS64" s="663">
        <f t="shared" si="4"/>
        <v>8.4250000000000007</v>
      </c>
      <c r="AT64" s="663">
        <f t="shared" si="5"/>
        <v>0.10699999999999932</v>
      </c>
      <c r="AV64" s="664">
        <v>58</v>
      </c>
      <c r="AW64" s="665">
        <v>2.5</v>
      </c>
      <c r="AX64" s="665">
        <v>5</v>
      </c>
      <c r="AY64" s="665">
        <v>40</v>
      </c>
      <c r="AZ64" s="664">
        <v>17.268999999999998</v>
      </c>
      <c r="BA64" s="666">
        <f t="shared" si="18"/>
        <v>6.0140000000000002</v>
      </c>
      <c r="BB64" s="666">
        <f t="shared" si="19"/>
        <v>26.486000000000001</v>
      </c>
      <c r="BC64" s="665"/>
      <c r="BD64" s="666">
        <f t="shared" si="20"/>
        <v>8.532</v>
      </c>
      <c r="BE64" s="686">
        <f t="shared" si="21"/>
        <v>23.968</v>
      </c>
    </row>
    <row r="65" spans="1:57" ht="13.15" customHeight="1">
      <c r="A65" s="645">
        <v>6.032</v>
      </c>
      <c r="B65" s="645">
        <v>5.95</v>
      </c>
      <c r="C65" s="646" t="s">
        <v>689</v>
      </c>
      <c r="D65" s="646" t="s">
        <v>605</v>
      </c>
      <c r="E65" s="646">
        <v>10</v>
      </c>
      <c r="F65" s="647" t="s">
        <v>691</v>
      </c>
      <c r="G65" s="648">
        <v>800.62300000000005</v>
      </c>
      <c r="H65" s="648">
        <v>800.61699999999996</v>
      </c>
      <c r="I65" s="649">
        <v>6.0000000000854925E-3</v>
      </c>
      <c r="J65" s="645">
        <v>8.4250000000000007</v>
      </c>
      <c r="K65" s="645">
        <v>8.5649999999999995</v>
      </c>
      <c r="L65" s="650"/>
      <c r="M65" s="651"/>
      <c r="N65" s="652">
        <v>0.1</v>
      </c>
      <c r="O65" s="652">
        <v>8.8470529152069989E-4</v>
      </c>
      <c r="P65" s="652" t="s">
        <v>607</v>
      </c>
      <c r="Q65" s="653">
        <f t="shared" si="6"/>
        <v>4.476</v>
      </c>
      <c r="R65" s="654">
        <f t="shared" si="7"/>
        <v>2</v>
      </c>
      <c r="S65" s="655">
        <f t="shared" si="22"/>
        <v>2.9194</v>
      </c>
      <c r="T65" s="653">
        <f t="shared" si="8"/>
        <v>3.06</v>
      </c>
      <c r="U65" s="653">
        <f t="shared" si="23"/>
        <v>9.17</v>
      </c>
      <c r="V65" s="653">
        <f t="shared" si="9"/>
        <v>0</v>
      </c>
      <c r="AA65" s="657" t="str">
        <f>IF(AB65=0,"","FA.RET02-"&amp;COUNTIF(AB$6:$AB65,1))</f>
        <v>FA.RET02-6</v>
      </c>
      <c r="AB65" s="658">
        <f t="shared" si="10"/>
        <v>1</v>
      </c>
      <c r="AC65" s="657" t="str">
        <f>IF(AD65=0,"","FA.RET02-"&amp;COUNTIF(AD$6:$AD65,1))</f>
        <v/>
      </c>
      <c r="AD65" s="658">
        <f t="shared" si="11"/>
        <v>0</v>
      </c>
      <c r="AE65" s="660">
        <f t="shared" si="12"/>
        <v>28.97</v>
      </c>
      <c r="AF65" s="661">
        <f t="shared" si="0"/>
        <v>1</v>
      </c>
      <c r="AG65" s="662">
        <f t="shared" si="13"/>
        <v>28.97</v>
      </c>
      <c r="AI65" s="657" t="str">
        <f>IF(AJ65=0,"","FAA.RET02-"&amp;COUNTIF($AJ$6:AJ65,1))</f>
        <v/>
      </c>
      <c r="AJ65" s="658">
        <f t="shared" si="14"/>
        <v>0</v>
      </c>
      <c r="AK65" s="657" t="str">
        <f>IF(AL64=0,"","FAA.RET02-"&amp;COUNTIF(AL$6:$AL65,1))</f>
        <v/>
      </c>
      <c r="AL65" s="658">
        <f t="shared" si="15"/>
        <v>0</v>
      </c>
      <c r="AM65" s="660">
        <f t="shared" si="16"/>
        <v>0</v>
      </c>
      <c r="AN65" s="661">
        <f t="shared" si="1"/>
        <v>0</v>
      </c>
      <c r="AO65" s="662">
        <f t="shared" si="17"/>
        <v>0</v>
      </c>
      <c r="AQ65" s="663">
        <f t="shared" si="2"/>
        <v>8.1999999999999851E-2</v>
      </c>
      <c r="AR65" s="663">
        <f t="shared" si="3"/>
        <v>5.95</v>
      </c>
      <c r="AS65" s="663">
        <f t="shared" si="4"/>
        <v>8.4250000000000007</v>
      </c>
      <c r="AT65" s="663">
        <f t="shared" si="5"/>
        <v>0.13999999999999879</v>
      </c>
      <c r="AV65" s="664">
        <v>59</v>
      </c>
      <c r="AW65" s="665">
        <v>2.5</v>
      </c>
      <c r="AX65" s="665">
        <v>5</v>
      </c>
      <c r="AY65" s="665">
        <v>40</v>
      </c>
      <c r="AZ65" s="664">
        <v>17.221</v>
      </c>
      <c r="BA65" s="666">
        <f t="shared" si="18"/>
        <v>6.032</v>
      </c>
      <c r="BB65" s="666">
        <f t="shared" si="19"/>
        <v>26.468</v>
      </c>
      <c r="BC65" s="665"/>
      <c r="BD65" s="666">
        <f t="shared" si="20"/>
        <v>8.5649999999999995</v>
      </c>
      <c r="BE65" s="686">
        <f t="shared" si="21"/>
        <v>23.935000000000002</v>
      </c>
    </row>
    <row r="66" spans="1:57" ht="13.15" customHeight="1">
      <c r="A66" s="645">
        <v>6.0709999999999997</v>
      </c>
      <c r="B66" s="645">
        <v>5.95</v>
      </c>
      <c r="C66" s="646" t="s">
        <v>692</v>
      </c>
      <c r="D66" s="646" t="s">
        <v>605</v>
      </c>
      <c r="E66" s="646">
        <v>0</v>
      </c>
      <c r="F66" s="647" t="s">
        <v>693</v>
      </c>
      <c r="G66" s="648">
        <v>801.17700000000002</v>
      </c>
      <c r="H66" s="648">
        <v>801.17</v>
      </c>
      <c r="I66" s="649">
        <v>7.0000000000618456E-3</v>
      </c>
      <c r="J66" s="645">
        <v>8.4250000000000007</v>
      </c>
      <c r="K66" s="645">
        <v>8.5500000000000007</v>
      </c>
      <c r="L66" s="650"/>
      <c r="M66" s="651"/>
      <c r="N66" s="652">
        <v>0.1</v>
      </c>
      <c r="O66" s="652">
        <v>1.0876867395166645E-3</v>
      </c>
      <c r="P66" s="652" t="s">
        <v>607</v>
      </c>
      <c r="Q66" s="653">
        <f t="shared" si="6"/>
        <v>4.476</v>
      </c>
      <c r="R66" s="654">
        <f t="shared" si="7"/>
        <v>2</v>
      </c>
      <c r="S66" s="655">
        <f t="shared" si="22"/>
        <v>2.9242000000000004</v>
      </c>
      <c r="T66" s="653">
        <f t="shared" si="8"/>
        <v>3.06</v>
      </c>
      <c r="U66" s="653">
        <f t="shared" si="23"/>
        <v>9.17</v>
      </c>
      <c r="V66" s="653">
        <f t="shared" si="9"/>
        <v>0</v>
      </c>
      <c r="AA66" s="657" t="str">
        <f>IF(AB66=0,"","FA.RET02-"&amp;COUNTIF(AB$6:$AB66,1))</f>
        <v/>
      </c>
      <c r="AB66" s="658">
        <f t="shared" si="10"/>
        <v>0</v>
      </c>
      <c r="AC66" s="657" t="str">
        <f>IF(AD66=0,"","FA.RET02-"&amp;COUNTIF(AD$6:$AD66,1))</f>
        <v/>
      </c>
      <c r="AD66" s="658">
        <f t="shared" si="11"/>
        <v>0</v>
      </c>
      <c r="AE66" s="660">
        <f t="shared" si="12"/>
        <v>29.22</v>
      </c>
      <c r="AF66" s="661">
        <f t="shared" si="0"/>
        <v>1</v>
      </c>
      <c r="AG66" s="662">
        <f t="shared" si="13"/>
        <v>58.19</v>
      </c>
      <c r="AI66" s="657" t="str">
        <f>IF(AJ66=0,"","FAA.RET02-"&amp;COUNTIF($AJ$6:AJ66,1))</f>
        <v/>
      </c>
      <c r="AJ66" s="658">
        <f t="shared" si="14"/>
        <v>0</v>
      </c>
      <c r="AK66" s="657" t="str">
        <f>IF(AL65=0,"","FAA.RET02-"&amp;COUNTIF(AL$6:$AL66,1))</f>
        <v/>
      </c>
      <c r="AL66" s="658">
        <f t="shared" si="15"/>
        <v>0</v>
      </c>
      <c r="AM66" s="660">
        <f t="shared" si="16"/>
        <v>0</v>
      </c>
      <c r="AN66" s="661">
        <f t="shared" si="1"/>
        <v>0</v>
      </c>
      <c r="AO66" s="662">
        <f t="shared" si="17"/>
        <v>0</v>
      </c>
      <c r="AQ66" s="663">
        <f t="shared" si="2"/>
        <v>0.12099999999999955</v>
      </c>
      <c r="AR66" s="663">
        <f t="shared" si="3"/>
        <v>5.95</v>
      </c>
      <c r="AS66" s="663">
        <f t="shared" si="4"/>
        <v>8.4250000000000007</v>
      </c>
      <c r="AT66" s="663">
        <f t="shared" si="5"/>
        <v>0.125</v>
      </c>
      <c r="AV66" s="664">
        <v>60</v>
      </c>
      <c r="AW66" s="665">
        <v>2.5</v>
      </c>
      <c r="AX66" s="665">
        <v>5</v>
      </c>
      <c r="AY66" s="665">
        <v>40</v>
      </c>
      <c r="AZ66" s="664">
        <v>17.426000000000002</v>
      </c>
      <c r="BA66" s="666">
        <f t="shared" si="18"/>
        <v>6.0709999999999997</v>
      </c>
      <c r="BB66" s="666">
        <f t="shared" si="19"/>
        <v>26.429000000000002</v>
      </c>
      <c r="BC66" s="665"/>
      <c r="BD66" s="666">
        <f t="shared" si="20"/>
        <v>8.5500000000000007</v>
      </c>
      <c r="BE66" s="686">
        <f t="shared" si="21"/>
        <v>23.95</v>
      </c>
    </row>
    <row r="67" spans="1:57" ht="13.15" customHeight="1">
      <c r="A67" s="645">
        <v>6.1120000000000001</v>
      </c>
      <c r="B67" s="645">
        <v>5.95</v>
      </c>
      <c r="C67" s="646" t="s">
        <v>692</v>
      </c>
      <c r="D67" s="646" t="s">
        <v>605</v>
      </c>
      <c r="E67" s="646">
        <v>10</v>
      </c>
      <c r="F67" s="647" t="s">
        <v>694</v>
      </c>
      <c r="G67" s="648">
        <v>801.73099999999999</v>
      </c>
      <c r="H67" s="648">
        <v>801.72900000000004</v>
      </c>
      <c r="I67" s="649">
        <v>1.9999999999527063E-3</v>
      </c>
      <c r="J67" s="645">
        <v>8.4250000000000007</v>
      </c>
      <c r="K67" s="645">
        <v>8.6</v>
      </c>
      <c r="L67" s="650"/>
      <c r="M67" s="651"/>
      <c r="N67" s="652">
        <v>0.1</v>
      </c>
      <c r="O67" s="652">
        <v>1.0876867395166645E-3</v>
      </c>
      <c r="P67" s="652" t="s">
        <v>607</v>
      </c>
      <c r="Q67" s="653">
        <f t="shared" si="6"/>
        <v>4.476</v>
      </c>
      <c r="R67" s="654">
        <f t="shared" si="7"/>
        <v>2</v>
      </c>
      <c r="S67" s="655">
        <f t="shared" si="22"/>
        <v>2.9424000000000001</v>
      </c>
      <c r="T67" s="653">
        <f t="shared" si="8"/>
        <v>3.06</v>
      </c>
      <c r="U67" s="653">
        <f t="shared" si="23"/>
        <v>9.17</v>
      </c>
      <c r="V67" s="653">
        <f t="shared" si="9"/>
        <v>0</v>
      </c>
      <c r="AA67" s="657" t="str">
        <f>IF(AB67=0,"","FA.RET02-"&amp;COUNTIF(AB$6:$AB67,1))</f>
        <v/>
      </c>
      <c r="AB67" s="658">
        <f t="shared" si="10"/>
        <v>0</v>
      </c>
      <c r="AC67" s="657" t="str">
        <f>IF(AD67=0,"","FA.RET02-"&amp;COUNTIF(AD$6:$AD67,1))</f>
        <v>FA.RET02-6</v>
      </c>
      <c r="AD67" s="658">
        <f t="shared" si="11"/>
        <v>1</v>
      </c>
      <c r="AE67" s="660">
        <f t="shared" si="12"/>
        <v>29.33</v>
      </c>
      <c r="AF67" s="661">
        <f t="shared" si="0"/>
        <v>1</v>
      </c>
      <c r="AG67" s="662">
        <f t="shared" si="13"/>
        <v>87.52</v>
      </c>
      <c r="AI67" s="657" t="str">
        <f>IF(AJ67=0,"","FAA.RET02-"&amp;COUNTIF($AJ$6:AJ67,1))</f>
        <v/>
      </c>
      <c r="AJ67" s="658">
        <f t="shared" si="14"/>
        <v>0</v>
      </c>
      <c r="AK67" s="657" t="str">
        <f>IF(AL66=0,"","FAA.RET02-"&amp;COUNTIF(AL$6:$AL67,1))</f>
        <v/>
      </c>
      <c r="AL67" s="658">
        <f t="shared" si="15"/>
        <v>0</v>
      </c>
      <c r="AM67" s="660">
        <f t="shared" si="16"/>
        <v>0</v>
      </c>
      <c r="AN67" s="661">
        <f t="shared" si="1"/>
        <v>0</v>
      </c>
      <c r="AO67" s="662">
        <f t="shared" si="17"/>
        <v>0</v>
      </c>
      <c r="AQ67" s="663">
        <f t="shared" si="2"/>
        <v>0.16199999999999992</v>
      </c>
      <c r="AR67" s="663">
        <f t="shared" si="3"/>
        <v>5.95</v>
      </c>
      <c r="AS67" s="663">
        <f t="shared" si="4"/>
        <v>8.4250000000000007</v>
      </c>
      <c r="AT67" s="663">
        <f t="shared" si="5"/>
        <v>0.17499999999999893</v>
      </c>
      <c r="AV67" s="664">
        <v>61</v>
      </c>
      <c r="AW67" s="665">
        <v>2.5</v>
      </c>
      <c r="AX67" s="665">
        <v>5</v>
      </c>
      <c r="AY67" s="665">
        <v>40</v>
      </c>
      <c r="AZ67" s="664">
        <v>17.66</v>
      </c>
      <c r="BA67" s="666">
        <f t="shared" si="18"/>
        <v>6.1120000000000001</v>
      </c>
      <c r="BB67" s="666">
        <f t="shared" si="19"/>
        <v>26.387999999999998</v>
      </c>
      <c r="BC67" s="665"/>
      <c r="BD67" s="666">
        <f t="shared" si="20"/>
        <v>8.6</v>
      </c>
      <c r="BE67" s="686">
        <f t="shared" si="21"/>
        <v>23.9</v>
      </c>
    </row>
    <row r="68" spans="1:57" ht="13.15" customHeight="1">
      <c r="A68" s="645">
        <v>6.13</v>
      </c>
      <c r="B68" s="645">
        <v>5.95</v>
      </c>
      <c r="C68" s="646" t="s">
        <v>695</v>
      </c>
      <c r="D68" s="646" t="s">
        <v>605</v>
      </c>
      <c r="E68" s="646">
        <v>0</v>
      </c>
      <c r="F68" s="647" t="s">
        <v>696</v>
      </c>
      <c r="G68" s="648">
        <v>802.28399999999999</v>
      </c>
      <c r="H68" s="648">
        <v>802.28700000000003</v>
      </c>
      <c r="I68" s="649">
        <v>-3.0000000000427463E-3</v>
      </c>
      <c r="J68" s="645">
        <v>8.4250000000000007</v>
      </c>
      <c r="K68" s="645">
        <v>8.57</v>
      </c>
      <c r="L68" s="650"/>
      <c r="M68" s="651"/>
      <c r="N68" s="652">
        <v>0.1</v>
      </c>
      <c r="O68" s="652">
        <v>1.0876867395166645E-3</v>
      </c>
      <c r="P68" s="652" t="s">
        <v>607</v>
      </c>
      <c r="Q68" s="653">
        <f t="shared" si="6"/>
        <v>4.476</v>
      </c>
      <c r="R68" s="654">
        <f t="shared" si="7"/>
        <v>1</v>
      </c>
      <c r="S68" s="655">
        <f t="shared" si="22"/>
        <v>2.875</v>
      </c>
      <c r="T68" s="653">
        <f t="shared" si="8"/>
        <v>0</v>
      </c>
      <c r="U68" s="653">
        <f t="shared" si="23"/>
        <v>0</v>
      </c>
      <c r="V68" s="653">
        <f t="shared" si="9"/>
        <v>2.875</v>
      </c>
      <c r="AA68" s="657" t="str">
        <f>IF(AB68=0,"","FA.RET02-"&amp;COUNTIF(AB$6:$AB68,1))</f>
        <v/>
      </c>
      <c r="AB68" s="658">
        <f t="shared" si="10"/>
        <v>0</v>
      </c>
      <c r="AC68" s="657" t="str">
        <f>IF(AD68=0,"","FA.RET02-"&amp;COUNTIF(AD$6:$AD68,1))</f>
        <v/>
      </c>
      <c r="AD68" s="658">
        <f t="shared" si="11"/>
        <v>0</v>
      </c>
      <c r="AE68" s="660">
        <f t="shared" si="12"/>
        <v>0</v>
      </c>
      <c r="AF68" s="661">
        <f t="shared" si="0"/>
        <v>0</v>
      </c>
      <c r="AG68" s="662">
        <f t="shared" si="13"/>
        <v>0</v>
      </c>
      <c r="AI68" s="657" t="str">
        <f>IF(AJ68=0,"","FAA.RET02-"&amp;COUNTIF($AJ$6:AJ68,1))</f>
        <v/>
      </c>
      <c r="AJ68" s="658">
        <f t="shared" si="14"/>
        <v>0</v>
      </c>
      <c r="AK68" s="657" t="str">
        <f>IF(AL67=0,"","FAA.RET02-"&amp;COUNTIF(AL$6:$AL68,1))</f>
        <v/>
      </c>
      <c r="AL68" s="658">
        <f t="shared" si="15"/>
        <v>0</v>
      </c>
      <c r="AM68" s="660">
        <f t="shared" si="16"/>
        <v>0</v>
      </c>
      <c r="AN68" s="661">
        <f t="shared" si="1"/>
        <v>0</v>
      </c>
      <c r="AO68" s="662">
        <f t="shared" si="17"/>
        <v>0</v>
      </c>
      <c r="AQ68" s="663">
        <f t="shared" si="2"/>
        <v>0.17999999999999972</v>
      </c>
      <c r="AR68" s="663">
        <f t="shared" si="3"/>
        <v>5.95</v>
      </c>
      <c r="AS68" s="663">
        <f t="shared" si="4"/>
        <v>8.4250000000000007</v>
      </c>
      <c r="AT68" s="663">
        <f t="shared" si="5"/>
        <v>0.14499999999999957</v>
      </c>
      <c r="AV68" s="664">
        <v>62</v>
      </c>
      <c r="AW68" s="665">
        <v>2.5</v>
      </c>
      <c r="AX68" s="665">
        <v>5</v>
      </c>
      <c r="AY68" s="665">
        <v>40</v>
      </c>
      <c r="AZ68" s="664">
        <v>18.699000000000002</v>
      </c>
      <c r="BA68" s="666">
        <f t="shared" si="18"/>
        <v>6.13</v>
      </c>
      <c r="BB68" s="666">
        <f t="shared" si="19"/>
        <v>26.37</v>
      </c>
      <c r="BC68" s="665"/>
      <c r="BD68" s="666">
        <f t="shared" si="20"/>
        <v>8.57</v>
      </c>
      <c r="BE68" s="686">
        <f t="shared" si="21"/>
        <v>23.93</v>
      </c>
    </row>
    <row r="69" spans="1:57" ht="13.15" customHeight="1">
      <c r="A69" s="645">
        <v>6.0590000000000002</v>
      </c>
      <c r="B69" s="645">
        <v>5.95</v>
      </c>
      <c r="C69" s="646" t="s">
        <v>695</v>
      </c>
      <c r="D69" s="646" t="s">
        <v>605</v>
      </c>
      <c r="E69" s="646">
        <v>10</v>
      </c>
      <c r="F69" s="647" t="s">
        <v>697</v>
      </c>
      <c r="G69" s="648">
        <v>802.83799999999997</v>
      </c>
      <c r="H69" s="648">
        <v>802.80100000000004</v>
      </c>
      <c r="I69" s="649">
        <v>3.6999999999920874E-2</v>
      </c>
      <c r="J69" s="645">
        <v>8.4250000000000007</v>
      </c>
      <c r="K69" s="645">
        <v>8.5139999999999993</v>
      </c>
      <c r="L69" s="650"/>
      <c r="M69" s="651"/>
      <c r="N69" s="652">
        <v>0.1</v>
      </c>
      <c r="O69" s="652">
        <v>1.0876867395166645E-3</v>
      </c>
      <c r="P69" s="652" t="s">
        <v>607</v>
      </c>
      <c r="Q69" s="653">
        <f t="shared" si="6"/>
        <v>4.476</v>
      </c>
      <c r="R69" s="654">
        <f t="shared" si="7"/>
        <v>2</v>
      </c>
      <c r="S69" s="655">
        <f t="shared" si="22"/>
        <v>2.9146000000000001</v>
      </c>
      <c r="T69" s="653">
        <f t="shared" si="8"/>
        <v>3.06</v>
      </c>
      <c r="U69" s="653">
        <f t="shared" si="23"/>
        <v>9.17</v>
      </c>
      <c r="V69" s="653">
        <f t="shared" si="9"/>
        <v>0</v>
      </c>
      <c r="AA69" s="657" t="str">
        <f>IF(AB69=0,"","FA.RET02-"&amp;COUNTIF(AB$6:$AB69,1))</f>
        <v>FA.RET02-7</v>
      </c>
      <c r="AB69" s="658">
        <f t="shared" si="10"/>
        <v>1</v>
      </c>
      <c r="AC69" s="657" t="str">
        <f>IF(AD69=0,"","FA.RET02-"&amp;COUNTIF(AD$6:$AD69,1))</f>
        <v/>
      </c>
      <c r="AD69" s="658">
        <f t="shared" si="11"/>
        <v>0</v>
      </c>
      <c r="AE69" s="660">
        <f t="shared" si="12"/>
        <v>28.95</v>
      </c>
      <c r="AF69" s="661">
        <f t="shared" si="0"/>
        <v>1</v>
      </c>
      <c r="AG69" s="662">
        <f t="shared" si="13"/>
        <v>28.95</v>
      </c>
      <c r="AI69" s="657" t="str">
        <f>IF(AJ69=0,"","FAA.RET02-"&amp;COUNTIF($AJ$6:AJ69,1))</f>
        <v/>
      </c>
      <c r="AJ69" s="658">
        <f t="shared" si="14"/>
        <v>0</v>
      </c>
      <c r="AK69" s="657" t="str">
        <f>IF(AL68=0,"","FAA.RET02-"&amp;COUNTIF(AL$6:$AL69,1))</f>
        <v/>
      </c>
      <c r="AL69" s="658">
        <f t="shared" si="15"/>
        <v>0</v>
      </c>
      <c r="AM69" s="660">
        <f t="shared" si="16"/>
        <v>0</v>
      </c>
      <c r="AN69" s="661">
        <f t="shared" si="1"/>
        <v>0</v>
      </c>
      <c r="AO69" s="662">
        <f t="shared" si="17"/>
        <v>0</v>
      </c>
      <c r="AQ69" s="663">
        <f t="shared" si="2"/>
        <v>0.10899999999999999</v>
      </c>
      <c r="AR69" s="663">
        <f t="shared" si="3"/>
        <v>5.95</v>
      </c>
      <c r="AS69" s="663">
        <f t="shared" si="4"/>
        <v>8.4250000000000007</v>
      </c>
      <c r="AT69" s="663">
        <f t="shared" si="5"/>
        <v>8.8999999999998636E-2</v>
      </c>
      <c r="AV69" s="664">
        <v>63</v>
      </c>
      <c r="AW69" s="665">
        <v>2.5</v>
      </c>
      <c r="AX69" s="665">
        <v>5</v>
      </c>
      <c r="AY69" s="665">
        <v>40</v>
      </c>
      <c r="AZ69" s="664">
        <v>19.195999999999998</v>
      </c>
      <c r="BA69" s="666">
        <f t="shared" si="18"/>
        <v>6.0590000000000002</v>
      </c>
      <c r="BB69" s="666">
        <f t="shared" si="19"/>
        <v>26.440999999999999</v>
      </c>
      <c r="BC69" s="665"/>
      <c r="BD69" s="666">
        <f t="shared" si="20"/>
        <v>8.5139999999999993</v>
      </c>
      <c r="BE69" s="686">
        <f t="shared" si="21"/>
        <v>23.986000000000001</v>
      </c>
    </row>
    <row r="70" spans="1:57" ht="13.15" customHeight="1">
      <c r="A70" s="645">
        <v>6.12</v>
      </c>
      <c r="B70" s="645">
        <v>5.95</v>
      </c>
      <c r="C70" s="646" t="s">
        <v>698</v>
      </c>
      <c r="D70" s="646" t="s">
        <v>605</v>
      </c>
      <c r="E70" s="646">
        <v>0</v>
      </c>
      <c r="F70" s="647" t="s">
        <v>699</v>
      </c>
      <c r="G70" s="648">
        <v>803.39099999999996</v>
      </c>
      <c r="H70" s="648">
        <v>803.32299999999998</v>
      </c>
      <c r="I70" s="649">
        <v>6.7999999999983629E-2</v>
      </c>
      <c r="J70" s="645">
        <v>8.4250000000000007</v>
      </c>
      <c r="K70" s="645">
        <v>8.4540000000000006</v>
      </c>
      <c r="L70" s="650"/>
      <c r="M70" s="651"/>
      <c r="N70" s="652">
        <v>0.1</v>
      </c>
      <c r="O70" s="652">
        <v>1.0876867395166645E-3</v>
      </c>
      <c r="P70" s="652" t="s">
        <v>607</v>
      </c>
      <c r="Q70" s="653">
        <f t="shared" si="6"/>
        <v>4.476</v>
      </c>
      <c r="R70" s="654">
        <f t="shared" si="7"/>
        <v>2</v>
      </c>
      <c r="S70" s="655">
        <f t="shared" si="22"/>
        <v>2.9148000000000005</v>
      </c>
      <c r="T70" s="653">
        <f t="shared" si="8"/>
        <v>3.06</v>
      </c>
      <c r="U70" s="653">
        <f t="shared" si="23"/>
        <v>9.17</v>
      </c>
      <c r="V70" s="653">
        <f t="shared" si="9"/>
        <v>0</v>
      </c>
      <c r="AA70" s="657" t="str">
        <f>IF(AB70=0,"","FA.RET02-"&amp;COUNTIF(AB$6:$AB70,1))</f>
        <v/>
      </c>
      <c r="AB70" s="658">
        <f t="shared" si="10"/>
        <v>0</v>
      </c>
      <c r="AC70" s="657" t="str">
        <f>IF(AD70=0,"","FA.RET02-"&amp;COUNTIF(AD$6:$AD70,1))</f>
        <v/>
      </c>
      <c r="AD70" s="658">
        <f t="shared" si="11"/>
        <v>0</v>
      </c>
      <c r="AE70" s="660">
        <f t="shared" si="12"/>
        <v>29.15</v>
      </c>
      <c r="AF70" s="661">
        <f t="shared" ref="AF70:AF115" si="24">IF(R70=$X$3,1,0)</f>
        <v>1</v>
      </c>
      <c r="AG70" s="662">
        <f t="shared" si="13"/>
        <v>58.099999999999994</v>
      </c>
      <c r="AI70" s="657" t="str">
        <f>IF(AJ70=0,"","FAA.RET02-"&amp;COUNTIF($AJ$6:AJ70,1))</f>
        <v/>
      </c>
      <c r="AJ70" s="658">
        <f t="shared" si="14"/>
        <v>0</v>
      </c>
      <c r="AK70" s="657" t="str">
        <f>IF(AL69=0,"","FAA.RET02-"&amp;COUNTIF(AL$6:$AL70,1))</f>
        <v/>
      </c>
      <c r="AL70" s="658">
        <f t="shared" si="15"/>
        <v>0</v>
      </c>
      <c r="AM70" s="660">
        <f t="shared" si="16"/>
        <v>0</v>
      </c>
      <c r="AN70" s="661">
        <f t="shared" ref="AN70:AN115" si="25">IF(R70=$X$4,1,0)</f>
        <v>0</v>
      </c>
      <c r="AO70" s="662">
        <f t="shared" si="17"/>
        <v>0</v>
      </c>
      <c r="AQ70" s="663">
        <f t="shared" ref="AQ70:AQ115" si="26">IF(A70-B70&lt;0,0,A70-B70)</f>
        <v>0.16999999999999993</v>
      </c>
      <c r="AR70" s="663">
        <f t="shared" ref="AR70:AR115" si="27">B70</f>
        <v>5.95</v>
      </c>
      <c r="AS70" s="663">
        <f t="shared" ref="AS70:AS115" si="28">J70</f>
        <v>8.4250000000000007</v>
      </c>
      <c r="AT70" s="663">
        <f t="shared" ref="AT70:AT115" si="29">IF(K70-J70&lt;0,0,K70-J70)</f>
        <v>2.8999999999999915E-2</v>
      </c>
      <c r="AV70" s="664">
        <v>64</v>
      </c>
      <c r="AW70" s="665">
        <v>2.5</v>
      </c>
      <c r="AX70" s="665">
        <v>5</v>
      </c>
      <c r="AY70" s="665">
        <v>40</v>
      </c>
      <c r="AZ70" s="664">
        <v>19.493000000000002</v>
      </c>
      <c r="BA70" s="666">
        <f t="shared" si="18"/>
        <v>6.12</v>
      </c>
      <c r="BB70" s="666">
        <f t="shared" si="19"/>
        <v>26.38</v>
      </c>
      <c r="BC70" s="665"/>
      <c r="BD70" s="666">
        <f t="shared" si="20"/>
        <v>8.4540000000000006</v>
      </c>
      <c r="BE70" s="686">
        <f t="shared" si="21"/>
        <v>24.045999999999999</v>
      </c>
    </row>
    <row r="71" spans="1:57" ht="13.15" customHeight="1">
      <c r="A71" s="645">
        <v>6.1349999999999998</v>
      </c>
      <c r="B71" s="645">
        <v>5.95</v>
      </c>
      <c r="C71" s="646" t="s">
        <v>698</v>
      </c>
      <c r="D71" s="646" t="s">
        <v>605</v>
      </c>
      <c r="E71" s="646">
        <v>10</v>
      </c>
      <c r="F71" s="647" t="s">
        <v>700</v>
      </c>
      <c r="G71" s="648">
        <v>803.94500000000005</v>
      </c>
      <c r="H71" s="648">
        <v>803.85</v>
      </c>
      <c r="I71" s="649">
        <v>9.5000000000027285E-2</v>
      </c>
      <c r="J71" s="645">
        <v>8.4250000000000007</v>
      </c>
      <c r="K71" s="645">
        <v>8.516</v>
      </c>
      <c r="L71" s="650"/>
      <c r="M71" s="651"/>
      <c r="N71" s="652">
        <v>0.1</v>
      </c>
      <c r="O71" s="652">
        <v>1.0876867395166645E-3</v>
      </c>
      <c r="P71" s="652" t="s">
        <v>607</v>
      </c>
      <c r="Q71" s="653">
        <f t="shared" ref="Q71:Q115" si="30">IF(R71=0,0,ROUND(B71+J71+8,2)*0.2)</f>
        <v>4.476</v>
      </c>
      <c r="R71" s="654">
        <f t="shared" ref="R71:R115" si="31">IF(C71="",NA(),IFERROR(IF(I71&lt;=0,$X$2,IF(I71&lt;=0.6,$X$3,IF(I71&lt;=3,$X$4,IF(I71&gt;3,$X$5)))),$X$1))</f>
        <v>2</v>
      </c>
      <c r="S71" s="655">
        <f t="shared" si="22"/>
        <v>2.9302000000000001</v>
      </c>
      <c r="T71" s="653">
        <f t="shared" ref="T71:T115" si="32">IFERROR(IF(OR(R71=$X$2,AR71+AS71=0),0,IF(I71&gt;=0,ROUND((AR71+AS71+0.6*1.5)*(0.2),2),0)),0)</f>
        <v>3.06</v>
      </c>
      <c r="U71" s="653">
        <f t="shared" si="23"/>
        <v>9.17</v>
      </c>
      <c r="V71" s="653">
        <f t="shared" ref="V71:V115" si="33">IFERROR(IF(R71=$X$2,IF(N71&lt;=$N$5,(AR71+AS71)*0.2,(AR71+AS71)*0.2),0),0)</f>
        <v>0</v>
      </c>
      <c r="AA71" s="657" t="str">
        <f>IF(AB71=0,"","FA.RET02-"&amp;COUNTIF(AB$6:$AB71,1))</f>
        <v/>
      </c>
      <c r="AB71" s="658">
        <f t="shared" ref="AB71:AB115" si="34">IF(AND(AF72&gt;=0,AF71=1,AF70&lt;&gt;"",AF70&lt;&gt;1),1,0)</f>
        <v>0</v>
      </c>
      <c r="AC71" s="657" t="str">
        <f>IF(AD71=0,"","FA.RET02-"&amp;COUNTIF(AD$6:$AD71,1))</f>
        <v/>
      </c>
      <c r="AD71" s="658">
        <f t="shared" ref="AD71:AD115" si="35">IF(AND(AF72=0,AF71&lt;&gt;0,AF70&lt;&gt;""),1,0)</f>
        <v>0</v>
      </c>
      <c r="AE71" s="660">
        <f t="shared" ref="AE71:AE115" si="36">IF(R71=$X$3,IFERROR(ROUND(IFERROR((C71*20+E71)-(C70*20+E70),"")/2*(S70+S71),2),0),0)</f>
        <v>29.23</v>
      </c>
      <c r="AF71" s="661">
        <f t="shared" si="24"/>
        <v>1</v>
      </c>
      <c r="AG71" s="662">
        <f t="shared" ref="AG71:AG115" si="37">IFERROR(IF(AC70&lt;&gt;"",0,AE71+AG70),0)</f>
        <v>87.33</v>
      </c>
      <c r="AI71" s="657" t="str">
        <f>IF(AJ71=0,"","FAA.RET02-"&amp;COUNTIF($AJ$6:AJ71,1))</f>
        <v/>
      </c>
      <c r="AJ71" s="658">
        <f t="shared" ref="AJ71:AJ115" si="38">IF(AND(AN72&gt;=0,AN71=1,AN70&lt;&gt;"",AN70&lt;&gt;1),1,0)</f>
        <v>0</v>
      </c>
      <c r="AK71" s="657" t="str">
        <f>IF(AL70=0,"","FAA.RET02-"&amp;COUNTIF(AL$6:$AL71,1))</f>
        <v/>
      </c>
      <c r="AL71" s="658">
        <f t="shared" ref="AL71:AL115" si="39">IF(AND(AN72=0,AN71&lt;&gt;0,AN70&lt;&gt;""),1,0)</f>
        <v>0</v>
      </c>
      <c r="AM71" s="660">
        <f t="shared" ref="AM71:AM115" si="40">IF(R71=$X$4,IFERROR(ROUND(IFERROR((C71*20+E71)-(C70*20+E70),"")/2*(S70+S71),2),0),0)</f>
        <v>0</v>
      </c>
      <c r="AN71" s="661">
        <f t="shared" si="25"/>
        <v>0</v>
      </c>
      <c r="AO71" s="662">
        <f t="shared" ref="AO71:AO115" si="41">IFERROR(IF(AK70&lt;&gt;"",0,AM71+AO70),0)</f>
        <v>0</v>
      </c>
      <c r="AQ71" s="663">
        <f t="shared" si="26"/>
        <v>0.18499999999999961</v>
      </c>
      <c r="AR71" s="663">
        <f t="shared" si="27"/>
        <v>5.95</v>
      </c>
      <c r="AS71" s="663">
        <f t="shared" si="28"/>
        <v>8.4250000000000007</v>
      </c>
      <c r="AT71" s="663">
        <f t="shared" si="29"/>
        <v>9.0999999999999304E-2</v>
      </c>
      <c r="AV71" s="664">
        <v>65</v>
      </c>
      <c r="AW71" s="665">
        <v>2.5</v>
      </c>
      <c r="AX71" s="665">
        <v>5</v>
      </c>
      <c r="AY71" s="665">
        <v>40</v>
      </c>
      <c r="AZ71" s="664">
        <v>20.231000000000002</v>
      </c>
      <c r="BA71" s="666">
        <f t="shared" ref="BA71:BA115" si="42">A71</f>
        <v>6.1349999999999998</v>
      </c>
      <c r="BB71" s="666">
        <f t="shared" ref="BB71:BB115" si="43">AY71-AW71-AX71-BA71</f>
        <v>26.365000000000002</v>
      </c>
      <c r="BC71" s="665"/>
      <c r="BD71" s="666">
        <f t="shared" ref="BD71:BD115" si="44">K71</f>
        <v>8.516</v>
      </c>
      <c r="BE71" s="686">
        <f t="shared" ref="BE71:BE115" si="45">AY71-AW71-AX71-BD71</f>
        <v>23.984000000000002</v>
      </c>
    </row>
    <row r="72" spans="1:57" ht="13.15" customHeight="1">
      <c r="A72" s="645">
        <v>6.056</v>
      </c>
      <c r="B72" s="645">
        <v>5.95</v>
      </c>
      <c r="C72" s="646" t="s">
        <v>701</v>
      </c>
      <c r="D72" s="646" t="s">
        <v>605</v>
      </c>
      <c r="E72" s="646">
        <v>0</v>
      </c>
      <c r="F72" s="647" t="s">
        <v>702</v>
      </c>
      <c r="G72" s="648">
        <v>804.49900000000002</v>
      </c>
      <c r="H72" s="648">
        <v>804.40700000000004</v>
      </c>
      <c r="I72" s="649">
        <v>9.1999999999984539E-2</v>
      </c>
      <c r="J72" s="645">
        <v>8.4250000000000007</v>
      </c>
      <c r="K72" s="645">
        <v>8.4930000000000003</v>
      </c>
      <c r="L72" s="650"/>
      <c r="M72" s="651"/>
      <c r="N72" s="652">
        <v>0.1</v>
      </c>
      <c r="O72" s="652">
        <v>1.0876867395166645E-3</v>
      </c>
      <c r="P72" s="652" t="s">
        <v>607</v>
      </c>
      <c r="Q72" s="653">
        <f t="shared" si="30"/>
        <v>4.476</v>
      </c>
      <c r="R72" s="654">
        <f t="shared" si="31"/>
        <v>2</v>
      </c>
      <c r="S72" s="655">
        <f t="shared" ref="S72:S115" si="46">IFERROR(IF(OR(R72=$X$1,R72=$X$5),0,IF(I72&lt;0,(AR72+AS72)*0.2,(AQ72+AR72+AS72+AT72)*0.2)),0)</f>
        <v>2.9098000000000006</v>
      </c>
      <c r="T72" s="653">
        <f t="shared" si="32"/>
        <v>3.06</v>
      </c>
      <c r="U72" s="653">
        <f t="shared" ref="U72:U115" si="47">IFERROR(IF(OR(R72=$X$2,AR72+AS72=0),0,IF(I72&gt;=0,ROUND((AR72+AS72+0.6*1.5)*(0.6),2),0)),0)</f>
        <v>9.17</v>
      </c>
      <c r="V72" s="653">
        <f t="shared" si="33"/>
        <v>0</v>
      </c>
      <c r="AA72" s="657" t="str">
        <f>IF(AB72=0,"","FA.RET02-"&amp;COUNTIF(AB$6:$AB72,1))</f>
        <v/>
      </c>
      <c r="AB72" s="658">
        <f t="shared" si="34"/>
        <v>0</v>
      </c>
      <c r="AC72" s="657" t="str">
        <f>IF(AD72=0,"","FA.RET02-"&amp;COUNTIF(AD$6:$AD72,1))</f>
        <v>FA.RET02-7</v>
      </c>
      <c r="AD72" s="658">
        <f t="shared" si="35"/>
        <v>1</v>
      </c>
      <c r="AE72" s="660">
        <f t="shared" si="36"/>
        <v>29.2</v>
      </c>
      <c r="AF72" s="661">
        <f t="shared" si="24"/>
        <v>1</v>
      </c>
      <c r="AG72" s="662">
        <f t="shared" si="37"/>
        <v>116.53</v>
      </c>
      <c r="AI72" s="657" t="str">
        <f>IF(AJ72=0,"","FAA.RET02-"&amp;COUNTIF($AJ$6:AJ72,1))</f>
        <v/>
      </c>
      <c r="AJ72" s="658">
        <f t="shared" si="38"/>
        <v>0</v>
      </c>
      <c r="AK72" s="657" t="str">
        <f>IF(AL71=0,"","FAA.RET02-"&amp;COUNTIF(AL$6:$AL72,1))</f>
        <v/>
      </c>
      <c r="AL72" s="658">
        <f t="shared" si="39"/>
        <v>0</v>
      </c>
      <c r="AM72" s="660">
        <f t="shared" si="40"/>
        <v>0</v>
      </c>
      <c r="AN72" s="661">
        <f t="shared" si="25"/>
        <v>0</v>
      </c>
      <c r="AO72" s="662">
        <f t="shared" si="41"/>
        <v>0</v>
      </c>
      <c r="AQ72" s="663">
        <f t="shared" si="26"/>
        <v>0.10599999999999987</v>
      </c>
      <c r="AR72" s="663">
        <f t="shared" si="27"/>
        <v>5.95</v>
      </c>
      <c r="AS72" s="663">
        <f t="shared" si="28"/>
        <v>8.4250000000000007</v>
      </c>
      <c r="AT72" s="663">
        <f t="shared" si="29"/>
        <v>6.7999999999999616E-2</v>
      </c>
      <c r="AV72" s="664">
        <v>66</v>
      </c>
      <c r="AW72" s="665">
        <v>2.5</v>
      </c>
      <c r="AX72" s="665">
        <v>5</v>
      </c>
      <c r="AY72" s="665">
        <v>40</v>
      </c>
      <c r="AZ72" s="664">
        <v>21.358000000000001</v>
      </c>
      <c r="BA72" s="666">
        <f t="shared" si="42"/>
        <v>6.056</v>
      </c>
      <c r="BB72" s="666">
        <f t="shared" si="43"/>
        <v>26.443999999999999</v>
      </c>
      <c r="BC72" s="665"/>
      <c r="BD72" s="666">
        <f t="shared" si="44"/>
        <v>8.4930000000000003</v>
      </c>
      <c r="BE72" s="686">
        <f t="shared" si="45"/>
        <v>24.006999999999998</v>
      </c>
    </row>
    <row r="73" spans="1:57" ht="13.15" customHeight="1">
      <c r="A73" s="645">
        <v>5.9880000000000004</v>
      </c>
      <c r="B73" s="645">
        <v>5.95</v>
      </c>
      <c r="C73" s="646" t="s">
        <v>701</v>
      </c>
      <c r="D73" s="646" t="s">
        <v>605</v>
      </c>
      <c r="E73" s="646">
        <v>10</v>
      </c>
      <c r="F73" s="647" t="s">
        <v>703</v>
      </c>
      <c r="G73" s="648">
        <v>805.05200000000002</v>
      </c>
      <c r="H73" s="648">
        <v>805.13699999999994</v>
      </c>
      <c r="I73" s="649">
        <v>-8.4999999999922693E-2</v>
      </c>
      <c r="J73" s="645">
        <v>8.4250000000000007</v>
      </c>
      <c r="K73" s="645">
        <v>8.4269999999999996</v>
      </c>
      <c r="L73" s="650"/>
      <c r="M73" s="651"/>
      <c r="N73" s="652">
        <v>0.1</v>
      </c>
      <c r="O73" s="652">
        <v>1.0876867395166645E-3</v>
      </c>
      <c r="P73" s="652" t="s">
        <v>607</v>
      </c>
      <c r="Q73" s="653">
        <f t="shared" si="30"/>
        <v>4.476</v>
      </c>
      <c r="R73" s="654">
        <f t="shared" si="31"/>
        <v>1</v>
      </c>
      <c r="S73" s="655">
        <f t="shared" si="46"/>
        <v>2.875</v>
      </c>
      <c r="T73" s="653">
        <f t="shared" si="32"/>
        <v>0</v>
      </c>
      <c r="U73" s="653">
        <f t="shared" si="47"/>
        <v>0</v>
      </c>
      <c r="V73" s="653">
        <f t="shared" si="33"/>
        <v>2.875</v>
      </c>
      <c r="AA73" s="657" t="str">
        <f>IF(AB73=0,"","FA.RET02-"&amp;COUNTIF(AB$6:$AB73,1))</f>
        <v/>
      </c>
      <c r="AB73" s="658">
        <f t="shared" si="34"/>
        <v>0</v>
      </c>
      <c r="AC73" s="657" t="str">
        <f>IF(AD73=0,"","FA.RET02-"&amp;COUNTIF(AD$6:$AD73,1))</f>
        <v/>
      </c>
      <c r="AD73" s="658">
        <f t="shared" si="35"/>
        <v>0</v>
      </c>
      <c r="AE73" s="660">
        <f t="shared" si="36"/>
        <v>0</v>
      </c>
      <c r="AF73" s="661">
        <f t="shared" si="24"/>
        <v>0</v>
      </c>
      <c r="AG73" s="662">
        <f t="shared" si="37"/>
        <v>0</v>
      </c>
      <c r="AI73" s="657" t="str">
        <f>IF(AJ73=0,"","FAA.RET02-"&amp;COUNTIF($AJ$6:AJ73,1))</f>
        <v/>
      </c>
      <c r="AJ73" s="658">
        <f t="shared" si="38"/>
        <v>0</v>
      </c>
      <c r="AK73" s="657" t="str">
        <f>IF(AL72=0,"","FAA.RET02-"&amp;COUNTIF(AL$6:$AL73,1))</f>
        <v/>
      </c>
      <c r="AL73" s="658">
        <f t="shared" si="39"/>
        <v>0</v>
      </c>
      <c r="AM73" s="660">
        <f t="shared" si="40"/>
        <v>0</v>
      </c>
      <c r="AN73" s="661">
        <f t="shared" si="25"/>
        <v>0</v>
      </c>
      <c r="AO73" s="662">
        <f t="shared" si="41"/>
        <v>0</v>
      </c>
      <c r="AQ73" s="663">
        <f t="shared" si="26"/>
        <v>3.8000000000000256E-2</v>
      </c>
      <c r="AR73" s="663">
        <f t="shared" si="27"/>
        <v>5.95</v>
      </c>
      <c r="AS73" s="663">
        <f t="shared" si="28"/>
        <v>8.4250000000000007</v>
      </c>
      <c r="AT73" s="663">
        <f t="shared" si="29"/>
        <v>1.9999999999988916E-3</v>
      </c>
      <c r="AV73" s="664">
        <v>66</v>
      </c>
      <c r="AW73" s="665">
        <v>2.5</v>
      </c>
      <c r="AX73" s="665">
        <v>5</v>
      </c>
      <c r="AY73" s="665">
        <v>40</v>
      </c>
      <c r="AZ73" s="664">
        <v>21.408000000000001</v>
      </c>
      <c r="BA73" s="666">
        <f t="shared" si="42"/>
        <v>5.9880000000000004</v>
      </c>
      <c r="BB73" s="666">
        <f t="shared" si="43"/>
        <v>26.512</v>
      </c>
      <c r="BC73" s="665"/>
      <c r="BD73" s="666">
        <f t="shared" si="44"/>
        <v>8.4269999999999996</v>
      </c>
      <c r="BE73" s="686">
        <f t="shared" si="45"/>
        <v>24.073</v>
      </c>
    </row>
    <row r="74" spans="1:57" s="698" customFormat="1" ht="13.15" customHeight="1">
      <c r="A74" s="688"/>
      <c r="B74" s="688"/>
      <c r="C74" s="689"/>
      <c r="D74" s="689"/>
      <c r="E74" s="689"/>
      <c r="F74" s="690"/>
      <c r="G74" s="691"/>
      <c r="H74" s="691"/>
      <c r="I74" s="692"/>
      <c r="J74" s="688"/>
      <c r="K74" s="688"/>
      <c r="L74" s="693"/>
      <c r="M74" s="694"/>
      <c r="N74" s="695"/>
      <c r="O74" s="695"/>
      <c r="P74" s="695"/>
      <c r="Q74" s="696"/>
      <c r="R74" s="697"/>
      <c r="S74" s="696"/>
      <c r="T74" s="696"/>
      <c r="U74" s="696"/>
      <c r="V74" s="696"/>
      <c r="AA74" s="699"/>
      <c r="AB74" s="700"/>
      <c r="AC74" s="699"/>
      <c r="AD74" s="700"/>
      <c r="AE74" s="701"/>
      <c r="AF74" s="702"/>
      <c r="AG74" s="703"/>
      <c r="AI74" s="699"/>
      <c r="AJ74" s="700"/>
      <c r="AK74" s="699"/>
      <c r="AL74" s="700"/>
      <c r="AM74" s="701"/>
      <c r="AN74" s="702"/>
      <c r="AO74" s="703"/>
      <c r="AQ74" s="704"/>
      <c r="AR74" s="704"/>
      <c r="AS74" s="704"/>
      <c r="AT74" s="704"/>
      <c r="AV74" s="705"/>
      <c r="AW74" s="706"/>
      <c r="AX74" s="706"/>
      <c r="AY74" s="706"/>
      <c r="AZ74" s="705"/>
      <c r="BA74" s="707"/>
      <c r="BB74" s="707"/>
      <c r="BC74" s="706"/>
      <c r="BD74" s="707"/>
      <c r="BE74" s="707"/>
    </row>
    <row r="75" spans="1:57" ht="13.15" customHeight="1">
      <c r="A75" s="645">
        <v>6.0460000000000003</v>
      </c>
      <c r="B75" s="645">
        <v>5.95</v>
      </c>
      <c r="C75" s="646" t="s">
        <v>704</v>
      </c>
      <c r="D75" s="646" t="s">
        <v>605</v>
      </c>
      <c r="E75" s="646">
        <v>0</v>
      </c>
      <c r="F75" s="647" t="s">
        <v>705</v>
      </c>
      <c r="G75" s="648">
        <v>828.322</v>
      </c>
      <c r="H75" s="648">
        <v>828.43799999999999</v>
      </c>
      <c r="I75" s="649">
        <v>-0.11599999999998545</v>
      </c>
      <c r="J75" s="645">
        <v>9.5250000000000004</v>
      </c>
      <c r="K75" s="645">
        <v>9.5879999999999992</v>
      </c>
      <c r="L75" s="650"/>
      <c r="M75" s="651"/>
      <c r="N75" s="652">
        <v>0.1</v>
      </c>
      <c r="O75" s="652">
        <v>1.0876867395166645E-3</v>
      </c>
      <c r="P75" s="652" t="s">
        <v>607</v>
      </c>
      <c r="Q75" s="653">
        <f t="shared" si="30"/>
        <v>4.6960000000000006</v>
      </c>
      <c r="R75" s="654">
        <f t="shared" si="31"/>
        <v>1</v>
      </c>
      <c r="S75" s="655">
        <f t="shared" si="46"/>
        <v>3.0950000000000006</v>
      </c>
      <c r="T75" s="653">
        <f t="shared" si="32"/>
        <v>0</v>
      </c>
      <c r="U75" s="653">
        <f t="shared" si="47"/>
        <v>0</v>
      </c>
      <c r="V75" s="653">
        <f t="shared" si="33"/>
        <v>3.0950000000000006</v>
      </c>
      <c r="AA75" s="657" t="str">
        <f>IF(AB75=0,"","FA.RET02-"&amp;COUNTIF(AB$6:$AB75,1))</f>
        <v/>
      </c>
      <c r="AB75" s="658">
        <f t="shared" si="34"/>
        <v>0</v>
      </c>
      <c r="AC75" s="657" t="str">
        <f>IF(AD75=0,"","FA.RET02-"&amp;COUNTIF(AD$6:$AD75,1))</f>
        <v/>
      </c>
      <c r="AD75" s="658">
        <f t="shared" si="35"/>
        <v>0</v>
      </c>
      <c r="AE75" s="660">
        <f t="shared" si="36"/>
        <v>0</v>
      </c>
      <c r="AF75" s="661">
        <f t="shared" si="24"/>
        <v>0</v>
      </c>
      <c r="AG75" s="662">
        <f t="shared" si="37"/>
        <v>0</v>
      </c>
      <c r="AI75" s="657" t="str">
        <f>IF(AJ75=0,"","FAA.RET02-"&amp;COUNTIF($AJ$6:AJ75,1))</f>
        <v/>
      </c>
      <c r="AJ75" s="658">
        <f t="shared" si="38"/>
        <v>0</v>
      </c>
      <c r="AK75" s="657" t="str">
        <f>IF(AL74=0,"","FAA.RET02-"&amp;COUNTIF(AL$6:$AL75,1))</f>
        <v/>
      </c>
      <c r="AL75" s="658">
        <f t="shared" si="39"/>
        <v>0</v>
      </c>
      <c r="AM75" s="660">
        <f t="shared" si="40"/>
        <v>0</v>
      </c>
      <c r="AN75" s="661">
        <f t="shared" si="25"/>
        <v>0</v>
      </c>
      <c r="AO75" s="662">
        <f t="shared" si="41"/>
        <v>0</v>
      </c>
      <c r="AQ75" s="663">
        <f t="shared" si="26"/>
        <v>9.6000000000000085E-2</v>
      </c>
      <c r="AR75" s="663">
        <f t="shared" si="27"/>
        <v>5.95</v>
      </c>
      <c r="AS75" s="663">
        <f t="shared" si="28"/>
        <v>9.5250000000000004</v>
      </c>
      <c r="AT75" s="663">
        <f t="shared" si="29"/>
        <v>6.2999999999998835E-2</v>
      </c>
      <c r="AV75" s="664">
        <v>68</v>
      </c>
      <c r="AW75" s="665">
        <v>2.5</v>
      </c>
      <c r="AX75" s="665">
        <v>5</v>
      </c>
      <c r="AY75" s="665">
        <v>40</v>
      </c>
      <c r="AZ75" s="664">
        <v>22.541</v>
      </c>
      <c r="BA75" s="666">
        <f t="shared" si="42"/>
        <v>6.0460000000000003</v>
      </c>
      <c r="BB75" s="666">
        <f t="shared" si="43"/>
        <v>26.454000000000001</v>
      </c>
      <c r="BC75" s="665"/>
      <c r="BD75" s="666">
        <f t="shared" si="44"/>
        <v>9.5879999999999992</v>
      </c>
      <c r="BE75" s="686">
        <f t="shared" si="45"/>
        <v>22.911999999999999</v>
      </c>
    </row>
    <row r="76" spans="1:57" ht="13.15" customHeight="1">
      <c r="A76" s="645">
        <v>6.0869999999999997</v>
      </c>
      <c r="B76" s="645">
        <v>5.95</v>
      </c>
      <c r="C76" s="646" t="s">
        <v>704</v>
      </c>
      <c r="D76" s="646" t="s">
        <v>605</v>
      </c>
      <c r="E76" s="646">
        <v>10</v>
      </c>
      <c r="F76" s="647" t="s">
        <v>706</v>
      </c>
      <c r="G76" s="648">
        <v>828.6</v>
      </c>
      <c r="H76" s="648">
        <v>828.55799999999999</v>
      </c>
      <c r="I76" s="649">
        <v>4.2000000000030013E-2</v>
      </c>
      <c r="J76" s="645">
        <v>9.5250000000000004</v>
      </c>
      <c r="K76" s="645">
        <v>10.068</v>
      </c>
      <c r="L76" s="650"/>
      <c r="M76" s="651"/>
      <c r="N76" s="652">
        <v>0.1</v>
      </c>
      <c r="O76" s="652">
        <v>1.0876867395166645E-3</v>
      </c>
      <c r="P76" s="652" t="s">
        <v>607</v>
      </c>
      <c r="Q76" s="653">
        <f t="shared" si="30"/>
        <v>4.6960000000000006</v>
      </c>
      <c r="R76" s="654">
        <f t="shared" si="31"/>
        <v>2</v>
      </c>
      <c r="S76" s="655">
        <f t="shared" si="46"/>
        <v>3.2310000000000003</v>
      </c>
      <c r="T76" s="653">
        <f t="shared" si="32"/>
        <v>3.28</v>
      </c>
      <c r="U76" s="653">
        <f t="shared" si="47"/>
        <v>9.83</v>
      </c>
      <c r="V76" s="653">
        <f t="shared" si="33"/>
        <v>0</v>
      </c>
      <c r="AA76" s="657" t="str">
        <f>IF(AB76=0,"","FA.RET02-"&amp;COUNTIF(AB$6:$AB76,1))</f>
        <v>FA.RET02-8</v>
      </c>
      <c r="AB76" s="658">
        <f t="shared" si="34"/>
        <v>1</v>
      </c>
      <c r="AC76" s="657" t="str">
        <f>IF(AD76=0,"","FA.RET02-"&amp;COUNTIF(AD$6:$AD76,1))</f>
        <v/>
      </c>
      <c r="AD76" s="658">
        <f t="shared" si="35"/>
        <v>0</v>
      </c>
      <c r="AE76" s="660">
        <f t="shared" si="36"/>
        <v>31.63</v>
      </c>
      <c r="AF76" s="661">
        <f t="shared" si="24"/>
        <v>1</v>
      </c>
      <c r="AG76" s="662">
        <f t="shared" si="37"/>
        <v>31.63</v>
      </c>
      <c r="AI76" s="657" t="str">
        <f>IF(AJ76=0,"","FAA.RET02-"&amp;COUNTIF($AJ$6:AJ76,1))</f>
        <v/>
      </c>
      <c r="AJ76" s="658">
        <f t="shared" si="38"/>
        <v>0</v>
      </c>
      <c r="AK76" s="657" t="str">
        <f>IF(AL75=0,"","FAA.RET02-"&amp;COUNTIF(AL$6:$AL76,1))</f>
        <v/>
      </c>
      <c r="AL76" s="658">
        <f t="shared" si="39"/>
        <v>0</v>
      </c>
      <c r="AM76" s="660">
        <f t="shared" si="40"/>
        <v>0</v>
      </c>
      <c r="AN76" s="661">
        <f t="shared" si="25"/>
        <v>0</v>
      </c>
      <c r="AO76" s="662">
        <f t="shared" si="41"/>
        <v>0</v>
      </c>
      <c r="AQ76" s="663">
        <f t="shared" si="26"/>
        <v>0.13699999999999957</v>
      </c>
      <c r="AR76" s="663">
        <f t="shared" si="27"/>
        <v>5.95</v>
      </c>
      <c r="AS76" s="663">
        <f t="shared" si="28"/>
        <v>9.5250000000000004</v>
      </c>
      <c r="AT76" s="663">
        <f t="shared" si="29"/>
        <v>0.54299999999999926</v>
      </c>
      <c r="AV76" s="664">
        <v>69</v>
      </c>
      <c r="AW76" s="665">
        <v>2.5</v>
      </c>
      <c r="AX76" s="665">
        <v>5</v>
      </c>
      <c r="AY76" s="665">
        <v>40</v>
      </c>
      <c r="AZ76" s="664">
        <v>22.765000000000001</v>
      </c>
      <c r="BA76" s="666">
        <f t="shared" si="42"/>
        <v>6.0869999999999997</v>
      </c>
      <c r="BB76" s="666">
        <f t="shared" si="43"/>
        <v>26.413</v>
      </c>
      <c r="BC76" s="665"/>
      <c r="BD76" s="666">
        <f t="shared" si="44"/>
        <v>10.068</v>
      </c>
      <c r="BE76" s="686">
        <f t="shared" si="45"/>
        <v>22.432000000000002</v>
      </c>
    </row>
    <row r="77" spans="1:57" ht="13.15" customHeight="1">
      <c r="A77" s="645">
        <v>6.2439999999999998</v>
      </c>
      <c r="B77" s="645">
        <v>5.95</v>
      </c>
      <c r="C77" s="646" t="s">
        <v>707</v>
      </c>
      <c r="D77" s="646" t="s">
        <v>605</v>
      </c>
      <c r="E77" s="646">
        <v>0</v>
      </c>
      <c r="F77" s="647" t="s">
        <v>708</v>
      </c>
      <c r="G77" s="648">
        <v>828.87699999999995</v>
      </c>
      <c r="H77" s="648">
        <v>828.73800000000006</v>
      </c>
      <c r="I77" s="649">
        <v>0.13899999999989632</v>
      </c>
      <c r="J77" s="645">
        <v>9.5250000000000004</v>
      </c>
      <c r="K77" s="645">
        <v>10.747</v>
      </c>
      <c r="L77" s="650"/>
      <c r="M77" s="651"/>
      <c r="N77" s="652">
        <v>0.1</v>
      </c>
      <c r="O77" s="652">
        <v>9.3835593455657838E-4</v>
      </c>
      <c r="P77" s="652" t="s">
        <v>607</v>
      </c>
      <c r="Q77" s="653">
        <f t="shared" si="30"/>
        <v>4.6960000000000006</v>
      </c>
      <c r="R77" s="654">
        <f t="shared" si="31"/>
        <v>2</v>
      </c>
      <c r="S77" s="655">
        <f t="shared" si="46"/>
        <v>3.3982000000000001</v>
      </c>
      <c r="T77" s="653">
        <f t="shared" si="32"/>
        <v>3.28</v>
      </c>
      <c r="U77" s="653">
        <f t="shared" si="47"/>
        <v>9.83</v>
      </c>
      <c r="V77" s="653">
        <f t="shared" si="33"/>
        <v>0</v>
      </c>
      <c r="AA77" s="657" t="str">
        <f>IF(AB77=0,"","FA.RET02-"&amp;COUNTIF(AB$6:$AB77,1))</f>
        <v/>
      </c>
      <c r="AB77" s="658">
        <f t="shared" si="34"/>
        <v>0</v>
      </c>
      <c r="AC77" s="657" t="str">
        <f>IF(AD77=0,"","FA.RET02-"&amp;COUNTIF(AD$6:$AD77,1))</f>
        <v/>
      </c>
      <c r="AD77" s="658">
        <f t="shared" si="35"/>
        <v>0</v>
      </c>
      <c r="AE77" s="660">
        <f t="shared" si="36"/>
        <v>33.15</v>
      </c>
      <c r="AF77" s="661">
        <f t="shared" si="24"/>
        <v>1</v>
      </c>
      <c r="AG77" s="662">
        <f t="shared" si="37"/>
        <v>64.78</v>
      </c>
      <c r="AI77" s="657" t="str">
        <f>IF(AJ77=0,"","FAA.RET02-"&amp;COUNTIF($AJ$6:AJ77,1))</f>
        <v/>
      </c>
      <c r="AJ77" s="658">
        <f t="shared" si="38"/>
        <v>0</v>
      </c>
      <c r="AK77" s="657" t="str">
        <f>IF(AL76=0,"","FAA.RET02-"&amp;COUNTIF(AL$6:$AL77,1))</f>
        <v/>
      </c>
      <c r="AL77" s="658">
        <f t="shared" si="39"/>
        <v>0</v>
      </c>
      <c r="AM77" s="660">
        <f t="shared" si="40"/>
        <v>0</v>
      </c>
      <c r="AN77" s="661">
        <f t="shared" si="25"/>
        <v>0</v>
      </c>
      <c r="AO77" s="662">
        <f t="shared" si="41"/>
        <v>0</v>
      </c>
      <c r="AQ77" s="663">
        <f t="shared" si="26"/>
        <v>0.29399999999999959</v>
      </c>
      <c r="AR77" s="663">
        <f t="shared" si="27"/>
        <v>5.95</v>
      </c>
      <c r="AS77" s="663">
        <f t="shared" si="28"/>
        <v>9.5250000000000004</v>
      </c>
      <c r="AT77" s="663">
        <f t="shared" si="29"/>
        <v>1.2219999999999995</v>
      </c>
      <c r="AV77" s="664">
        <v>70</v>
      </c>
      <c r="AW77" s="665">
        <v>2.5</v>
      </c>
      <c r="AX77" s="665">
        <v>5</v>
      </c>
      <c r="AY77" s="665">
        <v>40</v>
      </c>
      <c r="AZ77" s="664">
        <v>22.960999999999999</v>
      </c>
      <c r="BA77" s="666">
        <f t="shared" si="42"/>
        <v>6.2439999999999998</v>
      </c>
      <c r="BB77" s="666">
        <f t="shared" si="43"/>
        <v>26.256</v>
      </c>
      <c r="BC77" s="665"/>
      <c r="BD77" s="666">
        <f t="shared" si="44"/>
        <v>10.747</v>
      </c>
      <c r="BE77" s="686">
        <f t="shared" si="45"/>
        <v>21.753</v>
      </c>
    </row>
    <row r="78" spans="1:57" ht="13.15" customHeight="1">
      <c r="A78" s="645">
        <v>6.26</v>
      </c>
      <c r="B78" s="645">
        <v>5.95</v>
      </c>
      <c r="C78" s="646" t="s">
        <v>707</v>
      </c>
      <c r="D78" s="646" t="s">
        <v>605</v>
      </c>
      <c r="E78" s="646">
        <v>10</v>
      </c>
      <c r="F78" s="647" t="s">
        <v>709</v>
      </c>
      <c r="G78" s="648">
        <v>829.154</v>
      </c>
      <c r="H78" s="648">
        <v>829.01599999999996</v>
      </c>
      <c r="I78" s="649">
        <v>0.13800000000003365</v>
      </c>
      <c r="J78" s="645">
        <v>9.5250000000000004</v>
      </c>
      <c r="K78" s="645">
        <v>10.680999999999999</v>
      </c>
      <c r="L78" s="650"/>
      <c r="M78" s="651"/>
      <c r="N78" s="652">
        <v>0.1</v>
      </c>
      <c r="O78" s="652">
        <v>9.3835593455657838E-4</v>
      </c>
      <c r="P78" s="652" t="s">
        <v>607</v>
      </c>
      <c r="Q78" s="653">
        <f t="shared" si="30"/>
        <v>4.6960000000000006</v>
      </c>
      <c r="R78" s="654">
        <f t="shared" si="31"/>
        <v>2</v>
      </c>
      <c r="S78" s="655">
        <f t="shared" si="46"/>
        <v>3.3881999999999999</v>
      </c>
      <c r="T78" s="653">
        <f t="shared" si="32"/>
        <v>3.28</v>
      </c>
      <c r="U78" s="653">
        <f t="shared" si="47"/>
        <v>9.83</v>
      </c>
      <c r="V78" s="653">
        <f t="shared" si="33"/>
        <v>0</v>
      </c>
      <c r="AA78" s="657" t="str">
        <f>IF(AB78=0,"","FA.RET02-"&amp;COUNTIF(AB$6:$AB78,1))</f>
        <v/>
      </c>
      <c r="AB78" s="658">
        <f t="shared" si="34"/>
        <v>0</v>
      </c>
      <c r="AC78" s="657" t="str">
        <f>IF(AD78=0,"","FA.RET02-"&amp;COUNTIF(AD$6:$AD78,1))</f>
        <v/>
      </c>
      <c r="AD78" s="658">
        <f t="shared" si="35"/>
        <v>0</v>
      </c>
      <c r="AE78" s="660">
        <f t="shared" si="36"/>
        <v>33.93</v>
      </c>
      <c r="AF78" s="661">
        <f t="shared" si="24"/>
        <v>1</v>
      </c>
      <c r="AG78" s="662">
        <f t="shared" si="37"/>
        <v>98.710000000000008</v>
      </c>
      <c r="AI78" s="657" t="str">
        <f>IF(AJ78=0,"","FAA.RET02-"&amp;COUNTIF($AJ$6:AJ78,1))</f>
        <v/>
      </c>
      <c r="AJ78" s="658">
        <f t="shared" si="38"/>
        <v>0</v>
      </c>
      <c r="AK78" s="657" t="str">
        <f>IF(AL77=0,"","FAA.RET02-"&amp;COUNTIF(AL$6:$AL78,1))</f>
        <v/>
      </c>
      <c r="AL78" s="658">
        <f t="shared" si="39"/>
        <v>0</v>
      </c>
      <c r="AM78" s="660">
        <f t="shared" si="40"/>
        <v>0</v>
      </c>
      <c r="AN78" s="661">
        <f t="shared" si="25"/>
        <v>0</v>
      </c>
      <c r="AO78" s="662">
        <f t="shared" si="41"/>
        <v>0</v>
      </c>
      <c r="AQ78" s="663">
        <f t="shared" si="26"/>
        <v>0.30999999999999961</v>
      </c>
      <c r="AR78" s="663">
        <f t="shared" si="27"/>
        <v>5.95</v>
      </c>
      <c r="AS78" s="663">
        <f t="shared" si="28"/>
        <v>9.5250000000000004</v>
      </c>
      <c r="AT78" s="663">
        <f t="shared" si="29"/>
        <v>1.1559999999999988</v>
      </c>
      <c r="AV78" s="664">
        <v>70</v>
      </c>
      <c r="AW78" s="665">
        <v>2.5</v>
      </c>
      <c r="AX78" s="665">
        <v>5</v>
      </c>
      <c r="AY78" s="665">
        <v>40</v>
      </c>
      <c r="AZ78" s="664">
        <v>22.975999999999999</v>
      </c>
      <c r="BA78" s="666">
        <f t="shared" si="42"/>
        <v>6.26</v>
      </c>
      <c r="BB78" s="666">
        <f t="shared" si="43"/>
        <v>26.240000000000002</v>
      </c>
      <c r="BC78" s="665"/>
      <c r="BD78" s="666">
        <f t="shared" si="44"/>
        <v>10.680999999999999</v>
      </c>
      <c r="BE78" s="686">
        <f t="shared" si="45"/>
        <v>21.819000000000003</v>
      </c>
    </row>
    <row r="79" spans="1:57" ht="13.15" customHeight="1">
      <c r="A79" s="645">
        <v>7.024</v>
      </c>
      <c r="B79" s="645">
        <v>5.95</v>
      </c>
      <c r="C79" s="646" t="s">
        <v>710</v>
      </c>
      <c r="D79" s="646" t="s">
        <v>605</v>
      </c>
      <c r="E79" s="646">
        <v>0</v>
      </c>
      <c r="F79" s="647" t="s">
        <v>711</v>
      </c>
      <c r="G79" s="648">
        <v>829.43200000000002</v>
      </c>
      <c r="H79" s="648">
        <v>829.21600000000001</v>
      </c>
      <c r="I79" s="649">
        <v>0.21600000000000819</v>
      </c>
      <c r="J79" s="645">
        <v>9.5250000000000004</v>
      </c>
      <c r="K79" s="645">
        <v>10.661</v>
      </c>
      <c r="L79" s="650"/>
      <c r="M79" s="651"/>
      <c r="N79" s="652">
        <v>0.1</v>
      </c>
      <c r="O79" s="652">
        <v>9.3835593455657838E-4</v>
      </c>
      <c r="P79" s="652" t="s">
        <v>607</v>
      </c>
      <c r="Q79" s="653">
        <f t="shared" si="30"/>
        <v>4.6960000000000006</v>
      </c>
      <c r="R79" s="654">
        <f t="shared" si="31"/>
        <v>2</v>
      </c>
      <c r="S79" s="655">
        <f t="shared" si="46"/>
        <v>3.5369999999999999</v>
      </c>
      <c r="T79" s="653">
        <f t="shared" si="32"/>
        <v>3.28</v>
      </c>
      <c r="U79" s="653">
        <f t="shared" si="47"/>
        <v>9.83</v>
      </c>
      <c r="V79" s="653">
        <f t="shared" si="33"/>
        <v>0</v>
      </c>
      <c r="AA79" s="657" t="str">
        <f>IF(AB79=0,"","FA.RET02-"&amp;COUNTIF(AB$6:$AB79,1))</f>
        <v/>
      </c>
      <c r="AB79" s="658">
        <f t="shared" si="34"/>
        <v>0</v>
      </c>
      <c r="AC79" s="657" t="str">
        <f>IF(AD79=0,"","FA.RET02-"&amp;COUNTIF(AD$6:$AD79,1))</f>
        <v/>
      </c>
      <c r="AD79" s="658">
        <f t="shared" si="35"/>
        <v>0</v>
      </c>
      <c r="AE79" s="660">
        <f t="shared" si="36"/>
        <v>34.630000000000003</v>
      </c>
      <c r="AF79" s="661">
        <f t="shared" si="24"/>
        <v>1</v>
      </c>
      <c r="AG79" s="662">
        <f t="shared" si="37"/>
        <v>133.34</v>
      </c>
      <c r="AI79" s="657" t="str">
        <f>IF(AJ79=0,"","FAA.RET02-"&amp;COUNTIF($AJ$6:AJ79,1))</f>
        <v/>
      </c>
      <c r="AJ79" s="658">
        <f t="shared" si="38"/>
        <v>0</v>
      </c>
      <c r="AK79" s="657" t="str">
        <f>IF(AL78=0,"","FAA.RET02-"&amp;COUNTIF(AL$6:$AL79,1))</f>
        <v/>
      </c>
      <c r="AL79" s="658">
        <f t="shared" si="39"/>
        <v>0</v>
      </c>
      <c r="AM79" s="660">
        <f t="shared" si="40"/>
        <v>0</v>
      </c>
      <c r="AN79" s="661">
        <f t="shared" si="25"/>
        <v>0</v>
      </c>
      <c r="AO79" s="662">
        <f t="shared" si="41"/>
        <v>0</v>
      </c>
      <c r="AQ79" s="663">
        <f t="shared" si="26"/>
        <v>1.0739999999999998</v>
      </c>
      <c r="AR79" s="663">
        <f t="shared" si="27"/>
        <v>5.95</v>
      </c>
      <c r="AS79" s="663">
        <f t="shared" si="28"/>
        <v>9.5250000000000004</v>
      </c>
      <c r="AT79" s="663">
        <f t="shared" si="29"/>
        <v>1.1359999999999992</v>
      </c>
      <c r="AV79" s="664">
        <v>71</v>
      </c>
      <c r="AW79" s="665">
        <v>2.5</v>
      </c>
      <c r="AX79" s="665">
        <v>5</v>
      </c>
      <c r="AY79" s="665">
        <v>40</v>
      </c>
      <c r="AZ79" s="664">
        <v>22.951000000000001</v>
      </c>
      <c r="BA79" s="666">
        <f t="shared" si="42"/>
        <v>7.024</v>
      </c>
      <c r="BB79" s="666">
        <f t="shared" si="43"/>
        <v>25.475999999999999</v>
      </c>
      <c r="BC79" s="665"/>
      <c r="BD79" s="666">
        <f t="shared" si="44"/>
        <v>10.661</v>
      </c>
      <c r="BE79" s="686">
        <f t="shared" si="45"/>
        <v>21.838999999999999</v>
      </c>
    </row>
    <row r="80" spans="1:57" ht="13.15" customHeight="1">
      <c r="A80" s="645">
        <v>6.1520000000000001</v>
      </c>
      <c r="B80" s="645">
        <v>5.95</v>
      </c>
      <c r="C80" s="646" t="s">
        <v>710</v>
      </c>
      <c r="D80" s="646" t="s">
        <v>605</v>
      </c>
      <c r="E80" s="646">
        <v>10</v>
      </c>
      <c r="F80" s="647" t="s">
        <v>712</v>
      </c>
      <c r="G80" s="648">
        <v>829.70899999999995</v>
      </c>
      <c r="H80" s="648">
        <v>829.58799999999997</v>
      </c>
      <c r="I80" s="649">
        <v>0.1209999999999809</v>
      </c>
      <c r="J80" s="645">
        <v>9.5250000000000004</v>
      </c>
      <c r="K80" s="645">
        <v>10.48</v>
      </c>
      <c r="L80" s="650"/>
      <c r="M80" s="651"/>
      <c r="N80" s="652">
        <v>0.1</v>
      </c>
      <c r="O80" s="652">
        <v>9.3835593455657838E-4</v>
      </c>
      <c r="P80" s="652" t="s">
        <v>607</v>
      </c>
      <c r="Q80" s="653">
        <f t="shared" si="30"/>
        <v>4.6960000000000006</v>
      </c>
      <c r="R80" s="654">
        <f t="shared" si="31"/>
        <v>2</v>
      </c>
      <c r="S80" s="655">
        <f t="shared" si="46"/>
        <v>3.3263999999999996</v>
      </c>
      <c r="T80" s="653">
        <f t="shared" si="32"/>
        <v>3.28</v>
      </c>
      <c r="U80" s="653">
        <f t="shared" si="47"/>
        <v>9.83</v>
      </c>
      <c r="V80" s="653">
        <f t="shared" si="33"/>
        <v>0</v>
      </c>
      <c r="AA80" s="657" t="str">
        <f>IF(AB80=0,"","FA.RET02-"&amp;COUNTIF(AB$6:$AB80,1))</f>
        <v/>
      </c>
      <c r="AB80" s="658">
        <f t="shared" si="34"/>
        <v>0</v>
      </c>
      <c r="AC80" s="657" t="str">
        <f>IF(AD80=0,"","FA.RET02-"&amp;COUNTIF(AD$6:$AD80,1))</f>
        <v/>
      </c>
      <c r="AD80" s="658">
        <f t="shared" si="35"/>
        <v>0</v>
      </c>
      <c r="AE80" s="660">
        <f t="shared" si="36"/>
        <v>34.32</v>
      </c>
      <c r="AF80" s="661">
        <f t="shared" si="24"/>
        <v>1</v>
      </c>
      <c r="AG80" s="662">
        <f t="shared" si="37"/>
        <v>167.66</v>
      </c>
      <c r="AI80" s="657" t="str">
        <f>IF(AJ80=0,"","FAA.RET02-"&amp;COUNTIF($AJ$6:AJ80,1))</f>
        <v/>
      </c>
      <c r="AJ80" s="658">
        <f t="shared" si="38"/>
        <v>0</v>
      </c>
      <c r="AK80" s="657" t="str">
        <f>IF(AL79=0,"","FAA.RET02-"&amp;COUNTIF(AL$6:$AL80,1))</f>
        <v/>
      </c>
      <c r="AL80" s="658">
        <f t="shared" si="39"/>
        <v>0</v>
      </c>
      <c r="AM80" s="660">
        <f t="shared" si="40"/>
        <v>0</v>
      </c>
      <c r="AN80" s="661">
        <f t="shared" si="25"/>
        <v>0</v>
      </c>
      <c r="AO80" s="662">
        <f t="shared" si="41"/>
        <v>0</v>
      </c>
      <c r="AQ80" s="663">
        <f t="shared" si="26"/>
        <v>0.20199999999999996</v>
      </c>
      <c r="AR80" s="663">
        <f t="shared" si="27"/>
        <v>5.95</v>
      </c>
      <c r="AS80" s="663">
        <f t="shared" si="28"/>
        <v>9.5250000000000004</v>
      </c>
      <c r="AT80" s="663">
        <f t="shared" si="29"/>
        <v>0.95500000000000007</v>
      </c>
      <c r="AV80" s="664">
        <v>72</v>
      </c>
      <c r="AW80" s="665">
        <v>2.5</v>
      </c>
      <c r="AX80" s="665">
        <v>5</v>
      </c>
      <c r="AY80" s="665">
        <v>40</v>
      </c>
      <c r="AZ80" s="664">
        <v>22.893000000000001</v>
      </c>
      <c r="BA80" s="666">
        <f t="shared" si="42"/>
        <v>6.1520000000000001</v>
      </c>
      <c r="BB80" s="666">
        <f t="shared" si="43"/>
        <v>26.347999999999999</v>
      </c>
      <c r="BC80" s="665"/>
      <c r="BD80" s="666">
        <f t="shared" si="44"/>
        <v>10.48</v>
      </c>
      <c r="BE80" s="686">
        <f t="shared" si="45"/>
        <v>22.02</v>
      </c>
    </row>
    <row r="81" spans="1:57" ht="13.15" customHeight="1">
      <c r="A81" s="645">
        <v>6.1260000000000003</v>
      </c>
      <c r="B81" s="645">
        <v>5.95</v>
      </c>
      <c r="C81" s="646" t="s">
        <v>713</v>
      </c>
      <c r="D81" s="646" t="s">
        <v>605</v>
      </c>
      <c r="E81" s="646">
        <v>0</v>
      </c>
      <c r="F81" s="647" t="s">
        <v>714</v>
      </c>
      <c r="G81" s="648">
        <v>829.98699999999997</v>
      </c>
      <c r="H81" s="648">
        <v>829.98400000000004</v>
      </c>
      <c r="I81" s="649">
        <v>2.9999999999290594E-3</v>
      </c>
      <c r="J81" s="645">
        <v>9.5250000000000004</v>
      </c>
      <c r="K81" s="645">
        <v>10.452999999999999</v>
      </c>
      <c r="L81" s="650"/>
      <c r="M81" s="651"/>
      <c r="N81" s="652">
        <v>0.1</v>
      </c>
      <c r="O81" s="652">
        <v>9.3835593455657838E-4</v>
      </c>
      <c r="P81" s="652" t="s">
        <v>607</v>
      </c>
      <c r="Q81" s="653">
        <f t="shared" si="30"/>
        <v>4.6960000000000006</v>
      </c>
      <c r="R81" s="654">
        <f t="shared" si="31"/>
        <v>2</v>
      </c>
      <c r="S81" s="655">
        <f t="shared" si="46"/>
        <v>3.3158000000000003</v>
      </c>
      <c r="T81" s="653">
        <f t="shared" si="32"/>
        <v>3.28</v>
      </c>
      <c r="U81" s="653">
        <f t="shared" si="47"/>
        <v>9.83</v>
      </c>
      <c r="V81" s="653">
        <f t="shared" si="33"/>
        <v>0</v>
      </c>
      <c r="AA81" s="657" t="str">
        <f>IF(AB81=0,"","FA.RET02-"&amp;COUNTIF(AB$6:$AB81,1))</f>
        <v/>
      </c>
      <c r="AB81" s="658">
        <f t="shared" si="34"/>
        <v>0</v>
      </c>
      <c r="AC81" s="657" t="str">
        <f>IF(AD81=0,"","FA.RET02-"&amp;COUNTIF(AD$6:$AD81,1))</f>
        <v/>
      </c>
      <c r="AD81" s="658">
        <f t="shared" si="35"/>
        <v>0</v>
      </c>
      <c r="AE81" s="660">
        <f t="shared" si="36"/>
        <v>33.21</v>
      </c>
      <c r="AF81" s="661">
        <f t="shared" si="24"/>
        <v>1</v>
      </c>
      <c r="AG81" s="662">
        <f t="shared" si="37"/>
        <v>200.87</v>
      </c>
      <c r="AI81" s="657" t="str">
        <f>IF(AJ81=0,"","FAA.RET02-"&amp;COUNTIF($AJ$6:AJ81,1))</f>
        <v/>
      </c>
      <c r="AJ81" s="658">
        <f t="shared" si="38"/>
        <v>0</v>
      </c>
      <c r="AK81" s="657" t="str">
        <f>IF(AL80=0,"","FAA.RET02-"&amp;COUNTIF(AL$6:$AL81,1))</f>
        <v/>
      </c>
      <c r="AL81" s="658">
        <f t="shared" si="39"/>
        <v>0</v>
      </c>
      <c r="AM81" s="660">
        <f t="shared" si="40"/>
        <v>0</v>
      </c>
      <c r="AN81" s="661">
        <f t="shared" si="25"/>
        <v>0</v>
      </c>
      <c r="AO81" s="662">
        <f t="shared" si="41"/>
        <v>0</v>
      </c>
      <c r="AQ81" s="663">
        <f t="shared" si="26"/>
        <v>0.17600000000000016</v>
      </c>
      <c r="AR81" s="663">
        <f t="shared" si="27"/>
        <v>5.95</v>
      </c>
      <c r="AS81" s="663">
        <f t="shared" si="28"/>
        <v>9.5250000000000004</v>
      </c>
      <c r="AT81" s="663">
        <f t="shared" si="29"/>
        <v>0.92799999999999905</v>
      </c>
      <c r="AV81" s="664">
        <v>72</v>
      </c>
      <c r="AW81" s="665">
        <v>2.5</v>
      </c>
      <c r="AX81" s="665">
        <v>5</v>
      </c>
      <c r="AY81" s="665">
        <v>40</v>
      </c>
      <c r="AZ81" s="664">
        <v>22.978000000000002</v>
      </c>
      <c r="BA81" s="666">
        <f t="shared" si="42"/>
        <v>6.1260000000000003</v>
      </c>
      <c r="BB81" s="666">
        <f t="shared" si="43"/>
        <v>26.373999999999999</v>
      </c>
      <c r="BC81" s="665"/>
      <c r="BD81" s="666">
        <f t="shared" si="44"/>
        <v>10.452999999999999</v>
      </c>
      <c r="BE81" s="686">
        <f t="shared" si="45"/>
        <v>22.047000000000001</v>
      </c>
    </row>
    <row r="82" spans="1:57" ht="13.15" customHeight="1">
      <c r="A82" s="645">
        <v>6.0259999999999998</v>
      </c>
      <c r="B82" s="645">
        <v>5.95</v>
      </c>
      <c r="C82" s="646" t="s">
        <v>713</v>
      </c>
      <c r="D82" s="646" t="s">
        <v>605</v>
      </c>
      <c r="E82" s="646">
        <v>10</v>
      </c>
      <c r="F82" s="647" t="s">
        <v>715</v>
      </c>
      <c r="G82" s="648">
        <v>830.26400000000001</v>
      </c>
      <c r="H82" s="648">
        <v>830.21100000000001</v>
      </c>
      <c r="I82" s="649">
        <v>5.2999999999997272E-2</v>
      </c>
      <c r="J82" s="645">
        <v>9.5250000000000004</v>
      </c>
      <c r="K82" s="645">
        <v>10.385999999999999</v>
      </c>
      <c r="L82" s="650"/>
      <c r="M82" s="651"/>
      <c r="N82" s="652">
        <v>0.1</v>
      </c>
      <c r="O82" s="652">
        <v>9.3835593455657838E-4</v>
      </c>
      <c r="P82" s="652" t="s">
        <v>607</v>
      </c>
      <c r="Q82" s="653">
        <f t="shared" si="30"/>
        <v>4.6960000000000006</v>
      </c>
      <c r="R82" s="654">
        <f t="shared" si="31"/>
        <v>2</v>
      </c>
      <c r="S82" s="655">
        <f t="shared" si="46"/>
        <v>3.2824</v>
      </c>
      <c r="T82" s="653">
        <f t="shared" si="32"/>
        <v>3.28</v>
      </c>
      <c r="U82" s="653">
        <f t="shared" si="47"/>
        <v>9.83</v>
      </c>
      <c r="V82" s="653">
        <f t="shared" si="33"/>
        <v>0</v>
      </c>
      <c r="AA82" s="657" t="str">
        <f>IF(AB82=0,"","FA.RET02-"&amp;COUNTIF(AB$6:$AB82,1))</f>
        <v/>
      </c>
      <c r="AB82" s="658">
        <f t="shared" si="34"/>
        <v>0</v>
      </c>
      <c r="AC82" s="657" t="str">
        <f>IF(AD82=0,"","FA.RET02-"&amp;COUNTIF(AD$6:$AD82,1))</f>
        <v>FA.RET02-8</v>
      </c>
      <c r="AD82" s="658">
        <f t="shared" si="35"/>
        <v>1</v>
      </c>
      <c r="AE82" s="660">
        <f t="shared" si="36"/>
        <v>32.99</v>
      </c>
      <c r="AF82" s="661">
        <f t="shared" si="24"/>
        <v>1</v>
      </c>
      <c r="AG82" s="662">
        <f t="shared" si="37"/>
        <v>233.86</v>
      </c>
      <c r="AI82" s="657" t="str">
        <f>IF(AJ82=0,"","FAA.RET02-"&amp;COUNTIF($AJ$6:AJ82,1))</f>
        <v/>
      </c>
      <c r="AJ82" s="658">
        <f t="shared" si="38"/>
        <v>0</v>
      </c>
      <c r="AK82" s="657" t="str">
        <f>IF(AL81=0,"","FAA.RET02-"&amp;COUNTIF(AL$6:$AL82,1))</f>
        <v/>
      </c>
      <c r="AL82" s="658">
        <f t="shared" si="39"/>
        <v>0</v>
      </c>
      <c r="AM82" s="660">
        <f t="shared" si="40"/>
        <v>0</v>
      </c>
      <c r="AN82" s="661">
        <f t="shared" si="25"/>
        <v>0</v>
      </c>
      <c r="AO82" s="662">
        <f t="shared" si="41"/>
        <v>0</v>
      </c>
      <c r="AQ82" s="663">
        <f t="shared" si="26"/>
        <v>7.5999999999999623E-2</v>
      </c>
      <c r="AR82" s="663">
        <f t="shared" si="27"/>
        <v>5.95</v>
      </c>
      <c r="AS82" s="663">
        <f t="shared" si="28"/>
        <v>9.5250000000000004</v>
      </c>
      <c r="AT82" s="663">
        <f t="shared" si="29"/>
        <v>0.86099999999999888</v>
      </c>
      <c r="AV82" s="664">
        <v>73</v>
      </c>
      <c r="AW82" s="665">
        <v>2.5</v>
      </c>
      <c r="AX82" s="665">
        <v>5</v>
      </c>
      <c r="AY82" s="665">
        <v>40</v>
      </c>
      <c r="AZ82" s="664">
        <v>22.946999999999999</v>
      </c>
      <c r="BA82" s="666">
        <f t="shared" si="42"/>
        <v>6.0259999999999998</v>
      </c>
      <c r="BB82" s="666">
        <f t="shared" si="43"/>
        <v>26.474</v>
      </c>
      <c r="BC82" s="665"/>
      <c r="BD82" s="666">
        <f t="shared" si="44"/>
        <v>10.385999999999999</v>
      </c>
      <c r="BE82" s="686">
        <f t="shared" si="45"/>
        <v>22.114000000000001</v>
      </c>
    </row>
    <row r="83" spans="1:57" ht="13.15" customHeight="1">
      <c r="A83" s="645">
        <v>5.99</v>
      </c>
      <c r="B83" s="645">
        <v>5.95</v>
      </c>
      <c r="C83" s="646" t="s">
        <v>716</v>
      </c>
      <c r="D83" s="646" t="s">
        <v>605</v>
      </c>
      <c r="E83" s="646">
        <v>0</v>
      </c>
      <c r="F83" s="647" t="s">
        <v>717</v>
      </c>
      <c r="G83" s="648">
        <v>830.54100000000005</v>
      </c>
      <c r="H83" s="648">
        <v>830.54200000000003</v>
      </c>
      <c r="I83" s="649">
        <v>-9.9999999997635314E-4</v>
      </c>
      <c r="J83" s="645">
        <v>9.5250000000000004</v>
      </c>
      <c r="K83" s="645">
        <v>10.183999999999999</v>
      </c>
      <c r="L83" s="650"/>
      <c r="M83" s="651"/>
      <c r="N83" s="652">
        <v>0.1</v>
      </c>
      <c r="O83" s="652">
        <v>9.3835593455657838E-4</v>
      </c>
      <c r="P83" s="652" t="s">
        <v>607</v>
      </c>
      <c r="Q83" s="653">
        <f t="shared" si="30"/>
        <v>4.6960000000000006</v>
      </c>
      <c r="R83" s="654">
        <f t="shared" si="31"/>
        <v>1</v>
      </c>
      <c r="S83" s="655">
        <f t="shared" si="46"/>
        <v>3.0950000000000006</v>
      </c>
      <c r="T83" s="653">
        <f t="shared" si="32"/>
        <v>0</v>
      </c>
      <c r="U83" s="653">
        <f t="shared" si="47"/>
        <v>0</v>
      </c>
      <c r="V83" s="653">
        <f t="shared" si="33"/>
        <v>3.0950000000000006</v>
      </c>
      <c r="AA83" s="657" t="str">
        <f>IF(AB83=0,"","FA.RET02-"&amp;COUNTIF(AB$6:$AB83,1))</f>
        <v/>
      </c>
      <c r="AB83" s="658">
        <f t="shared" si="34"/>
        <v>0</v>
      </c>
      <c r="AC83" s="657" t="str">
        <f>IF(AD83=0,"","FA.RET02-"&amp;COUNTIF(AD$6:$AD83,1))</f>
        <v/>
      </c>
      <c r="AD83" s="658">
        <f t="shared" si="35"/>
        <v>0</v>
      </c>
      <c r="AE83" s="660">
        <f t="shared" si="36"/>
        <v>0</v>
      </c>
      <c r="AF83" s="661">
        <f t="shared" si="24"/>
        <v>0</v>
      </c>
      <c r="AG83" s="662">
        <f t="shared" si="37"/>
        <v>0</v>
      </c>
      <c r="AI83" s="657" t="str">
        <f>IF(AJ83=0,"","FAA.RET02-"&amp;COUNTIF($AJ$6:AJ83,1))</f>
        <v/>
      </c>
      <c r="AJ83" s="658">
        <f t="shared" si="38"/>
        <v>0</v>
      </c>
      <c r="AK83" s="657" t="str">
        <f>IF(AL82=0,"","FAA.RET02-"&amp;COUNTIF(AL$6:$AL83,1))</f>
        <v/>
      </c>
      <c r="AL83" s="658">
        <f t="shared" si="39"/>
        <v>0</v>
      </c>
      <c r="AM83" s="660">
        <f t="shared" si="40"/>
        <v>0</v>
      </c>
      <c r="AN83" s="661">
        <f t="shared" si="25"/>
        <v>0</v>
      </c>
      <c r="AO83" s="662">
        <f t="shared" si="41"/>
        <v>0</v>
      </c>
      <c r="AQ83" s="663">
        <f t="shared" si="26"/>
        <v>4.0000000000000036E-2</v>
      </c>
      <c r="AR83" s="663">
        <f t="shared" si="27"/>
        <v>5.95</v>
      </c>
      <c r="AS83" s="663">
        <f t="shared" si="28"/>
        <v>9.5250000000000004</v>
      </c>
      <c r="AT83" s="663">
        <f t="shared" si="29"/>
        <v>0.65899999999999892</v>
      </c>
      <c r="AV83" s="664">
        <v>74</v>
      </c>
      <c r="AW83" s="665">
        <v>2.5</v>
      </c>
      <c r="AX83" s="665">
        <v>5</v>
      </c>
      <c r="AY83" s="665">
        <v>40</v>
      </c>
      <c r="AZ83" s="664">
        <v>22.373000000000001</v>
      </c>
      <c r="BA83" s="666">
        <f t="shared" si="42"/>
        <v>5.99</v>
      </c>
      <c r="BB83" s="666">
        <f t="shared" si="43"/>
        <v>26.509999999999998</v>
      </c>
      <c r="BC83" s="665"/>
      <c r="BD83" s="666">
        <f t="shared" si="44"/>
        <v>10.183999999999999</v>
      </c>
      <c r="BE83" s="686">
        <f t="shared" si="45"/>
        <v>22.316000000000003</v>
      </c>
    </row>
    <row r="84" spans="1:57" ht="13.15" customHeight="1">
      <c r="A84" s="645">
        <v>5.9989999999999997</v>
      </c>
      <c r="B84" s="645">
        <v>5.95</v>
      </c>
      <c r="C84" s="646" t="s">
        <v>716</v>
      </c>
      <c r="D84" s="646" t="s">
        <v>605</v>
      </c>
      <c r="E84" s="646">
        <v>10</v>
      </c>
      <c r="F84" s="647" t="s">
        <v>718</v>
      </c>
      <c r="G84" s="648">
        <v>830.81899999999996</v>
      </c>
      <c r="H84" s="648">
        <v>830.81100000000004</v>
      </c>
      <c r="I84" s="649">
        <v>7.9999999999245119E-3</v>
      </c>
      <c r="J84" s="645">
        <v>9.5250000000000004</v>
      </c>
      <c r="K84" s="645">
        <v>9.7590000000000003</v>
      </c>
      <c r="L84" s="650"/>
      <c r="M84" s="651"/>
      <c r="N84" s="652">
        <v>0.1</v>
      </c>
      <c r="O84" s="652">
        <v>6.600553562318989E-4</v>
      </c>
      <c r="P84" s="652" t="s">
        <v>607</v>
      </c>
      <c r="Q84" s="653">
        <f t="shared" si="30"/>
        <v>4.6960000000000006</v>
      </c>
      <c r="R84" s="654">
        <f t="shared" si="31"/>
        <v>2</v>
      </c>
      <c r="S84" s="655">
        <f t="shared" si="46"/>
        <v>3.1516000000000002</v>
      </c>
      <c r="T84" s="653">
        <f t="shared" si="32"/>
        <v>3.28</v>
      </c>
      <c r="U84" s="653">
        <f t="shared" si="47"/>
        <v>9.83</v>
      </c>
      <c r="V84" s="653">
        <f t="shared" si="33"/>
        <v>0</v>
      </c>
      <c r="AA84" s="657" t="str">
        <f>IF(AB84=0,"","FA.RET02-"&amp;COUNTIF(AB$6:$AB84,1))</f>
        <v>FA.RET02-9</v>
      </c>
      <c r="AB84" s="658">
        <f t="shared" si="34"/>
        <v>1</v>
      </c>
      <c r="AC84" s="657" t="str">
        <f>IF(AD84=0,"","FA.RET02-"&amp;COUNTIF(AD$6:$AD84,1))</f>
        <v>FA.RET02-9</v>
      </c>
      <c r="AD84" s="658">
        <f t="shared" si="35"/>
        <v>1</v>
      </c>
      <c r="AE84" s="660">
        <f t="shared" si="36"/>
        <v>31.23</v>
      </c>
      <c r="AF84" s="661">
        <f t="shared" si="24"/>
        <v>1</v>
      </c>
      <c r="AG84" s="662">
        <f t="shared" si="37"/>
        <v>31.23</v>
      </c>
      <c r="AI84" s="657" t="str">
        <f>IF(AJ84=0,"","FAA.RET02-"&amp;COUNTIF($AJ$6:AJ84,1))</f>
        <v/>
      </c>
      <c r="AJ84" s="658">
        <f t="shared" si="38"/>
        <v>0</v>
      </c>
      <c r="AK84" s="657" t="str">
        <f>IF(AL83=0,"","FAA.RET02-"&amp;COUNTIF(AL$6:$AL84,1))</f>
        <v/>
      </c>
      <c r="AL84" s="658">
        <f t="shared" si="39"/>
        <v>0</v>
      </c>
      <c r="AM84" s="660">
        <f t="shared" si="40"/>
        <v>0</v>
      </c>
      <c r="AN84" s="661">
        <f t="shared" si="25"/>
        <v>0</v>
      </c>
      <c r="AO84" s="662">
        <f t="shared" si="41"/>
        <v>0</v>
      </c>
      <c r="AQ84" s="663">
        <f t="shared" si="26"/>
        <v>4.8999999999999488E-2</v>
      </c>
      <c r="AR84" s="663">
        <f t="shared" si="27"/>
        <v>5.95</v>
      </c>
      <c r="AS84" s="663">
        <f t="shared" si="28"/>
        <v>9.5250000000000004</v>
      </c>
      <c r="AT84" s="663">
        <f t="shared" si="29"/>
        <v>0.23399999999999999</v>
      </c>
      <c r="AV84" s="664">
        <v>74</v>
      </c>
      <c r="AW84" s="665">
        <v>2.5</v>
      </c>
      <c r="AX84" s="665">
        <v>5</v>
      </c>
      <c r="AY84" s="665">
        <v>40</v>
      </c>
      <c r="AZ84" s="664">
        <v>21.908999999999999</v>
      </c>
      <c r="BA84" s="666">
        <f t="shared" si="42"/>
        <v>5.9989999999999997</v>
      </c>
      <c r="BB84" s="666">
        <f t="shared" si="43"/>
        <v>26.501000000000001</v>
      </c>
      <c r="BC84" s="665"/>
      <c r="BD84" s="666">
        <f t="shared" si="44"/>
        <v>9.7590000000000003</v>
      </c>
      <c r="BE84" s="686">
        <f t="shared" si="45"/>
        <v>22.741</v>
      </c>
    </row>
    <row r="85" spans="1:57" ht="13.15" customHeight="1">
      <c r="A85" s="645">
        <v>6.0510000000000002</v>
      </c>
      <c r="B85" s="645">
        <v>5.95</v>
      </c>
      <c r="C85" s="646" t="s">
        <v>719</v>
      </c>
      <c r="D85" s="646" t="s">
        <v>605</v>
      </c>
      <c r="E85" s="646">
        <v>0</v>
      </c>
      <c r="F85" s="647" t="s">
        <v>720</v>
      </c>
      <c r="G85" s="648">
        <v>831.096</v>
      </c>
      <c r="H85" s="648">
        <v>831.1</v>
      </c>
      <c r="I85" s="649">
        <v>-4.0000000000190994E-3</v>
      </c>
      <c r="J85" s="645">
        <v>9.5250000000000004</v>
      </c>
      <c r="K85" s="645">
        <v>9.6549999999999994</v>
      </c>
      <c r="L85" s="650"/>
      <c r="M85" s="651"/>
      <c r="N85" s="652">
        <v>0.1</v>
      </c>
      <c r="O85" s="652">
        <v>6.600553562318989E-4</v>
      </c>
      <c r="P85" s="652" t="s">
        <v>607</v>
      </c>
      <c r="Q85" s="653">
        <f t="shared" si="30"/>
        <v>4.6960000000000006</v>
      </c>
      <c r="R85" s="654">
        <f t="shared" si="31"/>
        <v>1</v>
      </c>
      <c r="S85" s="655">
        <f t="shared" si="46"/>
        <v>3.0950000000000006</v>
      </c>
      <c r="T85" s="653">
        <f t="shared" si="32"/>
        <v>0</v>
      </c>
      <c r="U85" s="653">
        <f t="shared" si="47"/>
        <v>0</v>
      </c>
      <c r="V85" s="653">
        <f t="shared" si="33"/>
        <v>3.0950000000000006</v>
      </c>
      <c r="AA85" s="657" t="str">
        <f>IF(AB85=0,"","FA.RET02-"&amp;COUNTIF(AB$6:$AB85,1))</f>
        <v/>
      </c>
      <c r="AB85" s="658">
        <f t="shared" si="34"/>
        <v>0</v>
      </c>
      <c r="AC85" s="657" t="str">
        <f>IF(AD85=0,"","FA.RET02-"&amp;COUNTIF(AD$6:$AD85,1))</f>
        <v/>
      </c>
      <c r="AD85" s="658">
        <f t="shared" si="35"/>
        <v>0</v>
      </c>
      <c r="AE85" s="660">
        <f t="shared" si="36"/>
        <v>0</v>
      </c>
      <c r="AF85" s="661">
        <f t="shared" si="24"/>
        <v>0</v>
      </c>
      <c r="AG85" s="662">
        <f t="shared" si="37"/>
        <v>0</v>
      </c>
      <c r="AI85" s="657" t="str">
        <f>IF(AJ85=0,"","FAA.RET02-"&amp;COUNTIF($AJ$6:AJ85,1))</f>
        <v/>
      </c>
      <c r="AJ85" s="658">
        <f t="shared" si="38"/>
        <v>0</v>
      </c>
      <c r="AK85" s="657" t="str">
        <f>IF(AL84=0,"","FAA.RET02-"&amp;COUNTIF(AL$6:$AL85,1))</f>
        <v/>
      </c>
      <c r="AL85" s="658">
        <f t="shared" si="39"/>
        <v>0</v>
      </c>
      <c r="AM85" s="660">
        <f t="shared" si="40"/>
        <v>0</v>
      </c>
      <c r="AN85" s="661">
        <f t="shared" si="25"/>
        <v>0</v>
      </c>
      <c r="AO85" s="662">
        <f t="shared" si="41"/>
        <v>0</v>
      </c>
      <c r="AQ85" s="663">
        <f t="shared" si="26"/>
        <v>0.10099999999999998</v>
      </c>
      <c r="AR85" s="663">
        <f t="shared" si="27"/>
        <v>5.95</v>
      </c>
      <c r="AS85" s="663">
        <f t="shared" si="28"/>
        <v>9.5250000000000004</v>
      </c>
      <c r="AT85" s="663">
        <f t="shared" si="29"/>
        <v>0.12999999999999901</v>
      </c>
      <c r="AV85" s="664">
        <v>75</v>
      </c>
      <c r="AW85" s="665">
        <v>2.5</v>
      </c>
      <c r="AX85" s="665">
        <v>5</v>
      </c>
      <c r="AY85" s="665">
        <v>40</v>
      </c>
      <c r="AZ85" s="664">
        <v>21.881</v>
      </c>
      <c r="BA85" s="666">
        <f t="shared" si="42"/>
        <v>6.0510000000000002</v>
      </c>
      <c r="BB85" s="666">
        <f t="shared" si="43"/>
        <v>26.448999999999998</v>
      </c>
      <c r="BC85" s="665"/>
      <c r="BD85" s="666">
        <f t="shared" si="44"/>
        <v>9.6549999999999994</v>
      </c>
      <c r="BE85" s="686">
        <f t="shared" si="45"/>
        <v>22.844999999999999</v>
      </c>
    </row>
    <row r="86" spans="1:57" ht="13.15" customHeight="1">
      <c r="A86" s="645">
        <v>6.0960000000000001</v>
      </c>
      <c r="B86" s="645">
        <v>5.95</v>
      </c>
      <c r="C86" s="646" t="s">
        <v>719</v>
      </c>
      <c r="D86" s="646" t="s">
        <v>605</v>
      </c>
      <c r="E86" s="646">
        <v>10</v>
      </c>
      <c r="F86" s="647" t="s">
        <v>721</v>
      </c>
      <c r="G86" s="648">
        <v>831.37400000000002</v>
      </c>
      <c r="H86" s="648">
        <v>831.46400000000006</v>
      </c>
      <c r="I86" s="649">
        <v>-9.0000000000031832E-2</v>
      </c>
      <c r="J86" s="645">
        <v>9.5250000000000004</v>
      </c>
      <c r="K86" s="645">
        <v>9.5530000000000008</v>
      </c>
      <c r="L86" s="650"/>
      <c r="M86" s="651"/>
      <c r="N86" s="652">
        <v>0.1</v>
      </c>
      <c r="O86" s="652">
        <v>6.600553562318989E-4</v>
      </c>
      <c r="P86" s="652" t="s">
        <v>607</v>
      </c>
      <c r="Q86" s="653">
        <f t="shared" si="30"/>
        <v>4.6960000000000006</v>
      </c>
      <c r="R86" s="654">
        <f t="shared" si="31"/>
        <v>1</v>
      </c>
      <c r="S86" s="655">
        <f t="shared" si="46"/>
        <v>3.0950000000000006</v>
      </c>
      <c r="T86" s="653">
        <f t="shared" si="32"/>
        <v>0</v>
      </c>
      <c r="U86" s="653">
        <f t="shared" si="47"/>
        <v>0</v>
      </c>
      <c r="V86" s="653">
        <f t="shared" si="33"/>
        <v>3.0950000000000006</v>
      </c>
      <c r="AA86" s="657" t="str">
        <f>IF(AB86=0,"","FA.RET02-"&amp;COUNTIF(AB$6:$AB86,1))</f>
        <v/>
      </c>
      <c r="AB86" s="658">
        <f t="shared" si="34"/>
        <v>0</v>
      </c>
      <c r="AC86" s="657" t="str">
        <f>IF(AD86=0,"","FA.RET02-"&amp;COUNTIF(AD$6:$AD86,1))</f>
        <v/>
      </c>
      <c r="AD86" s="658">
        <f t="shared" si="35"/>
        <v>0</v>
      </c>
      <c r="AE86" s="660">
        <f t="shared" si="36"/>
        <v>0</v>
      </c>
      <c r="AF86" s="661">
        <f t="shared" si="24"/>
        <v>0</v>
      </c>
      <c r="AG86" s="662">
        <f t="shared" si="37"/>
        <v>0</v>
      </c>
      <c r="AI86" s="657" t="str">
        <f>IF(AJ86=0,"","FAA.RET02-"&amp;COUNTIF($AJ$6:AJ86,1))</f>
        <v/>
      </c>
      <c r="AJ86" s="658">
        <f t="shared" si="38"/>
        <v>0</v>
      </c>
      <c r="AK86" s="657" t="str">
        <f>IF(AL85=0,"","FAA.RET02-"&amp;COUNTIF(AL$6:$AL86,1))</f>
        <v/>
      </c>
      <c r="AL86" s="658">
        <f t="shared" si="39"/>
        <v>0</v>
      </c>
      <c r="AM86" s="660">
        <f t="shared" si="40"/>
        <v>0</v>
      </c>
      <c r="AN86" s="661">
        <f t="shared" si="25"/>
        <v>0</v>
      </c>
      <c r="AO86" s="662">
        <f t="shared" si="41"/>
        <v>0</v>
      </c>
      <c r="AQ86" s="663">
        <f t="shared" si="26"/>
        <v>0.14599999999999991</v>
      </c>
      <c r="AR86" s="663">
        <f t="shared" si="27"/>
        <v>5.95</v>
      </c>
      <c r="AS86" s="663">
        <f t="shared" si="28"/>
        <v>9.5250000000000004</v>
      </c>
      <c r="AT86" s="663">
        <f t="shared" si="29"/>
        <v>2.8000000000000469E-2</v>
      </c>
      <c r="AV86" s="664">
        <v>76</v>
      </c>
      <c r="AW86" s="665">
        <v>2.5</v>
      </c>
      <c r="AX86" s="665">
        <v>5</v>
      </c>
      <c r="AY86" s="665">
        <v>40</v>
      </c>
      <c r="AZ86" s="664">
        <v>21.265000000000001</v>
      </c>
      <c r="BA86" s="666">
        <f t="shared" si="42"/>
        <v>6.0960000000000001</v>
      </c>
      <c r="BB86" s="666">
        <f t="shared" si="43"/>
        <v>26.404</v>
      </c>
      <c r="BC86" s="665"/>
      <c r="BD86" s="666">
        <f t="shared" si="44"/>
        <v>9.5530000000000008</v>
      </c>
      <c r="BE86" s="686">
        <f t="shared" si="45"/>
        <v>22.946999999999999</v>
      </c>
    </row>
    <row r="87" spans="1:57" ht="13.15" customHeight="1">
      <c r="A87" s="645">
        <v>6.3129999999999997</v>
      </c>
      <c r="B87" s="645">
        <v>5.95</v>
      </c>
      <c r="C87" s="646" t="s">
        <v>722</v>
      </c>
      <c r="D87" s="646" t="s">
        <v>605</v>
      </c>
      <c r="E87" s="646">
        <v>0</v>
      </c>
      <c r="F87" s="647" t="s">
        <v>723</v>
      </c>
      <c r="G87" s="648">
        <v>831.65099999999995</v>
      </c>
      <c r="H87" s="648">
        <v>831.88699999999994</v>
      </c>
      <c r="I87" s="649">
        <v>-0.23599999999999</v>
      </c>
      <c r="J87" s="645">
        <v>9.5250000000000004</v>
      </c>
      <c r="K87" s="645">
        <v>9.5530000000000008</v>
      </c>
      <c r="L87" s="650"/>
      <c r="M87" s="651"/>
      <c r="N87" s="652">
        <v>0.1</v>
      </c>
      <c r="O87" s="652">
        <v>6.600553562318989E-4</v>
      </c>
      <c r="P87" s="652" t="s">
        <v>607</v>
      </c>
      <c r="Q87" s="653">
        <f t="shared" si="30"/>
        <v>4.6960000000000006</v>
      </c>
      <c r="R87" s="654">
        <f t="shared" si="31"/>
        <v>1</v>
      </c>
      <c r="S87" s="655">
        <f t="shared" si="46"/>
        <v>3.0950000000000006</v>
      </c>
      <c r="T87" s="653">
        <f t="shared" si="32"/>
        <v>0</v>
      </c>
      <c r="U87" s="653">
        <f t="shared" si="47"/>
        <v>0</v>
      </c>
      <c r="V87" s="653">
        <f t="shared" si="33"/>
        <v>3.0950000000000006</v>
      </c>
      <c r="AA87" s="657" t="str">
        <f>IF(AB87=0,"","FA.RET02-"&amp;COUNTIF(AB$6:$AB87,1))</f>
        <v/>
      </c>
      <c r="AB87" s="658">
        <f t="shared" si="34"/>
        <v>0</v>
      </c>
      <c r="AC87" s="657" t="str">
        <f>IF(AD87=0,"","FA.RET02-"&amp;COUNTIF(AD$6:$AD87,1))</f>
        <v/>
      </c>
      <c r="AD87" s="658">
        <f t="shared" si="35"/>
        <v>0</v>
      </c>
      <c r="AE87" s="660">
        <f t="shared" si="36"/>
        <v>0</v>
      </c>
      <c r="AF87" s="661">
        <f t="shared" si="24"/>
        <v>0</v>
      </c>
      <c r="AG87" s="662">
        <f t="shared" si="37"/>
        <v>0</v>
      </c>
      <c r="AI87" s="657" t="str">
        <f>IF(AJ87=0,"","FAA.RET02-"&amp;COUNTIF($AJ$6:AJ87,1))</f>
        <v/>
      </c>
      <c r="AJ87" s="658">
        <f t="shared" si="38"/>
        <v>0</v>
      </c>
      <c r="AK87" s="657" t="str">
        <f>IF(AL86=0,"","FAA.RET02-"&amp;COUNTIF(AL$6:$AL87,1))</f>
        <v/>
      </c>
      <c r="AL87" s="658">
        <f t="shared" si="39"/>
        <v>0</v>
      </c>
      <c r="AM87" s="660">
        <f t="shared" si="40"/>
        <v>0</v>
      </c>
      <c r="AN87" s="661">
        <f t="shared" si="25"/>
        <v>0</v>
      </c>
      <c r="AO87" s="662">
        <f t="shared" si="41"/>
        <v>0</v>
      </c>
      <c r="AQ87" s="663">
        <f t="shared" si="26"/>
        <v>0.36299999999999955</v>
      </c>
      <c r="AR87" s="663">
        <f t="shared" si="27"/>
        <v>5.95</v>
      </c>
      <c r="AS87" s="663">
        <f t="shared" si="28"/>
        <v>9.5250000000000004</v>
      </c>
      <c r="AT87" s="663">
        <f t="shared" si="29"/>
        <v>2.8000000000000469E-2</v>
      </c>
      <c r="AV87" s="664">
        <v>77</v>
      </c>
      <c r="AW87" s="665">
        <v>2.5</v>
      </c>
      <c r="AX87" s="665">
        <v>5</v>
      </c>
      <c r="AY87" s="665">
        <v>40</v>
      </c>
      <c r="AZ87" s="664">
        <v>20.579000000000001</v>
      </c>
      <c r="BA87" s="666">
        <f t="shared" si="42"/>
        <v>6.3129999999999997</v>
      </c>
      <c r="BB87" s="666">
        <f t="shared" si="43"/>
        <v>26.187000000000001</v>
      </c>
      <c r="BC87" s="665"/>
      <c r="BD87" s="666">
        <f t="shared" si="44"/>
        <v>9.5530000000000008</v>
      </c>
      <c r="BE87" s="686">
        <f t="shared" si="45"/>
        <v>22.946999999999999</v>
      </c>
    </row>
    <row r="88" spans="1:57" s="698" customFormat="1" ht="13.15" customHeight="1">
      <c r="A88" s="688"/>
      <c r="B88" s="688"/>
      <c r="C88" s="689">
        <v>120</v>
      </c>
      <c r="D88" s="689"/>
      <c r="E88" s="689">
        <v>0</v>
      </c>
      <c r="F88" s="690"/>
      <c r="G88" s="691"/>
      <c r="H88" s="691"/>
      <c r="I88" s="692"/>
      <c r="J88" s="688"/>
      <c r="K88" s="688"/>
      <c r="L88" s="693"/>
      <c r="M88" s="694"/>
      <c r="N88" s="695"/>
      <c r="O88" s="695"/>
      <c r="P88" s="695"/>
      <c r="Q88" s="696"/>
      <c r="R88" s="697"/>
      <c r="S88" s="696"/>
      <c r="T88" s="696"/>
      <c r="U88" s="696"/>
      <c r="V88" s="696"/>
      <c r="AA88" s="699"/>
      <c r="AB88" s="700"/>
      <c r="AC88" s="699"/>
      <c r="AD88" s="700"/>
      <c r="AE88" s="701"/>
      <c r="AF88" s="702"/>
      <c r="AG88" s="703"/>
      <c r="AI88" s="699"/>
      <c r="AJ88" s="700"/>
      <c r="AK88" s="699"/>
      <c r="AL88" s="700"/>
      <c r="AM88" s="701"/>
      <c r="AN88" s="702"/>
      <c r="AO88" s="703"/>
      <c r="AQ88" s="704"/>
      <c r="AR88" s="704"/>
      <c r="AS88" s="704"/>
      <c r="AT88" s="704"/>
      <c r="AV88" s="705"/>
      <c r="AW88" s="706"/>
      <c r="AX88" s="706"/>
      <c r="AY88" s="706"/>
      <c r="AZ88" s="705"/>
      <c r="BA88" s="707"/>
      <c r="BB88" s="707"/>
      <c r="BC88" s="706"/>
      <c r="BD88" s="707"/>
      <c r="BE88" s="707"/>
    </row>
    <row r="89" spans="1:57" ht="13.15" customHeight="1">
      <c r="A89" s="645">
        <v>5.9829999999999997</v>
      </c>
      <c r="B89" s="645">
        <v>5.95</v>
      </c>
      <c r="C89" s="646" t="s">
        <v>724</v>
      </c>
      <c r="D89" s="646" t="s">
        <v>605</v>
      </c>
      <c r="E89" s="646">
        <v>0</v>
      </c>
      <c r="F89" s="647" t="s">
        <v>725</v>
      </c>
      <c r="G89" s="648">
        <v>792.49800000000005</v>
      </c>
      <c r="H89" s="648">
        <v>792.48099999999999</v>
      </c>
      <c r="I89" s="649">
        <v>1.7000000000052751E-2</v>
      </c>
      <c r="J89" s="645">
        <v>5.9279999999999999</v>
      </c>
      <c r="K89" s="645">
        <v>5.9429999999999996</v>
      </c>
      <c r="L89" s="650"/>
      <c r="M89" s="651"/>
      <c r="N89" s="652">
        <v>0.1</v>
      </c>
      <c r="O89" s="652">
        <v>6.600553562318989E-4</v>
      </c>
      <c r="P89" s="652" t="s">
        <v>726</v>
      </c>
      <c r="Q89" s="653">
        <f t="shared" ref="Q89" si="48">IF(R89=0,0,ROUND(B89+J89+8,2)*0.2)</f>
        <v>3.976</v>
      </c>
      <c r="R89" s="654">
        <f t="shared" ref="R89" si="49">IF(C89="",NA(),IFERROR(IF(I89&lt;=0,$X$2,IF(I89&lt;=0.6,$X$3,IF(I89&lt;=3,$X$4,IF(I89&gt;3,$X$5)))),$X$1))</f>
        <v>2</v>
      </c>
      <c r="S89" s="655">
        <f t="shared" ref="S89" si="50">IFERROR(IF(OR(R89=$X$1,R89=$X$5),0,IF(I89&lt;0,(AR89+AS89)*0.2,(AQ89+AR89+AS89+AT89)*0.2)),0)</f>
        <v>2.3851999999999998</v>
      </c>
      <c r="T89" s="653">
        <f t="shared" si="32"/>
        <v>2.56</v>
      </c>
      <c r="U89" s="653">
        <f t="shared" ref="U89" si="51">IFERROR(IF(OR(R89=$X$2,AR89+AS89=0),0,IF(I89&gt;=0,ROUND((AR89+AS89+0.6*1.5)*(0.6),2),0)),0)</f>
        <v>7.67</v>
      </c>
      <c r="V89" s="653">
        <f t="shared" ref="V89" si="52">IFERROR(IF(R89=$X$2,IF(N89&lt;=$N$5,(AR89+AS89)*0.2,(AR89+AS89)*0.2),0),0)</f>
        <v>0</v>
      </c>
      <c r="AA89" s="657" t="str">
        <f>IF(AB89=0,"","FA.SEG02-"&amp;COUNTIF(AB$6:$AB89,1))</f>
        <v>FA.SEG02-10</v>
      </c>
      <c r="AB89" s="658">
        <f>IF(AND(AF90&gt;=0,AF89=1,AF87&lt;&gt;"",AF87&lt;&gt;1),1,0)</f>
        <v>1</v>
      </c>
      <c r="AC89" s="657" t="str">
        <f>IF(AD89=0,"","FA.SEG02-"&amp;COUNTIF(AD$6:$AD89,1))</f>
        <v/>
      </c>
      <c r="AD89" s="658">
        <f>IF(AND(AF90=0,AF89&lt;&gt;0,AF87&lt;&gt;""),1,0)</f>
        <v>0</v>
      </c>
      <c r="AE89" s="660">
        <f>IF(R89=$X$3,IFERROR(ROUND(IFERROR((C89*20+E89)-(C87*20+E87),"")/2*(S87+S89),2),0),0)</f>
        <v>4164.95</v>
      </c>
      <c r="AF89" s="661">
        <f t="shared" ref="AF89" si="53">IF(R89=$X$3,1,0)</f>
        <v>1</v>
      </c>
      <c r="AG89" s="662">
        <f>IFERROR(IF(AC87&lt;&gt;"",0,AE89+AG87),0)</f>
        <v>4164.95</v>
      </c>
      <c r="AI89" s="657" t="str">
        <f>IF(AJ89=0,"","FAA.RET02-"&amp;COUNTIF($AJ$6:AJ89,1))</f>
        <v/>
      </c>
      <c r="AJ89" s="658">
        <f>IF(AND(AN90&gt;=0,AN89=1,AN87&lt;&gt;"",AN87&lt;&gt;1),1,0)</f>
        <v>0</v>
      </c>
      <c r="AK89" s="657" t="str">
        <f>IF(AL87=0,"","FAA.RET02-"&amp;COUNTIF(AL$6:$AL89,1))</f>
        <v/>
      </c>
      <c r="AL89" s="658">
        <f>IF(AND(AN90=0,AN89&lt;&gt;0,AN87&lt;&gt;""),1,0)</f>
        <v>0</v>
      </c>
      <c r="AM89" s="660">
        <f>IF(R89=$X$4,IFERROR(ROUND(IFERROR((C89*20+E89)-(C87*20+E87),"")/2*(S87+S89),2),0),0)</f>
        <v>0</v>
      </c>
      <c r="AN89" s="661">
        <f t="shared" ref="AN89" si="54">IF(R89=$X$4,1,0)</f>
        <v>0</v>
      </c>
      <c r="AO89" s="662">
        <f>IFERROR(IF(AK87&lt;&gt;"",0,AM89+AO87),0)</f>
        <v>0</v>
      </c>
      <c r="AQ89" s="663">
        <f t="shared" ref="AQ89" si="55">IF(A89-B89&lt;0,0,A89-B89)</f>
        <v>3.2999999999999474E-2</v>
      </c>
      <c r="AR89" s="663">
        <f t="shared" ref="AR89" si="56">B89</f>
        <v>5.95</v>
      </c>
      <c r="AS89" s="663">
        <f t="shared" ref="AS89" si="57">J89</f>
        <v>5.9279999999999999</v>
      </c>
      <c r="AT89" s="663">
        <f t="shared" ref="AT89" si="58">IF(K89-J89&lt;0,0,K89-J89)</f>
        <v>1.499999999999968E-2</v>
      </c>
      <c r="AV89" s="664">
        <v>78</v>
      </c>
      <c r="AW89" s="665">
        <v>2.5</v>
      </c>
      <c r="AX89" s="665">
        <v>5</v>
      </c>
      <c r="AY89" s="665">
        <v>40</v>
      </c>
      <c r="AZ89" s="664">
        <v>20.130000000000003</v>
      </c>
      <c r="BA89" s="666">
        <f t="shared" ref="BA89" si="59">A89</f>
        <v>5.9829999999999997</v>
      </c>
      <c r="BB89" s="666">
        <f t="shared" ref="BB89" si="60">AY89-AW89-AX89-BA89</f>
        <v>26.516999999999999</v>
      </c>
      <c r="BC89" s="665"/>
      <c r="BD89" s="666">
        <f t="shared" ref="BD89" si="61">K89</f>
        <v>5.9429999999999996</v>
      </c>
      <c r="BE89" s="686">
        <f t="shared" ref="BE89" si="62">AY89-AW89-AX89-BD89</f>
        <v>26.557000000000002</v>
      </c>
    </row>
    <row r="90" spans="1:57" ht="13.15" customHeight="1">
      <c r="A90" s="645">
        <v>5.9829999999999997</v>
      </c>
      <c r="B90" s="645">
        <v>5.95</v>
      </c>
      <c r="C90" s="646" t="s">
        <v>724</v>
      </c>
      <c r="D90" s="646" t="s">
        <v>605</v>
      </c>
      <c r="E90" s="646">
        <v>10</v>
      </c>
      <c r="F90" s="647" t="s">
        <v>727</v>
      </c>
      <c r="G90" s="648">
        <v>792.33799999999997</v>
      </c>
      <c r="H90" s="648">
        <v>792.31500000000005</v>
      </c>
      <c r="I90" s="649">
        <v>2.299999999991087E-2</v>
      </c>
      <c r="J90" s="645">
        <v>5.9279999999999999</v>
      </c>
      <c r="K90" s="645">
        <v>5.9729999999999999</v>
      </c>
      <c r="L90" s="650"/>
      <c r="M90" s="651"/>
      <c r="N90" s="652">
        <v>0.1</v>
      </c>
      <c r="O90" s="652">
        <v>6.600553562318989E-4</v>
      </c>
      <c r="P90" s="652" t="s">
        <v>607</v>
      </c>
      <c r="Q90" s="653">
        <f t="shared" si="30"/>
        <v>3.976</v>
      </c>
      <c r="R90" s="654">
        <f t="shared" si="31"/>
        <v>2</v>
      </c>
      <c r="S90" s="655">
        <f t="shared" si="46"/>
        <v>2.3912</v>
      </c>
      <c r="T90" s="653">
        <f t="shared" si="32"/>
        <v>2.56</v>
      </c>
      <c r="U90" s="653">
        <f t="shared" si="47"/>
        <v>7.67</v>
      </c>
      <c r="V90" s="653">
        <f t="shared" si="33"/>
        <v>0</v>
      </c>
      <c r="AA90" s="657" t="str">
        <f>IF(AB90=0,"","FA.SEG02-"&amp;COUNTIF(AB$6:$AB90,1))</f>
        <v/>
      </c>
      <c r="AB90" s="658">
        <f>IF(AND(AF91&gt;=0,AF90=1,AF88&lt;&gt;"",AF88&lt;&gt;1),1,0)</f>
        <v>0</v>
      </c>
      <c r="AC90" s="657" t="str">
        <f>IF(AD90=0,"","FA.SEG02-"&amp;COUNTIF(AD$6:$AD90,1))</f>
        <v/>
      </c>
      <c r="AD90" s="658">
        <f>IF(AND(AF91=0,AF90&lt;&gt;0,AF88&lt;&gt;""),1,0)</f>
        <v>0</v>
      </c>
      <c r="AE90" s="660">
        <f>IF(R90=$X$3,IFERROR(ROUND(IFERROR((C90*20+E90)-(C88*20+E88),"")/2*(S88+S90),2),0),0)</f>
        <v>11.96</v>
      </c>
      <c r="AF90" s="661">
        <f t="shared" si="24"/>
        <v>1</v>
      </c>
      <c r="AG90" s="662">
        <f>IFERROR(IF(AC88&lt;&gt;"",0,AE90+AG88),0)</f>
        <v>11.96</v>
      </c>
      <c r="AI90" s="657" t="str">
        <f>IF(AJ90=0,"","FAA.RET02-"&amp;COUNTIF($AJ$6:AJ90,1))</f>
        <v/>
      </c>
      <c r="AJ90" s="658">
        <f>IF(AND(AN91&gt;=0,AN90=1,AN88&lt;&gt;"",AN88&lt;&gt;1),1,0)</f>
        <v>0</v>
      </c>
      <c r="AK90" s="657" t="str">
        <f>IF(AL88=0,"","FAA.RET02-"&amp;COUNTIF(AL$6:$AL90,1))</f>
        <v/>
      </c>
      <c r="AL90" s="658">
        <f>IF(AND(AN91=0,AN90&lt;&gt;0,AN88&lt;&gt;""),1,0)</f>
        <v>0</v>
      </c>
      <c r="AM90" s="660">
        <f>IF(R90=$X$4,IFERROR(ROUND(IFERROR((C90*20+E90)-(C88*20+E88),"")/2*(S88+S90),2),0),0)</f>
        <v>0</v>
      </c>
      <c r="AN90" s="661">
        <f t="shared" si="25"/>
        <v>0</v>
      </c>
      <c r="AO90" s="662">
        <f>IFERROR(IF(AK88&lt;&gt;"",0,AM90+AO88),0)</f>
        <v>0</v>
      </c>
      <c r="AQ90" s="663">
        <f t="shared" si="26"/>
        <v>3.2999999999999474E-2</v>
      </c>
      <c r="AR90" s="663">
        <f t="shared" si="27"/>
        <v>5.95</v>
      </c>
      <c r="AS90" s="663">
        <f t="shared" si="28"/>
        <v>5.9279999999999999</v>
      </c>
      <c r="AT90" s="663">
        <f t="shared" si="29"/>
        <v>4.4999999999999929E-2</v>
      </c>
      <c r="AV90" s="664">
        <v>78</v>
      </c>
      <c r="AW90" s="665">
        <v>2.5</v>
      </c>
      <c r="AX90" s="665">
        <v>5</v>
      </c>
      <c r="AY90" s="665">
        <v>40</v>
      </c>
      <c r="AZ90" s="664">
        <v>20.130000000000003</v>
      </c>
      <c r="BA90" s="666">
        <f t="shared" si="42"/>
        <v>5.9829999999999997</v>
      </c>
      <c r="BB90" s="666">
        <f t="shared" si="43"/>
        <v>26.516999999999999</v>
      </c>
      <c r="BC90" s="665"/>
      <c r="BD90" s="666">
        <f t="shared" si="44"/>
        <v>5.9729999999999999</v>
      </c>
      <c r="BE90" s="686">
        <f t="shared" si="45"/>
        <v>26.527000000000001</v>
      </c>
    </row>
    <row r="91" spans="1:57" ht="13.15" customHeight="1">
      <c r="A91" s="645">
        <v>5.9939999999999998</v>
      </c>
      <c r="B91" s="645">
        <v>5.95</v>
      </c>
      <c r="C91" s="646" t="s">
        <v>728</v>
      </c>
      <c r="D91" s="646" t="s">
        <v>605</v>
      </c>
      <c r="E91" s="646">
        <v>0</v>
      </c>
      <c r="F91" s="647" t="s">
        <v>729</v>
      </c>
      <c r="G91" s="648">
        <v>792.19899999999996</v>
      </c>
      <c r="H91" s="648">
        <v>792.19399999999996</v>
      </c>
      <c r="I91" s="649">
        <v>4.9999999999954525E-3</v>
      </c>
      <c r="J91" s="645">
        <v>5.9279999999999999</v>
      </c>
      <c r="K91" s="645">
        <v>6.0810000000000004</v>
      </c>
      <c r="L91" s="650"/>
      <c r="M91" s="651"/>
      <c r="N91" s="652">
        <v>0.1</v>
      </c>
      <c r="O91" s="652">
        <v>6.600553562318989E-4</v>
      </c>
      <c r="P91" s="652" t="s">
        <v>607</v>
      </c>
      <c r="Q91" s="653">
        <f t="shared" si="30"/>
        <v>3.976</v>
      </c>
      <c r="R91" s="654">
        <f t="shared" si="31"/>
        <v>2</v>
      </c>
      <c r="S91" s="655">
        <f t="shared" si="46"/>
        <v>2.4150000000000005</v>
      </c>
      <c r="T91" s="653">
        <f t="shared" si="32"/>
        <v>2.56</v>
      </c>
      <c r="U91" s="653">
        <f t="shared" si="47"/>
        <v>7.67</v>
      </c>
      <c r="V91" s="653">
        <f t="shared" si="33"/>
        <v>0</v>
      </c>
      <c r="AA91" s="657" t="str">
        <f>IF(AB91=0,"","FA.SEG02-"&amp;COUNTIF(AB$6:$AB91,1))</f>
        <v/>
      </c>
      <c r="AB91" s="658">
        <f t="shared" si="34"/>
        <v>0</v>
      </c>
      <c r="AC91" s="657" t="str">
        <f>IF(AD91=0,"","FA.SEG02-"&amp;COUNTIF(AD$6:$AD91,1))</f>
        <v>FA.SEG02-10</v>
      </c>
      <c r="AD91" s="658">
        <f t="shared" si="35"/>
        <v>1</v>
      </c>
      <c r="AE91" s="660">
        <f t="shared" si="36"/>
        <v>24.03</v>
      </c>
      <c r="AF91" s="661">
        <f t="shared" si="24"/>
        <v>1</v>
      </c>
      <c r="AG91" s="662">
        <f t="shared" si="37"/>
        <v>35.99</v>
      </c>
      <c r="AI91" s="657" t="str">
        <f>IF(AJ91=0,"","FAA.RET02-"&amp;COUNTIF($AJ$6:AJ91,1))</f>
        <v/>
      </c>
      <c r="AJ91" s="658">
        <f t="shared" si="38"/>
        <v>0</v>
      </c>
      <c r="AK91" s="657" t="str">
        <f>IF(AL90=0,"","FAA.RET02-"&amp;COUNTIF(AL$6:$AL91,1))</f>
        <v/>
      </c>
      <c r="AL91" s="658">
        <f t="shared" si="39"/>
        <v>0</v>
      </c>
      <c r="AM91" s="660">
        <f t="shared" si="40"/>
        <v>0</v>
      </c>
      <c r="AN91" s="661">
        <f t="shared" si="25"/>
        <v>0</v>
      </c>
      <c r="AO91" s="662">
        <f t="shared" si="41"/>
        <v>0</v>
      </c>
      <c r="AQ91" s="663">
        <f t="shared" si="26"/>
        <v>4.3999999999999595E-2</v>
      </c>
      <c r="AR91" s="663">
        <f t="shared" si="27"/>
        <v>5.95</v>
      </c>
      <c r="AS91" s="663">
        <f t="shared" si="28"/>
        <v>5.9279999999999999</v>
      </c>
      <c r="AT91" s="663">
        <f t="shared" si="29"/>
        <v>0.15300000000000047</v>
      </c>
      <c r="AV91" s="664">
        <v>79</v>
      </c>
      <c r="AW91" s="665">
        <v>2.5</v>
      </c>
      <c r="AX91" s="665">
        <v>5</v>
      </c>
      <c r="AY91" s="665">
        <v>40</v>
      </c>
      <c r="AZ91" s="664">
        <v>20.111000000000001</v>
      </c>
      <c r="BA91" s="666">
        <f t="shared" si="42"/>
        <v>5.9939999999999998</v>
      </c>
      <c r="BB91" s="666">
        <f t="shared" si="43"/>
        <v>26.506</v>
      </c>
      <c r="BC91" s="665"/>
      <c r="BD91" s="666">
        <f t="shared" si="44"/>
        <v>6.0810000000000004</v>
      </c>
      <c r="BE91" s="686">
        <f t="shared" si="45"/>
        <v>26.419</v>
      </c>
    </row>
    <row r="92" spans="1:57" ht="13.15" customHeight="1">
      <c r="A92" s="645">
        <v>6.0250000000000004</v>
      </c>
      <c r="B92" s="645">
        <v>5.95</v>
      </c>
      <c r="C92" s="646" t="s">
        <v>728</v>
      </c>
      <c r="D92" s="646" t="s">
        <v>605</v>
      </c>
      <c r="E92" s="646">
        <v>10</v>
      </c>
      <c r="F92" s="647" t="s">
        <v>730</v>
      </c>
      <c r="G92" s="648">
        <v>792.08199999999999</v>
      </c>
      <c r="H92" s="648">
        <v>792.12</v>
      </c>
      <c r="I92" s="649">
        <v>-3.8000000000010914E-2</v>
      </c>
      <c r="J92" s="645">
        <v>5.9279999999999999</v>
      </c>
      <c r="K92" s="645">
        <v>6.133</v>
      </c>
      <c r="L92" s="650"/>
      <c r="M92" s="651"/>
      <c r="N92" s="652">
        <v>0.1</v>
      </c>
      <c r="O92" s="652">
        <v>6.600553562318989E-4</v>
      </c>
      <c r="P92" s="652" t="s">
        <v>607</v>
      </c>
      <c r="Q92" s="653">
        <f t="shared" si="30"/>
        <v>3.976</v>
      </c>
      <c r="R92" s="654">
        <f t="shared" si="31"/>
        <v>1</v>
      </c>
      <c r="S92" s="655">
        <f t="shared" si="46"/>
        <v>2.3755999999999999</v>
      </c>
      <c r="T92" s="653">
        <f t="shared" si="32"/>
        <v>0</v>
      </c>
      <c r="U92" s="653">
        <f t="shared" si="47"/>
        <v>0</v>
      </c>
      <c r="V92" s="653">
        <f t="shared" si="33"/>
        <v>2.3755999999999999</v>
      </c>
      <c r="AA92" s="657" t="str">
        <f>IF(AB92=0,"","FA.SEG02-"&amp;COUNTIF(AB$6:$AB92,1))</f>
        <v/>
      </c>
      <c r="AB92" s="658">
        <f t="shared" si="34"/>
        <v>0</v>
      </c>
      <c r="AC92" s="657" t="str">
        <f>IF(AD92=0,"","FA.SEG02-"&amp;COUNTIF(AD$6:$AD92,1))</f>
        <v/>
      </c>
      <c r="AD92" s="658">
        <f t="shared" si="35"/>
        <v>0</v>
      </c>
      <c r="AE92" s="660">
        <f t="shared" si="36"/>
        <v>0</v>
      </c>
      <c r="AF92" s="661">
        <f t="shared" si="24"/>
        <v>0</v>
      </c>
      <c r="AG92" s="662">
        <f t="shared" si="37"/>
        <v>0</v>
      </c>
      <c r="AI92" s="657" t="str">
        <f>IF(AJ92=0,"","FAA.RET02-"&amp;COUNTIF($AJ$6:AJ92,1))</f>
        <v/>
      </c>
      <c r="AJ92" s="658">
        <f t="shared" si="38"/>
        <v>0</v>
      </c>
      <c r="AK92" s="657" t="str">
        <f>IF(AL91=0,"","FAA.RET02-"&amp;COUNTIF(AL$6:$AL92,1))</f>
        <v/>
      </c>
      <c r="AL92" s="658">
        <f t="shared" si="39"/>
        <v>0</v>
      </c>
      <c r="AM92" s="660">
        <f t="shared" si="40"/>
        <v>0</v>
      </c>
      <c r="AN92" s="661">
        <f t="shared" si="25"/>
        <v>0</v>
      </c>
      <c r="AO92" s="662">
        <f t="shared" si="41"/>
        <v>0</v>
      </c>
      <c r="AQ92" s="663">
        <f t="shared" si="26"/>
        <v>7.5000000000000178E-2</v>
      </c>
      <c r="AR92" s="663">
        <f t="shared" si="27"/>
        <v>5.95</v>
      </c>
      <c r="AS92" s="663">
        <f t="shared" si="28"/>
        <v>5.9279999999999999</v>
      </c>
      <c r="AT92" s="663">
        <f t="shared" si="29"/>
        <v>0.20500000000000007</v>
      </c>
      <c r="AV92" s="664">
        <v>80</v>
      </c>
      <c r="AW92" s="665">
        <v>2.5</v>
      </c>
      <c r="AX92" s="665">
        <v>5</v>
      </c>
      <c r="AY92" s="665">
        <v>40</v>
      </c>
      <c r="AZ92" s="664">
        <v>19.268000000000001</v>
      </c>
      <c r="BA92" s="666">
        <f t="shared" si="42"/>
        <v>6.0250000000000004</v>
      </c>
      <c r="BB92" s="666">
        <f t="shared" si="43"/>
        <v>26.475000000000001</v>
      </c>
      <c r="BC92" s="665"/>
      <c r="BD92" s="666">
        <f t="shared" si="44"/>
        <v>6.133</v>
      </c>
      <c r="BE92" s="686">
        <f t="shared" si="45"/>
        <v>26.367000000000001</v>
      </c>
    </row>
    <row r="93" spans="1:57" ht="13.15" customHeight="1">
      <c r="A93" s="645">
        <v>6.0529999999999999</v>
      </c>
      <c r="B93" s="645">
        <v>5.95</v>
      </c>
      <c r="C93" s="646" t="s">
        <v>731</v>
      </c>
      <c r="D93" s="646" t="s">
        <v>605</v>
      </c>
      <c r="E93" s="646">
        <v>0</v>
      </c>
      <c r="F93" s="647" t="s">
        <v>732</v>
      </c>
      <c r="G93" s="648">
        <v>791.98699999999997</v>
      </c>
      <c r="H93" s="648">
        <v>792.03599999999994</v>
      </c>
      <c r="I93" s="649">
        <v>-4.8999999999978172E-2</v>
      </c>
      <c r="J93" s="645">
        <v>5.9279999999999999</v>
      </c>
      <c r="K93" s="645">
        <v>6.1180000000000003</v>
      </c>
      <c r="L93" s="650"/>
      <c r="M93" s="651"/>
      <c r="N93" s="652">
        <v>0.1</v>
      </c>
      <c r="O93" s="652">
        <v>6.600553562318989E-4</v>
      </c>
      <c r="P93" s="652" t="s">
        <v>607</v>
      </c>
      <c r="Q93" s="653">
        <f t="shared" si="30"/>
        <v>3.976</v>
      </c>
      <c r="R93" s="654">
        <f t="shared" si="31"/>
        <v>1</v>
      </c>
      <c r="S93" s="655">
        <f t="shared" si="46"/>
        <v>2.3755999999999999</v>
      </c>
      <c r="T93" s="653">
        <f t="shared" si="32"/>
        <v>0</v>
      </c>
      <c r="U93" s="653">
        <f t="shared" si="47"/>
        <v>0</v>
      </c>
      <c r="V93" s="653">
        <f t="shared" si="33"/>
        <v>2.3755999999999999</v>
      </c>
      <c r="AA93" s="657" t="str">
        <f>IF(AB93=0,"","FA.SEG02-"&amp;COUNTIF(AB$6:$AB93,1))</f>
        <v/>
      </c>
      <c r="AB93" s="658">
        <f t="shared" si="34"/>
        <v>0</v>
      </c>
      <c r="AC93" s="657" t="str">
        <f>IF(AD93=0,"","FA.SEG02-"&amp;COUNTIF(AD$6:$AD93,1))</f>
        <v/>
      </c>
      <c r="AD93" s="658">
        <f t="shared" si="35"/>
        <v>0</v>
      </c>
      <c r="AE93" s="660">
        <f t="shared" si="36"/>
        <v>0</v>
      </c>
      <c r="AF93" s="661">
        <f t="shared" si="24"/>
        <v>0</v>
      </c>
      <c r="AG93" s="662">
        <f t="shared" si="37"/>
        <v>0</v>
      </c>
      <c r="AI93" s="657" t="str">
        <f>IF(AJ93=0,"","FAA.RET02-"&amp;COUNTIF($AJ$6:AJ93,1))</f>
        <v/>
      </c>
      <c r="AJ93" s="658">
        <f t="shared" si="38"/>
        <v>0</v>
      </c>
      <c r="AK93" s="657" t="str">
        <f>IF(AL92=0,"","FAA.RET02-"&amp;COUNTIF(AL$6:$AL93,1))</f>
        <v/>
      </c>
      <c r="AL93" s="658">
        <f t="shared" si="39"/>
        <v>0</v>
      </c>
      <c r="AM93" s="660">
        <f t="shared" si="40"/>
        <v>0</v>
      </c>
      <c r="AN93" s="661">
        <f t="shared" si="25"/>
        <v>0</v>
      </c>
      <c r="AO93" s="662">
        <f t="shared" si="41"/>
        <v>0</v>
      </c>
      <c r="AQ93" s="663">
        <f t="shared" si="26"/>
        <v>0.10299999999999976</v>
      </c>
      <c r="AR93" s="663">
        <f t="shared" si="27"/>
        <v>5.95</v>
      </c>
      <c r="AS93" s="663">
        <f t="shared" si="28"/>
        <v>5.9279999999999999</v>
      </c>
      <c r="AT93" s="663">
        <f t="shared" si="29"/>
        <v>0.19000000000000039</v>
      </c>
      <c r="AV93" s="664">
        <v>81</v>
      </c>
      <c r="AW93" s="665">
        <v>2.5</v>
      </c>
      <c r="AX93" s="665">
        <v>5</v>
      </c>
      <c r="AY93" s="665">
        <v>40</v>
      </c>
      <c r="AZ93" s="664">
        <v>18.997</v>
      </c>
      <c r="BA93" s="666">
        <f t="shared" si="42"/>
        <v>6.0529999999999999</v>
      </c>
      <c r="BB93" s="666">
        <f t="shared" si="43"/>
        <v>26.446999999999999</v>
      </c>
      <c r="BC93" s="665"/>
      <c r="BD93" s="666">
        <f t="shared" si="44"/>
        <v>6.1180000000000003</v>
      </c>
      <c r="BE93" s="686">
        <f t="shared" si="45"/>
        <v>26.381999999999998</v>
      </c>
    </row>
    <row r="94" spans="1:57" ht="13.15" customHeight="1">
      <c r="A94" s="645">
        <v>6.0519999999999996</v>
      </c>
      <c r="B94" s="645">
        <v>5.95</v>
      </c>
      <c r="C94" s="646" t="s">
        <v>731</v>
      </c>
      <c r="D94" s="646" t="s">
        <v>605</v>
      </c>
      <c r="E94" s="646">
        <v>10</v>
      </c>
      <c r="F94" s="647" t="s">
        <v>733</v>
      </c>
      <c r="G94" s="648">
        <v>791.91399999999999</v>
      </c>
      <c r="H94" s="648">
        <v>791.94100000000003</v>
      </c>
      <c r="I94" s="649">
        <v>-2.7000000000043656E-2</v>
      </c>
      <c r="J94" s="645">
        <v>5.9279999999999999</v>
      </c>
      <c r="K94" s="645">
        <v>6.0750000000000002</v>
      </c>
      <c r="L94" s="650"/>
      <c r="M94" s="651"/>
      <c r="N94" s="652">
        <v>0.1</v>
      </c>
      <c r="O94" s="652">
        <v>6.600553562318989E-4</v>
      </c>
      <c r="P94" s="652" t="s">
        <v>607</v>
      </c>
      <c r="Q94" s="653">
        <f t="shared" si="30"/>
        <v>3.976</v>
      </c>
      <c r="R94" s="654">
        <f t="shared" si="31"/>
        <v>1</v>
      </c>
      <c r="S94" s="655">
        <f t="shared" si="46"/>
        <v>2.3755999999999999</v>
      </c>
      <c r="T94" s="653">
        <f t="shared" si="32"/>
        <v>0</v>
      </c>
      <c r="U94" s="653">
        <f t="shared" si="47"/>
        <v>0</v>
      </c>
      <c r="V94" s="653">
        <f t="shared" si="33"/>
        <v>2.3755999999999999</v>
      </c>
      <c r="AA94" s="657" t="str">
        <f>IF(AB94=0,"","FA.SEG02-"&amp;COUNTIF(AB$6:$AB94,1))</f>
        <v/>
      </c>
      <c r="AB94" s="658">
        <f t="shared" si="34"/>
        <v>0</v>
      </c>
      <c r="AC94" s="657" t="str">
        <f>IF(AD94=0,"","FA.SEG02-"&amp;COUNTIF(AD$6:$AD94,1))</f>
        <v/>
      </c>
      <c r="AD94" s="658">
        <f t="shared" si="35"/>
        <v>0</v>
      </c>
      <c r="AE94" s="660">
        <f t="shared" si="36"/>
        <v>0</v>
      </c>
      <c r="AF94" s="661">
        <f t="shared" si="24"/>
        <v>0</v>
      </c>
      <c r="AG94" s="662">
        <f t="shared" si="37"/>
        <v>0</v>
      </c>
      <c r="AI94" s="657" t="str">
        <f>IF(AJ94=0,"","FAA.RET02-"&amp;COUNTIF($AJ$6:AJ94,1))</f>
        <v/>
      </c>
      <c r="AJ94" s="658">
        <f t="shared" si="38"/>
        <v>0</v>
      </c>
      <c r="AK94" s="657" t="str">
        <f>IF(AL93=0,"","FAA.RET02-"&amp;COUNTIF(AL$6:$AL94,1))</f>
        <v/>
      </c>
      <c r="AL94" s="658">
        <f t="shared" si="39"/>
        <v>0</v>
      </c>
      <c r="AM94" s="660">
        <f t="shared" si="40"/>
        <v>0</v>
      </c>
      <c r="AN94" s="661">
        <f t="shared" si="25"/>
        <v>0</v>
      </c>
      <c r="AO94" s="662">
        <f t="shared" si="41"/>
        <v>0</v>
      </c>
      <c r="AQ94" s="663">
        <f t="shared" si="26"/>
        <v>0.10199999999999942</v>
      </c>
      <c r="AR94" s="663">
        <f t="shared" si="27"/>
        <v>5.95</v>
      </c>
      <c r="AS94" s="663">
        <f t="shared" si="28"/>
        <v>5.9279999999999999</v>
      </c>
      <c r="AT94" s="663">
        <f t="shared" si="29"/>
        <v>0.14700000000000024</v>
      </c>
      <c r="AV94" s="664">
        <v>82</v>
      </c>
      <c r="AW94" s="665">
        <v>2.5</v>
      </c>
      <c r="AX94" s="665">
        <v>5</v>
      </c>
      <c r="AY94" s="665">
        <v>40</v>
      </c>
      <c r="AZ94" s="664">
        <v>18.774999999999999</v>
      </c>
      <c r="BA94" s="666">
        <f t="shared" si="42"/>
        <v>6.0519999999999996</v>
      </c>
      <c r="BB94" s="666">
        <f t="shared" si="43"/>
        <v>26.448</v>
      </c>
      <c r="BC94" s="665"/>
      <c r="BD94" s="666">
        <f t="shared" si="44"/>
        <v>6.0750000000000002</v>
      </c>
      <c r="BE94" s="686">
        <f t="shared" si="45"/>
        <v>26.425000000000001</v>
      </c>
    </row>
    <row r="95" spans="1:57" ht="13.15" customHeight="1">
      <c r="A95" s="645">
        <v>6.0229999999999997</v>
      </c>
      <c r="B95" s="645">
        <v>5.95</v>
      </c>
      <c r="C95" s="646" t="s">
        <v>734</v>
      </c>
      <c r="D95" s="646" t="s">
        <v>605</v>
      </c>
      <c r="E95" s="646">
        <v>0</v>
      </c>
      <c r="F95" s="647" t="s">
        <v>735</v>
      </c>
      <c r="G95" s="648">
        <v>791.86300000000006</v>
      </c>
      <c r="H95" s="648">
        <v>791.88699999999994</v>
      </c>
      <c r="I95" s="649">
        <v>-2.3999999999887223E-2</v>
      </c>
      <c r="J95" s="645">
        <v>5.9290000000000003</v>
      </c>
      <c r="K95" s="645">
        <v>6.05</v>
      </c>
      <c r="L95" s="650"/>
      <c r="M95" s="651"/>
      <c r="N95" s="652">
        <v>0.1</v>
      </c>
      <c r="O95" s="652">
        <v>6.600553562318989E-4</v>
      </c>
      <c r="P95" s="652" t="s">
        <v>607</v>
      </c>
      <c r="Q95" s="653">
        <f t="shared" si="30"/>
        <v>3.976</v>
      </c>
      <c r="R95" s="654">
        <f t="shared" si="31"/>
        <v>1</v>
      </c>
      <c r="S95" s="655">
        <f t="shared" si="46"/>
        <v>2.3758000000000004</v>
      </c>
      <c r="T95" s="653">
        <f t="shared" si="32"/>
        <v>0</v>
      </c>
      <c r="U95" s="653">
        <f t="shared" si="47"/>
        <v>0</v>
      </c>
      <c r="V95" s="653">
        <f t="shared" si="33"/>
        <v>2.3758000000000004</v>
      </c>
      <c r="AA95" s="657" t="str">
        <f>IF(AB95=0,"","FA.SEG02-"&amp;COUNTIF(AB$6:$AB95,1))</f>
        <v/>
      </c>
      <c r="AB95" s="658">
        <f t="shared" si="34"/>
        <v>0</v>
      </c>
      <c r="AC95" s="657" t="str">
        <f>IF(AD95=0,"","FA.SEG02-"&amp;COUNTIF(AD$6:$AD95,1))</f>
        <v/>
      </c>
      <c r="AD95" s="658">
        <f t="shared" si="35"/>
        <v>0</v>
      </c>
      <c r="AE95" s="660">
        <f t="shared" si="36"/>
        <v>0</v>
      </c>
      <c r="AF95" s="661">
        <f t="shared" si="24"/>
        <v>0</v>
      </c>
      <c r="AG95" s="662">
        <f t="shared" si="37"/>
        <v>0</v>
      </c>
      <c r="AI95" s="657" t="str">
        <f>IF(AJ95=0,"","FAA.RET02-"&amp;COUNTIF($AJ$6:AJ95,1))</f>
        <v/>
      </c>
      <c r="AJ95" s="658">
        <f t="shared" si="38"/>
        <v>0</v>
      </c>
      <c r="AK95" s="657" t="str">
        <f>IF(AL94=0,"","FAA.RET02-"&amp;COUNTIF(AL$6:$AL95,1))</f>
        <v/>
      </c>
      <c r="AL95" s="658">
        <f t="shared" si="39"/>
        <v>0</v>
      </c>
      <c r="AM95" s="660">
        <f t="shared" si="40"/>
        <v>0</v>
      </c>
      <c r="AN95" s="661">
        <f t="shared" si="25"/>
        <v>0</v>
      </c>
      <c r="AO95" s="662">
        <f t="shared" si="41"/>
        <v>0</v>
      </c>
      <c r="AQ95" s="663">
        <f t="shared" si="26"/>
        <v>7.299999999999951E-2</v>
      </c>
      <c r="AR95" s="663">
        <f t="shared" si="27"/>
        <v>5.95</v>
      </c>
      <c r="AS95" s="663">
        <f t="shared" si="28"/>
        <v>5.9290000000000003</v>
      </c>
      <c r="AT95" s="663">
        <f t="shared" si="29"/>
        <v>0.12099999999999955</v>
      </c>
      <c r="AV95" s="664">
        <v>83</v>
      </c>
      <c r="AW95" s="665">
        <v>2.5</v>
      </c>
      <c r="AX95" s="665">
        <v>5</v>
      </c>
      <c r="AY95" s="665">
        <v>40</v>
      </c>
      <c r="AZ95" s="664">
        <v>18.241999999999997</v>
      </c>
      <c r="BA95" s="666">
        <f t="shared" si="42"/>
        <v>6.0229999999999997</v>
      </c>
      <c r="BB95" s="666">
        <f t="shared" si="43"/>
        <v>26.477</v>
      </c>
      <c r="BC95" s="665"/>
      <c r="BD95" s="666">
        <f t="shared" si="44"/>
        <v>6.05</v>
      </c>
      <c r="BE95" s="686">
        <f t="shared" si="45"/>
        <v>26.45</v>
      </c>
    </row>
    <row r="96" spans="1:57" ht="13.15" customHeight="1">
      <c r="A96" s="645">
        <v>6.03</v>
      </c>
      <c r="B96" s="645">
        <v>5.95</v>
      </c>
      <c r="C96" s="646" t="s">
        <v>734</v>
      </c>
      <c r="D96" s="646" t="s">
        <v>605</v>
      </c>
      <c r="E96" s="646">
        <v>10</v>
      </c>
      <c r="F96" s="647" t="s">
        <v>736</v>
      </c>
      <c r="G96" s="648">
        <v>791.83500000000004</v>
      </c>
      <c r="H96" s="648">
        <v>791.86699999999996</v>
      </c>
      <c r="I96" s="649">
        <v>-3.1999999999925421E-2</v>
      </c>
      <c r="J96" s="645">
        <v>5.9290000000000003</v>
      </c>
      <c r="K96" s="645">
        <v>6.0209999999999999</v>
      </c>
      <c r="L96" s="650"/>
      <c r="M96" s="651"/>
      <c r="N96" s="652">
        <v>0.1</v>
      </c>
      <c r="O96" s="652">
        <v>6.600553562318989E-4</v>
      </c>
      <c r="P96" s="652" t="s">
        <v>607</v>
      </c>
      <c r="Q96" s="653">
        <f t="shared" si="30"/>
        <v>3.976</v>
      </c>
      <c r="R96" s="654">
        <f t="shared" si="31"/>
        <v>1</v>
      </c>
      <c r="S96" s="655">
        <f t="shared" si="46"/>
        <v>2.3758000000000004</v>
      </c>
      <c r="T96" s="653">
        <f t="shared" si="32"/>
        <v>0</v>
      </c>
      <c r="U96" s="653">
        <f t="shared" si="47"/>
        <v>0</v>
      </c>
      <c r="V96" s="653">
        <f t="shared" si="33"/>
        <v>2.3758000000000004</v>
      </c>
      <c r="AA96" s="657" t="str">
        <f>IF(AB96=0,"","FA.SEG02-"&amp;COUNTIF(AB$6:$AB96,1))</f>
        <v/>
      </c>
      <c r="AB96" s="658">
        <f t="shared" si="34"/>
        <v>0</v>
      </c>
      <c r="AC96" s="657" t="str">
        <f>IF(AD96=0,"","FA.SEG02-"&amp;COUNTIF(AD$6:$AD96,1))</f>
        <v/>
      </c>
      <c r="AD96" s="658">
        <f t="shared" si="35"/>
        <v>0</v>
      </c>
      <c r="AE96" s="660">
        <f t="shared" si="36"/>
        <v>0</v>
      </c>
      <c r="AF96" s="661">
        <f t="shared" si="24"/>
        <v>0</v>
      </c>
      <c r="AG96" s="662">
        <f t="shared" si="37"/>
        <v>0</v>
      </c>
      <c r="AI96" s="657" t="str">
        <f>IF(AJ96=0,"","FAA.RET02-"&amp;COUNTIF($AJ$6:AJ96,1))</f>
        <v/>
      </c>
      <c r="AJ96" s="658">
        <f t="shared" si="38"/>
        <v>0</v>
      </c>
      <c r="AK96" s="657" t="str">
        <f>IF(AL95=0,"","FAA.RET02-"&amp;COUNTIF(AL$6:$AL96,1))</f>
        <v/>
      </c>
      <c r="AL96" s="658">
        <f t="shared" si="39"/>
        <v>0</v>
      </c>
      <c r="AM96" s="660">
        <f t="shared" si="40"/>
        <v>0</v>
      </c>
      <c r="AN96" s="661">
        <f t="shared" si="25"/>
        <v>0</v>
      </c>
      <c r="AO96" s="662">
        <f t="shared" si="41"/>
        <v>0</v>
      </c>
      <c r="AQ96" s="663">
        <f t="shared" si="26"/>
        <v>8.0000000000000071E-2</v>
      </c>
      <c r="AR96" s="663">
        <f t="shared" si="27"/>
        <v>5.95</v>
      </c>
      <c r="AS96" s="663">
        <f t="shared" si="28"/>
        <v>5.9290000000000003</v>
      </c>
      <c r="AT96" s="663">
        <f t="shared" si="29"/>
        <v>9.1999999999999638E-2</v>
      </c>
      <c r="AV96" s="664">
        <v>84</v>
      </c>
      <c r="AW96" s="665">
        <v>2.5</v>
      </c>
      <c r="AX96" s="665">
        <v>5</v>
      </c>
      <c r="AY96" s="665">
        <v>40</v>
      </c>
      <c r="AZ96" s="664">
        <v>17.847999999999999</v>
      </c>
      <c r="BA96" s="666">
        <f t="shared" si="42"/>
        <v>6.03</v>
      </c>
      <c r="BB96" s="666">
        <f t="shared" si="43"/>
        <v>26.47</v>
      </c>
      <c r="BC96" s="665"/>
      <c r="BD96" s="666">
        <f t="shared" si="44"/>
        <v>6.0209999999999999</v>
      </c>
      <c r="BE96" s="686">
        <f t="shared" si="45"/>
        <v>26.478999999999999</v>
      </c>
    </row>
    <row r="97" spans="1:57" ht="13.15" customHeight="1">
      <c r="A97" s="645">
        <v>6.0359999999999996</v>
      </c>
      <c r="B97" s="645">
        <v>5.95</v>
      </c>
      <c r="C97" s="646" t="s">
        <v>737</v>
      </c>
      <c r="D97" s="646" t="s">
        <v>605</v>
      </c>
      <c r="E97" s="646">
        <v>0</v>
      </c>
      <c r="F97" s="647" t="s">
        <v>738</v>
      </c>
      <c r="G97" s="648">
        <v>791.82799999999997</v>
      </c>
      <c r="H97" s="648">
        <v>791.83600000000001</v>
      </c>
      <c r="I97" s="649">
        <v>-8.0000000000381988E-3</v>
      </c>
      <c r="J97" s="645">
        <v>5.9290000000000003</v>
      </c>
      <c r="K97" s="645">
        <v>6.0289999999999999</v>
      </c>
      <c r="L97" s="650"/>
      <c r="M97" s="651"/>
      <c r="N97" s="652">
        <v>0.1</v>
      </c>
      <c r="O97" s="652">
        <v>6.600553562318989E-4</v>
      </c>
      <c r="P97" s="652" t="s">
        <v>607</v>
      </c>
      <c r="Q97" s="653">
        <f t="shared" si="30"/>
        <v>3.976</v>
      </c>
      <c r="R97" s="654">
        <f t="shared" si="31"/>
        <v>1</v>
      </c>
      <c r="S97" s="655">
        <f t="shared" si="46"/>
        <v>2.3758000000000004</v>
      </c>
      <c r="T97" s="653">
        <f t="shared" si="32"/>
        <v>0</v>
      </c>
      <c r="U97" s="653">
        <f t="shared" si="47"/>
        <v>0</v>
      </c>
      <c r="V97" s="653">
        <f t="shared" si="33"/>
        <v>2.3758000000000004</v>
      </c>
      <c r="AA97" s="657" t="str">
        <f>IF(AB97=0,"","FA.SEG02-"&amp;COUNTIF(AB$6:$AB97,1))</f>
        <v/>
      </c>
      <c r="AB97" s="658">
        <f t="shared" si="34"/>
        <v>0</v>
      </c>
      <c r="AC97" s="657" t="str">
        <f>IF(AD97=0,"","FA.SEG02-"&amp;COUNTIF(AD$6:$AD97,1))</f>
        <v/>
      </c>
      <c r="AD97" s="658">
        <f t="shared" si="35"/>
        <v>0</v>
      </c>
      <c r="AE97" s="660">
        <f t="shared" si="36"/>
        <v>0</v>
      </c>
      <c r="AF97" s="661">
        <f t="shared" si="24"/>
        <v>0</v>
      </c>
      <c r="AG97" s="662">
        <f t="shared" si="37"/>
        <v>0</v>
      </c>
      <c r="AI97" s="657" t="str">
        <f>IF(AJ97=0,"","FAA.RET02-"&amp;COUNTIF($AJ$6:AJ97,1))</f>
        <v/>
      </c>
      <c r="AJ97" s="658">
        <f t="shared" si="38"/>
        <v>0</v>
      </c>
      <c r="AK97" s="657" t="str">
        <f>IF(AL96=0,"","FAA.RET02-"&amp;COUNTIF(AL$6:$AL97,1))</f>
        <v/>
      </c>
      <c r="AL97" s="658">
        <f t="shared" si="39"/>
        <v>0</v>
      </c>
      <c r="AM97" s="660">
        <f t="shared" si="40"/>
        <v>0</v>
      </c>
      <c r="AN97" s="661">
        <f t="shared" si="25"/>
        <v>0</v>
      </c>
      <c r="AO97" s="662">
        <f t="shared" si="41"/>
        <v>0</v>
      </c>
      <c r="AQ97" s="663">
        <f t="shared" si="26"/>
        <v>8.599999999999941E-2</v>
      </c>
      <c r="AR97" s="663">
        <f t="shared" si="27"/>
        <v>5.95</v>
      </c>
      <c r="AS97" s="663">
        <f t="shared" si="28"/>
        <v>5.9290000000000003</v>
      </c>
      <c r="AT97" s="663">
        <f t="shared" si="29"/>
        <v>9.9999999999999645E-2</v>
      </c>
      <c r="AV97" s="664">
        <v>85</v>
      </c>
      <c r="AW97" s="665">
        <v>2.5</v>
      </c>
      <c r="AX97" s="665">
        <v>5</v>
      </c>
      <c r="AY97" s="665">
        <v>40</v>
      </c>
      <c r="AZ97" s="664">
        <v>17.843</v>
      </c>
      <c r="BA97" s="666">
        <f t="shared" si="42"/>
        <v>6.0359999999999996</v>
      </c>
      <c r="BB97" s="666">
        <f t="shared" si="43"/>
        <v>26.463999999999999</v>
      </c>
      <c r="BC97" s="665"/>
      <c r="BD97" s="666">
        <f t="shared" si="44"/>
        <v>6.0289999999999999</v>
      </c>
      <c r="BE97" s="686">
        <f t="shared" si="45"/>
        <v>26.471</v>
      </c>
    </row>
    <row r="98" spans="1:57" ht="13.15" customHeight="1">
      <c r="A98" s="645">
        <v>5.9790000000000001</v>
      </c>
      <c r="B98" s="645">
        <v>5.95</v>
      </c>
      <c r="C98" s="646" t="s">
        <v>737</v>
      </c>
      <c r="D98" s="646" t="s">
        <v>605</v>
      </c>
      <c r="E98" s="646">
        <v>10</v>
      </c>
      <c r="F98" s="647" t="s">
        <v>739</v>
      </c>
      <c r="G98" s="648">
        <v>791.84299999999996</v>
      </c>
      <c r="H98" s="648">
        <v>791.83100000000002</v>
      </c>
      <c r="I98" s="649">
        <v>1.1999999999943611E-2</v>
      </c>
      <c r="J98" s="645">
        <v>5.9290000000000003</v>
      </c>
      <c r="K98" s="645">
        <v>5.9850000000000003</v>
      </c>
      <c r="L98" s="650"/>
      <c r="M98" s="651"/>
      <c r="N98" s="652">
        <v>0.1</v>
      </c>
      <c r="O98" s="652">
        <v>6.600553562318989E-4</v>
      </c>
      <c r="P98" s="652" t="s">
        <v>607</v>
      </c>
      <c r="Q98" s="653">
        <f t="shared" si="30"/>
        <v>3.976</v>
      </c>
      <c r="R98" s="654">
        <f t="shared" si="31"/>
        <v>2</v>
      </c>
      <c r="S98" s="655">
        <f t="shared" si="46"/>
        <v>2.3928000000000007</v>
      </c>
      <c r="T98" s="653">
        <f t="shared" si="32"/>
        <v>2.56</v>
      </c>
      <c r="U98" s="653">
        <f t="shared" si="47"/>
        <v>7.67</v>
      </c>
      <c r="V98" s="653">
        <f t="shared" si="33"/>
        <v>0</v>
      </c>
      <c r="AA98" s="657" t="str">
        <f>IF(AB98=0,"","FA.SEG02-"&amp;COUNTIF(AB$6:$AB98,1))</f>
        <v>FA.SEG02-11</v>
      </c>
      <c r="AB98" s="658">
        <f t="shared" si="34"/>
        <v>1</v>
      </c>
      <c r="AC98" s="657" t="str">
        <f>IF(AD98=0,"","FA.SEG02-"&amp;COUNTIF(AD$6:$AD98,1))</f>
        <v/>
      </c>
      <c r="AD98" s="658">
        <f t="shared" si="35"/>
        <v>0</v>
      </c>
      <c r="AE98" s="660">
        <f t="shared" si="36"/>
        <v>23.84</v>
      </c>
      <c r="AF98" s="661">
        <f t="shared" si="24"/>
        <v>1</v>
      </c>
      <c r="AG98" s="662">
        <f t="shared" si="37"/>
        <v>23.84</v>
      </c>
      <c r="AI98" s="657" t="str">
        <f>IF(AJ98=0,"","FAA.RET02-"&amp;COUNTIF($AJ$6:AJ98,1))</f>
        <v/>
      </c>
      <c r="AJ98" s="658">
        <f t="shared" si="38"/>
        <v>0</v>
      </c>
      <c r="AK98" s="657" t="str">
        <f>IF(AL97=0,"","FAA.RET02-"&amp;COUNTIF(AL$6:$AL98,1))</f>
        <v/>
      </c>
      <c r="AL98" s="658">
        <f t="shared" si="39"/>
        <v>0</v>
      </c>
      <c r="AM98" s="660">
        <f t="shared" si="40"/>
        <v>0</v>
      </c>
      <c r="AN98" s="661">
        <f t="shared" si="25"/>
        <v>0</v>
      </c>
      <c r="AO98" s="662">
        <f t="shared" si="41"/>
        <v>0</v>
      </c>
      <c r="AQ98" s="663">
        <f t="shared" si="26"/>
        <v>2.8999999999999915E-2</v>
      </c>
      <c r="AR98" s="663">
        <f t="shared" si="27"/>
        <v>5.95</v>
      </c>
      <c r="AS98" s="663">
        <f t="shared" si="28"/>
        <v>5.9290000000000003</v>
      </c>
      <c r="AT98" s="663">
        <f t="shared" si="29"/>
        <v>5.600000000000005E-2</v>
      </c>
      <c r="AV98" s="664">
        <v>86</v>
      </c>
      <c r="AW98" s="665">
        <v>2.5</v>
      </c>
      <c r="AX98" s="665">
        <v>5</v>
      </c>
      <c r="AY98" s="665">
        <v>40</v>
      </c>
      <c r="AZ98" s="664">
        <v>17.667999999999999</v>
      </c>
      <c r="BA98" s="666">
        <f t="shared" si="42"/>
        <v>5.9790000000000001</v>
      </c>
      <c r="BB98" s="666">
        <f t="shared" si="43"/>
        <v>26.521000000000001</v>
      </c>
      <c r="BC98" s="665"/>
      <c r="BD98" s="666">
        <f t="shared" si="44"/>
        <v>5.9850000000000003</v>
      </c>
      <c r="BE98" s="666">
        <f t="shared" si="45"/>
        <v>26.515000000000001</v>
      </c>
    </row>
    <row r="99" spans="1:57" ht="13.15" customHeight="1">
      <c r="A99" s="645">
        <v>5.9880000000000004</v>
      </c>
      <c r="B99" s="645">
        <v>5.95</v>
      </c>
      <c r="C99" s="646" t="s">
        <v>740</v>
      </c>
      <c r="D99" s="646" t="s">
        <v>605</v>
      </c>
      <c r="E99" s="646">
        <v>0</v>
      </c>
      <c r="F99" s="647" t="s">
        <v>741</v>
      </c>
      <c r="G99" s="648">
        <v>791.88</v>
      </c>
      <c r="H99" s="648">
        <v>791.85400000000004</v>
      </c>
      <c r="I99" s="649">
        <v>2.5999999999953616E-2</v>
      </c>
      <c r="J99" s="645">
        <v>5.9290000000000003</v>
      </c>
      <c r="K99" s="645">
        <v>6.0659999999999998</v>
      </c>
      <c r="L99" s="650"/>
      <c r="M99" s="651"/>
      <c r="N99" s="652">
        <v>0.1</v>
      </c>
      <c r="O99" s="652">
        <v>6.600553562318989E-4</v>
      </c>
      <c r="P99" s="652" t="s">
        <v>607</v>
      </c>
      <c r="Q99" s="653">
        <f t="shared" si="30"/>
        <v>3.976</v>
      </c>
      <c r="R99" s="654">
        <f t="shared" si="31"/>
        <v>2</v>
      </c>
      <c r="S99" s="655">
        <f t="shared" si="46"/>
        <v>2.4108000000000005</v>
      </c>
      <c r="T99" s="653">
        <f t="shared" si="32"/>
        <v>2.56</v>
      </c>
      <c r="U99" s="653">
        <f t="shared" si="47"/>
        <v>7.67</v>
      </c>
      <c r="V99" s="653">
        <f t="shared" si="33"/>
        <v>0</v>
      </c>
      <c r="AA99" s="657" t="str">
        <f>IF(AB99=0,"","FA.SEG02-"&amp;COUNTIF(AB$6:$AB99,1))</f>
        <v/>
      </c>
      <c r="AB99" s="658">
        <f t="shared" si="34"/>
        <v>0</v>
      </c>
      <c r="AC99" s="657" t="str">
        <f>IF(AD99=0,"","FA.SEG02-"&amp;COUNTIF(AD$6:$AD99,1))</f>
        <v/>
      </c>
      <c r="AD99" s="658">
        <f t="shared" si="35"/>
        <v>0</v>
      </c>
      <c r="AE99" s="660">
        <f t="shared" si="36"/>
        <v>24.02</v>
      </c>
      <c r="AF99" s="661">
        <f t="shared" si="24"/>
        <v>1</v>
      </c>
      <c r="AG99" s="662">
        <f t="shared" si="37"/>
        <v>47.86</v>
      </c>
      <c r="AI99" s="657" t="str">
        <f>IF(AJ99=0,"","FAA.RET02-"&amp;COUNTIF($AJ$6:AJ99,1))</f>
        <v/>
      </c>
      <c r="AJ99" s="658">
        <f t="shared" si="38"/>
        <v>0</v>
      </c>
      <c r="AK99" s="657" t="str">
        <f>IF(AL98=0,"","FAA.RET02-"&amp;COUNTIF(AL$6:$AL99,1))</f>
        <v/>
      </c>
      <c r="AL99" s="658">
        <f t="shared" si="39"/>
        <v>0</v>
      </c>
      <c r="AM99" s="660">
        <f t="shared" si="40"/>
        <v>0</v>
      </c>
      <c r="AN99" s="661">
        <f t="shared" si="25"/>
        <v>0</v>
      </c>
      <c r="AO99" s="662">
        <f t="shared" si="41"/>
        <v>0</v>
      </c>
      <c r="AQ99" s="663">
        <f t="shared" si="26"/>
        <v>3.8000000000000256E-2</v>
      </c>
      <c r="AR99" s="663">
        <f t="shared" si="27"/>
        <v>5.95</v>
      </c>
      <c r="AS99" s="663">
        <f t="shared" si="28"/>
        <v>5.9290000000000003</v>
      </c>
      <c r="AT99" s="663">
        <f t="shared" si="29"/>
        <v>0.13699999999999957</v>
      </c>
      <c r="AV99" s="664">
        <v>87</v>
      </c>
      <c r="AW99" s="665">
        <v>2.5</v>
      </c>
      <c r="AX99" s="665">
        <v>5</v>
      </c>
      <c r="AY99" s="665">
        <v>40</v>
      </c>
      <c r="AZ99" s="664">
        <v>17.393000000000001</v>
      </c>
      <c r="BA99" s="666">
        <f t="shared" si="42"/>
        <v>5.9880000000000004</v>
      </c>
      <c r="BB99" s="666">
        <f t="shared" si="43"/>
        <v>26.512</v>
      </c>
      <c r="BC99" s="665"/>
      <c r="BD99" s="666">
        <f t="shared" si="44"/>
        <v>6.0659999999999998</v>
      </c>
      <c r="BE99" s="666">
        <f t="shared" si="45"/>
        <v>26.434000000000001</v>
      </c>
    </row>
    <row r="100" spans="1:57" ht="13.15" customHeight="1">
      <c r="A100" s="645">
        <v>5.9660000000000002</v>
      </c>
      <c r="B100" s="645">
        <v>5.95</v>
      </c>
      <c r="C100" s="646" t="s">
        <v>740</v>
      </c>
      <c r="D100" s="646" t="s">
        <v>605</v>
      </c>
      <c r="E100" s="646">
        <v>10</v>
      </c>
      <c r="F100" s="647" t="s">
        <v>742</v>
      </c>
      <c r="G100" s="648">
        <v>791.93899999999996</v>
      </c>
      <c r="H100" s="648">
        <v>791.88900000000001</v>
      </c>
      <c r="I100" s="649">
        <v>4.9999999999954525E-2</v>
      </c>
      <c r="J100" s="645">
        <v>5.9290000000000003</v>
      </c>
      <c r="K100" s="645">
        <v>6.0350000000000001</v>
      </c>
      <c r="L100" s="650"/>
      <c r="M100" s="651"/>
      <c r="N100" s="652">
        <v>0.1</v>
      </c>
      <c r="O100" s="652">
        <v>6.600553562318989E-4</v>
      </c>
      <c r="P100" s="652" t="s">
        <v>607</v>
      </c>
      <c r="Q100" s="653">
        <f t="shared" si="30"/>
        <v>3.976</v>
      </c>
      <c r="R100" s="654">
        <f t="shared" si="31"/>
        <v>2</v>
      </c>
      <c r="S100" s="655">
        <f t="shared" si="46"/>
        <v>2.4001999999999999</v>
      </c>
      <c r="T100" s="653">
        <f t="shared" si="32"/>
        <v>2.56</v>
      </c>
      <c r="U100" s="653">
        <f t="shared" si="47"/>
        <v>7.67</v>
      </c>
      <c r="V100" s="653">
        <f t="shared" si="33"/>
        <v>0</v>
      </c>
      <c r="AA100" s="657" t="str">
        <f>IF(AB100=0,"","FA.SEG02-"&amp;COUNTIF(AB$6:$AB100,1))</f>
        <v/>
      </c>
      <c r="AB100" s="658">
        <f t="shared" si="34"/>
        <v>0</v>
      </c>
      <c r="AC100" s="657" t="str">
        <f>IF(AD100=0,"","FA.SEG02-"&amp;COUNTIF(AD$6:$AD100,1))</f>
        <v/>
      </c>
      <c r="AD100" s="658">
        <f t="shared" si="35"/>
        <v>0</v>
      </c>
      <c r="AE100" s="660">
        <f t="shared" si="36"/>
        <v>24.06</v>
      </c>
      <c r="AF100" s="661">
        <f t="shared" si="24"/>
        <v>1</v>
      </c>
      <c r="AG100" s="662">
        <f t="shared" si="37"/>
        <v>71.92</v>
      </c>
      <c r="AI100" s="657" t="str">
        <f>IF(AJ100=0,"","FAA.RET02-"&amp;COUNTIF($AJ$6:AJ100,1))</f>
        <v/>
      </c>
      <c r="AJ100" s="658">
        <f t="shared" si="38"/>
        <v>0</v>
      </c>
      <c r="AK100" s="657" t="str">
        <f>IF(AL99=0,"","FAA.RET02-"&amp;COUNTIF(AL$6:$AL100,1))</f>
        <v/>
      </c>
      <c r="AL100" s="658">
        <f t="shared" si="39"/>
        <v>0</v>
      </c>
      <c r="AM100" s="660">
        <f t="shared" si="40"/>
        <v>0</v>
      </c>
      <c r="AN100" s="661">
        <f t="shared" si="25"/>
        <v>0</v>
      </c>
      <c r="AO100" s="662">
        <f t="shared" si="41"/>
        <v>0</v>
      </c>
      <c r="AQ100" s="663">
        <f t="shared" si="26"/>
        <v>1.6000000000000014E-2</v>
      </c>
      <c r="AR100" s="663">
        <f t="shared" si="27"/>
        <v>5.95</v>
      </c>
      <c r="AS100" s="663">
        <f t="shared" si="28"/>
        <v>5.9290000000000003</v>
      </c>
      <c r="AT100" s="663">
        <f t="shared" si="29"/>
        <v>0.10599999999999987</v>
      </c>
      <c r="AV100" s="664">
        <v>88</v>
      </c>
      <c r="AW100" s="665">
        <v>2.5</v>
      </c>
      <c r="AX100" s="665">
        <v>5</v>
      </c>
      <c r="AY100" s="665">
        <v>40</v>
      </c>
      <c r="AZ100" s="664">
        <v>17.847000000000001</v>
      </c>
      <c r="BA100" s="666">
        <f t="shared" si="42"/>
        <v>5.9660000000000002</v>
      </c>
      <c r="BB100" s="666">
        <f t="shared" si="43"/>
        <v>26.533999999999999</v>
      </c>
      <c r="BC100" s="665"/>
      <c r="BD100" s="666">
        <f t="shared" si="44"/>
        <v>6.0350000000000001</v>
      </c>
      <c r="BE100" s="666">
        <f t="shared" si="45"/>
        <v>26.465</v>
      </c>
    </row>
    <row r="101" spans="1:57" ht="13.15" customHeight="1">
      <c r="A101" s="645">
        <v>5.9640000000000004</v>
      </c>
      <c r="B101" s="645">
        <v>5.95</v>
      </c>
      <c r="C101" s="646" t="s">
        <v>743</v>
      </c>
      <c r="D101" s="646" t="s">
        <v>605</v>
      </c>
      <c r="E101" s="646">
        <v>0</v>
      </c>
      <c r="F101" s="647" t="s">
        <v>744</v>
      </c>
      <c r="G101" s="648">
        <v>792.02</v>
      </c>
      <c r="H101" s="648">
        <v>792.005</v>
      </c>
      <c r="I101" s="649">
        <v>1.4999999999986358E-2</v>
      </c>
      <c r="J101" s="645">
        <v>5.9290000000000003</v>
      </c>
      <c r="K101" s="645">
        <v>6.0330000000000004</v>
      </c>
      <c r="L101" s="650"/>
      <c r="M101" s="651"/>
      <c r="N101" s="652">
        <v>0.1</v>
      </c>
      <c r="O101" s="652">
        <v>6.600553562318989E-4</v>
      </c>
      <c r="P101" s="652" t="s">
        <v>607</v>
      </c>
      <c r="Q101" s="653">
        <f t="shared" si="30"/>
        <v>3.976</v>
      </c>
      <c r="R101" s="654">
        <f t="shared" si="31"/>
        <v>2</v>
      </c>
      <c r="S101" s="655">
        <f t="shared" si="46"/>
        <v>2.3994</v>
      </c>
      <c r="T101" s="653">
        <f t="shared" si="32"/>
        <v>2.56</v>
      </c>
      <c r="U101" s="653">
        <f t="shared" si="47"/>
        <v>7.67</v>
      </c>
      <c r="V101" s="653">
        <f t="shared" si="33"/>
        <v>0</v>
      </c>
      <c r="AA101" s="657" t="str">
        <f>IF(AB101=0,"","FA.SEG02-"&amp;COUNTIF(AB$6:$AB101,1))</f>
        <v/>
      </c>
      <c r="AB101" s="658">
        <f t="shared" si="34"/>
        <v>0</v>
      </c>
      <c r="AC101" s="657" t="str">
        <f>IF(AD101=0,"","FA.SEG02-"&amp;COUNTIF(AD$6:$AD101,1))</f>
        <v/>
      </c>
      <c r="AD101" s="658">
        <f t="shared" si="35"/>
        <v>0</v>
      </c>
      <c r="AE101" s="660">
        <f t="shared" si="36"/>
        <v>24</v>
      </c>
      <c r="AF101" s="661">
        <f t="shared" si="24"/>
        <v>1</v>
      </c>
      <c r="AG101" s="662">
        <f t="shared" si="37"/>
        <v>95.92</v>
      </c>
      <c r="AI101" s="657" t="str">
        <f>IF(AJ101=0,"","FAA.RET02-"&amp;COUNTIF($AJ$6:AJ101,1))</f>
        <v/>
      </c>
      <c r="AJ101" s="658">
        <f t="shared" si="38"/>
        <v>0</v>
      </c>
      <c r="AK101" s="657" t="str">
        <f>IF(AL100=0,"","FAA.RET02-"&amp;COUNTIF(AL$6:$AL101,1))</f>
        <v/>
      </c>
      <c r="AL101" s="658">
        <f t="shared" si="39"/>
        <v>0</v>
      </c>
      <c r="AM101" s="660">
        <f t="shared" si="40"/>
        <v>0</v>
      </c>
      <c r="AN101" s="661">
        <f t="shared" si="25"/>
        <v>0</v>
      </c>
      <c r="AO101" s="662">
        <f t="shared" si="41"/>
        <v>0</v>
      </c>
      <c r="AQ101" s="663">
        <f t="shared" si="26"/>
        <v>1.4000000000000234E-2</v>
      </c>
      <c r="AR101" s="663">
        <f t="shared" si="27"/>
        <v>5.95</v>
      </c>
      <c r="AS101" s="663">
        <f t="shared" si="28"/>
        <v>5.9290000000000003</v>
      </c>
      <c r="AT101" s="663">
        <f t="shared" si="29"/>
        <v>0.10400000000000009</v>
      </c>
      <c r="AV101" s="664">
        <v>89</v>
      </c>
      <c r="AW101" s="665">
        <v>2.5</v>
      </c>
      <c r="AX101" s="665">
        <v>5</v>
      </c>
      <c r="AY101" s="665">
        <v>40</v>
      </c>
      <c r="AZ101" s="664">
        <v>17.863999999999997</v>
      </c>
      <c r="BA101" s="666">
        <f t="shared" si="42"/>
        <v>5.9640000000000004</v>
      </c>
      <c r="BB101" s="666">
        <f t="shared" si="43"/>
        <v>26.536000000000001</v>
      </c>
      <c r="BC101" s="665"/>
      <c r="BD101" s="666">
        <f t="shared" si="44"/>
        <v>6.0330000000000004</v>
      </c>
      <c r="BE101" s="666">
        <f t="shared" si="45"/>
        <v>26.466999999999999</v>
      </c>
    </row>
    <row r="102" spans="1:57" ht="13.15" customHeight="1">
      <c r="A102" s="645">
        <v>6.1989999999999998</v>
      </c>
      <c r="B102" s="645">
        <v>5.95</v>
      </c>
      <c r="C102" s="646" t="s">
        <v>743</v>
      </c>
      <c r="D102" s="646" t="s">
        <v>605</v>
      </c>
      <c r="E102" s="646">
        <v>10</v>
      </c>
      <c r="F102" s="647" t="s">
        <v>745</v>
      </c>
      <c r="G102" s="648">
        <v>792.12300000000005</v>
      </c>
      <c r="H102" s="648">
        <v>791.98800000000006</v>
      </c>
      <c r="I102" s="649">
        <v>0.13499999999999091</v>
      </c>
      <c r="J102" s="645">
        <v>5.9290000000000003</v>
      </c>
      <c r="K102" s="645">
        <v>6.1609999999999996</v>
      </c>
      <c r="L102" s="650"/>
      <c r="M102" s="651"/>
      <c r="N102" s="652">
        <v>0.1</v>
      </c>
      <c r="O102" s="652">
        <v>9.0534044925801634E-4</v>
      </c>
      <c r="P102" s="652" t="s">
        <v>607</v>
      </c>
      <c r="Q102" s="653">
        <f t="shared" si="30"/>
        <v>3.976</v>
      </c>
      <c r="R102" s="654">
        <f t="shared" si="31"/>
        <v>2</v>
      </c>
      <c r="S102" s="655">
        <f t="shared" si="46"/>
        <v>2.472</v>
      </c>
      <c r="T102" s="653">
        <f t="shared" si="32"/>
        <v>2.56</v>
      </c>
      <c r="U102" s="653">
        <f t="shared" si="47"/>
        <v>7.67</v>
      </c>
      <c r="V102" s="653">
        <f t="shared" si="33"/>
        <v>0</v>
      </c>
      <c r="AA102" s="657" t="str">
        <f>IF(AB102=0,"","FA.SEG02-"&amp;COUNTIF(AB$6:$AB102,1))</f>
        <v/>
      </c>
      <c r="AB102" s="658">
        <f t="shared" si="34"/>
        <v>0</v>
      </c>
      <c r="AC102" s="657" t="str">
        <f>IF(AD102=0,"","FA.SEG02-"&amp;COUNTIF(AD$6:$AD102,1))</f>
        <v/>
      </c>
      <c r="AD102" s="658">
        <f t="shared" si="35"/>
        <v>0</v>
      </c>
      <c r="AE102" s="660">
        <f t="shared" si="36"/>
        <v>24.36</v>
      </c>
      <c r="AF102" s="661">
        <f t="shared" si="24"/>
        <v>1</v>
      </c>
      <c r="AG102" s="662">
        <f t="shared" si="37"/>
        <v>120.28</v>
      </c>
      <c r="AI102" s="657" t="str">
        <f>IF(AJ102=0,"","FAA.RET02-"&amp;COUNTIF($AJ$6:AJ102,1))</f>
        <v/>
      </c>
      <c r="AJ102" s="658">
        <f t="shared" si="38"/>
        <v>0</v>
      </c>
      <c r="AK102" s="657" t="str">
        <f>IF(AL101=0,"","FAA.RET02-"&amp;COUNTIF(AL$6:$AL102,1))</f>
        <v/>
      </c>
      <c r="AL102" s="658">
        <f t="shared" si="39"/>
        <v>0</v>
      </c>
      <c r="AM102" s="660">
        <f t="shared" si="40"/>
        <v>0</v>
      </c>
      <c r="AN102" s="661">
        <f t="shared" si="25"/>
        <v>0</v>
      </c>
      <c r="AO102" s="662">
        <f t="shared" si="41"/>
        <v>0</v>
      </c>
      <c r="AQ102" s="663">
        <f t="shared" si="26"/>
        <v>0.24899999999999967</v>
      </c>
      <c r="AR102" s="663">
        <f t="shared" si="27"/>
        <v>5.95</v>
      </c>
      <c r="AS102" s="663">
        <f t="shared" si="28"/>
        <v>5.9290000000000003</v>
      </c>
      <c r="AT102" s="663">
        <f t="shared" si="29"/>
        <v>0.23199999999999932</v>
      </c>
      <c r="AV102" s="708">
        <v>90</v>
      </c>
      <c r="AW102" s="709">
        <v>2.5</v>
      </c>
      <c r="AX102" s="709">
        <v>5</v>
      </c>
      <c r="AY102" s="709">
        <v>40</v>
      </c>
      <c r="AZ102" s="664">
        <v>17.222999999999999</v>
      </c>
      <c r="BA102" s="686">
        <f t="shared" si="42"/>
        <v>6.1989999999999998</v>
      </c>
      <c r="BB102" s="686">
        <f t="shared" si="43"/>
        <v>26.301000000000002</v>
      </c>
      <c r="BC102" s="666">
        <f>MIN(BB102:BB115)</f>
        <v>24.475000000000001</v>
      </c>
      <c r="BD102" s="666">
        <f t="shared" si="44"/>
        <v>6.1609999999999996</v>
      </c>
      <c r="BE102" s="666">
        <f t="shared" si="45"/>
        <v>26.338999999999999</v>
      </c>
    </row>
    <row r="103" spans="1:57" ht="13.15" customHeight="1">
      <c r="A103" s="645">
        <v>6.2919999999999998</v>
      </c>
      <c r="B103" s="645">
        <v>5.95</v>
      </c>
      <c r="C103" s="646" t="s">
        <v>746</v>
      </c>
      <c r="D103" s="646" t="s">
        <v>605</v>
      </c>
      <c r="E103" s="646">
        <v>0</v>
      </c>
      <c r="F103" s="647" t="s">
        <v>747</v>
      </c>
      <c r="G103" s="648">
        <v>792.24699999999996</v>
      </c>
      <c r="H103" s="648">
        <v>792.06899999999996</v>
      </c>
      <c r="I103" s="649">
        <v>0.17799999999999727</v>
      </c>
      <c r="J103" s="645">
        <v>5.93</v>
      </c>
      <c r="K103" s="645">
        <v>6.0350000000000001</v>
      </c>
      <c r="L103" s="650"/>
      <c r="M103" s="651"/>
      <c r="N103" s="652">
        <v>0.1</v>
      </c>
      <c r="O103" s="652">
        <v>9.0534044925801634E-4</v>
      </c>
      <c r="P103" s="652" t="s">
        <v>607</v>
      </c>
      <c r="Q103" s="653">
        <f t="shared" si="30"/>
        <v>3.976</v>
      </c>
      <c r="R103" s="654">
        <f t="shared" si="31"/>
        <v>2</v>
      </c>
      <c r="S103" s="655">
        <f t="shared" si="46"/>
        <v>2.4654000000000003</v>
      </c>
      <c r="T103" s="653">
        <f t="shared" si="32"/>
        <v>2.56</v>
      </c>
      <c r="U103" s="653">
        <f t="shared" si="47"/>
        <v>7.67</v>
      </c>
      <c r="V103" s="653">
        <f t="shared" si="33"/>
        <v>0</v>
      </c>
      <c r="AA103" s="657" t="str">
        <f>IF(AB103=0,"","FA.SEG02-"&amp;COUNTIF(AB$6:$AB103,1))</f>
        <v/>
      </c>
      <c r="AB103" s="658">
        <f t="shared" si="34"/>
        <v>0</v>
      </c>
      <c r="AC103" s="657" t="str">
        <f>IF(AD103=0,"","FA.SEG02-"&amp;COUNTIF(AD$6:$AD103,1))</f>
        <v>FA.SEG02-11</v>
      </c>
      <c r="AD103" s="658">
        <f t="shared" si="35"/>
        <v>1</v>
      </c>
      <c r="AE103" s="660">
        <f t="shared" si="36"/>
        <v>24.69</v>
      </c>
      <c r="AF103" s="661">
        <f t="shared" si="24"/>
        <v>1</v>
      </c>
      <c r="AG103" s="662">
        <f t="shared" si="37"/>
        <v>144.97</v>
      </c>
      <c r="AI103" s="657" t="str">
        <f>IF(AJ103=0,"","FAA.RET02-"&amp;COUNTIF($AJ$6:AJ103,1))</f>
        <v/>
      </c>
      <c r="AJ103" s="658">
        <f t="shared" si="38"/>
        <v>0</v>
      </c>
      <c r="AK103" s="657" t="str">
        <f>IF(AL102=0,"","FAA.RET02-"&amp;COUNTIF(AL$6:$AL103,1))</f>
        <v/>
      </c>
      <c r="AL103" s="658">
        <f t="shared" si="39"/>
        <v>0</v>
      </c>
      <c r="AM103" s="660">
        <f t="shared" si="40"/>
        <v>0</v>
      </c>
      <c r="AN103" s="661">
        <f t="shared" si="25"/>
        <v>0</v>
      </c>
      <c r="AO103" s="662">
        <f t="shared" si="41"/>
        <v>0</v>
      </c>
      <c r="AQ103" s="663">
        <f t="shared" si="26"/>
        <v>0.34199999999999964</v>
      </c>
      <c r="AR103" s="663">
        <f t="shared" si="27"/>
        <v>5.95</v>
      </c>
      <c r="AS103" s="663">
        <f t="shared" si="28"/>
        <v>5.93</v>
      </c>
      <c r="AT103" s="663">
        <f t="shared" si="29"/>
        <v>0.10500000000000043</v>
      </c>
      <c r="AV103" s="708">
        <v>91</v>
      </c>
      <c r="AW103" s="709">
        <v>2.5</v>
      </c>
      <c r="AX103" s="709">
        <v>5</v>
      </c>
      <c r="AY103" s="709">
        <v>40</v>
      </c>
      <c r="AZ103" s="664">
        <v>17.341999999999999</v>
      </c>
      <c r="BA103" s="686">
        <f t="shared" si="42"/>
        <v>6.2919999999999998</v>
      </c>
      <c r="BB103" s="686">
        <f t="shared" si="43"/>
        <v>26.207999999999998</v>
      </c>
      <c r="BC103" s="665"/>
      <c r="BD103" s="666">
        <f t="shared" si="44"/>
        <v>6.0350000000000001</v>
      </c>
      <c r="BE103" s="666">
        <f t="shared" si="45"/>
        <v>26.465</v>
      </c>
    </row>
    <row r="104" spans="1:57" ht="13.15" customHeight="1">
      <c r="A104" s="645">
        <v>6.6070000000000002</v>
      </c>
      <c r="B104" s="645">
        <v>5.95</v>
      </c>
      <c r="C104" s="646" t="s">
        <v>746</v>
      </c>
      <c r="D104" s="646" t="s">
        <v>605</v>
      </c>
      <c r="E104" s="646">
        <v>10</v>
      </c>
      <c r="F104" s="647" t="s">
        <v>748</v>
      </c>
      <c r="G104" s="648">
        <v>792.39400000000001</v>
      </c>
      <c r="H104" s="648">
        <v>792.48500000000001</v>
      </c>
      <c r="I104" s="649">
        <v>-9.1000000000008185E-2</v>
      </c>
      <c r="J104" s="645">
        <v>5.93</v>
      </c>
      <c r="K104" s="645">
        <v>6.1980000000000004</v>
      </c>
      <c r="L104" s="650"/>
      <c r="M104" s="651"/>
      <c r="N104" s="652">
        <v>0.1</v>
      </c>
      <c r="O104" s="652">
        <v>9.0534044925801634E-4</v>
      </c>
      <c r="P104" s="652" t="s">
        <v>607</v>
      </c>
      <c r="Q104" s="653">
        <f t="shared" si="30"/>
        <v>3.976</v>
      </c>
      <c r="R104" s="654">
        <f t="shared" si="31"/>
        <v>1</v>
      </c>
      <c r="S104" s="655">
        <f t="shared" si="46"/>
        <v>2.3759999999999999</v>
      </c>
      <c r="T104" s="653">
        <f t="shared" si="32"/>
        <v>0</v>
      </c>
      <c r="U104" s="653">
        <f t="shared" si="47"/>
        <v>0</v>
      </c>
      <c r="V104" s="653">
        <f t="shared" si="33"/>
        <v>2.3759999999999999</v>
      </c>
      <c r="AA104" s="657" t="str">
        <f>IF(AB104=0,"","FA.SEG02-"&amp;COUNTIF(AB$6:$AB104,1))</f>
        <v/>
      </c>
      <c r="AB104" s="658">
        <f t="shared" si="34"/>
        <v>0</v>
      </c>
      <c r="AC104" s="657" t="str">
        <f>IF(AD104=0,"","FA.SEG02-"&amp;COUNTIF(AD$6:$AD104,1))</f>
        <v/>
      </c>
      <c r="AD104" s="658">
        <f t="shared" si="35"/>
        <v>0</v>
      </c>
      <c r="AE104" s="660">
        <f t="shared" si="36"/>
        <v>0</v>
      </c>
      <c r="AF104" s="661">
        <f t="shared" si="24"/>
        <v>0</v>
      </c>
      <c r="AG104" s="662">
        <f t="shared" si="37"/>
        <v>0</v>
      </c>
      <c r="AI104" s="657" t="str">
        <f>IF(AJ104=0,"","FAA.RET02-"&amp;COUNTIF($AJ$6:AJ104,1))</f>
        <v/>
      </c>
      <c r="AJ104" s="658">
        <f t="shared" si="38"/>
        <v>0</v>
      </c>
      <c r="AK104" s="657" t="str">
        <f>IF(AL103=0,"","FAA.RET02-"&amp;COUNTIF(AL$6:$AL104,1))</f>
        <v/>
      </c>
      <c r="AL104" s="658">
        <f t="shared" si="39"/>
        <v>0</v>
      </c>
      <c r="AM104" s="660">
        <f t="shared" si="40"/>
        <v>0</v>
      </c>
      <c r="AN104" s="661">
        <f t="shared" si="25"/>
        <v>0</v>
      </c>
      <c r="AO104" s="662">
        <f t="shared" si="41"/>
        <v>0</v>
      </c>
      <c r="AQ104" s="663">
        <f t="shared" si="26"/>
        <v>0.65700000000000003</v>
      </c>
      <c r="AR104" s="663">
        <f t="shared" si="27"/>
        <v>5.95</v>
      </c>
      <c r="AS104" s="663">
        <f t="shared" si="28"/>
        <v>5.93</v>
      </c>
      <c r="AT104" s="663">
        <f t="shared" si="29"/>
        <v>0.26800000000000068</v>
      </c>
      <c r="AV104" s="708">
        <v>92</v>
      </c>
      <c r="AW104" s="709">
        <v>2.5</v>
      </c>
      <c r="AX104" s="709">
        <v>5</v>
      </c>
      <c r="AY104" s="709">
        <v>40</v>
      </c>
      <c r="AZ104" s="664">
        <v>17.411999999999999</v>
      </c>
      <c r="BA104" s="686">
        <f t="shared" si="42"/>
        <v>6.6070000000000002</v>
      </c>
      <c r="BB104" s="686">
        <f t="shared" si="43"/>
        <v>25.893000000000001</v>
      </c>
      <c r="BC104" s="665"/>
      <c r="BD104" s="666">
        <f t="shared" si="44"/>
        <v>6.1980000000000004</v>
      </c>
      <c r="BE104" s="666">
        <f t="shared" si="45"/>
        <v>26.302</v>
      </c>
    </row>
    <row r="105" spans="1:57" ht="13.15" customHeight="1">
      <c r="A105" s="645">
        <v>8.0250000000000004</v>
      </c>
      <c r="B105" s="645">
        <v>5.95</v>
      </c>
      <c r="C105" s="646" t="s">
        <v>749</v>
      </c>
      <c r="D105" s="646" t="s">
        <v>605</v>
      </c>
      <c r="E105" s="646">
        <v>0</v>
      </c>
      <c r="F105" s="647" t="s">
        <v>750</v>
      </c>
      <c r="G105" s="648">
        <v>792.56299999999999</v>
      </c>
      <c r="H105" s="648">
        <v>792.55700000000002</v>
      </c>
      <c r="I105" s="649">
        <v>5.9999999999718057E-3</v>
      </c>
      <c r="J105" s="645">
        <v>5.93</v>
      </c>
      <c r="K105" s="645">
        <v>6.1130000000000004</v>
      </c>
      <c r="L105" s="650"/>
      <c r="M105" s="651"/>
      <c r="N105" s="652">
        <v>0.1</v>
      </c>
      <c r="O105" s="652">
        <v>9.0534044925801634E-4</v>
      </c>
      <c r="P105" s="652" t="s">
        <v>607</v>
      </c>
      <c r="Q105" s="653">
        <f t="shared" si="30"/>
        <v>3.976</v>
      </c>
      <c r="R105" s="654">
        <f t="shared" si="31"/>
        <v>2</v>
      </c>
      <c r="S105" s="655">
        <f t="shared" si="46"/>
        <v>2.8276000000000003</v>
      </c>
      <c r="T105" s="653">
        <f t="shared" si="32"/>
        <v>2.56</v>
      </c>
      <c r="U105" s="653">
        <f t="shared" si="47"/>
        <v>7.67</v>
      </c>
      <c r="V105" s="653">
        <f t="shared" si="33"/>
        <v>0</v>
      </c>
      <c r="AA105" s="657" t="str">
        <f>IF(AB105=0,"","FA.SEG02-"&amp;COUNTIF(AB$6:$AB105,1))</f>
        <v>FA.SEG02-12</v>
      </c>
      <c r="AB105" s="658">
        <f t="shared" si="34"/>
        <v>1</v>
      </c>
      <c r="AC105" s="657" t="str">
        <f>IF(AD105=0,"","FA.SEG02-"&amp;COUNTIF(AD$6:$AD105,1))</f>
        <v>FA.SEG02-12</v>
      </c>
      <c r="AD105" s="658">
        <f t="shared" si="35"/>
        <v>1</v>
      </c>
      <c r="AE105" s="660">
        <f t="shared" si="36"/>
        <v>26.02</v>
      </c>
      <c r="AF105" s="661">
        <f t="shared" si="24"/>
        <v>1</v>
      </c>
      <c r="AG105" s="662">
        <f t="shared" si="37"/>
        <v>26.02</v>
      </c>
      <c r="AI105" s="657" t="str">
        <f>IF(AJ105=0,"","FAA.RET02-"&amp;COUNTIF($AJ$6:AJ105,1))</f>
        <v/>
      </c>
      <c r="AJ105" s="658">
        <f t="shared" si="38"/>
        <v>0</v>
      </c>
      <c r="AK105" s="657" t="str">
        <f>IF(AL104=0,"","FAA.RET02-"&amp;COUNTIF(AL$6:$AL105,1))</f>
        <v/>
      </c>
      <c r="AL105" s="658">
        <f t="shared" si="39"/>
        <v>0</v>
      </c>
      <c r="AM105" s="660">
        <f t="shared" si="40"/>
        <v>0</v>
      </c>
      <c r="AN105" s="661">
        <f t="shared" si="25"/>
        <v>0</v>
      </c>
      <c r="AO105" s="662">
        <f t="shared" si="41"/>
        <v>0</v>
      </c>
      <c r="AQ105" s="663">
        <f t="shared" si="26"/>
        <v>2.0750000000000002</v>
      </c>
      <c r="AR105" s="663">
        <f t="shared" si="27"/>
        <v>5.95</v>
      </c>
      <c r="AS105" s="663">
        <f t="shared" si="28"/>
        <v>5.93</v>
      </c>
      <c r="AT105" s="663">
        <f t="shared" si="29"/>
        <v>0.18300000000000072</v>
      </c>
      <c r="AV105" s="708">
        <v>93</v>
      </c>
      <c r="AW105" s="709">
        <v>2.5</v>
      </c>
      <c r="AX105" s="709">
        <v>5</v>
      </c>
      <c r="AY105" s="709">
        <v>40</v>
      </c>
      <c r="AZ105" s="664">
        <v>17.545999999999999</v>
      </c>
      <c r="BA105" s="686">
        <f t="shared" si="42"/>
        <v>8.0250000000000004</v>
      </c>
      <c r="BB105" s="686">
        <f t="shared" si="43"/>
        <v>24.475000000000001</v>
      </c>
      <c r="BC105" s="665"/>
      <c r="BD105" s="666">
        <f t="shared" si="44"/>
        <v>6.1130000000000004</v>
      </c>
      <c r="BE105" s="666">
        <f t="shared" si="45"/>
        <v>26.387</v>
      </c>
    </row>
    <row r="106" spans="1:57" ht="13.15" customHeight="1">
      <c r="A106" s="645">
        <v>6.6440000000000001</v>
      </c>
      <c r="B106" s="645">
        <v>5.95</v>
      </c>
      <c r="C106" s="646" t="s">
        <v>749</v>
      </c>
      <c r="D106" s="646" t="s">
        <v>605</v>
      </c>
      <c r="E106" s="646">
        <v>10</v>
      </c>
      <c r="F106" s="647" t="s">
        <v>751</v>
      </c>
      <c r="G106" s="648">
        <v>792.75400000000002</v>
      </c>
      <c r="H106" s="648">
        <v>792.95799999999997</v>
      </c>
      <c r="I106" s="649">
        <v>-0.20399999999995089</v>
      </c>
      <c r="J106" s="645">
        <v>5.93</v>
      </c>
      <c r="K106" s="645">
        <v>6.0220000000000002</v>
      </c>
      <c r="L106" s="650"/>
      <c r="M106" s="651"/>
      <c r="N106" s="652">
        <v>0.1</v>
      </c>
      <c r="O106" s="652">
        <v>9.0534044925801634E-4</v>
      </c>
      <c r="P106" s="652" t="s">
        <v>607</v>
      </c>
      <c r="Q106" s="653">
        <f t="shared" si="30"/>
        <v>3.976</v>
      </c>
      <c r="R106" s="654">
        <f t="shared" si="31"/>
        <v>1</v>
      </c>
      <c r="S106" s="655">
        <f t="shared" si="46"/>
        <v>2.3759999999999999</v>
      </c>
      <c r="T106" s="653">
        <f t="shared" si="32"/>
        <v>0</v>
      </c>
      <c r="U106" s="653">
        <f t="shared" si="47"/>
        <v>0</v>
      </c>
      <c r="V106" s="653">
        <f t="shared" si="33"/>
        <v>2.3759999999999999</v>
      </c>
      <c r="AA106" s="657" t="str">
        <f>IF(AB106=0,"","FA.SEG02-"&amp;COUNTIF(AB$6:$AB106,1))</f>
        <v/>
      </c>
      <c r="AB106" s="658">
        <f t="shared" si="34"/>
        <v>0</v>
      </c>
      <c r="AC106" s="657" t="str">
        <f>IF(AD106=0,"","FA.SEG02-"&amp;COUNTIF(AD$6:$AD106,1))</f>
        <v/>
      </c>
      <c r="AD106" s="658">
        <f t="shared" si="35"/>
        <v>0</v>
      </c>
      <c r="AE106" s="660">
        <f t="shared" si="36"/>
        <v>0</v>
      </c>
      <c r="AF106" s="661">
        <f t="shared" si="24"/>
        <v>0</v>
      </c>
      <c r="AG106" s="662">
        <f t="shared" si="37"/>
        <v>0</v>
      </c>
      <c r="AI106" s="657" t="str">
        <f>IF(AJ106=0,"","FAA.RET02-"&amp;COUNTIF($AJ$6:AJ106,1))</f>
        <v/>
      </c>
      <c r="AJ106" s="658">
        <f t="shared" si="38"/>
        <v>0</v>
      </c>
      <c r="AK106" s="657" t="str">
        <f>IF(AL105=0,"","FAA.RET02-"&amp;COUNTIF(AL$6:$AL106,1))</f>
        <v/>
      </c>
      <c r="AL106" s="658">
        <f t="shared" si="39"/>
        <v>0</v>
      </c>
      <c r="AM106" s="660">
        <f t="shared" si="40"/>
        <v>0</v>
      </c>
      <c r="AN106" s="661">
        <f t="shared" si="25"/>
        <v>0</v>
      </c>
      <c r="AO106" s="662">
        <f t="shared" si="41"/>
        <v>0</v>
      </c>
      <c r="AQ106" s="663">
        <f t="shared" si="26"/>
        <v>0.69399999999999995</v>
      </c>
      <c r="AR106" s="663">
        <f t="shared" si="27"/>
        <v>5.95</v>
      </c>
      <c r="AS106" s="663">
        <f t="shared" si="28"/>
        <v>5.93</v>
      </c>
      <c r="AT106" s="663">
        <f t="shared" si="29"/>
        <v>9.2000000000000526E-2</v>
      </c>
      <c r="AV106" s="708">
        <v>94</v>
      </c>
      <c r="AW106" s="709">
        <v>2.5</v>
      </c>
      <c r="AX106" s="709">
        <v>5</v>
      </c>
      <c r="AY106" s="709">
        <v>40</v>
      </c>
      <c r="AZ106" s="664">
        <v>17.792999999999999</v>
      </c>
      <c r="BA106" s="686">
        <f t="shared" si="42"/>
        <v>6.6440000000000001</v>
      </c>
      <c r="BB106" s="686">
        <f t="shared" si="43"/>
        <v>25.856000000000002</v>
      </c>
      <c r="BC106" s="665"/>
      <c r="BD106" s="666">
        <f t="shared" si="44"/>
        <v>6.0220000000000002</v>
      </c>
      <c r="BE106" s="666">
        <f t="shared" si="45"/>
        <v>26.478000000000002</v>
      </c>
    </row>
    <row r="107" spans="1:57" ht="13.15" customHeight="1">
      <c r="A107" s="645">
        <v>5.9909999999999997</v>
      </c>
      <c r="B107" s="645">
        <v>5.95</v>
      </c>
      <c r="C107" s="646" t="s">
        <v>752</v>
      </c>
      <c r="D107" s="646" t="s">
        <v>605</v>
      </c>
      <c r="E107" s="646">
        <v>0</v>
      </c>
      <c r="F107" s="647" t="s">
        <v>753</v>
      </c>
      <c r="G107" s="648">
        <v>792.96699999999998</v>
      </c>
      <c r="H107" s="648">
        <v>793.05899999999997</v>
      </c>
      <c r="I107" s="649">
        <v>-9.1999999999984539E-2</v>
      </c>
      <c r="J107" s="645">
        <v>5.93</v>
      </c>
      <c r="K107" s="645">
        <v>6.1529999999999996</v>
      </c>
      <c r="L107" s="650"/>
      <c r="M107" s="651"/>
      <c r="N107" s="652">
        <v>0.1</v>
      </c>
      <c r="O107" s="652">
        <v>9.0534044925801634E-4</v>
      </c>
      <c r="P107" s="652" t="s">
        <v>607</v>
      </c>
      <c r="Q107" s="653">
        <f t="shared" si="30"/>
        <v>3.976</v>
      </c>
      <c r="R107" s="654">
        <f t="shared" si="31"/>
        <v>1</v>
      </c>
      <c r="S107" s="655">
        <f t="shared" si="46"/>
        <v>2.3759999999999999</v>
      </c>
      <c r="T107" s="653">
        <f t="shared" si="32"/>
        <v>0</v>
      </c>
      <c r="U107" s="653">
        <f t="shared" si="47"/>
        <v>0</v>
      </c>
      <c r="V107" s="653">
        <f t="shared" si="33"/>
        <v>2.3759999999999999</v>
      </c>
      <c r="AA107" s="657" t="str">
        <f>IF(AB107=0,"","FA.SEG02-"&amp;COUNTIF(AB$6:$AB107,1))</f>
        <v/>
      </c>
      <c r="AB107" s="658">
        <f t="shared" si="34"/>
        <v>0</v>
      </c>
      <c r="AC107" s="657" t="str">
        <f>IF(AD107=0,"","FA.SEG02-"&amp;COUNTIF(AD$6:$AD107,1))</f>
        <v/>
      </c>
      <c r="AD107" s="658">
        <f t="shared" si="35"/>
        <v>0</v>
      </c>
      <c r="AE107" s="660">
        <f t="shared" si="36"/>
        <v>0</v>
      </c>
      <c r="AF107" s="661">
        <f t="shared" si="24"/>
        <v>0</v>
      </c>
      <c r="AG107" s="662">
        <f t="shared" si="37"/>
        <v>0</v>
      </c>
      <c r="AI107" s="657" t="str">
        <f>IF(AJ107=0,"","FAA.RET02-"&amp;COUNTIF($AJ$6:AJ107,1))</f>
        <v/>
      </c>
      <c r="AJ107" s="658">
        <f t="shared" si="38"/>
        <v>0</v>
      </c>
      <c r="AK107" s="657" t="str">
        <f>IF(AL106=0,"","FAA.RET02-"&amp;COUNTIF(AL$6:$AL107,1))</f>
        <v/>
      </c>
      <c r="AL107" s="658">
        <f t="shared" si="39"/>
        <v>0</v>
      </c>
      <c r="AM107" s="660">
        <f t="shared" si="40"/>
        <v>0</v>
      </c>
      <c r="AN107" s="661">
        <f t="shared" si="25"/>
        <v>0</v>
      </c>
      <c r="AO107" s="662">
        <f t="shared" si="41"/>
        <v>0</v>
      </c>
      <c r="AQ107" s="663">
        <f t="shared" si="26"/>
        <v>4.0999999999999481E-2</v>
      </c>
      <c r="AR107" s="663">
        <f t="shared" si="27"/>
        <v>5.95</v>
      </c>
      <c r="AS107" s="663">
        <f t="shared" si="28"/>
        <v>5.93</v>
      </c>
      <c r="AT107" s="663">
        <f t="shared" si="29"/>
        <v>0.22299999999999986</v>
      </c>
      <c r="AV107" s="708">
        <v>95</v>
      </c>
      <c r="AW107" s="709">
        <v>2.5</v>
      </c>
      <c r="AX107" s="709">
        <v>5</v>
      </c>
      <c r="AY107" s="709">
        <v>40</v>
      </c>
      <c r="AZ107" s="664">
        <v>18.154</v>
      </c>
      <c r="BA107" s="686">
        <f t="shared" si="42"/>
        <v>5.9909999999999997</v>
      </c>
      <c r="BB107" s="686">
        <f t="shared" si="43"/>
        <v>26.509</v>
      </c>
      <c r="BC107" s="665"/>
      <c r="BD107" s="666">
        <f t="shared" si="44"/>
        <v>6.1529999999999996</v>
      </c>
      <c r="BE107" s="666">
        <f t="shared" si="45"/>
        <v>26.347000000000001</v>
      </c>
    </row>
    <row r="108" spans="1:57" ht="13.15" customHeight="1">
      <c r="A108" s="645">
        <v>5.9880000000000004</v>
      </c>
      <c r="B108" s="645">
        <v>5.95</v>
      </c>
      <c r="C108" s="646" t="s">
        <v>752</v>
      </c>
      <c r="D108" s="646" t="s">
        <v>605</v>
      </c>
      <c r="E108" s="646">
        <v>10</v>
      </c>
      <c r="F108" s="647" t="s">
        <v>754</v>
      </c>
      <c r="G108" s="648">
        <v>793.202</v>
      </c>
      <c r="H108" s="648">
        <v>793.28200000000004</v>
      </c>
      <c r="I108" s="649">
        <v>-8.0000000000040927E-2</v>
      </c>
      <c r="J108" s="645">
        <v>5.93</v>
      </c>
      <c r="K108" s="645">
        <v>6.048</v>
      </c>
      <c r="L108" s="650"/>
      <c r="M108" s="651"/>
      <c r="N108" s="652">
        <v>0.1</v>
      </c>
      <c r="O108" s="652">
        <v>9.0534044925801634E-4</v>
      </c>
      <c r="P108" s="652" t="s">
        <v>607</v>
      </c>
      <c r="Q108" s="653">
        <f t="shared" si="30"/>
        <v>3.976</v>
      </c>
      <c r="R108" s="654">
        <f t="shared" si="31"/>
        <v>1</v>
      </c>
      <c r="S108" s="655">
        <f t="shared" si="46"/>
        <v>2.3759999999999999</v>
      </c>
      <c r="T108" s="653">
        <f t="shared" si="32"/>
        <v>0</v>
      </c>
      <c r="U108" s="653">
        <f t="shared" si="47"/>
        <v>0</v>
      </c>
      <c r="V108" s="653">
        <f t="shared" si="33"/>
        <v>2.3759999999999999</v>
      </c>
      <c r="AA108" s="657" t="str">
        <f>IF(AB108=0,"","FA.SEG02-"&amp;COUNTIF(AB$6:$AB108,1))</f>
        <v/>
      </c>
      <c r="AB108" s="658">
        <f t="shared" si="34"/>
        <v>0</v>
      </c>
      <c r="AC108" s="657" t="str">
        <f>IF(AD108=0,"","FA.SEG02-"&amp;COUNTIF(AD$6:$AD108,1))</f>
        <v/>
      </c>
      <c r="AD108" s="658">
        <f t="shared" si="35"/>
        <v>0</v>
      </c>
      <c r="AE108" s="660">
        <f t="shared" si="36"/>
        <v>0</v>
      </c>
      <c r="AF108" s="661">
        <f t="shared" si="24"/>
        <v>0</v>
      </c>
      <c r="AG108" s="662">
        <f t="shared" si="37"/>
        <v>0</v>
      </c>
      <c r="AI108" s="657" t="str">
        <f>IF(AJ108=0,"","FAA.RET02-"&amp;COUNTIF($AJ$6:AJ108,1))</f>
        <v/>
      </c>
      <c r="AJ108" s="658">
        <f t="shared" si="38"/>
        <v>0</v>
      </c>
      <c r="AK108" s="657" t="str">
        <f>IF(AL107=0,"","FAA.RET02-"&amp;COUNTIF(AL$6:$AL108,1))</f>
        <v/>
      </c>
      <c r="AL108" s="658">
        <f t="shared" si="39"/>
        <v>0</v>
      </c>
      <c r="AM108" s="660">
        <f t="shared" si="40"/>
        <v>0</v>
      </c>
      <c r="AN108" s="661">
        <f t="shared" si="25"/>
        <v>0</v>
      </c>
      <c r="AO108" s="662">
        <f t="shared" si="41"/>
        <v>0</v>
      </c>
      <c r="AQ108" s="663">
        <f t="shared" si="26"/>
        <v>3.8000000000000256E-2</v>
      </c>
      <c r="AR108" s="663">
        <f t="shared" si="27"/>
        <v>5.95</v>
      </c>
      <c r="AS108" s="663">
        <f t="shared" si="28"/>
        <v>5.93</v>
      </c>
      <c r="AT108" s="663">
        <f t="shared" si="29"/>
        <v>0.11800000000000033</v>
      </c>
      <c r="AV108" s="708">
        <v>96</v>
      </c>
      <c r="AW108" s="709">
        <v>2.5</v>
      </c>
      <c r="AX108" s="709">
        <v>5</v>
      </c>
      <c r="AY108" s="709">
        <v>40</v>
      </c>
      <c r="AZ108" s="664">
        <v>18.478999999999999</v>
      </c>
      <c r="BA108" s="686">
        <f t="shared" si="42"/>
        <v>5.9880000000000004</v>
      </c>
      <c r="BB108" s="686">
        <f t="shared" si="43"/>
        <v>26.512</v>
      </c>
      <c r="BC108" s="665"/>
      <c r="BD108" s="666">
        <f t="shared" si="44"/>
        <v>6.048</v>
      </c>
      <c r="BE108" s="666">
        <f t="shared" si="45"/>
        <v>26.451999999999998</v>
      </c>
    </row>
    <row r="109" spans="1:57" ht="13.15" customHeight="1">
      <c r="A109" s="645">
        <v>6.0590000000000002</v>
      </c>
      <c r="B109" s="645">
        <v>5.95</v>
      </c>
      <c r="C109" s="646" t="s">
        <v>755</v>
      </c>
      <c r="D109" s="646" t="s">
        <v>605</v>
      </c>
      <c r="E109" s="646">
        <v>0</v>
      </c>
      <c r="F109" s="647" t="s">
        <v>756</v>
      </c>
      <c r="G109" s="648">
        <v>793.45799999999997</v>
      </c>
      <c r="H109" s="648">
        <v>793.66200000000003</v>
      </c>
      <c r="I109" s="649">
        <v>-0.20400000000006457</v>
      </c>
      <c r="J109" s="645">
        <v>5.93</v>
      </c>
      <c r="K109" s="645">
        <v>6.0789999999999997</v>
      </c>
      <c r="L109" s="650"/>
      <c r="M109" s="651"/>
      <c r="N109" s="652">
        <v>0.1</v>
      </c>
      <c r="O109" s="652">
        <v>9.0534044925801634E-4</v>
      </c>
      <c r="P109" s="652" t="s">
        <v>607</v>
      </c>
      <c r="Q109" s="653">
        <f t="shared" si="30"/>
        <v>3.976</v>
      </c>
      <c r="R109" s="654">
        <f t="shared" si="31"/>
        <v>1</v>
      </c>
      <c r="S109" s="655">
        <f t="shared" si="46"/>
        <v>2.3759999999999999</v>
      </c>
      <c r="T109" s="653">
        <f t="shared" si="32"/>
        <v>0</v>
      </c>
      <c r="U109" s="653">
        <f t="shared" si="47"/>
        <v>0</v>
      </c>
      <c r="V109" s="653">
        <f t="shared" si="33"/>
        <v>2.3759999999999999</v>
      </c>
      <c r="AA109" s="657" t="str">
        <f>IF(AB109=0,"","FA.SEG02-"&amp;COUNTIF(AB$6:$AB109,1))</f>
        <v/>
      </c>
      <c r="AB109" s="658">
        <f t="shared" si="34"/>
        <v>0</v>
      </c>
      <c r="AC109" s="657" t="str">
        <f>IF(AD109=0,"","FA.SEG02-"&amp;COUNTIF(AD$6:$AD109,1))</f>
        <v/>
      </c>
      <c r="AD109" s="658">
        <f t="shared" si="35"/>
        <v>0</v>
      </c>
      <c r="AE109" s="660">
        <f t="shared" si="36"/>
        <v>0</v>
      </c>
      <c r="AF109" s="661">
        <f t="shared" si="24"/>
        <v>0</v>
      </c>
      <c r="AG109" s="662">
        <f t="shared" si="37"/>
        <v>0</v>
      </c>
      <c r="AI109" s="657" t="str">
        <f>IF(AJ109=0,"","FAA.RET02-"&amp;COUNTIF($AJ$6:AJ109,1))</f>
        <v/>
      </c>
      <c r="AJ109" s="658">
        <f t="shared" si="38"/>
        <v>0</v>
      </c>
      <c r="AK109" s="657" t="str">
        <f>IF(AL108=0,"","FAA.RET02-"&amp;COUNTIF(AL$6:$AL109,1))</f>
        <v/>
      </c>
      <c r="AL109" s="658">
        <f t="shared" si="39"/>
        <v>0</v>
      </c>
      <c r="AM109" s="660">
        <f t="shared" si="40"/>
        <v>0</v>
      </c>
      <c r="AN109" s="661">
        <f t="shared" si="25"/>
        <v>0</v>
      </c>
      <c r="AO109" s="662">
        <f t="shared" si="41"/>
        <v>0</v>
      </c>
      <c r="AQ109" s="663">
        <f t="shared" si="26"/>
        <v>0.10899999999999999</v>
      </c>
      <c r="AR109" s="663">
        <f t="shared" si="27"/>
        <v>5.95</v>
      </c>
      <c r="AS109" s="663">
        <f t="shared" si="28"/>
        <v>5.93</v>
      </c>
      <c r="AT109" s="663">
        <f t="shared" si="29"/>
        <v>0.14900000000000002</v>
      </c>
      <c r="AV109" s="708">
        <v>97</v>
      </c>
      <c r="AW109" s="709">
        <v>2.5</v>
      </c>
      <c r="AX109" s="709">
        <v>5</v>
      </c>
      <c r="AY109" s="709">
        <v>40</v>
      </c>
      <c r="AZ109" s="664">
        <v>18.783000000000001</v>
      </c>
      <c r="BA109" s="686">
        <f t="shared" si="42"/>
        <v>6.0590000000000002</v>
      </c>
      <c r="BB109" s="686">
        <f t="shared" si="43"/>
        <v>26.440999999999999</v>
      </c>
      <c r="BC109" s="665"/>
      <c r="BD109" s="666">
        <f t="shared" si="44"/>
        <v>6.0789999999999997</v>
      </c>
      <c r="BE109" s="666">
        <f t="shared" si="45"/>
        <v>26.420999999999999</v>
      </c>
    </row>
    <row r="110" spans="1:57" ht="13.15" customHeight="1">
      <c r="A110" s="645">
        <v>6.2050000000000001</v>
      </c>
      <c r="B110" s="645">
        <v>5.95</v>
      </c>
      <c r="C110" s="646" t="s">
        <v>755</v>
      </c>
      <c r="D110" s="646" t="s">
        <v>605</v>
      </c>
      <c r="E110" s="646">
        <v>10</v>
      </c>
      <c r="F110" s="647" t="s">
        <v>757</v>
      </c>
      <c r="G110" s="648">
        <v>793.73699999999997</v>
      </c>
      <c r="H110" s="648">
        <v>793.95699999999999</v>
      </c>
      <c r="I110" s="649">
        <v>-0.22000000000002728</v>
      </c>
      <c r="J110" s="645">
        <v>5.93</v>
      </c>
      <c r="K110" s="645">
        <v>6.0289999999999999</v>
      </c>
      <c r="L110" s="650"/>
      <c r="M110" s="651"/>
      <c r="N110" s="652">
        <v>0.1</v>
      </c>
      <c r="O110" s="652">
        <v>9.0534044925801634E-4</v>
      </c>
      <c r="P110" s="652" t="s">
        <v>607</v>
      </c>
      <c r="Q110" s="653">
        <f t="shared" si="30"/>
        <v>3.976</v>
      </c>
      <c r="R110" s="654">
        <f t="shared" si="31"/>
        <v>1</v>
      </c>
      <c r="S110" s="655">
        <f t="shared" si="46"/>
        <v>2.3759999999999999</v>
      </c>
      <c r="T110" s="653">
        <f t="shared" si="32"/>
        <v>0</v>
      </c>
      <c r="U110" s="653">
        <f t="shared" si="47"/>
        <v>0</v>
      </c>
      <c r="V110" s="653">
        <f t="shared" si="33"/>
        <v>2.3759999999999999</v>
      </c>
      <c r="AA110" s="657" t="str">
        <f>IF(AB110=0,"","FA.SEG02-"&amp;COUNTIF(AB$6:$AB110,1))</f>
        <v/>
      </c>
      <c r="AB110" s="658">
        <f t="shared" si="34"/>
        <v>0</v>
      </c>
      <c r="AC110" s="657" t="str">
        <f>IF(AD110=0,"","FA.SEG02-"&amp;COUNTIF(AD$6:$AD110,1))</f>
        <v/>
      </c>
      <c r="AD110" s="658">
        <f t="shared" si="35"/>
        <v>0</v>
      </c>
      <c r="AE110" s="660">
        <f t="shared" si="36"/>
        <v>0</v>
      </c>
      <c r="AF110" s="661">
        <f t="shared" si="24"/>
        <v>0</v>
      </c>
      <c r="AG110" s="662">
        <f t="shared" si="37"/>
        <v>0</v>
      </c>
      <c r="AI110" s="657" t="str">
        <f>IF(AJ110=0,"","FAA.RET02-"&amp;COUNTIF($AJ$6:AJ110,1))</f>
        <v/>
      </c>
      <c r="AJ110" s="658">
        <f t="shared" si="38"/>
        <v>0</v>
      </c>
      <c r="AK110" s="657" t="str">
        <f>IF(AL109=0,"","FAA.RET02-"&amp;COUNTIF(AL$6:$AL110,1))</f>
        <v/>
      </c>
      <c r="AL110" s="658">
        <f t="shared" si="39"/>
        <v>0</v>
      </c>
      <c r="AM110" s="660">
        <f t="shared" si="40"/>
        <v>0</v>
      </c>
      <c r="AN110" s="661">
        <f t="shared" si="25"/>
        <v>0</v>
      </c>
      <c r="AO110" s="662">
        <f t="shared" si="41"/>
        <v>0</v>
      </c>
      <c r="AQ110" s="663">
        <f t="shared" si="26"/>
        <v>0.25499999999999989</v>
      </c>
      <c r="AR110" s="663">
        <f t="shared" si="27"/>
        <v>5.95</v>
      </c>
      <c r="AS110" s="663">
        <f t="shared" si="28"/>
        <v>5.93</v>
      </c>
      <c r="AT110" s="663">
        <f t="shared" si="29"/>
        <v>9.9000000000000199E-2</v>
      </c>
      <c r="AV110" s="708">
        <v>98</v>
      </c>
      <c r="AW110" s="709">
        <v>2.5</v>
      </c>
      <c r="AX110" s="709">
        <v>5</v>
      </c>
      <c r="AY110" s="709">
        <v>40</v>
      </c>
      <c r="AZ110" s="664">
        <v>18.417999999999999</v>
      </c>
      <c r="BA110" s="686">
        <f t="shared" si="42"/>
        <v>6.2050000000000001</v>
      </c>
      <c r="BB110" s="686">
        <f t="shared" si="43"/>
        <v>26.295000000000002</v>
      </c>
      <c r="BC110" s="665"/>
      <c r="BD110" s="666">
        <f t="shared" si="44"/>
        <v>6.0289999999999999</v>
      </c>
      <c r="BE110" s="666">
        <f t="shared" si="45"/>
        <v>26.471</v>
      </c>
    </row>
    <row r="111" spans="1:57" ht="13.15" customHeight="1">
      <c r="A111" s="645">
        <v>6.0810000000000004</v>
      </c>
      <c r="B111" s="645">
        <v>5.95</v>
      </c>
      <c r="C111" s="646" t="s">
        <v>758</v>
      </c>
      <c r="D111" s="646" t="s">
        <v>605</v>
      </c>
      <c r="E111" s="646">
        <v>0</v>
      </c>
      <c r="F111" s="647" t="s">
        <v>759</v>
      </c>
      <c r="G111" s="648">
        <v>794.03800000000001</v>
      </c>
      <c r="H111" s="648">
        <v>794.12300000000005</v>
      </c>
      <c r="I111" s="649">
        <v>-8.500000000003638E-2</v>
      </c>
      <c r="J111" s="645">
        <v>5.93</v>
      </c>
      <c r="K111" s="645">
        <v>5.9560000000000004</v>
      </c>
      <c r="L111" s="650"/>
      <c r="M111" s="651"/>
      <c r="N111" s="652">
        <v>0.1</v>
      </c>
      <c r="O111" s="652">
        <v>9.0534044925801634E-4</v>
      </c>
      <c r="P111" s="652" t="s">
        <v>607</v>
      </c>
      <c r="Q111" s="653">
        <f t="shared" si="30"/>
        <v>3.976</v>
      </c>
      <c r="R111" s="654">
        <f t="shared" si="31"/>
        <v>1</v>
      </c>
      <c r="S111" s="655">
        <f t="shared" si="46"/>
        <v>2.3759999999999999</v>
      </c>
      <c r="T111" s="653">
        <f t="shared" si="32"/>
        <v>0</v>
      </c>
      <c r="U111" s="653">
        <f t="shared" si="47"/>
        <v>0</v>
      </c>
      <c r="V111" s="653">
        <f t="shared" si="33"/>
        <v>2.3759999999999999</v>
      </c>
      <c r="AA111" s="657" t="str">
        <f>IF(AB111=0,"","FA.SEG02-"&amp;COUNTIF(AB$6:$AB111,1))</f>
        <v/>
      </c>
      <c r="AB111" s="658">
        <f t="shared" si="34"/>
        <v>0</v>
      </c>
      <c r="AC111" s="657" t="str">
        <f>IF(AD111=0,"","FA.SEG02-"&amp;COUNTIF(AD$6:$AD111,1))</f>
        <v/>
      </c>
      <c r="AD111" s="658">
        <f t="shared" si="35"/>
        <v>0</v>
      </c>
      <c r="AE111" s="660">
        <f t="shared" si="36"/>
        <v>0</v>
      </c>
      <c r="AF111" s="661">
        <f t="shared" si="24"/>
        <v>0</v>
      </c>
      <c r="AG111" s="662">
        <f t="shared" si="37"/>
        <v>0</v>
      </c>
      <c r="AI111" s="657" t="str">
        <f>IF(AJ111=0,"","FAA.RET02-"&amp;COUNTIF($AJ$6:AJ111,1))</f>
        <v/>
      </c>
      <c r="AJ111" s="658">
        <f t="shared" si="38"/>
        <v>0</v>
      </c>
      <c r="AK111" s="657" t="str">
        <f>IF(AL110=0,"","FAA.RET02-"&amp;COUNTIF(AL$6:$AL111,1))</f>
        <v/>
      </c>
      <c r="AL111" s="658">
        <f t="shared" si="39"/>
        <v>0</v>
      </c>
      <c r="AM111" s="660">
        <f t="shared" si="40"/>
        <v>0</v>
      </c>
      <c r="AN111" s="661">
        <f t="shared" si="25"/>
        <v>0</v>
      </c>
      <c r="AO111" s="662">
        <f t="shared" si="41"/>
        <v>0</v>
      </c>
      <c r="AQ111" s="663">
        <f t="shared" si="26"/>
        <v>0.13100000000000023</v>
      </c>
      <c r="AR111" s="663">
        <f t="shared" si="27"/>
        <v>5.95</v>
      </c>
      <c r="AS111" s="663">
        <f t="shared" si="28"/>
        <v>5.93</v>
      </c>
      <c r="AT111" s="663">
        <f t="shared" si="29"/>
        <v>2.6000000000000689E-2</v>
      </c>
      <c r="AV111" s="708">
        <v>99</v>
      </c>
      <c r="AW111" s="709">
        <v>2.5</v>
      </c>
      <c r="AX111" s="709">
        <v>5</v>
      </c>
      <c r="AY111" s="709">
        <v>40</v>
      </c>
      <c r="AZ111" s="664">
        <v>18.759999999999998</v>
      </c>
      <c r="BA111" s="686">
        <f t="shared" si="42"/>
        <v>6.0810000000000004</v>
      </c>
      <c r="BB111" s="686">
        <f t="shared" si="43"/>
        <v>26.419</v>
      </c>
      <c r="BC111" s="665"/>
      <c r="BD111" s="666">
        <f t="shared" si="44"/>
        <v>5.9560000000000004</v>
      </c>
      <c r="BE111" s="666">
        <f t="shared" si="45"/>
        <v>26.544</v>
      </c>
    </row>
    <row r="112" spans="1:57" ht="13.15" customHeight="1">
      <c r="A112" s="645">
        <v>5.9790000000000001</v>
      </c>
      <c r="B112" s="645">
        <v>5.95</v>
      </c>
      <c r="C112" s="646" t="s">
        <v>758</v>
      </c>
      <c r="D112" s="646" t="s">
        <v>605</v>
      </c>
      <c r="E112" s="646">
        <v>10</v>
      </c>
      <c r="F112" s="647" t="s">
        <v>760</v>
      </c>
      <c r="G112" s="648">
        <v>794.36099999999999</v>
      </c>
      <c r="H112" s="648">
        <v>794.4</v>
      </c>
      <c r="I112" s="649">
        <v>-3.8999999999987267E-2</v>
      </c>
      <c r="J112" s="645">
        <v>5.931</v>
      </c>
      <c r="K112" s="645">
        <v>6.0880000000000001</v>
      </c>
      <c r="L112" s="650"/>
      <c r="M112" s="651"/>
      <c r="N112" s="652">
        <v>0.1</v>
      </c>
      <c r="O112" s="652">
        <v>9.0534044925801634E-4</v>
      </c>
      <c r="P112" s="652" t="s">
        <v>607</v>
      </c>
      <c r="Q112" s="653">
        <f t="shared" si="30"/>
        <v>3.976</v>
      </c>
      <c r="R112" s="654">
        <f t="shared" si="31"/>
        <v>1</v>
      </c>
      <c r="S112" s="655">
        <f t="shared" si="46"/>
        <v>2.3762000000000003</v>
      </c>
      <c r="T112" s="653">
        <f t="shared" si="32"/>
        <v>0</v>
      </c>
      <c r="U112" s="653">
        <f t="shared" si="47"/>
        <v>0</v>
      </c>
      <c r="V112" s="653">
        <f t="shared" si="33"/>
        <v>2.3762000000000003</v>
      </c>
      <c r="AA112" s="657" t="str">
        <f>IF(AB112=0,"","FA.SEG02-"&amp;COUNTIF(AB$6:$AB112,1))</f>
        <v/>
      </c>
      <c r="AB112" s="658">
        <f t="shared" si="34"/>
        <v>0</v>
      </c>
      <c r="AC112" s="657" t="str">
        <f>IF(AD112=0,"","FA.SEG02-"&amp;COUNTIF(AD$6:$AD112,1))</f>
        <v/>
      </c>
      <c r="AD112" s="658">
        <f t="shared" si="35"/>
        <v>0</v>
      </c>
      <c r="AE112" s="660">
        <f t="shared" si="36"/>
        <v>0</v>
      </c>
      <c r="AF112" s="661">
        <f t="shared" si="24"/>
        <v>0</v>
      </c>
      <c r="AG112" s="662">
        <f t="shared" si="37"/>
        <v>0</v>
      </c>
      <c r="AI112" s="657" t="str">
        <f>IF(AJ112=0,"","FAA.RET02-"&amp;COUNTIF($AJ$6:AJ112,1))</f>
        <v/>
      </c>
      <c r="AJ112" s="658">
        <f t="shared" si="38"/>
        <v>0</v>
      </c>
      <c r="AK112" s="657" t="str">
        <f>IF(AL111=0,"","FAA.RET02-"&amp;COUNTIF(AL$6:$AL112,1))</f>
        <v/>
      </c>
      <c r="AL112" s="658">
        <f t="shared" si="39"/>
        <v>0</v>
      </c>
      <c r="AM112" s="660">
        <f t="shared" si="40"/>
        <v>0</v>
      </c>
      <c r="AN112" s="661">
        <f t="shared" si="25"/>
        <v>0</v>
      </c>
      <c r="AO112" s="662">
        <f t="shared" si="41"/>
        <v>0</v>
      </c>
      <c r="AQ112" s="663">
        <f t="shared" si="26"/>
        <v>2.8999999999999915E-2</v>
      </c>
      <c r="AR112" s="663">
        <f t="shared" si="27"/>
        <v>5.95</v>
      </c>
      <c r="AS112" s="663">
        <f t="shared" si="28"/>
        <v>5.931</v>
      </c>
      <c r="AT112" s="663">
        <f t="shared" si="29"/>
        <v>0.15700000000000003</v>
      </c>
      <c r="AV112" s="708">
        <v>100</v>
      </c>
      <c r="AW112" s="709">
        <v>2.5</v>
      </c>
      <c r="AX112" s="709">
        <v>5</v>
      </c>
      <c r="AY112" s="709">
        <v>40</v>
      </c>
      <c r="AZ112" s="664">
        <v>19.085999999999999</v>
      </c>
      <c r="BA112" s="686">
        <f t="shared" si="42"/>
        <v>5.9790000000000001</v>
      </c>
      <c r="BB112" s="686">
        <f t="shared" si="43"/>
        <v>26.521000000000001</v>
      </c>
      <c r="BC112" s="665"/>
      <c r="BD112" s="666">
        <f t="shared" si="44"/>
        <v>6.0880000000000001</v>
      </c>
      <c r="BE112" s="666">
        <f t="shared" si="45"/>
        <v>26.411999999999999</v>
      </c>
    </row>
    <row r="113" spans="1:57" ht="13.15" customHeight="1">
      <c r="A113" s="645">
        <v>5.9850000000000003</v>
      </c>
      <c r="B113" s="645">
        <v>5.95</v>
      </c>
      <c r="C113" s="646" t="s">
        <v>761</v>
      </c>
      <c r="D113" s="646" t="s">
        <v>605</v>
      </c>
      <c r="E113" s="646">
        <v>0</v>
      </c>
      <c r="F113" s="647" t="s">
        <v>762</v>
      </c>
      <c r="G113" s="648">
        <v>794.70500000000004</v>
      </c>
      <c r="H113" s="648">
        <v>794.68499999999995</v>
      </c>
      <c r="I113" s="649">
        <v>2.0000000000095497E-2</v>
      </c>
      <c r="J113" s="645">
        <v>5.931</v>
      </c>
      <c r="K113" s="645">
        <v>6.0869999999999997</v>
      </c>
      <c r="L113" s="650"/>
      <c r="M113" s="651"/>
      <c r="N113" s="652">
        <v>0.1</v>
      </c>
      <c r="O113" s="652">
        <v>9.0534044925801634E-4</v>
      </c>
      <c r="P113" s="652" t="s">
        <v>607</v>
      </c>
      <c r="Q113" s="653">
        <f t="shared" si="30"/>
        <v>3.976</v>
      </c>
      <c r="R113" s="654">
        <f t="shared" si="31"/>
        <v>2</v>
      </c>
      <c r="S113" s="655">
        <f t="shared" si="46"/>
        <v>2.4144000000000001</v>
      </c>
      <c r="T113" s="653">
        <f t="shared" si="32"/>
        <v>2.56</v>
      </c>
      <c r="U113" s="653">
        <f t="shared" si="47"/>
        <v>7.67</v>
      </c>
      <c r="V113" s="653">
        <f t="shared" si="33"/>
        <v>0</v>
      </c>
      <c r="AA113" s="657" t="str">
        <f>IF(AB113=0,"","FA.SEG02-"&amp;COUNTIF(AB$6:$AB113,1))</f>
        <v>FA.SEG02-13</v>
      </c>
      <c r="AB113" s="658">
        <f t="shared" si="34"/>
        <v>1</v>
      </c>
      <c r="AC113" s="657" t="str">
        <f>IF(AD113=0,"","FA.SEG02-"&amp;COUNTIF(AD$6:$AD113,1))</f>
        <v/>
      </c>
      <c r="AD113" s="658">
        <f t="shared" si="35"/>
        <v>0</v>
      </c>
      <c r="AE113" s="660">
        <f t="shared" si="36"/>
        <v>23.95</v>
      </c>
      <c r="AF113" s="661">
        <f t="shared" si="24"/>
        <v>1</v>
      </c>
      <c r="AG113" s="662">
        <f t="shared" si="37"/>
        <v>23.95</v>
      </c>
      <c r="AI113" s="657" t="str">
        <f>IF(AJ113=0,"","FAA.RET02-"&amp;COUNTIF($AJ$6:AJ113,1))</f>
        <v/>
      </c>
      <c r="AJ113" s="658">
        <f t="shared" si="38"/>
        <v>0</v>
      </c>
      <c r="AK113" s="657" t="str">
        <f>IF(AL112=0,"","FAA.RET02-"&amp;COUNTIF(AL$6:$AL113,1))</f>
        <v/>
      </c>
      <c r="AL113" s="658">
        <f t="shared" si="39"/>
        <v>0</v>
      </c>
      <c r="AM113" s="660">
        <f t="shared" si="40"/>
        <v>0</v>
      </c>
      <c r="AN113" s="661">
        <f t="shared" si="25"/>
        <v>0</v>
      </c>
      <c r="AO113" s="662">
        <f t="shared" si="41"/>
        <v>0</v>
      </c>
      <c r="AQ113" s="663">
        <f t="shared" si="26"/>
        <v>3.5000000000000142E-2</v>
      </c>
      <c r="AR113" s="663">
        <f t="shared" si="27"/>
        <v>5.95</v>
      </c>
      <c r="AS113" s="663">
        <f t="shared" si="28"/>
        <v>5.931</v>
      </c>
      <c r="AT113" s="663">
        <f t="shared" si="29"/>
        <v>0.15599999999999969</v>
      </c>
      <c r="AV113" s="708">
        <v>101</v>
      </c>
      <c r="AW113" s="709">
        <v>2.5</v>
      </c>
      <c r="AX113" s="709">
        <v>5</v>
      </c>
      <c r="AY113" s="709">
        <v>40</v>
      </c>
      <c r="AZ113" s="664">
        <v>19.274999999999999</v>
      </c>
      <c r="BA113" s="686">
        <f t="shared" si="42"/>
        <v>5.9850000000000003</v>
      </c>
      <c r="BB113" s="686">
        <f t="shared" si="43"/>
        <v>26.515000000000001</v>
      </c>
      <c r="BC113" s="665"/>
      <c r="BD113" s="666">
        <f t="shared" si="44"/>
        <v>6.0869999999999997</v>
      </c>
      <c r="BE113" s="666">
        <f t="shared" si="45"/>
        <v>26.413</v>
      </c>
    </row>
    <row r="114" spans="1:57" ht="13.15" customHeight="1">
      <c r="A114" s="645">
        <v>6</v>
      </c>
      <c r="B114" s="645">
        <v>5.95</v>
      </c>
      <c r="C114" s="646" t="s">
        <v>761</v>
      </c>
      <c r="D114" s="646" t="s">
        <v>605</v>
      </c>
      <c r="E114" s="646">
        <v>10</v>
      </c>
      <c r="F114" s="647" t="s">
        <v>763</v>
      </c>
      <c r="G114" s="648">
        <v>795.072</v>
      </c>
      <c r="H114" s="648">
        <v>795.07</v>
      </c>
      <c r="I114" s="649">
        <v>1.9999999999527063E-3</v>
      </c>
      <c r="J114" s="645">
        <v>5.931</v>
      </c>
      <c r="K114" s="645">
        <v>6.0620000000000003</v>
      </c>
      <c r="L114" s="650"/>
      <c r="M114" s="651"/>
      <c r="N114" s="652">
        <v>0.1</v>
      </c>
      <c r="O114" s="652">
        <v>9.0534044925801634E-4</v>
      </c>
      <c r="P114" s="652" t="s">
        <v>607</v>
      </c>
      <c r="Q114" s="653">
        <f t="shared" si="30"/>
        <v>3.976</v>
      </c>
      <c r="R114" s="654">
        <f t="shared" si="31"/>
        <v>2</v>
      </c>
      <c r="S114" s="655">
        <f t="shared" si="46"/>
        <v>2.4124000000000003</v>
      </c>
      <c r="T114" s="653">
        <f t="shared" si="32"/>
        <v>2.56</v>
      </c>
      <c r="U114" s="653">
        <f t="shared" si="47"/>
        <v>7.67</v>
      </c>
      <c r="V114" s="653">
        <f t="shared" si="33"/>
        <v>0</v>
      </c>
      <c r="AA114" s="657" t="str">
        <f>IF(AB114=0,"","FA.SEG02-"&amp;COUNTIF(AB$6:$AB114,1))</f>
        <v/>
      </c>
      <c r="AB114" s="658">
        <f t="shared" si="34"/>
        <v>0</v>
      </c>
      <c r="AC114" s="657" t="str">
        <f>IF(AD114=0,"","FA.SEG02-"&amp;COUNTIF(AD$6:$AD114,1))</f>
        <v/>
      </c>
      <c r="AD114" s="658">
        <f t="shared" si="35"/>
        <v>0</v>
      </c>
      <c r="AE114" s="660">
        <f t="shared" si="36"/>
        <v>24.13</v>
      </c>
      <c r="AF114" s="661">
        <f t="shared" si="24"/>
        <v>1</v>
      </c>
      <c r="AG114" s="662">
        <f t="shared" si="37"/>
        <v>48.08</v>
      </c>
      <c r="AI114" s="657" t="str">
        <f>IF(AJ114=0,"","FAA.RET02-"&amp;COUNTIF($AJ$6:AJ114,1))</f>
        <v/>
      </c>
      <c r="AJ114" s="658">
        <f t="shared" si="38"/>
        <v>0</v>
      </c>
      <c r="AK114" s="657" t="str">
        <f>IF(AL113=0,"","FAA.RET02-"&amp;COUNTIF(AL$6:$AL114,1))</f>
        <v/>
      </c>
      <c r="AL114" s="658">
        <f t="shared" si="39"/>
        <v>0</v>
      </c>
      <c r="AM114" s="660">
        <f t="shared" si="40"/>
        <v>0</v>
      </c>
      <c r="AN114" s="661">
        <f t="shared" si="25"/>
        <v>0</v>
      </c>
      <c r="AO114" s="662">
        <f t="shared" si="41"/>
        <v>0</v>
      </c>
      <c r="AQ114" s="663">
        <f t="shared" si="26"/>
        <v>4.9999999999999822E-2</v>
      </c>
      <c r="AR114" s="663">
        <f t="shared" si="27"/>
        <v>5.95</v>
      </c>
      <c r="AS114" s="663">
        <f t="shared" si="28"/>
        <v>5.931</v>
      </c>
      <c r="AT114" s="663">
        <f t="shared" si="29"/>
        <v>0.13100000000000023</v>
      </c>
      <c r="AV114" s="708">
        <v>102</v>
      </c>
      <c r="AW114" s="709">
        <v>2.5</v>
      </c>
      <c r="AX114" s="709">
        <v>5</v>
      </c>
      <c r="AY114" s="709">
        <v>40</v>
      </c>
      <c r="AZ114" s="664">
        <v>19.198999999999998</v>
      </c>
      <c r="BA114" s="686">
        <f t="shared" si="42"/>
        <v>6</v>
      </c>
      <c r="BB114" s="686">
        <f t="shared" si="43"/>
        <v>26.5</v>
      </c>
      <c r="BC114" s="665"/>
      <c r="BD114" s="666">
        <f t="shared" si="44"/>
        <v>6.0620000000000003</v>
      </c>
      <c r="BE114" s="666">
        <f t="shared" si="45"/>
        <v>26.437999999999999</v>
      </c>
    </row>
    <row r="115" spans="1:57" s="710" customFormat="1" ht="13.15" customHeight="1">
      <c r="A115" s="645">
        <v>6</v>
      </c>
      <c r="B115" s="645">
        <v>5.95</v>
      </c>
      <c r="C115" s="646" t="s">
        <v>761</v>
      </c>
      <c r="D115" s="646" t="s">
        <v>605</v>
      </c>
      <c r="E115" s="646">
        <v>12.124000000000001</v>
      </c>
      <c r="F115" s="647" t="s">
        <v>764</v>
      </c>
      <c r="G115" s="648">
        <v>795.15300000000002</v>
      </c>
      <c r="H115" s="648">
        <v>795.14099999999996</v>
      </c>
      <c r="I115" s="649">
        <v>1.2000000000057298E-2</v>
      </c>
      <c r="J115" s="645">
        <v>5.931</v>
      </c>
      <c r="K115" s="645">
        <v>6.0620000000000003</v>
      </c>
      <c r="L115" s="650"/>
      <c r="M115" s="651"/>
      <c r="N115" s="652">
        <v>0.1</v>
      </c>
      <c r="O115" s="652">
        <v>9.0534044925801634E-4</v>
      </c>
      <c r="P115" s="652" t="s">
        <v>765</v>
      </c>
      <c r="Q115" s="653">
        <f t="shared" si="30"/>
        <v>3.976</v>
      </c>
      <c r="R115" s="654">
        <f t="shared" si="31"/>
        <v>2</v>
      </c>
      <c r="S115" s="655">
        <f t="shared" si="46"/>
        <v>2.4124000000000003</v>
      </c>
      <c r="T115" s="653">
        <f t="shared" si="32"/>
        <v>2.56</v>
      </c>
      <c r="U115" s="653">
        <f t="shared" si="47"/>
        <v>7.67</v>
      </c>
      <c r="V115" s="653">
        <f t="shared" si="33"/>
        <v>0</v>
      </c>
      <c r="W115" s="624"/>
      <c r="X115" s="624"/>
      <c r="Y115" s="624"/>
      <c r="Z115" s="624"/>
      <c r="AA115" s="657" t="str">
        <f>IF(AB115=0,"","FA.SEG02-"&amp;COUNTIF(AB$6:$AB115,1))</f>
        <v/>
      </c>
      <c r="AB115" s="658">
        <f t="shared" si="34"/>
        <v>0</v>
      </c>
      <c r="AC115" s="657" t="str">
        <f>IF(AD115=0,"","FA.SEG02-"&amp;COUNTIF(AD$6:$AD115,1))</f>
        <v>FA.SEG02-13</v>
      </c>
      <c r="AD115" s="658">
        <f t="shared" si="35"/>
        <v>1</v>
      </c>
      <c r="AE115" s="660">
        <f t="shared" si="36"/>
        <v>5.12</v>
      </c>
      <c r="AF115" s="661">
        <f t="shared" si="24"/>
        <v>1</v>
      </c>
      <c r="AG115" s="662">
        <f t="shared" si="37"/>
        <v>53.199999999999996</v>
      </c>
      <c r="AH115" s="624"/>
      <c r="AI115" s="657" t="str">
        <f>IF(AJ115=0,"","FAA.RET02-"&amp;COUNTIF($AJ$6:AJ115,1))</f>
        <v/>
      </c>
      <c r="AJ115" s="658">
        <f t="shared" si="38"/>
        <v>0</v>
      </c>
      <c r="AK115" s="657" t="str">
        <f>IF(AL114=0,"","FAA.RET02-"&amp;COUNTIF(AL$6:$AL115,1))</f>
        <v/>
      </c>
      <c r="AL115" s="658">
        <f t="shared" si="39"/>
        <v>0</v>
      </c>
      <c r="AM115" s="660">
        <f t="shared" si="40"/>
        <v>0</v>
      </c>
      <c r="AN115" s="661">
        <f t="shared" si="25"/>
        <v>0</v>
      </c>
      <c r="AO115" s="662">
        <f t="shared" si="41"/>
        <v>0</v>
      </c>
      <c r="AP115" s="624"/>
      <c r="AQ115" s="663">
        <f t="shared" si="26"/>
        <v>4.9999999999999822E-2</v>
      </c>
      <c r="AR115" s="663">
        <f t="shared" si="27"/>
        <v>5.95</v>
      </c>
      <c r="AS115" s="663">
        <f t="shared" si="28"/>
        <v>5.931</v>
      </c>
      <c r="AT115" s="663">
        <f t="shared" si="29"/>
        <v>0.13100000000000023</v>
      </c>
      <c r="AU115" s="624"/>
      <c r="AV115" s="708">
        <v>102</v>
      </c>
      <c r="AW115" s="709">
        <v>2.5</v>
      </c>
      <c r="AX115" s="709">
        <v>5</v>
      </c>
      <c r="AY115" s="709">
        <v>40</v>
      </c>
      <c r="AZ115" s="664">
        <v>19.198999999999998</v>
      </c>
      <c r="BA115" s="686">
        <f t="shared" si="42"/>
        <v>6</v>
      </c>
      <c r="BB115" s="686">
        <f t="shared" si="43"/>
        <v>26.5</v>
      </c>
      <c r="BC115" s="665"/>
      <c r="BD115" s="666">
        <f t="shared" si="44"/>
        <v>6.0620000000000003</v>
      </c>
      <c r="BE115" s="666">
        <f t="shared" si="45"/>
        <v>26.437999999999999</v>
      </c>
    </row>
    <row r="116" spans="1:57" s="715" customFormat="1">
      <c r="A116" s="711"/>
      <c r="B116" s="711"/>
      <c r="C116" s="711"/>
      <c r="D116" s="711"/>
      <c r="E116" s="711"/>
      <c r="F116" s="711"/>
      <c r="G116" s="711"/>
      <c r="H116" s="711"/>
      <c r="I116" s="711"/>
      <c r="J116" s="711"/>
      <c r="K116" s="711"/>
      <c r="L116" s="712"/>
      <c r="M116" s="712"/>
      <c r="N116" s="713"/>
      <c r="O116" s="713"/>
      <c r="P116" s="713"/>
      <c r="Q116" s="714"/>
    </row>
  </sheetData>
  <mergeCells count="26">
    <mergeCell ref="A1:K1"/>
    <mergeCell ref="L1:L5"/>
    <mergeCell ref="N1:N4"/>
    <mergeCell ref="O1:O4"/>
    <mergeCell ref="P1:P5"/>
    <mergeCell ref="A2:B2"/>
    <mergeCell ref="F2:I2"/>
    <mergeCell ref="J2:K2"/>
    <mergeCell ref="F3:F4"/>
    <mergeCell ref="A5:K5"/>
    <mergeCell ref="G3:G4"/>
    <mergeCell ref="H3:H4"/>
    <mergeCell ref="I3:I4"/>
    <mergeCell ref="Q1:Q5"/>
    <mergeCell ref="AV3:BE4"/>
    <mergeCell ref="R1:R5"/>
    <mergeCell ref="S1:S5"/>
    <mergeCell ref="T1:T5"/>
    <mergeCell ref="U1:U5"/>
    <mergeCell ref="V1:V5"/>
    <mergeCell ref="AQ1:AT1"/>
    <mergeCell ref="AQ2:AR2"/>
    <mergeCell ref="AS2:AT2"/>
    <mergeCell ref="AQ5:AT5"/>
    <mergeCell ref="AA3:AG4"/>
    <mergeCell ref="AI3:AO4"/>
  </mergeCells>
  <conditionalFormatting sqref="I6:I115">
    <cfRule type="cellIs" dxfId="151" priority="12" operator="lessThan">
      <formula>0</formula>
    </cfRule>
  </conditionalFormatting>
  <conditionalFormatting sqref="N6:N115">
    <cfRule type="expression" dxfId="150" priority="7">
      <formula>$N6&lt;$N$5</formula>
    </cfRule>
  </conditionalFormatting>
  <conditionalFormatting sqref="Q6:V115">
    <cfRule type="expression" dxfId="149" priority="1">
      <formula>$R6=0</formula>
    </cfRule>
    <cfRule type="expression" dxfId="148" priority="2">
      <formula>$R6="2A"</formula>
    </cfRule>
    <cfRule type="expression" dxfId="147" priority="3">
      <formula>$R6="2B"</formula>
    </cfRule>
    <cfRule type="expression" dxfId="146" priority="4">
      <formula>$R6=2</formula>
    </cfRule>
    <cfRule type="expression" dxfId="145" priority="5">
      <formula>$R6=1</formula>
    </cfRule>
  </conditionalFormatting>
  <pageMargins left="0.25" right="0.25" top="0.75" bottom="0.75" header="0.3" footer="0.3"/>
  <pageSetup paperSize="9" scale="67" fitToHeight="0"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CDD92-07DE-43B7-9388-7C798CB6A68A}">
  <sheetPr codeName="Planilha4">
    <tabColor theme="7" tint="0.79998168889431442"/>
    <pageSetUpPr fitToPage="1"/>
  </sheetPr>
  <dimension ref="A1:CR133"/>
  <sheetViews>
    <sheetView workbookViewId="0">
      <pane ySplit="4" topLeftCell="A5" activePane="bottomLeft" state="frozen"/>
      <selection activeCell="O32" sqref="O32:O33"/>
      <selection pane="bottomLeft" activeCell="O32" sqref="O32:O33"/>
    </sheetView>
  </sheetViews>
  <sheetFormatPr defaultColWidth="9.28515625" defaultRowHeight="10.5" outlineLevelRow="1" outlineLevelCol="1"/>
  <cols>
    <col min="1" max="1" width="9.28515625" style="720"/>
    <col min="2" max="2" width="2.140625" style="720" bestFit="1" customWidth="1"/>
    <col min="3" max="3" width="9.28515625" style="720"/>
    <col min="4" max="4" width="6" style="720" bestFit="1" customWidth="1"/>
    <col min="5" max="5" width="6" style="720" customWidth="1"/>
    <col min="6" max="7" width="8.28515625" style="720" bestFit="1" customWidth="1"/>
    <col min="8" max="8" width="11" style="925" bestFit="1" customWidth="1"/>
    <col min="9" max="9" width="14.28515625" style="925" customWidth="1"/>
    <col min="10" max="10" width="7.85546875" style="720" bestFit="1" customWidth="1"/>
    <col min="11" max="11" width="14.7109375" style="720" bestFit="1" customWidth="1"/>
    <col min="12" max="12" width="11.28515625" style="720" hidden="1" customWidth="1"/>
    <col min="13" max="13" width="11" style="720" bestFit="1" customWidth="1"/>
    <col min="14" max="14" width="13.28515625" style="720" bestFit="1" customWidth="1"/>
    <col min="15" max="15" width="11.28515625" style="720" bestFit="1" customWidth="1"/>
    <col min="16" max="16" width="11" style="720" bestFit="1" customWidth="1"/>
    <col min="17" max="17" width="16.42578125" style="720" bestFit="1" customWidth="1"/>
    <col min="18" max="18" width="11.28515625" style="720" hidden="1" customWidth="1"/>
    <col min="19" max="19" width="1.85546875" style="720" bestFit="1" customWidth="1"/>
    <col min="20" max="20" width="9" style="720" bestFit="1" customWidth="1"/>
    <col min="21" max="21" width="9.85546875" style="720" bestFit="1" customWidth="1"/>
    <col min="22" max="22" width="9" style="720" bestFit="1" customWidth="1"/>
    <col min="23" max="23" width="9.85546875" style="720" bestFit="1" customWidth="1"/>
    <col min="24" max="24" width="1.85546875" style="720" bestFit="1" customWidth="1"/>
    <col min="25" max="25" width="9" style="923" hidden="1" customWidth="1"/>
    <col min="26" max="26" width="9.85546875" style="923" hidden="1" customWidth="1"/>
    <col min="27" max="27" width="9" style="923" hidden="1" customWidth="1"/>
    <col min="28" max="28" width="9.85546875" style="923" hidden="1" customWidth="1"/>
    <col min="29" max="29" width="1.85546875" style="720" hidden="1" customWidth="1"/>
    <col min="30" max="30" width="11.7109375" style="720" customWidth="1" outlineLevel="1"/>
    <col min="31" max="32" width="11" style="720" customWidth="1" outlineLevel="1"/>
    <col min="33" max="33" width="12" style="720" customWidth="1" outlineLevel="1"/>
    <col min="34" max="34" width="12.5703125" style="720" customWidth="1" outlineLevel="1"/>
    <col min="35" max="35" width="9.28515625" style="720" customWidth="1" outlineLevel="1"/>
    <col min="36" max="36" width="1.85546875" style="720" bestFit="1" customWidth="1"/>
    <col min="37" max="37" width="12.5703125" style="720" bestFit="1" customWidth="1"/>
    <col min="38" max="38" width="8.42578125" style="720" bestFit="1" customWidth="1"/>
    <col min="39" max="39" width="11.5703125" style="720" bestFit="1" customWidth="1"/>
    <col min="40" max="40" width="8.42578125" style="720" bestFit="1" customWidth="1"/>
    <col min="41" max="41" width="8.5703125" style="720" bestFit="1" customWidth="1"/>
    <col min="42" max="42" width="7.85546875" style="720" bestFit="1" customWidth="1"/>
    <col min="43" max="43" width="1.85546875" style="743" hidden="1" customWidth="1"/>
    <col min="44" max="44" width="11.85546875" style="923" hidden="1" customWidth="1"/>
    <col min="45" max="45" width="8.5703125" style="923" hidden="1" customWidth="1"/>
    <col min="46" max="46" width="11.85546875" style="923" hidden="1" customWidth="1"/>
    <col min="47" max="48" width="8.5703125" style="923" hidden="1" customWidth="1"/>
    <col min="49" max="49" width="8.7109375" style="923" hidden="1" customWidth="1"/>
    <col min="50" max="50" width="1.85546875" style="743" bestFit="1" customWidth="1"/>
    <col min="51" max="51" width="9.140625" style="720" bestFit="1" customWidth="1"/>
    <col min="52" max="52" width="6.85546875" style="720" bestFit="1" customWidth="1"/>
    <col min="53" max="53" width="9.140625" style="720" bestFit="1" customWidth="1"/>
    <col min="54" max="54" width="6.85546875" style="720" bestFit="1" customWidth="1"/>
    <col min="55" max="55" width="8.5703125" style="720" bestFit="1" customWidth="1"/>
    <col min="56" max="56" width="8.7109375" style="720" bestFit="1" customWidth="1"/>
    <col min="57" max="57" width="1.85546875" style="743" bestFit="1" customWidth="1"/>
    <col min="58" max="58" width="11.140625" style="720" customWidth="1"/>
    <col min="59" max="59" width="6.85546875" style="720" customWidth="1"/>
    <col min="60" max="60" width="11.140625" style="720" customWidth="1"/>
    <col min="61" max="61" width="6.85546875" style="720" customWidth="1"/>
    <col min="62" max="62" width="8.5703125" style="720" customWidth="1"/>
    <col min="63" max="63" width="7.140625" style="720" customWidth="1"/>
    <col min="64" max="64" width="1.85546875" style="743" hidden="1" customWidth="1"/>
    <col min="65" max="65" width="7.28515625" style="720" hidden="1" customWidth="1"/>
    <col min="66" max="66" width="6.85546875" style="720" hidden="1" customWidth="1"/>
    <col min="67" max="67" width="7.28515625" style="720" hidden="1" customWidth="1"/>
    <col min="68" max="68" width="6.85546875" style="720" hidden="1" customWidth="1"/>
    <col min="69" max="69" width="8.5703125" style="720" hidden="1" customWidth="1"/>
    <col min="70" max="70" width="7.140625" style="720" hidden="1" customWidth="1"/>
    <col min="71" max="71" width="1.85546875" style="743" customWidth="1"/>
    <col min="72" max="72" width="11.140625" style="720" customWidth="1"/>
    <col min="73" max="73" width="6.85546875" style="720" customWidth="1"/>
    <col min="74" max="74" width="11.140625" style="720" customWidth="1"/>
    <col min="75" max="75" width="6.85546875" style="720" customWidth="1"/>
    <col min="76" max="76" width="8.5703125" style="720" customWidth="1"/>
    <col min="77" max="77" width="7.5703125" style="720" customWidth="1"/>
    <col min="78" max="78" width="1.7109375" style="743" hidden="1" customWidth="1"/>
    <col min="79" max="79" width="7.28515625" style="720" hidden="1" customWidth="1"/>
    <col min="80" max="80" width="6.85546875" style="720" hidden="1" customWidth="1"/>
    <col min="81" max="81" width="7.28515625" style="720" hidden="1" customWidth="1"/>
    <col min="82" max="82" width="6.85546875" style="720" hidden="1" customWidth="1"/>
    <col min="83" max="83" width="8.5703125" style="720" hidden="1" customWidth="1"/>
    <col min="84" max="84" width="7.5703125" style="720" hidden="1" customWidth="1"/>
    <col min="85" max="85" width="1.7109375" style="743" bestFit="1" customWidth="1"/>
    <col min="86" max="86" width="11" style="720" bestFit="1" customWidth="1"/>
    <col min="87" max="87" width="8" style="720" bestFit="1" customWidth="1"/>
    <col min="88" max="88" width="11" style="720" bestFit="1" customWidth="1"/>
    <col min="89" max="89" width="8" style="720" bestFit="1" customWidth="1"/>
    <col min="90" max="90" width="8.5703125" style="720" bestFit="1" customWidth="1"/>
    <col min="91" max="91" width="7.140625" style="720" bestFit="1" customWidth="1"/>
    <col min="92" max="92" width="1.7109375" style="720" customWidth="1"/>
    <col min="93" max="93" width="8" style="720" customWidth="1"/>
    <col min="94" max="94" width="7.7109375" style="720" customWidth="1"/>
    <col min="95" max="96" width="9.28515625" style="720" customWidth="1"/>
    <col min="97" max="247" width="9.28515625" style="720"/>
    <col min="248" max="248" width="6.42578125" style="720" bestFit="1" customWidth="1"/>
    <col min="249" max="254" width="10.7109375" style="720" customWidth="1"/>
    <col min="255" max="256" width="9.28515625" style="720"/>
    <col min="257" max="257" width="10.7109375" style="720" customWidth="1"/>
    <col min="258" max="258" width="9.28515625" style="720"/>
    <col min="259" max="259" width="10.7109375" style="720" customWidth="1"/>
    <col min="260" max="16384" width="9.28515625" style="720"/>
  </cols>
  <sheetData>
    <row r="1" spans="1:96" ht="20.100000000000001" customHeight="1">
      <c r="A1" s="1997" t="s">
        <v>766</v>
      </c>
      <c r="B1" s="1997"/>
      <c r="C1" s="1997"/>
      <c r="D1" s="1997"/>
      <c r="E1" s="1997"/>
      <c r="F1" s="1997"/>
      <c r="G1" s="1997"/>
      <c r="H1" s="1997"/>
      <c r="I1" s="1997"/>
      <c r="J1" s="1997"/>
      <c r="K1" s="1997"/>
      <c r="L1" s="1997"/>
      <c r="M1" s="1997"/>
      <c r="N1" s="1997"/>
      <c r="O1" s="1997"/>
      <c r="P1" s="1997"/>
      <c r="Q1" s="1997"/>
      <c r="R1" s="1998"/>
      <c r="S1" s="720" t="s">
        <v>559</v>
      </c>
      <c r="T1" s="1999" t="s">
        <v>767</v>
      </c>
      <c r="U1" s="2000"/>
      <c r="V1" s="2000"/>
      <c r="W1" s="2001"/>
      <c r="X1" s="720" t="s">
        <v>559</v>
      </c>
      <c r="Y1" s="2002" t="s">
        <v>768</v>
      </c>
      <c r="Z1" s="2003"/>
      <c r="AA1" s="2003"/>
      <c r="AB1" s="2004"/>
      <c r="AC1" s="720" t="s">
        <v>559</v>
      </c>
      <c r="AD1" s="2005" t="s">
        <v>769</v>
      </c>
      <c r="AE1" s="2006"/>
      <c r="AF1" s="2006"/>
      <c r="AG1" s="2006"/>
      <c r="AH1" s="2006"/>
      <c r="AI1" s="2006"/>
      <c r="AJ1" s="720" t="s">
        <v>559</v>
      </c>
      <c r="AK1" s="1977" t="s">
        <v>770</v>
      </c>
      <c r="AL1" s="1978"/>
      <c r="AM1" s="1978"/>
      <c r="AN1" s="1978"/>
      <c r="AO1" s="1978"/>
      <c r="AP1" s="1978"/>
      <c r="AQ1" s="1978"/>
      <c r="AR1" s="1978"/>
      <c r="AS1" s="1978"/>
      <c r="AT1" s="1978"/>
      <c r="AU1" s="1978"/>
      <c r="AV1" s="1978"/>
      <c r="AW1" s="1978"/>
      <c r="AX1" s="1978"/>
      <c r="AY1" s="1978"/>
      <c r="AZ1" s="1978"/>
      <c r="BA1" s="1978"/>
      <c r="BB1" s="1978"/>
      <c r="BC1" s="1978"/>
      <c r="BD1" s="1978"/>
      <c r="BE1" s="1978"/>
      <c r="BF1" s="1978"/>
      <c r="BG1" s="1978"/>
      <c r="BH1" s="1978"/>
      <c r="BI1" s="1978"/>
      <c r="BJ1" s="1978"/>
      <c r="BK1" s="1978"/>
      <c r="BL1" s="1978"/>
      <c r="BM1" s="1978"/>
      <c r="BN1" s="1978"/>
      <c r="BO1" s="1978"/>
      <c r="BP1" s="1978"/>
      <c r="BQ1" s="1978"/>
      <c r="BR1" s="1978"/>
      <c r="BS1" s="1978"/>
      <c r="BT1" s="1978"/>
      <c r="BU1" s="1978"/>
      <c r="BV1" s="1978"/>
      <c r="BW1" s="1978"/>
      <c r="BX1" s="1978"/>
      <c r="BY1" s="1978"/>
      <c r="BZ1" s="1978"/>
      <c r="CA1" s="1978"/>
      <c r="CB1" s="1978"/>
      <c r="CC1" s="1978"/>
      <c r="CD1" s="1978"/>
      <c r="CE1" s="1978"/>
      <c r="CF1" s="1978"/>
      <c r="CG1" s="1978"/>
      <c r="CH1" s="1978"/>
      <c r="CI1" s="1978"/>
      <c r="CJ1" s="1978"/>
      <c r="CK1" s="1978"/>
      <c r="CL1" s="1978"/>
      <c r="CM1" s="1979"/>
      <c r="CN1" s="1983" t="s">
        <v>559</v>
      </c>
      <c r="CO1" s="1990" t="s">
        <v>771</v>
      </c>
      <c r="CQ1" s="1992" t="s">
        <v>772</v>
      </c>
      <c r="CR1" s="1992"/>
    </row>
    <row r="2" spans="1:96" s="722" customFormat="1" ht="39.6" customHeight="1">
      <c r="A2" s="1937" t="s">
        <v>773</v>
      </c>
      <c r="B2" s="1937"/>
      <c r="C2" s="1937"/>
      <c r="D2" s="1993" t="s">
        <v>774</v>
      </c>
      <c r="E2" s="1937"/>
      <c r="F2" s="1937" t="s">
        <v>775</v>
      </c>
      <c r="G2" s="1937"/>
      <c r="H2" s="1994" t="s">
        <v>776</v>
      </c>
      <c r="I2" s="1995"/>
      <c r="J2" s="1996" t="s">
        <v>777</v>
      </c>
      <c r="K2" s="1993"/>
      <c r="L2" s="1975" t="s">
        <v>778</v>
      </c>
      <c r="M2" s="1973" t="s">
        <v>779</v>
      </c>
      <c r="N2" s="1993"/>
      <c r="O2" s="1975" t="s">
        <v>780</v>
      </c>
      <c r="P2" s="1973" t="s">
        <v>781</v>
      </c>
      <c r="Q2" s="1974"/>
      <c r="R2" s="1975" t="s">
        <v>782</v>
      </c>
      <c r="S2" s="721"/>
      <c r="T2" s="1952" t="s">
        <v>574</v>
      </c>
      <c r="U2" s="1953"/>
      <c r="V2" s="1988" t="s">
        <v>783</v>
      </c>
      <c r="W2" s="1989"/>
      <c r="Y2" s="1955" t="s">
        <v>574</v>
      </c>
      <c r="Z2" s="1956"/>
      <c r="AA2" s="1984" t="s">
        <v>784</v>
      </c>
      <c r="AB2" s="1956"/>
      <c r="AD2" s="1985" t="s">
        <v>785</v>
      </c>
      <c r="AE2" s="1987">
        <v>0.3</v>
      </c>
      <c r="AF2" s="1987"/>
      <c r="AG2" s="1937" t="s">
        <v>786</v>
      </c>
      <c r="AH2" s="1937"/>
      <c r="AI2" s="1937" t="s">
        <v>787</v>
      </c>
      <c r="AK2" s="1980"/>
      <c r="AL2" s="1981"/>
      <c r="AM2" s="1981"/>
      <c r="AN2" s="1981"/>
      <c r="AO2" s="1981"/>
      <c r="AP2" s="1981"/>
      <c r="AQ2" s="1981"/>
      <c r="AR2" s="1981"/>
      <c r="AS2" s="1981"/>
      <c r="AT2" s="1981"/>
      <c r="AU2" s="1981"/>
      <c r="AV2" s="1981"/>
      <c r="AW2" s="1981"/>
      <c r="AX2" s="1981"/>
      <c r="AY2" s="1981"/>
      <c r="AZ2" s="1981"/>
      <c r="BA2" s="1981"/>
      <c r="BB2" s="1981"/>
      <c r="BC2" s="1981"/>
      <c r="BD2" s="1981"/>
      <c r="BE2" s="1981"/>
      <c r="BF2" s="1981"/>
      <c r="BG2" s="1981"/>
      <c r="BH2" s="1981"/>
      <c r="BI2" s="1981"/>
      <c r="BJ2" s="1981"/>
      <c r="BK2" s="1981"/>
      <c r="BL2" s="1981"/>
      <c r="BM2" s="1981"/>
      <c r="BN2" s="1981"/>
      <c r="BO2" s="1981"/>
      <c r="BP2" s="1981"/>
      <c r="BQ2" s="1981"/>
      <c r="BR2" s="1981"/>
      <c r="BS2" s="1981"/>
      <c r="BT2" s="1981"/>
      <c r="BU2" s="1981"/>
      <c r="BV2" s="1981"/>
      <c r="BW2" s="1981"/>
      <c r="BX2" s="1981"/>
      <c r="BY2" s="1981"/>
      <c r="BZ2" s="1981"/>
      <c r="CA2" s="1981"/>
      <c r="CB2" s="1981"/>
      <c r="CC2" s="1981"/>
      <c r="CD2" s="1981"/>
      <c r="CE2" s="1981"/>
      <c r="CF2" s="1981"/>
      <c r="CG2" s="1981"/>
      <c r="CH2" s="1981"/>
      <c r="CI2" s="1981"/>
      <c r="CJ2" s="1981"/>
      <c r="CK2" s="1981"/>
      <c r="CL2" s="1981"/>
      <c r="CM2" s="1982"/>
      <c r="CN2" s="1983"/>
      <c r="CO2" s="1991"/>
      <c r="CQ2" s="1992"/>
      <c r="CR2" s="1992"/>
    </row>
    <row r="3" spans="1:96" s="722" customFormat="1" ht="42">
      <c r="A3" s="723"/>
      <c r="B3" s="723"/>
      <c r="C3" s="723"/>
      <c r="D3" s="633" t="s">
        <v>788</v>
      </c>
      <c r="E3" s="632" t="s">
        <v>789</v>
      </c>
      <c r="F3" s="632" t="s">
        <v>788</v>
      </c>
      <c r="G3" s="632" t="s">
        <v>789</v>
      </c>
      <c r="H3" s="724" t="s">
        <v>788</v>
      </c>
      <c r="I3" s="725" t="s">
        <v>789</v>
      </c>
      <c r="J3" s="726" t="s">
        <v>790</v>
      </c>
      <c r="K3" s="727" t="s">
        <v>791</v>
      </c>
      <c r="L3" s="1976"/>
      <c r="M3" s="727" t="s">
        <v>790</v>
      </c>
      <c r="N3" s="727" t="s">
        <v>792</v>
      </c>
      <c r="O3" s="1976"/>
      <c r="P3" s="727" t="s">
        <v>790</v>
      </c>
      <c r="Q3" s="727" t="s">
        <v>792</v>
      </c>
      <c r="R3" s="1976"/>
      <c r="S3" s="721"/>
      <c r="T3" s="728" t="s">
        <v>793</v>
      </c>
      <c r="U3" s="729" t="s">
        <v>794</v>
      </c>
      <c r="V3" s="730" t="s">
        <v>793</v>
      </c>
      <c r="W3" s="729" t="s">
        <v>794</v>
      </c>
      <c r="Y3" s="731" t="s">
        <v>793</v>
      </c>
      <c r="Z3" s="732" t="s">
        <v>794</v>
      </c>
      <c r="AA3" s="733" t="s">
        <v>793</v>
      </c>
      <c r="AB3" s="732" t="s">
        <v>794</v>
      </c>
      <c r="AD3" s="1986"/>
      <c r="AE3" s="727" t="s">
        <v>795</v>
      </c>
      <c r="AF3" s="727" t="s">
        <v>796</v>
      </c>
      <c r="AG3" s="727" t="s">
        <v>797</v>
      </c>
      <c r="AH3" s="727" t="s">
        <v>798</v>
      </c>
      <c r="AI3" s="1937"/>
      <c r="AK3" s="1957" t="s">
        <v>799</v>
      </c>
      <c r="AL3" s="1957"/>
      <c r="AM3" s="1957"/>
      <c r="AN3" s="1957"/>
      <c r="AO3" s="1957"/>
      <c r="AP3" s="1957"/>
      <c r="AQ3" s="734" t="s">
        <v>559</v>
      </c>
      <c r="AR3" s="1958" t="s">
        <v>800</v>
      </c>
      <c r="AS3" s="1959"/>
      <c r="AT3" s="1959"/>
      <c r="AU3" s="1959"/>
      <c r="AV3" s="1959"/>
      <c r="AW3" s="1960"/>
      <c r="AX3" s="734" t="s">
        <v>559</v>
      </c>
      <c r="AY3" s="1961" t="s">
        <v>574</v>
      </c>
      <c r="AZ3" s="1962"/>
      <c r="BA3" s="1962"/>
      <c r="BB3" s="1962"/>
      <c r="BC3" s="1962"/>
      <c r="BD3" s="1963"/>
      <c r="BE3" s="734" t="s">
        <v>559</v>
      </c>
      <c r="BF3" s="1964" t="s">
        <v>801</v>
      </c>
      <c r="BG3" s="1965"/>
      <c r="BH3" s="1965"/>
      <c r="BI3" s="1965"/>
      <c r="BJ3" s="1965"/>
      <c r="BK3" s="1966"/>
      <c r="BL3" s="734" t="s">
        <v>559</v>
      </c>
      <c r="BM3" s="1967" t="s">
        <v>802</v>
      </c>
      <c r="BN3" s="1968"/>
      <c r="BO3" s="1968"/>
      <c r="BP3" s="1968"/>
      <c r="BQ3" s="1968"/>
      <c r="BR3" s="1969"/>
      <c r="BS3" s="734" t="s">
        <v>559</v>
      </c>
      <c r="BT3" s="1970" t="s">
        <v>803</v>
      </c>
      <c r="BU3" s="1971"/>
      <c r="BV3" s="1971"/>
      <c r="BW3" s="1971"/>
      <c r="BX3" s="1971"/>
      <c r="BY3" s="1972"/>
      <c r="BZ3" s="735" t="s">
        <v>559</v>
      </c>
      <c r="CA3" s="1942" t="s">
        <v>804</v>
      </c>
      <c r="CB3" s="1943"/>
      <c r="CC3" s="1943"/>
      <c r="CD3" s="1943"/>
      <c r="CE3" s="1943"/>
      <c r="CF3" s="1944"/>
      <c r="CG3" s="735" t="s">
        <v>559</v>
      </c>
      <c r="CH3" s="1945" t="s">
        <v>772</v>
      </c>
      <c r="CI3" s="1946"/>
      <c r="CJ3" s="1946"/>
      <c r="CK3" s="1946"/>
      <c r="CL3" s="1946"/>
      <c r="CM3" s="1947"/>
      <c r="CN3" s="1983"/>
      <c r="CO3" s="1991"/>
      <c r="CQ3" s="1992"/>
      <c r="CR3" s="1992"/>
    </row>
    <row r="4" spans="1:96" ht="18" customHeight="1">
      <c r="A4" s="1948"/>
      <c r="B4" s="1949"/>
      <c r="C4" s="1949"/>
      <c r="D4" s="1949"/>
      <c r="E4" s="1949"/>
      <c r="F4" s="1949"/>
      <c r="G4" s="1949"/>
      <c r="H4" s="1949"/>
      <c r="I4" s="1949"/>
      <c r="J4" s="1949"/>
      <c r="K4" s="1949"/>
      <c r="L4" s="1949"/>
      <c r="M4" s="1949"/>
      <c r="N4" s="1949"/>
      <c r="O4" s="1949"/>
      <c r="P4" s="1949"/>
      <c r="Q4" s="1949"/>
      <c r="R4" s="1950"/>
      <c r="T4" s="1951"/>
      <c r="U4" s="1952"/>
      <c r="V4" s="1952"/>
      <c r="W4" s="1953"/>
      <c r="Y4" s="1954"/>
      <c r="Z4" s="1955"/>
      <c r="AA4" s="1955"/>
      <c r="AB4" s="1956"/>
      <c r="AD4" s="1937"/>
      <c r="AE4" s="1937"/>
      <c r="AF4" s="1937"/>
      <c r="AG4" s="1937"/>
      <c r="AH4" s="1937"/>
      <c r="AI4" s="1937"/>
      <c r="AK4" s="736" t="s">
        <v>591</v>
      </c>
      <c r="AL4" s="736" t="s">
        <v>805</v>
      </c>
      <c r="AM4" s="736" t="s">
        <v>593</v>
      </c>
      <c r="AN4" s="736" t="s">
        <v>805</v>
      </c>
      <c r="AO4" s="736" t="s">
        <v>595</v>
      </c>
      <c r="AP4" s="736" t="s">
        <v>596</v>
      </c>
      <c r="AQ4" s="734"/>
      <c r="AR4" s="737" t="s">
        <v>591</v>
      </c>
      <c r="AS4" s="737" t="s">
        <v>806</v>
      </c>
      <c r="AT4" s="737" t="s">
        <v>593</v>
      </c>
      <c r="AU4" s="737" t="s">
        <v>806</v>
      </c>
      <c r="AV4" s="737" t="s">
        <v>595</v>
      </c>
      <c r="AW4" s="737" t="s">
        <v>596</v>
      </c>
      <c r="AX4" s="734"/>
      <c r="AY4" s="738" t="s">
        <v>591</v>
      </c>
      <c r="AZ4" s="738" t="s">
        <v>807</v>
      </c>
      <c r="BA4" s="738" t="s">
        <v>593</v>
      </c>
      <c r="BB4" s="738" t="s">
        <v>807</v>
      </c>
      <c r="BC4" s="738" t="s">
        <v>595</v>
      </c>
      <c r="BD4" s="738" t="s">
        <v>596</v>
      </c>
      <c r="BE4" s="739"/>
      <c r="BF4" s="740" t="s">
        <v>591</v>
      </c>
      <c r="BG4" s="740" t="s">
        <v>807</v>
      </c>
      <c r="BH4" s="740" t="s">
        <v>593</v>
      </c>
      <c r="BI4" s="740" t="s">
        <v>807</v>
      </c>
      <c r="BJ4" s="740" t="s">
        <v>595</v>
      </c>
      <c r="BK4" s="740" t="s">
        <v>596</v>
      </c>
      <c r="BL4" s="739"/>
      <c r="BM4" s="741" t="s">
        <v>591</v>
      </c>
      <c r="BN4" s="741" t="s">
        <v>807</v>
      </c>
      <c r="BO4" s="741" t="s">
        <v>593</v>
      </c>
      <c r="BP4" s="741" t="s">
        <v>807</v>
      </c>
      <c r="BQ4" s="741" t="s">
        <v>595</v>
      </c>
      <c r="BR4" s="741" t="s">
        <v>596</v>
      </c>
      <c r="BS4" s="739"/>
      <c r="BT4" s="742" t="s">
        <v>591</v>
      </c>
      <c r="BU4" s="742" t="s">
        <v>807</v>
      </c>
      <c r="BV4" s="742" t="s">
        <v>593</v>
      </c>
      <c r="BW4" s="742" t="s">
        <v>807</v>
      </c>
      <c r="BX4" s="742" t="s">
        <v>595</v>
      </c>
      <c r="BY4" s="742" t="s">
        <v>596</v>
      </c>
      <c r="CA4" s="744" t="s">
        <v>591</v>
      </c>
      <c r="CB4" s="744" t="s">
        <v>807</v>
      </c>
      <c r="CC4" s="744" t="s">
        <v>593</v>
      </c>
      <c r="CD4" s="744" t="s">
        <v>807</v>
      </c>
      <c r="CE4" s="744" t="s">
        <v>595</v>
      </c>
      <c r="CF4" s="744" t="s">
        <v>596</v>
      </c>
      <c r="CH4" s="745" t="s">
        <v>591</v>
      </c>
      <c r="CI4" s="745" t="s">
        <v>808</v>
      </c>
      <c r="CJ4" s="745" t="s">
        <v>593</v>
      </c>
      <c r="CK4" s="745" t="s">
        <v>808</v>
      </c>
      <c r="CL4" s="745" t="s">
        <v>595</v>
      </c>
      <c r="CM4" s="745" t="s">
        <v>596</v>
      </c>
      <c r="CO4" s="746">
        <v>7.0000000000000007E-2</v>
      </c>
      <c r="CQ4" s="747">
        <v>1</v>
      </c>
      <c r="CR4" s="747">
        <v>0.95</v>
      </c>
    </row>
    <row r="5" spans="1:96" s="748" customFormat="1" ht="13.15" customHeight="1">
      <c r="D5" s="749"/>
      <c r="E5" s="749"/>
      <c r="F5" s="749"/>
      <c r="G5" s="749"/>
      <c r="H5" s="749"/>
      <c r="I5" s="749"/>
      <c r="J5" s="749"/>
      <c r="K5" s="749"/>
      <c r="L5" s="749"/>
      <c r="M5" s="749"/>
      <c r="N5" s="749"/>
      <c r="O5" s="749"/>
      <c r="P5" s="749"/>
      <c r="Q5" s="749"/>
      <c r="R5" s="750"/>
      <c r="T5" s="751"/>
      <c r="U5" s="751"/>
      <c r="V5" s="751"/>
      <c r="W5" s="751"/>
      <c r="Y5" s="752"/>
      <c r="Z5" s="752"/>
      <c r="AA5" s="752"/>
      <c r="AB5" s="752"/>
      <c r="AD5" s="751"/>
      <c r="AE5" s="751"/>
      <c r="AF5" s="751"/>
      <c r="AG5" s="751"/>
      <c r="AH5" s="751"/>
      <c r="AI5" s="751"/>
      <c r="AK5" s="753"/>
      <c r="AL5" s="754">
        <v>0</v>
      </c>
      <c r="AM5" s="753"/>
      <c r="AN5" s="754">
        <v>0</v>
      </c>
      <c r="AO5" s="755">
        <v>0</v>
      </c>
      <c r="AP5" s="756">
        <v>0</v>
      </c>
      <c r="AQ5" s="757"/>
      <c r="AR5" s="758" t="s">
        <v>67</v>
      </c>
      <c r="AS5" s="758">
        <v>0</v>
      </c>
      <c r="AT5" s="759" t="s">
        <v>67</v>
      </c>
      <c r="AU5" s="758">
        <v>0</v>
      </c>
      <c r="AV5" s="760">
        <v>0</v>
      </c>
      <c r="AW5" s="760">
        <v>0</v>
      </c>
      <c r="AX5" s="757"/>
      <c r="AY5" s="761" t="s">
        <v>67</v>
      </c>
      <c r="AZ5" s="761">
        <v>0</v>
      </c>
      <c r="BA5" s="762" t="s">
        <v>67</v>
      </c>
      <c r="BB5" s="761">
        <v>0</v>
      </c>
      <c r="BC5" s="763">
        <v>0</v>
      </c>
      <c r="BD5" s="756">
        <v>0</v>
      </c>
      <c r="BE5" s="757"/>
      <c r="BF5" s="764" t="s">
        <v>67</v>
      </c>
      <c r="BG5" s="764">
        <v>0</v>
      </c>
      <c r="BH5" s="765" t="s">
        <v>67</v>
      </c>
      <c r="BI5" s="764">
        <v>0</v>
      </c>
      <c r="BJ5" s="763">
        <v>0</v>
      </c>
      <c r="BK5" s="756">
        <v>0</v>
      </c>
      <c r="BL5" s="757"/>
      <c r="BM5" s="766" t="s">
        <v>67</v>
      </c>
      <c r="BN5" s="766">
        <v>0</v>
      </c>
      <c r="BO5" s="767" t="s">
        <v>67</v>
      </c>
      <c r="BP5" s="768">
        <v>0</v>
      </c>
      <c r="BQ5" s="763">
        <v>0</v>
      </c>
      <c r="BR5" s="756">
        <v>0</v>
      </c>
      <c r="BS5" s="757"/>
      <c r="BT5" s="769" t="s">
        <v>67</v>
      </c>
      <c r="BU5" s="769">
        <v>0</v>
      </c>
      <c r="BV5" s="770" t="s">
        <v>67</v>
      </c>
      <c r="BW5" s="769">
        <v>0</v>
      </c>
      <c r="BX5" s="763">
        <v>0</v>
      </c>
      <c r="BY5" s="756">
        <v>0</v>
      </c>
      <c r="BZ5" s="757"/>
      <c r="CA5" s="771" t="s">
        <v>67</v>
      </c>
      <c r="CB5" s="769">
        <v>0</v>
      </c>
      <c r="CC5" s="770" t="s">
        <v>67</v>
      </c>
      <c r="CD5" s="769">
        <v>0</v>
      </c>
      <c r="CE5" s="763">
        <v>0</v>
      </c>
      <c r="CF5" s="756">
        <v>0</v>
      </c>
      <c r="CG5" s="757"/>
      <c r="CH5" s="769" t="s">
        <v>67</v>
      </c>
      <c r="CI5" s="769">
        <v>0</v>
      </c>
      <c r="CJ5" s="769"/>
      <c r="CK5" s="769"/>
      <c r="CL5" s="763">
        <v>0</v>
      </c>
      <c r="CM5" s="772"/>
      <c r="CO5" s="773"/>
      <c r="CQ5" s="773"/>
      <c r="CR5" s="773"/>
    </row>
    <row r="6" spans="1:96" s="779" customFormat="1" ht="13.15" customHeight="1" outlineLevel="1">
      <c r="A6" s="774"/>
      <c r="B6" s="774"/>
      <c r="C6" s="774"/>
      <c r="D6" s="775"/>
      <c r="E6" s="776"/>
      <c r="F6" s="777"/>
      <c r="G6" s="777"/>
      <c r="H6" s="776"/>
      <c r="I6" s="776"/>
      <c r="J6" s="778"/>
      <c r="K6" s="775"/>
      <c r="L6" s="776"/>
      <c r="M6" s="776"/>
      <c r="N6" s="776"/>
      <c r="O6" s="776"/>
      <c r="P6" s="776"/>
      <c r="Q6" s="776"/>
      <c r="R6" s="776"/>
      <c r="T6" s="776"/>
      <c r="U6" s="776"/>
      <c r="V6" s="776"/>
      <c r="W6" s="776"/>
      <c r="Y6" s="780"/>
      <c r="Z6" s="780"/>
      <c r="AA6" s="780"/>
      <c r="AB6" s="780"/>
      <c r="AD6" s="776"/>
      <c r="AE6" s="776"/>
      <c r="AF6" s="776"/>
      <c r="AG6" s="776"/>
      <c r="AH6" s="776"/>
      <c r="AI6" s="776"/>
      <c r="AK6" s="781"/>
      <c r="AL6" s="782"/>
      <c r="AM6" s="781"/>
      <c r="AN6" s="782"/>
      <c r="AO6" s="783"/>
      <c r="AP6" s="784"/>
      <c r="AQ6" s="785"/>
      <c r="AR6" s="786"/>
      <c r="AS6" s="786"/>
      <c r="AT6" s="787"/>
      <c r="AU6" s="786"/>
      <c r="AV6" s="788"/>
      <c r="AW6" s="788"/>
      <c r="AX6" s="785"/>
      <c r="AY6" s="789"/>
      <c r="AZ6" s="789"/>
      <c r="BA6" s="790"/>
      <c r="BB6" s="789"/>
      <c r="BC6" s="791"/>
      <c r="BD6" s="784"/>
      <c r="BE6" s="785"/>
      <c r="BF6" s="792"/>
      <c r="BG6" s="792"/>
      <c r="BH6" s="793"/>
      <c r="BI6" s="792"/>
      <c r="BJ6" s="791"/>
      <c r="BK6" s="784"/>
      <c r="BL6" s="785"/>
      <c r="BM6" s="792"/>
      <c r="BN6" s="792"/>
      <c r="BO6" s="793"/>
      <c r="BP6" s="789"/>
      <c r="BQ6" s="791"/>
      <c r="BR6" s="784"/>
      <c r="BS6" s="785"/>
      <c r="BT6" s="792"/>
      <c r="BU6" s="794"/>
      <c r="BV6" s="795"/>
      <c r="BW6" s="794"/>
      <c r="BX6" s="791"/>
      <c r="BY6" s="784"/>
      <c r="BZ6" s="785"/>
      <c r="CA6" s="794"/>
      <c r="CB6" s="794"/>
      <c r="CC6" s="795"/>
      <c r="CD6" s="794"/>
      <c r="CE6" s="791"/>
      <c r="CF6" s="784"/>
      <c r="CG6" s="785"/>
      <c r="CH6" s="794"/>
      <c r="CI6" s="794"/>
      <c r="CJ6" s="794"/>
      <c r="CK6" s="794"/>
      <c r="CL6" s="791"/>
      <c r="CM6" s="796"/>
      <c r="CO6" s="797"/>
      <c r="CP6" s="798"/>
      <c r="CQ6" s="799"/>
      <c r="CR6" s="799"/>
    </row>
    <row r="7" spans="1:96" ht="13.15" customHeight="1" outlineLevel="1">
      <c r="A7" s="800" t="s">
        <v>604</v>
      </c>
      <c r="B7" s="800" t="s">
        <v>605</v>
      </c>
      <c r="C7" s="800">
        <v>10</v>
      </c>
      <c r="D7" s="801">
        <v>0.37</v>
      </c>
      <c r="E7" s="777">
        <v>4.6900000000000004</v>
      </c>
      <c r="F7" s="777">
        <f>IFERROR(IF(A6="",0,ROUND(((A7*20+C7)-(A6*20+C6))/2*(D6+D7),2)),0)</f>
        <v>0</v>
      </c>
      <c r="G7" s="777">
        <f>IFERROR(IF(A6="",0,ROUND(((A7*20+C7)-(A6*20+C6))/2*(E6+E7),2)),0)</f>
        <v>0</v>
      </c>
      <c r="H7" s="777">
        <f>F7+H5</f>
        <v>0</v>
      </c>
      <c r="I7" s="777">
        <f>G7+I5</f>
        <v>0</v>
      </c>
      <c r="J7" s="802">
        <f t="shared" ref="J7:J70" si="0">IF(E7-K7&lt;0,0,E7-K7)</f>
        <v>0</v>
      </c>
      <c r="K7" s="801">
        <f>IF('Modelo 1.0 - NS'!R6=1,'Modelo 2.0 - Cubação'!E7,IF((E7-'Modelo 1.0 - NS'!U6)&lt;=0,E7,'Modelo 1.0 - NS'!U6))</f>
        <v>4.6900000000000004</v>
      </c>
      <c r="L7" s="777">
        <f>'Modelo 1.0 - NS'!Q6</f>
        <v>1.1900000000000002</v>
      </c>
      <c r="M7" s="777">
        <f>IFERROR(((A7*20+C7)-(A5*20+C5))/2*(J5+J7),0)</f>
        <v>0</v>
      </c>
      <c r="N7" s="777">
        <f>IFERROR(IF(A6="",0,((A7*20+C7)-(A6*20+C6))/2*(K6+K7)),0)</f>
        <v>0</v>
      </c>
      <c r="O7" s="777">
        <f>IFERROR(IF(A5="",0,((A7*20+C7)-(A5*20+C5))/2*(L5+L7)),0)</f>
        <v>0</v>
      </c>
      <c r="P7" s="777">
        <f>M7+P5</f>
        <v>0</v>
      </c>
      <c r="Q7" s="777">
        <f>N7+Q5</f>
        <v>0</v>
      </c>
      <c r="R7" s="777">
        <f>O7+R5</f>
        <v>0</v>
      </c>
      <c r="T7" s="777">
        <v>0</v>
      </c>
      <c r="U7" s="777">
        <v>0</v>
      </c>
      <c r="V7" s="777">
        <v>0</v>
      </c>
      <c r="W7" s="777">
        <v>0</v>
      </c>
      <c r="Y7" s="803">
        <v>0</v>
      </c>
      <c r="Z7" s="803">
        <v>0</v>
      </c>
      <c r="AA7" s="803">
        <v>0</v>
      </c>
      <c r="AB7" s="803">
        <v>0</v>
      </c>
      <c r="AD7" s="777">
        <v>0</v>
      </c>
      <c r="AE7" s="777">
        <v>0</v>
      </c>
      <c r="AF7" s="777">
        <v>0</v>
      </c>
      <c r="AG7" s="804">
        <v>0</v>
      </c>
      <c r="AH7" s="804">
        <v>0</v>
      </c>
      <c r="AI7" s="777">
        <v>0</v>
      </c>
      <c r="AK7" s="805" t="s">
        <v>67</v>
      </c>
      <c r="AL7" s="806">
        <v>0</v>
      </c>
      <c r="AM7" s="805" t="s">
        <v>67</v>
      </c>
      <c r="AN7" s="806">
        <v>0</v>
      </c>
      <c r="AO7" s="807">
        <v>0</v>
      </c>
      <c r="AP7" s="808">
        <v>0</v>
      </c>
      <c r="AR7" s="809" t="s">
        <v>67</v>
      </c>
      <c r="AS7" s="809">
        <v>0</v>
      </c>
      <c r="AT7" s="810" t="s">
        <v>67</v>
      </c>
      <c r="AU7" s="809">
        <v>0</v>
      </c>
      <c r="AV7" s="811">
        <v>0</v>
      </c>
      <c r="AW7" s="811">
        <v>0</v>
      </c>
      <c r="AY7" s="812" t="s">
        <v>67</v>
      </c>
      <c r="AZ7" s="768">
        <v>0</v>
      </c>
      <c r="BA7" s="813" t="s">
        <v>67</v>
      </c>
      <c r="BB7" s="768">
        <v>0</v>
      </c>
      <c r="BC7" s="814">
        <v>0</v>
      </c>
      <c r="BD7" s="808">
        <v>0</v>
      </c>
      <c r="BF7" s="766" t="s">
        <v>67</v>
      </c>
      <c r="BG7" s="766">
        <v>0</v>
      </c>
      <c r="BH7" s="767" t="s">
        <v>67</v>
      </c>
      <c r="BI7" s="766">
        <v>0</v>
      </c>
      <c r="BJ7" s="814">
        <v>0</v>
      </c>
      <c r="BK7" s="808">
        <v>0</v>
      </c>
      <c r="BM7" s="766" t="s">
        <v>67</v>
      </c>
      <c r="BN7" s="766">
        <v>0</v>
      </c>
      <c r="BO7" s="767" t="s">
        <v>67</v>
      </c>
      <c r="BP7" s="768">
        <v>0</v>
      </c>
      <c r="BQ7" s="814">
        <v>0</v>
      </c>
      <c r="BR7" s="808">
        <v>0</v>
      </c>
      <c r="BT7" s="766" t="s">
        <v>67</v>
      </c>
      <c r="BU7" s="771">
        <v>0</v>
      </c>
      <c r="BV7" s="815" t="s">
        <v>67</v>
      </c>
      <c r="BW7" s="771">
        <v>0</v>
      </c>
      <c r="BX7" s="814">
        <v>0</v>
      </c>
      <c r="BY7" s="808">
        <v>0</v>
      </c>
      <c r="CA7" s="771" t="s">
        <v>67</v>
      </c>
      <c r="CB7" s="771">
        <v>0</v>
      </c>
      <c r="CC7" s="815" t="s">
        <v>67</v>
      </c>
      <c r="CD7" s="771">
        <v>0</v>
      </c>
      <c r="CE7" s="814">
        <v>0</v>
      </c>
      <c r="CF7" s="808">
        <v>0</v>
      </c>
      <c r="CH7" s="771" t="s">
        <v>67</v>
      </c>
      <c r="CI7" s="771">
        <v>0</v>
      </c>
      <c r="CJ7" s="771" t="s">
        <v>67</v>
      </c>
      <c r="CK7" s="771">
        <v>0</v>
      </c>
      <c r="CL7" s="814">
        <v>0</v>
      </c>
      <c r="CM7" s="816">
        <v>0</v>
      </c>
      <c r="CO7" s="817">
        <v>0.1</v>
      </c>
      <c r="CP7" s="818">
        <v>910</v>
      </c>
      <c r="CQ7" s="819">
        <v>0</v>
      </c>
      <c r="CR7" s="819">
        <v>0</v>
      </c>
    </row>
    <row r="8" spans="1:96" ht="13.15" customHeight="1" outlineLevel="1">
      <c r="A8" s="800" t="s">
        <v>608</v>
      </c>
      <c r="B8" s="800" t="s">
        <v>605</v>
      </c>
      <c r="C8" s="800">
        <v>0</v>
      </c>
      <c r="D8" s="801">
        <v>0</v>
      </c>
      <c r="E8" s="777">
        <v>6.59</v>
      </c>
      <c r="F8" s="777">
        <f t="shared" ref="F8:F71" si="1">IFERROR(IF(A7="",0,ROUND(((A8*20+C8)-(A7*20+C7))/2*(D7+D8),2)),0)</f>
        <v>1.85</v>
      </c>
      <c r="G8" s="777">
        <f t="shared" ref="G8:G71" si="2">IFERROR(IF(A7="",0,ROUND(((A8*20+C8)-(A7*20+C7))/2*(E7+E8),2)),0)</f>
        <v>56.4</v>
      </c>
      <c r="H8" s="777">
        <f t="shared" ref="H8:I23" si="3">F8+H7</f>
        <v>1.85</v>
      </c>
      <c r="I8" s="777">
        <f t="shared" si="3"/>
        <v>56.4</v>
      </c>
      <c r="J8" s="802">
        <f t="shared" si="0"/>
        <v>0</v>
      </c>
      <c r="K8" s="801">
        <f>IF('Modelo 1.0 - NS'!R7=1,'Modelo 2.0 - Cubação'!E8,IF((E8-'Modelo 1.0 - NS'!U7)&lt;=0,E8,'Modelo 1.0 - NS'!U7))</f>
        <v>6.59</v>
      </c>
      <c r="L8" s="777">
        <f>'Modelo 1.0 - NS'!Q7</f>
        <v>4.6960000000000006</v>
      </c>
      <c r="M8" s="777">
        <f t="shared" ref="M8:M71" si="4">IFERROR(((A8*20+C8)-(A7*20+C7))/2*(J7+J8),0)</f>
        <v>0</v>
      </c>
      <c r="N8" s="777">
        <f>IFERROR(((A8*20+C8)-(A7*20+C7))/2*(K7+K8),0)</f>
        <v>56.400000000000006</v>
      </c>
      <c r="O8" s="777">
        <f t="shared" ref="O8:O53" si="5">IFERROR(IF(A7="",0,((A8*20+C8)-(A7*20+C7))/2*(L7+L8)),0)</f>
        <v>29.430000000000007</v>
      </c>
      <c r="P8" s="777">
        <f t="shared" ref="P8:R23" si="6">M8+P7</f>
        <v>0</v>
      </c>
      <c r="Q8" s="777">
        <f t="shared" si="6"/>
        <v>56.400000000000006</v>
      </c>
      <c r="R8" s="777">
        <f t="shared" si="6"/>
        <v>29.430000000000007</v>
      </c>
      <c r="T8" s="777">
        <v>0</v>
      </c>
      <c r="U8" s="777">
        <v>0</v>
      </c>
      <c r="V8" s="777">
        <v>3.28</v>
      </c>
      <c r="W8" s="777">
        <v>16.399999999999999</v>
      </c>
      <c r="Y8" s="803">
        <v>0</v>
      </c>
      <c r="Z8" s="803">
        <v>0</v>
      </c>
      <c r="AA8" s="803">
        <v>0</v>
      </c>
      <c r="AB8" s="803">
        <v>0</v>
      </c>
      <c r="AD8" s="777">
        <v>1.85</v>
      </c>
      <c r="AE8" s="777">
        <v>0</v>
      </c>
      <c r="AF8" s="777">
        <v>73.319999999999993</v>
      </c>
      <c r="AG8" s="804">
        <v>1.85</v>
      </c>
      <c r="AH8" s="804">
        <v>-71.47</v>
      </c>
      <c r="AI8" s="777">
        <v>-71.47</v>
      </c>
      <c r="AK8" s="805" t="s">
        <v>809</v>
      </c>
      <c r="AL8" s="806">
        <v>1</v>
      </c>
      <c r="AM8" s="805" t="s">
        <v>67</v>
      </c>
      <c r="AN8" s="806">
        <v>0</v>
      </c>
      <c r="AO8" s="807">
        <v>54.98</v>
      </c>
      <c r="AP8" s="808">
        <v>54.98</v>
      </c>
      <c r="AR8" s="809" t="s">
        <v>67</v>
      </c>
      <c r="AS8" s="809">
        <v>0</v>
      </c>
      <c r="AT8" s="810" t="s">
        <v>67</v>
      </c>
      <c r="AU8" s="809">
        <v>0</v>
      </c>
      <c r="AV8" s="811">
        <v>0</v>
      </c>
      <c r="AW8" s="811">
        <v>0</v>
      </c>
      <c r="AY8" s="812" t="s">
        <v>67</v>
      </c>
      <c r="AZ8" s="768">
        <v>0</v>
      </c>
      <c r="BA8" s="813" t="s">
        <v>67</v>
      </c>
      <c r="BB8" s="768">
        <v>0</v>
      </c>
      <c r="BC8" s="814">
        <v>0</v>
      </c>
      <c r="BD8" s="808">
        <v>0</v>
      </c>
      <c r="BF8" s="766" t="s">
        <v>67</v>
      </c>
      <c r="BG8" s="766">
        <v>0</v>
      </c>
      <c r="BH8" s="767" t="s">
        <v>67</v>
      </c>
      <c r="BI8" s="766">
        <v>0</v>
      </c>
      <c r="BJ8" s="814">
        <v>0</v>
      </c>
      <c r="BK8" s="808">
        <v>0</v>
      </c>
      <c r="BM8" s="766" t="s">
        <v>67</v>
      </c>
      <c r="BN8" s="766">
        <v>0</v>
      </c>
      <c r="BO8" s="767" t="s">
        <v>67</v>
      </c>
      <c r="BP8" s="768">
        <v>0</v>
      </c>
      <c r="BQ8" s="814">
        <v>0</v>
      </c>
      <c r="BR8" s="808">
        <v>0</v>
      </c>
      <c r="BT8" s="766" t="s">
        <v>810</v>
      </c>
      <c r="BU8" s="771">
        <v>1</v>
      </c>
      <c r="BV8" s="815" t="s">
        <v>67</v>
      </c>
      <c r="BW8" s="771">
        <v>0</v>
      </c>
      <c r="BX8" s="814">
        <v>16.399999999999999</v>
      </c>
      <c r="BY8" s="808">
        <v>16.399999999999999</v>
      </c>
      <c r="CA8" s="771" t="s">
        <v>67</v>
      </c>
      <c r="CB8" s="771">
        <v>0</v>
      </c>
      <c r="CC8" s="815" t="s">
        <v>67</v>
      </c>
      <c r="CD8" s="771">
        <v>0</v>
      </c>
      <c r="CE8" s="814">
        <v>0</v>
      </c>
      <c r="CF8" s="808">
        <v>0</v>
      </c>
      <c r="CH8" s="771" t="s">
        <v>811</v>
      </c>
      <c r="CI8" s="771">
        <v>1</v>
      </c>
      <c r="CJ8" s="771" t="s">
        <v>811</v>
      </c>
      <c r="CK8" s="771">
        <v>1</v>
      </c>
      <c r="CL8" s="814">
        <v>1.85</v>
      </c>
      <c r="CM8" s="816">
        <v>1.85</v>
      </c>
      <c r="CO8" s="817">
        <v>0.1</v>
      </c>
      <c r="CP8" s="818">
        <v>920</v>
      </c>
      <c r="CQ8" s="819">
        <v>0</v>
      </c>
      <c r="CR8" s="819">
        <v>-1.85</v>
      </c>
    </row>
    <row r="9" spans="1:96" ht="13.15" customHeight="1" outlineLevel="1">
      <c r="A9" s="800" t="s">
        <v>608</v>
      </c>
      <c r="B9" s="800" t="s">
        <v>605</v>
      </c>
      <c r="C9" s="800">
        <v>10</v>
      </c>
      <c r="D9" s="801">
        <v>0</v>
      </c>
      <c r="E9" s="777">
        <v>6.52</v>
      </c>
      <c r="F9" s="777">
        <f t="shared" si="1"/>
        <v>0</v>
      </c>
      <c r="G9" s="777">
        <f t="shared" si="2"/>
        <v>65.55</v>
      </c>
      <c r="H9" s="777">
        <f t="shared" si="3"/>
        <v>1.85</v>
      </c>
      <c r="I9" s="777">
        <f t="shared" si="3"/>
        <v>121.94999999999999</v>
      </c>
      <c r="J9" s="802">
        <f t="shared" si="0"/>
        <v>0</v>
      </c>
      <c r="K9" s="801">
        <f>IF('Modelo 1.0 - NS'!R8=1,'Modelo 2.0 - Cubação'!E9,IF((E9-'Modelo 1.0 - NS'!U8)&lt;=0,E9,'Modelo 1.0 - NS'!U8))</f>
        <v>6.52</v>
      </c>
      <c r="L9" s="777">
        <f>'Modelo 1.0 - NS'!Q8</f>
        <v>4.6960000000000006</v>
      </c>
      <c r="M9" s="777">
        <f t="shared" si="4"/>
        <v>0</v>
      </c>
      <c r="N9" s="777">
        <f t="shared" ref="N9:N72" si="7">IFERROR(((A9*20+C9)-(A8*20+C8))/2*(K8+K9),0)</f>
        <v>65.55</v>
      </c>
      <c r="O9" s="777">
        <f t="shared" si="5"/>
        <v>46.960000000000008</v>
      </c>
      <c r="P9" s="777">
        <f t="shared" si="6"/>
        <v>0</v>
      </c>
      <c r="Q9" s="777">
        <f t="shared" si="6"/>
        <v>121.95</v>
      </c>
      <c r="R9" s="777">
        <f t="shared" si="6"/>
        <v>76.390000000000015</v>
      </c>
      <c r="T9" s="777">
        <v>0</v>
      </c>
      <c r="U9" s="777">
        <v>0</v>
      </c>
      <c r="V9" s="777">
        <v>3.28</v>
      </c>
      <c r="W9" s="777">
        <v>32.799999999999997</v>
      </c>
      <c r="Y9" s="803">
        <v>0</v>
      </c>
      <c r="Z9" s="803">
        <v>0</v>
      </c>
      <c r="AA9" s="803">
        <v>0</v>
      </c>
      <c r="AB9" s="803">
        <v>0</v>
      </c>
      <c r="AD9" s="777">
        <v>0</v>
      </c>
      <c r="AE9" s="777">
        <v>0</v>
      </c>
      <c r="AF9" s="777">
        <v>85.22</v>
      </c>
      <c r="AG9" s="804">
        <v>0</v>
      </c>
      <c r="AH9" s="804">
        <v>-85.22</v>
      </c>
      <c r="AI9" s="777">
        <v>-156.69</v>
      </c>
      <c r="AK9" s="805" t="s">
        <v>67</v>
      </c>
      <c r="AL9" s="806">
        <v>0</v>
      </c>
      <c r="AM9" s="805" t="s">
        <v>67</v>
      </c>
      <c r="AN9" s="806">
        <v>0</v>
      </c>
      <c r="AO9" s="807">
        <v>65.55</v>
      </c>
      <c r="AP9" s="808">
        <v>120.53</v>
      </c>
      <c r="AR9" s="809" t="s">
        <v>67</v>
      </c>
      <c r="AS9" s="809">
        <v>0</v>
      </c>
      <c r="AT9" s="810" t="s">
        <v>67</v>
      </c>
      <c r="AU9" s="809">
        <v>0</v>
      </c>
      <c r="AV9" s="811">
        <v>0</v>
      </c>
      <c r="AW9" s="811">
        <v>0</v>
      </c>
      <c r="AY9" s="812" t="s">
        <v>67</v>
      </c>
      <c r="AZ9" s="768">
        <v>0</v>
      </c>
      <c r="BA9" s="813" t="s">
        <v>67</v>
      </c>
      <c r="BB9" s="768">
        <v>0</v>
      </c>
      <c r="BC9" s="814">
        <v>0</v>
      </c>
      <c r="BD9" s="808">
        <v>0</v>
      </c>
      <c r="BF9" s="766" t="s">
        <v>67</v>
      </c>
      <c r="BG9" s="766">
        <v>0</v>
      </c>
      <c r="BH9" s="767" t="s">
        <v>67</v>
      </c>
      <c r="BI9" s="766">
        <v>0</v>
      </c>
      <c r="BJ9" s="814">
        <v>0</v>
      </c>
      <c r="BK9" s="808">
        <v>0</v>
      </c>
      <c r="BM9" s="766" t="s">
        <v>67</v>
      </c>
      <c r="BN9" s="766">
        <v>0</v>
      </c>
      <c r="BO9" s="767" t="s">
        <v>67</v>
      </c>
      <c r="BP9" s="768">
        <v>0</v>
      </c>
      <c r="BQ9" s="814">
        <v>0</v>
      </c>
      <c r="BR9" s="808">
        <v>0</v>
      </c>
      <c r="BT9" s="766" t="s">
        <v>67</v>
      </c>
      <c r="BU9" s="771">
        <v>0</v>
      </c>
      <c r="BV9" s="815" t="s">
        <v>67</v>
      </c>
      <c r="BW9" s="771">
        <v>0</v>
      </c>
      <c r="BX9" s="814">
        <v>32.799999999999997</v>
      </c>
      <c r="BY9" s="808">
        <v>49.199999999999996</v>
      </c>
      <c r="CA9" s="771" t="s">
        <v>67</v>
      </c>
      <c r="CB9" s="771">
        <v>0</v>
      </c>
      <c r="CC9" s="815" t="s">
        <v>67</v>
      </c>
      <c r="CD9" s="771">
        <v>0</v>
      </c>
      <c r="CE9" s="814">
        <v>0</v>
      </c>
      <c r="CF9" s="808">
        <v>0</v>
      </c>
      <c r="CH9" s="771" t="s">
        <v>67</v>
      </c>
      <c r="CI9" s="771">
        <v>0</v>
      </c>
      <c r="CJ9" s="771" t="s">
        <v>67</v>
      </c>
      <c r="CK9" s="771">
        <v>0</v>
      </c>
      <c r="CL9" s="814">
        <v>0</v>
      </c>
      <c r="CM9" s="816">
        <v>0</v>
      </c>
      <c r="CO9" s="817">
        <v>0.1</v>
      </c>
      <c r="CP9" s="818">
        <v>930</v>
      </c>
      <c r="CQ9" s="819">
        <v>0</v>
      </c>
      <c r="CR9" s="819">
        <v>0</v>
      </c>
    </row>
    <row r="10" spans="1:96" ht="13.15" customHeight="1" outlineLevel="1">
      <c r="A10" s="800" t="s">
        <v>611</v>
      </c>
      <c r="B10" s="800" t="s">
        <v>605</v>
      </c>
      <c r="C10" s="800">
        <v>0</v>
      </c>
      <c r="D10" s="801">
        <v>0</v>
      </c>
      <c r="E10" s="777">
        <v>5.73</v>
      </c>
      <c r="F10" s="777">
        <f t="shared" si="1"/>
        <v>0</v>
      </c>
      <c r="G10" s="777">
        <f t="shared" si="2"/>
        <v>61.25</v>
      </c>
      <c r="H10" s="777">
        <f t="shared" si="3"/>
        <v>1.85</v>
      </c>
      <c r="I10" s="777">
        <f t="shared" si="3"/>
        <v>183.2</v>
      </c>
      <c r="J10" s="802">
        <f t="shared" si="0"/>
        <v>0</v>
      </c>
      <c r="K10" s="801">
        <f>IF('Modelo 1.0 - NS'!R9=1,'Modelo 2.0 - Cubação'!E10,IF((E10-'Modelo 1.0 - NS'!U9)&lt;=0,E10,'Modelo 1.0 - NS'!U9))</f>
        <v>5.73</v>
      </c>
      <c r="L10" s="777">
        <f>'Modelo 1.0 - NS'!Q9</f>
        <v>4.6960000000000006</v>
      </c>
      <c r="M10" s="777">
        <f t="shared" si="4"/>
        <v>0</v>
      </c>
      <c r="N10" s="777">
        <f t="shared" si="7"/>
        <v>61.25</v>
      </c>
      <c r="O10" s="777">
        <f t="shared" si="5"/>
        <v>46.960000000000008</v>
      </c>
      <c r="P10" s="777">
        <f t="shared" si="6"/>
        <v>0</v>
      </c>
      <c r="Q10" s="777">
        <f t="shared" si="6"/>
        <v>183.2</v>
      </c>
      <c r="R10" s="777">
        <f t="shared" si="6"/>
        <v>123.35000000000002</v>
      </c>
      <c r="T10" s="777">
        <v>0</v>
      </c>
      <c r="U10" s="777">
        <v>0</v>
      </c>
      <c r="V10" s="777">
        <v>3.28</v>
      </c>
      <c r="W10" s="777">
        <v>32.799999999999997</v>
      </c>
      <c r="Y10" s="803">
        <v>0</v>
      </c>
      <c r="Z10" s="803">
        <v>0</v>
      </c>
      <c r="AA10" s="803">
        <v>0</v>
      </c>
      <c r="AB10" s="803">
        <v>0</v>
      </c>
      <c r="AD10" s="777">
        <v>0</v>
      </c>
      <c r="AE10" s="777">
        <v>0</v>
      </c>
      <c r="AF10" s="777">
        <v>79.63</v>
      </c>
      <c r="AG10" s="804">
        <v>0</v>
      </c>
      <c r="AH10" s="804">
        <v>-79.63</v>
      </c>
      <c r="AI10" s="777">
        <v>-236.32</v>
      </c>
      <c r="AK10" s="805" t="s">
        <v>67</v>
      </c>
      <c r="AL10" s="806">
        <v>0</v>
      </c>
      <c r="AM10" s="805" t="s">
        <v>67</v>
      </c>
      <c r="AN10" s="806">
        <v>0</v>
      </c>
      <c r="AO10" s="807">
        <v>61.25</v>
      </c>
      <c r="AP10" s="808">
        <v>181.78</v>
      </c>
      <c r="AR10" s="809" t="s">
        <v>67</v>
      </c>
      <c r="AS10" s="809">
        <v>0</v>
      </c>
      <c r="AT10" s="810" t="s">
        <v>67</v>
      </c>
      <c r="AU10" s="809">
        <v>0</v>
      </c>
      <c r="AV10" s="811">
        <v>0</v>
      </c>
      <c r="AW10" s="811">
        <v>0</v>
      </c>
      <c r="AY10" s="812" t="s">
        <v>67</v>
      </c>
      <c r="AZ10" s="768">
        <v>0</v>
      </c>
      <c r="BA10" s="813" t="s">
        <v>67</v>
      </c>
      <c r="BB10" s="768">
        <v>0</v>
      </c>
      <c r="BC10" s="814">
        <v>0</v>
      </c>
      <c r="BD10" s="808">
        <v>0</v>
      </c>
      <c r="BF10" s="766" t="s">
        <v>67</v>
      </c>
      <c r="BG10" s="766">
        <v>0</v>
      </c>
      <c r="BH10" s="767" t="s">
        <v>67</v>
      </c>
      <c r="BI10" s="766">
        <v>0</v>
      </c>
      <c r="BJ10" s="814">
        <v>0</v>
      </c>
      <c r="BK10" s="808">
        <v>0</v>
      </c>
      <c r="BM10" s="766" t="s">
        <v>67</v>
      </c>
      <c r="BN10" s="766">
        <v>0</v>
      </c>
      <c r="BO10" s="767" t="s">
        <v>67</v>
      </c>
      <c r="BP10" s="768">
        <v>0</v>
      </c>
      <c r="BQ10" s="814">
        <v>0</v>
      </c>
      <c r="BR10" s="808">
        <v>0</v>
      </c>
      <c r="BT10" s="766" t="s">
        <v>67</v>
      </c>
      <c r="BU10" s="771">
        <v>0</v>
      </c>
      <c r="BV10" s="815" t="s">
        <v>67</v>
      </c>
      <c r="BW10" s="771">
        <v>0</v>
      </c>
      <c r="BX10" s="814">
        <v>32.799999999999997</v>
      </c>
      <c r="BY10" s="808">
        <v>82</v>
      </c>
      <c r="CA10" s="771" t="s">
        <v>67</v>
      </c>
      <c r="CB10" s="771">
        <v>0</v>
      </c>
      <c r="CC10" s="815" t="s">
        <v>67</v>
      </c>
      <c r="CD10" s="771">
        <v>0</v>
      </c>
      <c r="CE10" s="814">
        <v>0</v>
      </c>
      <c r="CF10" s="808">
        <v>0</v>
      </c>
      <c r="CH10" s="771" t="s">
        <v>67</v>
      </c>
      <c r="CI10" s="771">
        <v>0</v>
      </c>
      <c r="CJ10" s="771" t="s">
        <v>67</v>
      </c>
      <c r="CK10" s="771">
        <v>0</v>
      </c>
      <c r="CL10" s="814">
        <v>0</v>
      </c>
      <c r="CM10" s="816">
        <v>0</v>
      </c>
      <c r="CO10" s="817">
        <v>0.1</v>
      </c>
      <c r="CP10" s="818">
        <v>940</v>
      </c>
      <c r="CQ10" s="819">
        <v>0</v>
      </c>
      <c r="CR10" s="819">
        <v>0</v>
      </c>
    </row>
    <row r="11" spans="1:96" ht="13.15" customHeight="1" outlineLevel="1">
      <c r="A11" s="800" t="s">
        <v>611</v>
      </c>
      <c r="B11" s="800" t="s">
        <v>605</v>
      </c>
      <c r="C11" s="800">
        <v>10</v>
      </c>
      <c r="D11" s="801">
        <v>0</v>
      </c>
      <c r="E11" s="777">
        <v>5.05</v>
      </c>
      <c r="F11" s="777">
        <f t="shared" si="1"/>
        <v>0</v>
      </c>
      <c r="G11" s="777">
        <f t="shared" si="2"/>
        <v>53.9</v>
      </c>
      <c r="H11" s="777">
        <f t="shared" si="3"/>
        <v>1.85</v>
      </c>
      <c r="I11" s="777">
        <f t="shared" si="3"/>
        <v>237.1</v>
      </c>
      <c r="J11" s="802">
        <f t="shared" si="0"/>
        <v>0</v>
      </c>
      <c r="K11" s="801">
        <f>IF('Modelo 1.0 - NS'!R10=1,'Modelo 2.0 - Cubação'!E11,IF((E11-'Modelo 1.0 - NS'!U10)&lt;=0,E11,'Modelo 1.0 - NS'!U10))</f>
        <v>5.05</v>
      </c>
      <c r="L11" s="777">
        <f>'Modelo 1.0 - NS'!Q10</f>
        <v>4.6960000000000006</v>
      </c>
      <c r="M11" s="777">
        <f t="shared" si="4"/>
        <v>0</v>
      </c>
      <c r="N11" s="777">
        <f t="shared" si="7"/>
        <v>53.900000000000006</v>
      </c>
      <c r="O11" s="777">
        <f t="shared" si="5"/>
        <v>46.960000000000008</v>
      </c>
      <c r="P11" s="777">
        <f t="shared" si="6"/>
        <v>0</v>
      </c>
      <c r="Q11" s="777">
        <f t="shared" si="6"/>
        <v>237.1</v>
      </c>
      <c r="R11" s="777">
        <f t="shared" si="6"/>
        <v>170.31000000000003</v>
      </c>
      <c r="T11" s="777">
        <v>0</v>
      </c>
      <c r="U11" s="777">
        <v>0</v>
      </c>
      <c r="V11" s="777">
        <v>3.28</v>
      </c>
      <c r="W11" s="777">
        <v>32.799999999999997</v>
      </c>
      <c r="Y11" s="803">
        <v>0</v>
      </c>
      <c r="Z11" s="803">
        <v>0</v>
      </c>
      <c r="AA11" s="803">
        <v>0</v>
      </c>
      <c r="AB11" s="803">
        <v>0</v>
      </c>
      <c r="AD11" s="777">
        <v>0</v>
      </c>
      <c r="AE11" s="777">
        <v>0</v>
      </c>
      <c r="AF11" s="777">
        <v>70.069999999999993</v>
      </c>
      <c r="AG11" s="804">
        <v>0</v>
      </c>
      <c r="AH11" s="804">
        <v>-70.069999999999993</v>
      </c>
      <c r="AI11" s="777">
        <v>-306.39</v>
      </c>
      <c r="AK11" s="805" t="s">
        <v>67</v>
      </c>
      <c r="AL11" s="806">
        <v>0</v>
      </c>
      <c r="AM11" s="805" t="s">
        <v>67</v>
      </c>
      <c r="AN11" s="806">
        <v>0</v>
      </c>
      <c r="AO11" s="807">
        <v>53.9</v>
      </c>
      <c r="AP11" s="808">
        <v>235.68</v>
      </c>
      <c r="AR11" s="809" t="s">
        <v>67</v>
      </c>
      <c r="AS11" s="809">
        <v>0</v>
      </c>
      <c r="AT11" s="810" t="s">
        <v>67</v>
      </c>
      <c r="AU11" s="809">
        <v>0</v>
      </c>
      <c r="AV11" s="811">
        <v>0</v>
      </c>
      <c r="AW11" s="811">
        <v>0</v>
      </c>
      <c r="AY11" s="812" t="s">
        <v>67</v>
      </c>
      <c r="AZ11" s="768">
        <v>0</v>
      </c>
      <c r="BA11" s="813" t="s">
        <v>67</v>
      </c>
      <c r="BB11" s="768">
        <v>0</v>
      </c>
      <c r="BC11" s="814">
        <v>0</v>
      </c>
      <c r="BD11" s="808">
        <v>0</v>
      </c>
      <c r="BF11" s="766" t="s">
        <v>67</v>
      </c>
      <c r="BG11" s="766">
        <v>0</v>
      </c>
      <c r="BH11" s="767" t="s">
        <v>67</v>
      </c>
      <c r="BI11" s="766">
        <v>0</v>
      </c>
      <c r="BJ11" s="814">
        <v>0</v>
      </c>
      <c r="BK11" s="808">
        <v>0</v>
      </c>
      <c r="BM11" s="766" t="s">
        <v>67</v>
      </c>
      <c r="BN11" s="766">
        <v>0</v>
      </c>
      <c r="BO11" s="767" t="s">
        <v>67</v>
      </c>
      <c r="BP11" s="768">
        <v>0</v>
      </c>
      <c r="BQ11" s="814">
        <v>0</v>
      </c>
      <c r="BR11" s="808">
        <v>0</v>
      </c>
      <c r="BT11" s="766" t="s">
        <v>67</v>
      </c>
      <c r="BU11" s="771">
        <v>0</v>
      </c>
      <c r="BV11" s="815" t="s">
        <v>67</v>
      </c>
      <c r="BW11" s="771">
        <v>0</v>
      </c>
      <c r="BX11" s="814">
        <v>32.799999999999997</v>
      </c>
      <c r="BY11" s="808">
        <v>114.8</v>
      </c>
      <c r="CA11" s="771" t="s">
        <v>67</v>
      </c>
      <c r="CB11" s="771">
        <v>0</v>
      </c>
      <c r="CC11" s="815" t="s">
        <v>67</v>
      </c>
      <c r="CD11" s="771">
        <v>0</v>
      </c>
      <c r="CE11" s="814">
        <v>0</v>
      </c>
      <c r="CF11" s="808">
        <v>0</v>
      </c>
      <c r="CH11" s="771" t="s">
        <v>67</v>
      </c>
      <c r="CI11" s="771">
        <v>0</v>
      </c>
      <c r="CJ11" s="771" t="s">
        <v>67</v>
      </c>
      <c r="CK11" s="771">
        <v>0</v>
      </c>
      <c r="CL11" s="814">
        <v>0</v>
      </c>
      <c r="CM11" s="816">
        <v>0</v>
      </c>
      <c r="CO11" s="817">
        <v>0.1</v>
      </c>
      <c r="CP11" s="818">
        <v>950</v>
      </c>
      <c r="CQ11" s="819">
        <v>0</v>
      </c>
      <c r="CR11" s="819">
        <v>0</v>
      </c>
    </row>
    <row r="12" spans="1:96" ht="13.15" customHeight="1" outlineLevel="1">
      <c r="A12" s="800" t="s">
        <v>615</v>
      </c>
      <c r="B12" s="800" t="s">
        <v>605</v>
      </c>
      <c r="C12" s="800">
        <v>0</v>
      </c>
      <c r="D12" s="801">
        <v>0</v>
      </c>
      <c r="E12" s="777">
        <v>4.4800000000000004</v>
      </c>
      <c r="F12" s="777">
        <f t="shared" si="1"/>
        <v>0</v>
      </c>
      <c r="G12" s="777">
        <f t="shared" si="2"/>
        <v>47.65</v>
      </c>
      <c r="H12" s="777">
        <f t="shared" si="3"/>
        <v>1.85</v>
      </c>
      <c r="I12" s="777">
        <f t="shared" si="3"/>
        <v>284.75</v>
      </c>
      <c r="J12" s="802">
        <f t="shared" si="0"/>
        <v>0</v>
      </c>
      <c r="K12" s="801">
        <f>IF('Modelo 1.0 - NS'!R11=1,'Modelo 2.0 - Cubação'!E12,IF((E12-'Modelo 1.0 - NS'!U11)&lt;=0,E12,'Modelo 1.0 - NS'!U11))</f>
        <v>4.4800000000000004</v>
      </c>
      <c r="L12" s="777">
        <f>'Modelo 1.0 - NS'!Q11</f>
        <v>4.6960000000000006</v>
      </c>
      <c r="M12" s="777">
        <f t="shared" si="4"/>
        <v>0</v>
      </c>
      <c r="N12" s="777">
        <f t="shared" si="7"/>
        <v>47.650000000000006</v>
      </c>
      <c r="O12" s="777">
        <f t="shared" si="5"/>
        <v>46.960000000000008</v>
      </c>
      <c r="P12" s="777">
        <f t="shared" si="6"/>
        <v>0</v>
      </c>
      <c r="Q12" s="777">
        <f t="shared" si="6"/>
        <v>284.75</v>
      </c>
      <c r="R12" s="777">
        <f t="shared" si="6"/>
        <v>217.27000000000004</v>
      </c>
      <c r="T12" s="777">
        <v>0</v>
      </c>
      <c r="U12" s="777">
        <v>0</v>
      </c>
      <c r="V12" s="777">
        <v>3.28</v>
      </c>
      <c r="W12" s="777">
        <v>32.799999999999997</v>
      </c>
      <c r="Y12" s="803">
        <v>0</v>
      </c>
      <c r="Z12" s="803">
        <v>0</v>
      </c>
      <c r="AA12" s="803">
        <v>0</v>
      </c>
      <c r="AB12" s="803">
        <v>0</v>
      </c>
      <c r="AD12" s="777">
        <v>0</v>
      </c>
      <c r="AE12" s="777">
        <v>0</v>
      </c>
      <c r="AF12" s="777">
        <v>61.95</v>
      </c>
      <c r="AG12" s="804">
        <v>0</v>
      </c>
      <c r="AH12" s="804">
        <v>-61.95</v>
      </c>
      <c r="AI12" s="777">
        <v>-368.34</v>
      </c>
      <c r="AK12" s="805" t="s">
        <v>67</v>
      </c>
      <c r="AL12" s="806">
        <v>0</v>
      </c>
      <c r="AM12" s="805" t="s">
        <v>67</v>
      </c>
      <c r="AN12" s="806">
        <v>0</v>
      </c>
      <c r="AO12" s="807">
        <v>47.65</v>
      </c>
      <c r="AP12" s="808">
        <v>283.33</v>
      </c>
      <c r="AR12" s="809" t="s">
        <v>67</v>
      </c>
      <c r="AS12" s="809">
        <v>0</v>
      </c>
      <c r="AT12" s="810" t="s">
        <v>67</v>
      </c>
      <c r="AU12" s="809">
        <v>0</v>
      </c>
      <c r="AV12" s="811">
        <v>0</v>
      </c>
      <c r="AW12" s="811">
        <v>0</v>
      </c>
      <c r="AY12" s="812" t="s">
        <v>67</v>
      </c>
      <c r="AZ12" s="768">
        <v>0</v>
      </c>
      <c r="BA12" s="813" t="s">
        <v>67</v>
      </c>
      <c r="BB12" s="768">
        <v>0</v>
      </c>
      <c r="BC12" s="814">
        <v>0</v>
      </c>
      <c r="BD12" s="808">
        <v>0</v>
      </c>
      <c r="BF12" s="766" t="s">
        <v>67</v>
      </c>
      <c r="BG12" s="766">
        <v>0</v>
      </c>
      <c r="BH12" s="767" t="s">
        <v>67</v>
      </c>
      <c r="BI12" s="766">
        <v>0</v>
      </c>
      <c r="BJ12" s="814">
        <v>0</v>
      </c>
      <c r="BK12" s="808">
        <v>0</v>
      </c>
      <c r="BM12" s="766" t="s">
        <v>67</v>
      </c>
      <c r="BN12" s="766">
        <v>0</v>
      </c>
      <c r="BO12" s="767" t="s">
        <v>67</v>
      </c>
      <c r="BP12" s="768">
        <v>0</v>
      </c>
      <c r="BQ12" s="814">
        <v>0</v>
      </c>
      <c r="BR12" s="808">
        <v>0</v>
      </c>
      <c r="BT12" s="766" t="s">
        <v>67</v>
      </c>
      <c r="BU12" s="771">
        <v>0</v>
      </c>
      <c r="BV12" s="815" t="s">
        <v>67</v>
      </c>
      <c r="BW12" s="771">
        <v>0</v>
      </c>
      <c r="BX12" s="814">
        <v>32.799999999999997</v>
      </c>
      <c r="BY12" s="808">
        <v>147.6</v>
      </c>
      <c r="CA12" s="771" t="s">
        <v>67</v>
      </c>
      <c r="CB12" s="771">
        <v>0</v>
      </c>
      <c r="CC12" s="815" t="s">
        <v>67</v>
      </c>
      <c r="CD12" s="771">
        <v>0</v>
      </c>
      <c r="CE12" s="814">
        <v>0</v>
      </c>
      <c r="CF12" s="808">
        <v>0</v>
      </c>
      <c r="CH12" s="771" t="s">
        <v>67</v>
      </c>
      <c r="CI12" s="771">
        <v>0</v>
      </c>
      <c r="CJ12" s="771" t="s">
        <v>67</v>
      </c>
      <c r="CK12" s="771">
        <v>0</v>
      </c>
      <c r="CL12" s="814">
        <v>0</v>
      </c>
      <c r="CM12" s="816">
        <v>0</v>
      </c>
      <c r="CO12" s="817">
        <v>0.1</v>
      </c>
      <c r="CP12" s="818">
        <v>960</v>
      </c>
      <c r="CQ12" s="819">
        <v>0</v>
      </c>
      <c r="CR12" s="819">
        <v>0</v>
      </c>
    </row>
    <row r="13" spans="1:96" ht="13.15" customHeight="1" outlineLevel="1">
      <c r="A13" s="800" t="s">
        <v>615</v>
      </c>
      <c r="B13" s="800" t="s">
        <v>605</v>
      </c>
      <c r="C13" s="800">
        <v>10</v>
      </c>
      <c r="D13" s="801">
        <v>0</v>
      </c>
      <c r="E13" s="777">
        <v>4.38</v>
      </c>
      <c r="F13" s="777">
        <f t="shared" si="1"/>
        <v>0</v>
      </c>
      <c r="G13" s="777">
        <f t="shared" si="2"/>
        <v>44.3</v>
      </c>
      <c r="H13" s="777">
        <f t="shared" si="3"/>
        <v>1.85</v>
      </c>
      <c r="I13" s="777">
        <f t="shared" si="3"/>
        <v>329.05</v>
      </c>
      <c r="J13" s="802">
        <f t="shared" si="0"/>
        <v>0</v>
      </c>
      <c r="K13" s="801">
        <f>IF('Modelo 1.0 - NS'!R12=1,'Modelo 2.0 - Cubação'!E13,IF((E13-'Modelo 1.0 - NS'!U12)&lt;=0,E13,'Modelo 1.0 - NS'!U12))</f>
        <v>4.38</v>
      </c>
      <c r="L13" s="777">
        <f>'Modelo 1.0 - NS'!Q12</f>
        <v>4.6960000000000006</v>
      </c>
      <c r="M13" s="777">
        <f t="shared" si="4"/>
        <v>0</v>
      </c>
      <c r="N13" s="777">
        <f t="shared" si="7"/>
        <v>44.3</v>
      </c>
      <c r="O13" s="777">
        <f t="shared" si="5"/>
        <v>46.960000000000008</v>
      </c>
      <c r="P13" s="777">
        <f t="shared" si="6"/>
        <v>0</v>
      </c>
      <c r="Q13" s="777">
        <f t="shared" si="6"/>
        <v>329.05</v>
      </c>
      <c r="R13" s="777">
        <f t="shared" si="6"/>
        <v>264.23</v>
      </c>
      <c r="T13" s="777">
        <v>0</v>
      </c>
      <c r="U13" s="777">
        <v>0</v>
      </c>
      <c r="V13" s="777">
        <v>3.28</v>
      </c>
      <c r="W13" s="777">
        <v>32.799999999999997</v>
      </c>
      <c r="Y13" s="803">
        <v>0</v>
      </c>
      <c r="Z13" s="803">
        <v>0</v>
      </c>
      <c r="AA13" s="803">
        <v>0</v>
      </c>
      <c r="AB13" s="803">
        <v>0</v>
      </c>
      <c r="AD13" s="777">
        <v>0</v>
      </c>
      <c r="AE13" s="777">
        <v>0</v>
      </c>
      <c r="AF13" s="777">
        <v>57.59</v>
      </c>
      <c r="AG13" s="804">
        <v>0</v>
      </c>
      <c r="AH13" s="804">
        <v>-57.59</v>
      </c>
      <c r="AI13" s="777">
        <v>-425.92999999999995</v>
      </c>
      <c r="AK13" s="805" t="s">
        <v>67</v>
      </c>
      <c r="AL13" s="806">
        <v>0</v>
      </c>
      <c r="AM13" s="805" t="s">
        <v>67</v>
      </c>
      <c r="AN13" s="806">
        <v>0</v>
      </c>
      <c r="AO13" s="807">
        <v>44.3</v>
      </c>
      <c r="AP13" s="808">
        <v>327.63</v>
      </c>
      <c r="AR13" s="809" t="s">
        <v>67</v>
      </c>
      <c r="AS13" s="809">
        <v>0</v>
      </c>
      <c r="AT13" s="810" t="s">
        <v>67</v>
      </c>
      <c r="AU13" s="809">
        <v>0</v>
      </c>
      <c r="AV13" s="811">
        <v>0</v>
      </c>
      <c r="AW13" s="811">
        <v>0</v>
      </c>
      <c r="AY13" s="812" t="s">
        <v>67</v>
      </c>
      <c r="AZ13" s="768">
        <v>0</v>
      </c>
      <c r="BA13" s="813" t="s">
        <v>67</v>
      </c>
      <c r="BB13" s="768">
        <v>0</v>
      </c>
      <c r="BC13" s="814">
        <v>0</v>
      </c>
      <c r="BD13" s="808">
        <v>0</v>
      </c>
      <c r="BF13" s="766" t="s">
        <v>67</v>
      </c>
      <c r="BG13" s="766">
        <v>0</v>
      </c>
      <c r="BH13" s="767" t="s">
        <v>67</v>
      </c>
      <c r="BI13" s="766">
        <v>0</v>
      </c>
      <c r="BJ13" s="814">
        <v>0</v>
      </c>
      <c r="BK13" s="808">
        <v>0</v>
      </c>
      <c r="BM13" s="766" t="s">
        <v>67</v>
      </c>
      <c r="BN13" s="766">
        <v>0</v>
      </c>
      <c r="BO13" s="767" t="s">
        <v>67</v>
      </c>
      <c r="BP13" s="768">
        <v>0</v>
      </c>
      <c r="BQ13" s="814">
        <v>0</v>
      </c>
      <c r="BR13" s="808">
        <v>0</v>
      </c>
      <c r="BT13" s="766" t="s">
        <v>67</v>
      </c>
      <c r="BU13" s="771">
        <v>0</v>
      </c>
      <c r="BV13" s="815" t="s">
        <v>67</v>
      </c>
      <c r="BW13" s="771">
        <v>0</v>
      </c>
      <c r="BX13" s="814">
        <v>32.799999999999997</v>
      </c>
      <c r="BY13" s="808">
        <v>180.39999999999998</v>
      </c>
      <c r="CA13" s="771" t="s">
        <v>67</v>
      </c>
      <c r="CB13" s="771">
        <v>0</v>
      </c>
      <c r="CC13" s="815" t="s">
        <v>67</v>
      </c>
      <c r="CD13" s="771">
        <v>0</v>
      </c>
      <c r="CE13" s="814">
        <v>0</v>
      </c>
      <c r="CF13" s="808">
        <v>0</v>
      </c>
      <c r="CH13" s="771" t="s">
        <v>67</v>
      </c>
      <c r="CI13" s="771">
        <v>0</v>
      </c>
      <c r="CJ13" s="771" t="s">
        <v>67</v>
      </c>
      <c r="CK13" s="771">
        <v>0</v>
      </c>
      <c r="CL13" s="814">
        <v>0</v>
      </c>
      <c r="CM13" s="816">
        <v>0</v>
      </c>
      <c r="CO13" s="817">
        <v>0.1</v>
      </c>
      <c r="CP13" s="818">
        <v>970</v>
      </c>
      <c r="CQ13" s="819">
        <v>0</v>
      </c>
      <c r="CR13" s="819">
        <v>0</v>
      </c>
    </row>
    <row r="14" spans="1:96" ht="13.15" customHeight="1" outlineLevel="1">
      <c r="A14" s="800" t="s">
        <v>618</v>
      </c>
      <c r="B14" s="800" t="s">
        <v>605</v>
      </c>
      <c r="C14" s="800">
        <v>0</v>
      </c>
      <c r="D14" s="801">
        <v>0</v>
      </c>
      <c r="E14" s="777">
        <v>4.57</v>
      </c>
      <c r="F14" s="777">
        <f t="shared" si="1"/>
        <v>0</v>
      </c>
      <c r="G14" s="777">
        <f t="shared" si="2"/>
        <v>44.75</v>
      </c>
      <c r="H14" s="777">
        <f t="shared" si="3"/>
        <v>1.85</v>
      </c>
      <c r="I14" s="777">
        <f t="shared" si="3"/>
        <v>373.8</v>
      </c>
      <c r="J14" s="802">
        <f t="shared" si="0"/>
        <v>0</v>
      </c>
      <c r="K14" s="801">
        <f>IF('Modelo 1.0 - NS'!R13=1,'Modelo 2.0 - Cubação'!E14,IF((E14-'Modelo 1.0 - NS'!U13)&lt;=0,E14,'Modelo 1.0 - NS'!U13))</f>
        <v>4.57</v>
      </c>
      <c r="L14" s="777">
        <f>'Modelo 1.0 - NS'!Q13</f>
        <v>4.6960000000000006</v>
      </c>
      <c r="M14" s="777">
        <f t="shared" si="4"/>
        <v>0</v>
      </c>
      <c r="N14" s="777">
        <f t="shared" si="7"/>
        <v>44.75</v>
      </c>
      <c r="O14" s="777">
        <f t="shared" si="5"/>
        <v>46.960000000000008</v>
      </c>
      <c r="P14" s="777">
        <f t="shared" si="6"/>
        <v>0</v>
      </c>
      <c r="Q14" s="777">
        <f t="shared" si="6"/>
        <v>373.8</v>
      </c>
      <c r="R14" s="777">
        <f t="shared" si="6"/>
        <v>311.19000000000005</v>
      </c>
      <c r="T14" s="777">
        <v>0</v>
      </c>
      <c r="U14" s="777">
        <v>0</v>
      </c>
      <c r="V14" s="777">
        <v>3.28</v>
      </c>
      <c r="W14" s="777">
        <v>32.799999999999997</v>
      </c>
      <c r="Y14" s="803">
        <v>0</v>
      </c>
      <c r="Z14" s="803">
        <v>0</v>
      </c>
      <c r="AA14" s="803">
        <v>0</v>
      </c>
      <c r="AB14" s="803">
        <v>0</v>
      </c>
      <c r="AD14" s="777">
        <v>0</v>
      </c>
      <c r="AE14" s="777">
        <v>0</v>
      </c>
      <c r="AF14" s="777">
        <v>58.18</v>
      </c>
      <c r="AG14" s="804">
        <v>0</v>
      </c>
      <c r="AH14" s="804">
        <v>-58.18</v>
      </c>
      <c r="AI14" s="777">
        <v>-484.10999999999996</v>
      </c>
      <c r="AK14" s="805" t="s">
        <v>67</v>
      </c>
      <c r="AL14" s="806">
        <v>0</v>
      </c>
      <c r="AM14" s="805" t="s">
        <v>67</v>
      </c>
      <c r="AN14" s="806">
        <v>0</v>
      </c>
      <c r="AO14" s="807">
        <v>44.75</v>
      </c>
      <c r="AP14" s="808">
        <v>372.38</v>
      </c>
      <c r="AR14" s="809" t="s">
        <v>67</v>
      </c>
      <c r="AS14" s="809">
        <v>0</v>
      </c>
      <c r="AT14" s="810" t="s">
        <v>67</v>
      </c>
      <c r="AU14" s="809">
        <v>0</v>
      </c>
      <c r="AV14" s="811">
        <v>0</v>
      </c>
      <c r="AW14" s="811">
        <v>0</v>
      </c>
      <c r="AY14" s="812" t="s">
        <v>67</v>
      </c>
      <c r="AZ14" s="768">
        <v>0</v>
      </c>
      <c r="BA14" s="813" t="s">
        <v>67</v>
      </c>
      <c r="BB14" s="768">
        <v>0</v>
      </c>
      <c r="BC14" s="814">
        <v>0</v>
      </c>
      <c r="BD14" s="808">
        <v>0</v>
      </c>
      <c r="BF14" s="766" t="s">
        <v>67</v>
      </c>
      <c r="BG14" s="766">
        <v>0</v>
      </c>
      <c r="BH14" s="767" t="s">
        <v>67</v>
      </c>
      <c r="BI14" s="766">
        <v>0</v>
      </c>
      <c r="BJ14" s="814">
        <v>0</v>
      </c>
      <c r="BK14" s="808">
        <v>0</v>
      </c>
      <c r="BM14" s="766" t="s">
        <v>67</v>
      </c>
      <c r="BN14" s="766">
        <v>0</v>
      </c>
      <c r="BO14" s="767" t="s">
        <v>67</v>
      </c>
      <c r="BP14" s="768">
        <v>0</v>
      </c>
      <c r="BQ14" s="814">
        <v>0</v>
      </c>
      <c r="BR14" s="808">
        <v>0</v>
      </c>
      <c r="BT14" s="766" t="s">
        <v>67</v>
      </c>
      <c r="BU14" s="771">
        <v>0</v>
      </c>
      <c r="BV14" s="815" t="s">
        <v>67</v>
      </c>
      <c r="BW14" s="771">
        <v>0</v>
      </c>
      <c r="BX14" s="814">
        <v>32.799999999999997</v>
      </c>
      <c r="BY14" s="808">
        <v>213.2</v>
      </c>
      <c r="CA14" s="771" t="s">
        <v>67</v>
      </c>
      <c r="CB14" s="771">
        <v>0</v>
      </c>
      <c r="CC14" s="815" t="s">
        <v>67</v>
      </c>
      <c r="CD14" s="771">
        <v>0</v>
      </c>
      <c r="CE14" s="814">
        <v>0</v>
      </c>
      <c r="CF14" s="808">
        <v>0</v>
      </c>
      <c r="CH14" s="771" t="s">
        <v>67</v>
      </c>
      <c r="CI14" s="771">
        <v>0</v>
      </c>
      <c r="CJ14" s="771" t="s">
        <v>67</v>
      </c>
      <c r="CK14" s="771">
        <v>0</v>
      </c>
      <c r="CL14" s="814">
        <v>0</v>
      </c>
      <c r="CM14" s="816">
        <v>0</v>
      </c>
      <c r="CO14" s="817">
        <v>0.1</v>
      </c>
      <c r="CP14" s="818">
        <v>980</v>
      </c>
      <c r="CQ14" s="819">
        <v>0</v>
      </c>
      <c r="CR14" s="819">
        <v>0</v>
      </c>
    </row>
    <row r="15" spans="1:96" ht="13.15" customHeight="1" outlineLevel="1">
      <c r="A15" s="800" t="s">
        <v>618</v>
      </c>
      <c r="B15" s="800" t="s">
        <v>605</v>
      </c>
      <c r="C15" s="800">
        <v>10</v>
      </c>
      <c r="D15" s="801">
        <v>0</v>
      </c>
      <c r="E15" s="777">
        <v>4.38</v>
      </c>
      <c r="F15" s="777">
        <f t="shared" si="1"/>
        <v>0</v>
      </c>
      <c r="G15" s="777">
        <f t="shared" si="2"/>
        <v>44.75</v>
      </c>
      <c r="H15" s="777">
        <f t="shared" si="3"/>
        <v>1.85</v>
      </c>
      <c r="I15" s="777">
        <f t="shared" si="3"/>
        <v>418.55</v>
      </c>
      <c r="J15" s="802">
        <f t="shared" si="0"/>
        <v>0</v>
      </c>
      <c r="K15" s="801">
        <f>IF('Modelo 1.0 - NS'!R14=1,'Modelo 2.0 - Cubação'!E15,IF((E15-'Modelo 1.0 - NS'!U14)&lt;=0,E15,'Modelo 1.0 - NS'!U14))</f>
        <v>4.38</v>
      </c>
      <c r="L15" s="777">
        <f>'Modelo 1.0 - NS'!Q14</f>
        <v>4.6960000000000006</v>
      </c>
      <c r="M15" s="777">
        <f t="shared" si="4"/>
        <v>0</v>
      </c>
      <c r="N15" s="777">
        <f t="shared" si="7"/>
        <v>44.75</v>
      </c>
      <c r="O15" s="777">
        <f t="shared" si="5"/>
        <v>46.960000000000008</v>
      </c>
      <c r="P15" s="777">
        <f t="shared" si="6"/>
        <v>0</v>
      </c>
      <c r="Q15" s="777">
        <f t="shared" si="6"/>
        <v>418.55</v>
      </c>
      <c r="R15" s="777">
        <f t="shared" si="6"/>
        <v>358.15000000000009</v>
      </c>
      <c r="T15" s="777">
        <v>0</v>
      </c>
      <c r="U15" s="777">
        <v>0</v>
      </c>
      <c r="V15" s="777">
        <v>3.28</v>
      </c>
      <c r="W15" s="777">
        <v>32.799999999999997</v>
      </c>
      <c r="Y15" s="803">
        <v>0</v>
      </c>
      <c r="Z15" s="803">
        <v>0</v>
      </c>
      <c r="AA15" s="803">
        <v>0</v>
      </c>
      <c r="AB15" s="803">
        <v>0</v>
      </c>
      <c r="AD15" s="777">
        <v>0</v>
      </c>
      <c r="AE15" s="777">
        <v>0</v>
      </c>
      <c r="AF15" s="777">
        <v>58.18</v>
      </c>
      <c r="AG15" s="804">
        <v>0</v>
      </c>
      <c r="AH15" s="804">
        <v>-58.18</v>
      </c>
      <c r="AI15" s="777">
        <v>-542.29</v>
      </c>
      <c r="AK15" s="805" t="s">
        <v>67</v>
      </c>
      <c r="AL15" s="806">
        <v>0</v>
      </c>
      <c r="AM15" s="805" t="s">
        <v>67</v>
      </c>
      <c r="AN15" s="806">
        <v>0</v>
      </c>
      <c r="AO15" s="807">
        <v>44.75</v>
      </c>
      <c r="AP15" s="808">
        <v>417.13</v>
      </c>
      <c r="AR15" s="809" t="s">
        <v>67</v>
      </c>
      <c r="AS15" s="809">
        <v>0</v>
      </c>
      <c r="AT15" s="810" t="s">
        <v>67</v>
      </c>
      <c r="AU15" s="809">
        <v>0</v>
      </c>
      <c r="AV15" s="811">
        <v>0</v>
      </c>
      <c r="AW15" s="811">
        <v>0</v>
      </c>
      <c r="AY15" s="812" t="s">
        <v>67</v>
      </c>
      <c r="AZ15" s="768">
        <v>0</v>
      </c>
      <c r="BA15" s="813" t="s">
        <v>67</v>
      </c>
      <c r="BB15" s="768">
        <v>0</v>
      </c>
      <c r="BC15" s="814">
        <v>0</v>
      </c>
      <c r="BD15" s="808">
        <v>0</v>
      </c>
      <c r="BF15" s="766" t="s">
        <v>67</v>
      </c>
      <c r="BG15" s="766">
        <v>0</v>
      </c>
      <c r="BH15" s="767" t="s">
        <v>67</v>
      </c>
      <c r="BI15" s="766">
        <v>0</v>
      </c>
      <c r="BJ15" s="814">
        <v>0</v>
      </c>
      <c r="BK15" s="808">
        <v>0</v>
      </c>
      <c r="BM15" s="766" t="s">
        <v>67</v>
      </c>
      <c r="BN15" s="766">
        <v>0</v>
      </c>
      <c r="BO15" s="767" t="s">
        <v>67</v>
      </c>
      <c r="BP15" s="768">
        <v>0</v>
      </c>
      <c r="BQ15" s="814">
        <v>0</v>
      </c>
      <c r="BR15" s="808">
        <v>0</v>
      </c>
      <c r="BT15" s="766" t="s">
        <v>67</v>
      </c>
      <c r="BU15" s="771">
        <v>0</v>
      </c>
      <c r="BV15" s="815" t="s">
        <v>67</v>
      </c>
      <c r="BW15" s="771">
        <v>0</v>
      </c>
      <c r="BX15" s="814">
        <v>32.799999999999997</v>
      </c>
      <c r="BY15" s="808">
        <v>246</v>
      </c>
      <c r="CA15" s="771" t="s">
        <v>67</v>
      </c>
      <c r="CB15" s="771">
        <v>0</v>
      </c>
      <c r="CC15" s="815" t="s">
        <v>67</v>
      </c>
      <c r="CD15" s="771">
        <v>0</v>
      </c>
      <c r="CE15" s="814">
        <v>0</v>
      </c>
      <c r="CF15" s="808">
        <v>0</v>
      </c>
      <c r="CH15" s="771" t="s">
        <v>67</v>
      </c>
      <c r="CI15" s="771">
        <v>0</v>
      </c>
      <c r="CJ15" s="771" t="s">
        <v>67</v>
      </c>
      <c r="CK15" s="771">
        <v>0</v>
      </c>
      <c r="CL15" s="814">
        <v>0</v>
      </c>
      <c r="CM15" s="816">
        <v>0</v>
      </c>
      <c r="CO15" s="817">
        <v>0.1</v>
      </c>
      <c r="CP15" s="818">
        <v>990</v>
      </c>
      <c r="CQ15" s="819">
        <v>0</v>
      </c>
      <c r="CR15" s="819">
        <v>0</v>
      </c>
    </row>
    <row r="16" spans="1:96" ht="13.15" customHeight="1" outlineLevel="1">
      <c r="A16" s="800" t="s">
        <v>621</v>
      </c>
      <c r="B16" s="800" t="s">
        <v>605</v>
      </c>
      <c r="C16" s="800">
        <v>0</v>
      </c>
      <c r="D16" s="801">
        <v>0.02</v>
      </c>
      <c r="E16" s="777">
        <v>4.3899999999999997</v>
      </c>
      <c r="F16" s="777">
        <f t="shared" si="1"/>
        <v>0.1</v>
      </c>
      <c r="G16" s="777">
        <f t="shared" si="2"/>
        <v>43.85</v>
      </c>
      <c r="H16" s="777">
        <f t="shared" si="3"/>
        <v>1.9500000000000002</v>
      </c>
      <c r="I16" s="777">
        <f t="shared" si="3"/>
        <v>462.40000000000003</v>
      </c>
      <c r="J16" s="802">
        <f t="shared" si="0"/>
        <v>0</v>
      </c>
      <c r="K16" s="801">
        <f>IF('Modelo 1.0 - NS'!R15=1,'Modelo 2.0 - Cubação'!E16,IF((E16-'Modelo 1.0 - NS'!U15)&lt;=0,E16,'Modelo 1.0 - NS'!U15))</f>
        <v>4.3899999999999997</v>
      </c>
      <c r="L16" s="777">
        <f>'Modelo 1.0 - NS'!Q15</f>
        <v>4.6960000000000006</v>
      </c>
      <c r="M16" s="777">
        <f t="shared" si="4"/>
        <v>0</v>
      </c>
      <c r="N16" s="777">
        <f t="shared" si="7"/>
        <v>43.849999999999994</v>
      </c>
      <c r="O16" s="777">
        <f t="shared" si="5"/>
        <v>46.960000000000008</v>
      </c>
      <c r="P16" s="777">
        <f t="shared" si="6"/>
        <v>0</v>
      </c>
      <c r="Q16" s="777">
        <f t="shared" si="6"/>
        <v>462.4</v>
      </c>
      <c r="R16" s="777">
        <f t="shared" si="6"/>
        <v>405.11000000000013</v>
      </c>
      <c r="T16" s="777">
        <v>0</v>
      </c>
      <c r="U16" s="777">
        <v>0</v>
      </c>
      <c r="V16" s="777">
        <v>3.28</v>
      </c>
      <c r="W16" s="777">
        <v>32.799999999999997</v>
      </c>
      <c r="Y16" s="803">
        <v>0</v>
      </c>
      <c r="Z16" s="803">
        <v>0</v>
      </c>
      <c r="AA16" s="803">
        <v>0</v>
      </c>
      <c r="AB16" s="803">
        <v>0</v>
      </c>
      <c r="AD16" s="777">
        <v>0.1</v>
      </c>
      <c r="AE16" s="777">
        <v>0</v>
      </c>
      <c r="AF16" s="777">
        <v>57.01</v>
      </c>
      <c r="AG16" s="804">
        <v>0.1</v>
      </c>
      <c r="AH16" s="804">
        <v>-56.91</v>
      </c>
      <c r="AI16" s="777">
        <v>-599.19999999999993</v>
      </c>
      <c r="AK16" s="805" t="s">
        <v>67</v>
      </c>
      <c r="AL16" s="806">
        <v>0</v>
      </c>
      <c r="AM16" s="805" t="s">
        <v>67</v>
      </c>
      <c r="AN16" s="806">
        <v>0</v>
      </c>
      <c r="AO16" s="807">
        <v>43.78</v>
      </c>
      <c r="AP16" s="808">
        <v>460.90999999999997</v>
      </c>
      <c r="AR16" s="809" t="s">
        <v>67</v>
      </c>
      <c r="AS16" s="809">
        <v>0</v>
      </c>
      <c r="AT16" s="810" t="s">
        <v>67</v>
      </c>
      <c r="AU16" s="809">
        <v>0</v>
      </c>
      <c r="AV16" s="811">
        <v>0</v>
      </c>
      <c r="AW16" s="811">
        <v>0</v>
      </c>
      <c r="AY16" s="812" t="s">
        <v>67</v>
      </c>
      <c r="AZ16" s="768">
        <v>0</v>
      </c>
      <c r="BA16" s="813" t="s">
        <v>67</v>
      </c>
      <c r="BB16" s="768">
        <v>0</v>
      </c>
      <c r="BC16" s="814">
        <v>0</v>
      </c>
      <c r="BD16" s="808">
        <v>0</v>
      </c>
      <c r="BF16" s="766" t="s">
        <v>67</v>
      </c>
      <c r="BG16" s="766">
        <v>0</v>
      </c>
      <c r="BH16" s="767" t="s">
        <v>67</v>
      </c>
      <c r="BI16" s="766">
        <v>0</v>
      </c>
      <c r="BJ16" s="814">
        <v>0</v>
      </c>
      <c r="BK16" s="808">
        <v>0</v>
      </c>
      <c r="BM16" s="766" t="s">
        <v>67</v>
      </c>
      <c r="BN16" s="766">
        <v>0</v>
      </c>
      <c r="BO16" s="767" t="s">
        <v>67</v>
      </c>
      <c r="BP16" s="768">
        <v>0</v>
      </c>
      <c r="BQ16" s="814">
        <v>0</v>
      </c>
      <c r="BR16" s="808">
        <v>0</v>
      </c>
      <c r="BT16" s="766" t="s">
        <v>67</v>
      </c>
      <c r="BU16" s="771">
        <v>0</v>
      </c>
      <c r="BV16" s="815" t="s">
        <v>67</v>
      </c>
      <c r="BW16" s="771">
        <v>0</v>
      </c>
      <c r="BX16" s="814">
        <v>32.799999999999997</v>
      </c>
      <c r="BY16" s="808">
        <v>278.8</v>
      </c>
      <c r="CA16" s="771" t="s">
        <v>67</v>
      </c>
      <c r="CB16" s="771">
        <v>0</v>
      </c>
      <c r="CC16" s="815" t="s">
        <v>67</v>
      </c>
      <c r="CD16" s="771">
        <v>0</v>
      </c>
      <c r="CE16" s="814">
        <v>0</v>
      </c>
      <c r="CF16" s="808">
        <v>0</v>
      </c>
      <c r="CH16" s="771" t="s">
        <v>812</v>
      </c>
      <c r="CI16" s="771">
        <v>1</v>
      </c>
      <c r="CJ16" s="771" t="s">
        <v>67</v>
      </c>
      <c r="CK16" s="771">
        <v>0</v>
      </c>
      <c r="CL16" s="814">
        <v>0.1</v>
      </c>
      <c r="CM16" s="816">
        <v>0.1</v>
      </c>
      <c r="CO16" s="817">
        <v>0.1</v>
      </c>
      <c r="CP16" s="818">
        <v>1000</v>
      </c>
      <c r="CQ16" s="819">
        <v>0</v>
      </c>
      <c r="CR16" s="819">
        <v>-0.1</v>
      </c>
    </row>
    <row r="17" spans="1:96" ht="13.15" customHeight="1" outlineLevel="1">
      <c r="A17" s="800" t="s">
        <v>621</v>
      </c>
      <c r="B17" s="800" t="s">
        <v>605</v>
      </c>
      <c r="C17" s="800">
        <v>10</v>
      </c>
      <c r="D17" s="801">
        <v>0</v>
      </c>
      <c r="E17" s="777">
        <v>3.58</v>
      </c>
      <c r="F17" s="777">
        <f t="shared" si="1"/>
        <v>0.1</v>
      </c>
      <c r="G17" s="777">
        <f t="shared" si="2"/>
        <v>39.85</v>
      </c>
      <c r="H17" s="777">
        <f t="shared" si="3"/>
        <v>2.0500000000000003</v>
      </c>
      <c r="I17" s="777">
        <f t="shared" si="3"/>
        <v>502.25000000000006</v>
      </c>
      <c r="J17" s="802">
        <f t="shared" si="0"/>
        <v>0</v>
      </c>
      <c r="K17" s="801">
        <f>IF('Modelo 1.0 - NS'!R16=1,'Modelo 2.0 - Cubação'!E17,IF((E17-'Modelo 1.0 - NS'!U16)&lt;=0,E17,'Modelo 1.0 - NS'!U16))</f>
        <v>3.58</v>
      </c>
      <c r="L17" s="777">
        <f>'Modelo 1.0 - NS'!Q16</f>
        <v>4.6960000000000006</v>
      </c>
      <c r="M17" s="777">
        <f t="shared" si="4"/>
        <v>0</v>
      </c>
      <c r="N17" s="777">
        <f t="shared" si="7"/>
        <v>39.85</v>
      </c>
      <c r="O17" s="777">
        <f t="shared" si="5"/>
        <v>46.960000000000008</v>
      </c>
      <c r="P17" s="777">
        <f t="shared" si="6"/>
        <v>0</v>
      </c>
      <c r="Q17" s="777">
        <f t="shared" si="6"/>
        <v>502.25</v>
      </c>
      <c r="R17" s="777">
        <f t="shared" si="6"/>
        <v>452.07000000000016</v>
      </c>
      <c r="T17" s="777">
        <v>0</v>
      </c>
      <c r="U17" s="777">
        <v>0</v>
      </c>
      <c r="V17" s="777">
        <v>3.28</v>
      </c>
      <c r="W17" s="777">
        <v>32.799999999999997</v>
      </c>
      <c r="Y17" s="803">
        <v>0</v>
      </c>
      <c r="Z17" s="803">
        <v>0</v>
      </c>
      <c r="AA17" s="803">
        <v>0</v>
      </c>
      <c r="AB17" s="803">
        <v>0</v>
      </c>
      <c r="AD17" s="777">
        <v>0.1</v>
      </c>
      <c r="AE17" s="777">
        <v>0</v>
      </c>
      <c r="AF17" s="777">
        <v>51.81</v>
      </c>
      <c r="AG17" s="804">
        <v>0.1</v>
      </c>
      <c r="AH17" s="804">
        <v>-51.71</v>
      </c>
      <c r="AI17" s="777">
        <v>-650.91</v>
      </c>
      <c r="AK17" s="805" t="s">
        <v>67</v>
      </c>
      <c r="AL17" s="806">
        <v>0</v>
      </c>
      <c r="AM17" s="805" t="s">
        <v>67</v>
      </c>
      <c r="AN17" s="806">
        <v>0</v>
      </c>
      <c r="AO17" s="807">
        <v>39.78</v>
      </c>
      <c r="AP17" s="808">
        <v>500.68999999999994</v>
      </c>
      <c r="AR17" s="809" t="s">
        <v>67</v>
      </c>
      <c r="AS17" s="809">
        <v>0</v>
      </c>
      <c r="AT17" s="810" t="s">
        <v>67</v>
      </c>
      <c r="AU17" s="809">
        <v>0</v>
      </c>
      <c r="AV17" s="811">
        <v>0</v>
      </c>
      <c r="AW17" s="811">
        <v>0</v>
      </c>
      <c r="AY17" s="812" t="s">
        <v>67</v>
      </c>
      <c r="AZ17" s="768">
        <v>0</v>
      </c>
      <c r="BA17" s="813" t="s">
        <v>67</v>
      </c>
      <c r="BB17" s="768">
        <v>0</v>
      </c>
      <c r="BC17" s="814">
        <v>0</v>
      </c>
      <c r="BD17" s="808">
        <v>0</v>
      </c>
      <c r="BF17" s="766" t="s">
        <v>67</v>
      </c>
      <c r="BG17" s="766">
        <v>0</v>
      </c>
      <c r="BH17" s="767" t="s">
        <v>67</v>
      </c>
      <c r="BI17" s="766">
        <v>0</v>
      </c>
      <c r="BJ17" s="814">
        <v>0</v>
      </c>
      <c r="BK17" s="808">
        <v>0</v>
      </c>
      <c r="BM17" s="766" t="s">
        <v>67</v>
      </c>
      <c r="BN17" s="766">
        <v>0</v>
      </c>
      <c r="BO17" s="767" t="s">
        <v>67</v>
      </c>
      <c r="BP17" s="768">
        <v>0</v>
      </c>
      <c r="BQ17" s="814">
        <v>0</v>
      </c>
      <c r="BR17" s="808">
        <v>0</v>
      </c>
      <c r="BT17" s="766" t="s">
        <v>67</v>
      </c>
      <c r="BU17" s="771">
        <v>0</v>
      </c>
      <c r="BV17" s="815" t="s">
        <v>67</v>
      </c>
      <c r="BW17" s="771">
        <v>0</v>
      </c>
      <c r="BX17" s="814">
        <v>32.799999999999997</v>
      </c>
      <c r="BY17" s="808">
        <v>311.60000000000002</v>
      </c>
      <c r="CA17" s="771" t="s">
        <v>67</v>
      </c>
      <c r="CB17" s="771">
        <v>0</v>
      </c>
      <c r="CC17" s="815" t="s">
        <v>67</v>
      </c>
      <c r="CD17" s="771">
        <v>0</v>
      </c>
      <c r="CE17" s="814">
        <v>0</v>
      </c>
      <c r="CF17" s="808">
        <v>0</v>
      </c>
      <c r="CH17" s="771" t="s">
        <v>67</v>
      </c>
      <c r="CI17" s="771">
        <v>0</v>
      </c>
      <c r="CJ17" s="771" t="s">
        <v>812</v>
      </c>
      <c r="CK17" s="771">
        <v>1</v>
      </c>
      <c r="CL17" s="814">
        <v>0.1</v>
      </c>
      <c r="CM17" s="816">
        <v>0.2</v>
      </c>
      <c r="CO17" s="817">
        <v>0.1</v>
      </c>
      <c r="CP17" s="818">
        <v>1010</v>
      </c>
      <c r="CQ17" s="819">
        <v>0</v>
      </c>
      <c r="CR17" s="819">
        <v>-0.1</v>
      </c>
    </row>
    <row r="18" spans="1:96" ht="13.15" customHeight="1" outlineLevel="1">
      <c r="A18" s="800" t="s">
        <v>624</v>
      </c>
      <c r="B18" s="800" t="s">
        <v>605</v>
      </c>
      <c r="C18" s="800">
        <v>0</v>
      </c>
      <c r="D18" s="801">
        <v>0</v>
      </c>
      <c r="E18" s="777">
        <v>2.8</v>
      </c>
      <c r="F18" s="777">
        <f t="shared" si="1"/>
        <v>0</v>
      </c>
      <c r="G18" s="777">
        <f t="shared" si="2"/>
        <v>31.9</v>
      </c>
      <c r="H18" s="777">
        <f t="shared" si="3"/>
        <v>2.0500000000000003</v>
      </c>
      <c r="I18" s="777">
        <f t="shared" si="3"/>
        <v>534.15000000000009</v>
      </c>
      <c r="J18" s="802">
        <f t="shared" si="0"/>
        <v>0</v>
      </c>
      <c r="K18" s="801">
        <f>IF('Modelo 1.0 - NS'!R17=1,'Modelo 2.0 - Cubação'!E18,IF((E18-'Modelo 1.0 - NS'!U17)&lt;=0,E18,'Modelo 1.0 - NS'!U17))</f>
        <v>2.8</v>
      </c>
      <c r="L18" s="777">
        <f>'Modelo 1.0 - NS'!Q17</f>
        <v>4.6960000000000006</v>
      </c>
      <c r="M18" s="777">
        <f t="shared" si="4"/>
        <v>0</v>
      </c>
      <c r="N18" s="777">
        <f t="shared" si="7"/>
        <v>31.9</v>
      </c>
      <c r="O18" s="777">
        <f t="shared" si="5"/>
        <v>46.960000000000008</v>
      </c>
      <c r="P18" s="777">
        <f t="shared" si="6"/>
        <v>0</v>
      </c>
      <c r="Q18" s="777">
        <f t="shared" si="6"/>
        <v>534.15</v>
      </c>
      <c r="R18" s="777">
        <f t="shared" si="6"/>
        <v>499.0300000000002</v>
      </c>
      <c r="T18" s="777">
        <v>0</v>
      </c>
      <c r="U18" s="777">
        <v>0</v>
      </c>
      <c r="V18" s="777">
        <v>3.28</v>
      </c>
      <c r="W18" s="777">
        <v>32.799999999999997</v>
      </c>
      <c r="Y18" s="803">
        <v>0</v>
      </c>
      <c r="Z18" s="803">
        <v>0</v>
      </c>
      <c r="AA18" s="803">
        <v>0</v>
      </c>
      <c r="AB18" s="803">
        <v>0</v>
      </c>
      <c r="AD18" s="777">
        <v>0</v>
      </c>
      <c r="AE18" s="777">
        <v>0</v>
      </c>
      <c r="AF18" s="777">
        <v>41.47</v>
      </c>
      <c r="AG18" s="804">
        <v>0</v>
      </c>
      <c r="AH18" s="804">
        <v>-41.47</v>
      </c>
      <c r="AI18" s="777">
        <v>-692.38</v>
      </c>
      <c r="AK18" s="805" t="s">
        <v>67</v>
      </c>
      <c r="AL18" s="806">
        <v>0</v>
      </c>
      <c r="AM18" s="805" t="s">
        <v>67</v>
      </c>
      <c r="AN18" s="806">
        <v>0</v>
      </c>
      <c r="AO18" s="807">
        <v>31.9</v>
      </c>
      <c r="AP18" s="808">
        <v>532.58999999999992</v>
      </c>
      <c r="AR18" s="809" t="s">
        <v>67</v>
      </c>
      <c r="AS18" s="809">
        <v>0</v>
      </c>
      <c r="AT18" s="810" t="s">
        <v>67</v>
      </c>
      <c r="AU18" s="809">
        <v>0</v>
      </c>
      <c r="AV18" s="811">
        <v>0</v>
      </c>
      <c r="AW18" s="811">
        <v>0</v>
      </c>
      <c r="AY18" s="812" t="s">
        <v>67</v>
      </c>
      <c r="AZ18" s="768">
        <v>0</v>
      </c>
      <c r="BA18" s="813" t="s">
        <v>67</v>
      </c>
      <c r="BB18" s="768">
        <v>0</v>
      </c>
      <c r="BC18" s="814">
        <v>0</v>
      </c>
      <c r="BD18" s="808">
        <v>0</v>
      </c>
      <c r="BF18" s="766" t="s">
        <v>67</v>
      </c>
      <c r="BG18" s="766">
        <v>0</v>
      </c>
      <c r="BH18" s="767" t="s">
        <v>67</v>
      </c>
      <c r="BI18" s="766">
        <v>0</v>
      </c>
      <c r="BJ18" s="814">
        <v>0</v>
      </c>
      <c r="BK18" s="808">
        <v>0</v>
      </c>
      <c r="BM18" s="766" t="s">
        <v>67</v>
      </c>
      <c r="BN18" s="766">
        <v>0</v>
      </c>
      <c r="BO18" s="767" t="s">
        <v>67</v>
      </c>
      <c r="BP18" s="768">
        <v>0</v>
      </c>
      <c r="BQ18" s="814">
        <v>0</v>
      </c>
      <c r="BR18" s="808">
        <v>0</v>
      </c>
      <c r="BT18" s="766" t="s">
        <v>67</v>
      </c>
      <c r="BU18" s="771">
        <v>0</v>
      </c>
      <c r="BV18" s="815" t="s">
        <v>67</v>
      </c>
      <c r="BW18" s="771">
        <v>0</v>
      </c>
      <c r="BX18" s="814">
        <v>32.799999999999997</v>
      </c>
      <c r="BY18" s="808">
        <v>344.40000000000003</v>
      </c>
      <c r="CA18" s="771" t="s">
        <v>67</v>
      </c>
      <c r="CB18" s="771">
        <v>0</v>
      </c>
      <c r="CC18" s="815" t="s">
        <v>67</v>
      </c>
      <c r="CD18" s="771">
        <v>0</v>
      </c>
      <c r="CE18" s="814">
        <v>0</v>
      </c>
      <c r="CF18" s="808">
        <v>0</v>
      </c>
      <c r="CH18" s="771" t="s">
        <v>67</v>
      </c>
      <c r="CI18" s="771">
        <v>0</v>
      </c>
      <c r="CJ18" s="771" t="s">
        <v>67</v>
      </c>
      <c r="CK18" s="771">
        <v>0</v>
      </c>
      <c r="CL18" s="814">
        <v>0</v>
      </c>
      <c r="CM18" s="816">
        <v>0</v>
      </c>
      <c r="CO18" s="817">
        <v>0.1</v>
      </c>
      <c r="CP18" s="818">
        <v>1020</v>
      </c>
      <c r="CQ18" s="819">
        <v>0</v>
      </c>
      <c r="CR18" s="819">
        <v>0</v>
      </c>
    </row>
    <row r="19" spans="1:96" ht="13.15" customHeight="1" outlineLevel="1">
      <c r="A19" s="800" t="s">
        <v>624</v>
      </c>
      <c r="B19" s="800" t="s">
        <v>605</v>
      </c>
      <c r="C19" s="800">
        <v>10</v>
      </c>
      <c r="D19" s="801">
        <v>0</v>
      </c>
      <c r="E19" s="777">
        <v>2.5099999999999998</v>
      </c>
      <c r="F19" s="777">
        <f t="shared" si="1"/>
        <v>0</v>
      </c>
      <c r="G19" s="777">
        <f t="shared" si="2"/>
        <v>26.55</v>
      </c>
      <c r="H19" s="777">
        <f t="shared" si="3"/>
        <v>2.0500000000000003</v>
      </c>
      <c r="I19" s="777">
        <f t="shared" si="3"/>
        <v>560.70000000000005</v>
      </c>
      <c r="J19" s="802">
        <f t="shared" si="0"/>
        <v>0</v>
      </c>
      <c r="K19" s="801">
        <f>IF('Modelo 1.0 - NS'!R18=1,'Modelo 2.0 - Cubação'!E19,IF((E19-'Modelo 1.0 - NS'!U18)&lt;=0,E19,'Modelo 1.0 - NS'!U18))</f>
        <v>2.5099999999999998</v>
      </c>
      <c r="L19" s="777">
        <f>'Modelo 1.0 - NS'!Q18</f>
        <v>4.6960000000000006</v>
      </c>
      <c r="M19" s="777">
        <f t="shared" si="4"/>
        <v>0</v>
      </c>
      <c r="N19" s="777">
        <f t="shared" si="7"/>
        <v>26.549999999999997</v>
      </c>
      <c r="O19" s="777">
        <f t="shared" si="5"/>
        <v>46.960000000000008</v>
      </c>
      <c r="P19" s="777">
        <f t="shared" si="6"/>
        <v>0</v>
      </c>
      <c r="Q19" s="777">
        <f t="shared" si="6"/>
        <v>560.69999999999993</v>
      </c>
      <c r="R19" s="777">
        <f t="shared" si="6"/>
        <v>545.99000000000024</v>
      </c>
      <c r="T19" s="777">
        <v>0</v>
      </c>
      <c r="U19" s="777">
        <v>0</v>
      </c>
      <c r="V19" s="777">
        <v>3.28</v>
      </c>
      <c r="W19" s="777">
        <v>32.799999999999997</v>
      </c>
      <c r="Y19" s="803">
        <v>0</v>
      </c>
      <c r="Z19" s="803">
        <v>0</v>
      </c>
      <c r="AA19" s="803">
        <v>0</v>
      </c>
      <c r="AB19" s="803">
        <v>0</v>
      </c>
      <c r="AD19" s="777">
        <v>0</v>
      </c>
      <c r="AE19" s="777">
        <v>0</v>
      </c>
      <c r="AF19" s="777">
        <v>34.520000000000003</v>
      </c>
      <c r="AG19" s="804">
        <v>0</v>
      </c>
      <c r="AH19" s="804">
        <v>-34.520000000000003</v>
      </c>
      <c r="AI19" s="777">
        <v>-726.9</v>
      </c>
      <c r="AK19" s="805" t="s">
        <v>67</v>
      </c>
      <c r="AL19" s="806">
        <v>0</v>
      </c>
      <c r="AM19" s="805" t="s">
        <v>67</v>
      </c>
      <c r="AN19" s="806">
        <v>0</v>
      </c>
      <c r="AO19" s="807">
        <v>26.55</v>
      </c>
      <c r="AP19" s="808">
        <v>559.13999999999987</v>
      </c>
      <c r="AR19" s="809" t="s">
        <v>67</v>
      </c>
      <c r="AS19" s="809">
        <v>0</v>
      </c>
      <c r="AT19" s="810" t="s">
        <v>67</v>
      </c>
      <c r="AU19" s="809">
        <v>0</v>
      </c>
      <c r="AV19" s="811">
        <v>0</v>
      </c>
      <c r="AW19" s="811">
        <v>0</v>
      </c>
      <c r="AY19" s="812" t="s">
        <v>67</v>
      </c>
      <c r="AZ19" s="768">
        <v>0</v>
      </c>
      <c r="BA19" s="813" t="s">
        <v>67</v>
      </c>
      <c r="BB19" s="768">
        <v>0</v>
      </c>
      <c r="BC19" s="814">
        <v>0</v>
      </c>
      <c r="BD19" s="808">
        <v>0</v>
      </c>
      <c r="BF19" s="766" t="s">
        <v>67</v>
      </c>
      <c r="BG19" s="766">
        <v>0</v>
      </c>
      <c r="BH19" s="767" t="s">
        <v>67</v>
      </c>
      <c r="BI19" s="766">
        <v>0</v>
      </c>
      <c r="BJ19" s="814">
        <v>0</v>
      </c>
      <c r="BK19" s="808">
        <v>0</v>
      </c>
      <c r="BM19" s="766" t="s">
        <v>67</v>
      </c>
      <c r="BN19" s="766">
        <v>0</v>
      </c>
      <c r="BO19" s="767" t="s">
        <v>67</v>
      </c>
      <c r="BP19" s="768">
        <v>0</v>
      </c>
      <c r="BQ19" s="814">
        <v>0</v>
      </c>
      <c r="BR19" s="808">
        <v>0</v>
      </c>
      <c r="BT19" s="766" t="s">
        <v>67</v>
      </c>
      <c r="BU19" s="771">
        <v>0</v>
      </c>
      <c r="BV19" s="815" t="s">
        <v>67</v>
      </c>
      <c r="BW19" s="771">
        <v>0</v>
      </c>
      <c r="BX19" s="814">
        <v>32.799999999999997</v>
      </c>
      <c r="BY19" s="808">
        <v>377.20000000000005</v>
      </c>
      <c r="CA19" s="771" t="s">
        <v>67</v>
      </c>
      <c r="CB19" s="771">
        <v>0</v>
      </c>
      <c r="CC19" s="815" t="s">
        <v>67</v>
      </c>
      <c r="CD19" s="771">
        <v>0</v>
      </c>
      <c r="CE19" s="814">
        <v>0</v>
      </c>
      <c r="CF19" s="808">
        <v>0</v>
      </c>
      <c r="CH19" s="771" t="s">
        <v>67</v>
      </c>
      <c r="CI19" s="771">
        <v>0</v>
      </c>
      <c r="CJ19" s="771" t="s">
        <v>67</v>
      </c>
      <c r="CK19" s="771">
        <v>0</v>
      </c>
      <c r="CL19" s="814">
        <v>0</v>
      </c>
      <c r="CM19" s="816">
        <v>0</v>
      </c>
      <c r="CO19" s="817">
        <v>0.1</v>
      </c>
      <c r="CP19" s="818">
        <v>1030</v>
      </c>
      <c r="CQ19" s="819">
        <v>0</v>
      </c>
      <c r="CR19" s="819">
        <v>0</v>
      </c>
    </row>
    <row r="20" spans="1:96" ht="13.15" customHeight="1" outlineLevel="1">
      <c r="A20" s="800" t="s">
        <v>627</v>
      </c>
      <c r="B20" s="800" t="s">
        <v>605</v>
      </c>
      <c r="C20" s="800">
        <v>0</v>
      </c>
      <c r="D20" s="801">
        <v>0.02</v>
      </c>
      <c r="E20" s="777">
        <v>2.2000000000000002</v>
      </c>
      <c r="F20" s="777">
        <f t="shared" si="1"/>
        <v>0.1</v>
      </c>
      <c r="G20" s="777">
        <f t="shared" si="2"/>
        <v>23.55</v>
      </c>
      <c r="H20" s="777">
        <f t="shared" si="3"/>
        <v>2.1500000000000004</v>
      </c>
      <c r="I20" s="777">
        <f t="shared" si="3"/>
        <v>584.25</v>
      </c>
      <c r="J20" s="802">
        <f t="shared" si="0"/>
        <v>0</v>
      </c>
      <c r="K20" s="801">
        <f>IF('Modelo 1.0 - NS'!R19=1,'Modelo 2.0 - Cubação'!E20,IF((E20-'Modelo 1.0 - NS'!U19)&lt;=0,E20,'Modelo 1.0 - NS'!U19))</f>
        <v>2.2000000000000002</v>
      </c>
      <c r="L20" s="777">
        <f>'Modelo 1.0 - NS'!Q19</f>
        <v>4.6960000000000006</v>
      </c>
      <c r="M20" s="777">
        <f t="shared" si="4"/>
        <v>0</v>
      </c>
      <c r="N20" s="777">
        <f t="shared" si="7"/>
        <v>23.55</v>
      </c>
      <c r="O20" s="777">
        <f t="shared" si="5"/>
        <v>46.960000000000008</v>
      </c>
      <c r="P20" s="777">
        <f t="shared" si="6"/>
        <v>0</v>
      </c>
      <c r="Q20" s="777">
        <f t="shared" si="6"/>
        <v>584.24999999999989</v>
      </c>
      <c r="R20" s="777">
        <f t="shared" si="6"/>
        <v>592.95000000000027</v>
      </c>
      <c r="T20" s="777">
        <v>0</v>
      </c>
      <c r="U20" s="777">
        <v>0</v>
      </c>
      <c r="V20" s="777">
        <v>3.28</v>
      </c>
      <c r="W20" s="777">
        <v>32.799999999999997</v>
      </c>
      <c r="Y20" s="803">
        <v>0</v>
      </c>
      <c r="Z20" s="803">
        <v>0</v>
      </c>
      <c r="AA20" s="803">
        <v>0</v>
      </c>
      <c r="AB20" s="803">
        <v>0</v>
      </c>
      <c r="AD20" s="777">
        <v>0.1</v>
      </c>
      <c r="AE20" s="777">
        <v>0</v>
      </c>
      <c r="AF20" s="777">
        <v>30.62</v>
      </c>
      <c r="AG20" s="804">
        <v>0.1</v>
      </c>
      <c r="AH20" s="804">
        <v>-30.52</v>
      </c>
      <c r="AI20" s="777">
        <v>-757.42</v>
      </c>
      <c r="AK20" s="805" t="s">
        <v>67</v>
      </c>
      <c r="AL20" s="806">
        <v>0</v>
      </c>
      <c r="AM20" s="805" t="s">
        <v>67</v>
      </c>
      <c r="AN20" s="806">
        <v>0</v>
      </c>
      <c r="AO20" s="807">
        <v>23.48</v>
      </c>
      <c r="AP20" s="808">
        <v>582.61999999999989</v>
      </c>
      <c r="AR20" s="809" t="s">
        <v>67</v>
      </c>
      <c r="AS20" s="809">
        <v>0</v>
      </c>
      <c r="AT20" s="810" t="s">
        <v>67</v>
      </c>
      <c r="AU20" s="809">
        <v>0</v>
      </c>
      <c r="AV20" s="811">
        <v>0</v>
      </c>
      <c r="AW20" s="811">
        <v>0</v>
      </c>
      <c r="AY20" s="812" t="s">
        <v>67</v>
      </c>
      <c r="AZ20" s="768">
        <v>0</v>
      </c>
      <c r="BA20" s="813" t="s">
        <v>67</v>
      </c>
      <c r="BB20" s="768">
        <v>0</v>
      </c>
      <c r="BC20" s="814">
        <v>0</v>
      </c>
      <c r="BD20" s="808">
        <v>0</v>
      </c>
      <c r="BF20" s="766" t="s">
        <v>813</v>
      </c>
      <c r="BG20" s="766">
        <v>0</v>
      </c>
      <c r="BH20" s="767" t="s">
        <v>67</v>
      </c>
      <c r="BI20" s="766">
        <v>0</v>
      </c>
      <c r="BJ20" s="814">
        <v>0</v>
      </c>
      <c r="BK20" s="808">
        <v>0</v>
      </c>
      <c r="BM20" s="766" t="s">
        <v>67</v>
      </c>
      <c r="BN20" s="766">
        <v>0</v>
      </c>
      <c r="BO20" s="767" t="s">
        <v>67</v>
      </c>
      <c r="BP20" s="768">
        <v>0</v>
      </c>
      <c r="BQ20" s="814">
        <v>0</v>
      </c>
      <c r="BR20" s="808">
        <v>0</v>
      </c>
      <c r="BT20" s="766" t="s">
        <v>67</v>
      </c>
      <c r="BU20" s="771">
        <v>0</v>
      </c>
      <c r="BV20" s="815" t="s">
        <v>67</v>
      </c>
      <c r="BW20" s="771">
        <v>0</v>
      </c>
      <c r="BX20" s="814">
        <v>32.799999999999997</v>
      </c>
      <c r="BY20" s="808">
        <v>410.00000000000006</v>
      </c>
      <c r="CA20" s="771" t="s">
        <v>67</v>
      </c>
      <c r="CB20" s="771">
        <v>0</v>
      </c>
      <c r="CC20" s="815" t="s">
        <v>67</v>
      </c>
      <c r="CD20" s="771">
        <v>0</v>
      </c>
      <c r="CE20" s="814">
        <v>0</v>
      </c>
      <c r="CF20" s="808">
        <v>0</v>
      </c>
      <c r="CH20" s="771" t="s">
        <v>814</v>
      </c>
      <c r="CI20" s="771">
        <v>1</v>
      </c>
      <c r="CJ20" s="771" t="s">
        <v>67</v>
      </c>
      <c r="CK20" s="771">
        <v>0</v>
      </c>
      <c r="CL20" s="814">
        <v>0.1</v>
      </c>
      <c r="CM20" s="816">
        <v>0.1</v>
      </c>
      <c r="CO20" s="817">
        <v>0.1</v>
      </c>
      <c r="CP20" s="818">
        <v>1040</v>
      </c>
      <c r="CQ20" s="819">
        <v>0</v>
      </c>
      <c r="CR20" s="819">
        <v>-0.1</v>
      </c>
    </row>
    <row r="21" spans="1:96" ht="13.15" customHeight="1" outlineLevel="1">
      <c r="A21" s="800" t="s">
        <v>627</v>
      </c>
      <c r="B21" s="800" t="s">
        <v>605</v>
      </c>
      <c r="C21" s="800">
        <v>10</v>
      </c>
      <c r="D21" s="801">
        <v>0.12</v>
      </c>
      <c r="E21" s="777">
        <v>2</v>
      </c>
      <c r="F21" s="777">
        <f t="shared" si="1"/>
        <v>0.7</v>
      </c>
      <c r="G21" s="777">
        <f t="shared" si="2"/>
        <v>21</v>
      </c>
      <c r="H21" s="777">
        <f t="shared" si="3"/>
        <v>2.8500000000000005</v>
      </c>
      <c r="I21" s="777">
        <f t="shared" si="3"/>
        <v>605.25</v>
      </c>
      <c r="J21" s="802">
        <f t="shared" si="0"/>
        <v>0</v>
      </c>
      <c r="K21" s="801">
        <f>IF('Modelo 1.0 - NS'!R20=1,'Modelo 2.0 - Cubação'!E21,IF((E21-'Modelo 1.0 - NS'!U20)&lt;=0,E21,'Modelo 1.0 - NS'!U20))</f>
        <v>2</v>
      </c>
      <c r="L21" s="777">
        <f>'Modelo 1.0 - NS'!Q20</f>
        <v>4.6960000000000006</v>
      </c>
      <c r="M21" s="777">
        <f t="shared" si="4"/>
        <v>0</v>
      </c>
      <c r="N21" s="777">
        <f t="shared" si="7"/>
        <v>21</v>
      </c>
      <c r="O21" s="777">
        <f t="shared" si="5"/>
        <v>46.960000000000008</v>
      </c>
      <c r="P21" s="777">
        <f t="shared" si="6"/>
        <v>0</v>
      </c>
      <c r="Q21" s="777">
        <f t="shared" si="6"/>
        <v>605.24999999999989</v>
      </c>
      <c r="R21" s="777">
        <f t="shared" si="6"/>
        <v>639.91000000000031</v>
      </c>
      <c r="T21" s="777">
        <v>3.0950000000000006</v>
      </c>
      <c r="U21" s="777">
        <v>15.48</v>
      </c>
      <c r="V21" s="777">
        <v>0</v>
      </c>
      <c r="W21" s="777">
        <v>16.399999999999999</v>
      </c>
      <c r="Y21" s="803">
        <v>0</v>
      </c>
      <c r="Z21" s="803">
        <v>0</v>
      </c>
      <c r="AA21" s="803">
        <v>0</v>
      </c>
      <c r="AB21" s="803">
        <v>0</v>
      </c>
      <c r="AD21" s="777">
        <v>0.7</v>
      </c>
      <c r="AE21" s="777">
        <v>0</v>
      </c>
      <c r="AF21" s="777">
        <v>27.3</v>
      </c>
      <c r="AG21" s="804">
        <v>0.7</v>
      </c>
      <c r="AH21" s="804">
        <v>-26.6</v>
      </c>
      <c r="AI21" s="777">
        <v>-784.02</v>
      </c>
      <c r="AK21" s="805" t="s">
        <v>67</v>
      </c>
      <c r="AL21" s="806">
        <v>0</v>
      </c>
      <c r="AM21" s="805" t="s">
        <v>67</v>
      </c>
      <c r="AN21" s="806">
        <v>0</v>
      </c>
      <c r="AO21" s="807">
        <v>20.46</v>
      </c>
      <c r="AP21" s="808">
        <v>603.07999999999993</v>
      </c>
      <c r="AR21" s="809" t="s">
        <v>67</v>
      </c>
      <c r="AS21" s="809">
        <v>0</v>
      </c>
      <c r="AT21" s="810" t="s">
        <v>67</v>
      </c>
      <c r="AU21" s="809">
        <v>0</v>
      </c>
      <c r="AV21" s="811">
        <v>0</v>
      </c>
      <c r="AW21" s="811">
        <v>0</v>
      </c>
      <c r="AY21" s="812" t="s">
        <v>67</v>
      </c>
      <c r="AZ21" s="768">
        <v>0</v>
      </c>
      <c r="BA21" s="813" t="s">
        <v>67</v>
      </c>
      <c r="BB21" s="768">
        <v>0</v>
      </c>
      <c r="BC21" s="814">
        <v>0</v>
      </c>
      <c r="BD21" s="808">
        <v>0</v>
      </c>
      <c r="BF21" s="766" t="s">
        <v>67</v>
      </c>
      <c r="BG21" s="766">
        <v>1</v>
      </c>
      <c r="BH21" s="767" t="s">
        <v>67</v>
      </c>
      <c r="BI21" s="766">
        <v>0</v>
      </c>
      <c r="BJ21" s="814">
        <v>15.48</v>
      </c>
      <c r="BK21" s="808">
        <v>15.48</v>
      </c>
      <c r="BM21" s="766" t="s">
        <v>67</v>
      </c>
      <c r="BN21" s="766">
        <v>0</v>
      </c>
      <c r="BO21" s="767" t="s">
        <v>67</v>
      </c>
      <c r="BP21" s="768">
        <v>0</v>
      </c>
      <c r="BQ21" s="814">
        <v>0</v>
      </c>
      <c r="BR21" s="808">
        <v>0</v>
      </c>
      <c r="BT21" s="766" t="s">
        <v>67</v>
      </c>
      <c r="BU21" s="771">
        <v>0</v>
      </c>
      <c r="BV21" s="815" t="s">
        <v>810</v>
      </c>
      <c r="BW21" s="771">
        <v>1</v>
      </c>
      <c r="BX21" s="814">
        <v>16.399999999999999</v>
      </c>
      <c r="BY21" s="808">
        <v>426.40000000000003</v>
      </c>
      <c r="CA21" s="771" t="s">
        <v>67</v>
      </c>
      <c r="CB21" s="771">
        <v>0</v>
      </c>
      <c r="CC21" s="815" t="s">
        <v>67</v>
      </c>
      <c r="CD21" s="771">
        <v>0</v>
      </c>
      <c r="CE21" s="814">
        <v>0</v>
      </c>
      <c r="CF21" s="808">
        <v>0</v>
      </c>
      <c r="CH21" s="771" t="s">
        <v>67</v>
      </c>
      <c r="CI21" s="771">
        <v>0</v>
      </c>
      <c r="CJ21" s="771" t="s">
        <v>67</v>
      </c>
      <c r="CK21" s="771">
        <v>0</v>
      </c>
      <c r="CL21" s="814">
        <v>0.7</v>
      </c>
      <c r="CM21" s="816">
        <v>0.79999999999999993</v>
      </c>
      <c r="CO21" s="817">
        <v>0.1</v>
      </c>
      <c r="CP21" s="818">
        <v>1050</v>
      </c>
      <c r="CQ21" s="819">
        <v>0</v>
      </c>
      <c r="CR21" s="819">
        <v>-0.7</v>
      </c>
    </row>
    <row r="22" spans="1:96" ht="13.15" customHeight="1" outlineLevel="1">
      <c r="A22" s="800" t="s">
        <v>630</v>
      </c>
      <c r="B22" s="800" t="s">
        <v>605</v>
      </c>
      <c r="C22" s="800">
        <v>0</v>
      </c>
      <c r="D22" s="801">
        <v>0.66</v>
      </c>
      <c r="E22" s="777">
        <v>1.36</v>
      </c>
      <c r="F22" s="777">
        <f t="shared" si="1"/>
        <v>3.9</v>
      </c>
      <c r="G22" s="777">
        <f t="shared" si="2"/>
        <v>16.8</v>
      </c>
      <c r="H22" s="777">
        <f t="shared" si="3"/>
        <v>6.75</v>
      </c>
      <c r="I22" s="777">
        <f t="shared" si="3"/>
        <v>622.04999999999995</v>
      </c>
      <c r="J22" s="802">
        <f t="shared" si="0"/>
        <v>0</v>
      </c>
      <c r="K22" s="801">
        <f>IF('Modelo 1.0 - NS'!R21=1,'Modelo 2.0 - Cubação'!E22,IF((E22-'Modelo 1.0 - NS'!U21)&lt;=0,E22,'Modelo 1.0 - NS'!U21))</f>
        <v>1.36</v>
      </c>
      <c r="L22" s="777">
        <f>'Modelo 1.0 - NS'!Q21</f>
        <v>4.6960000000000006</v>
      </c>
      <c r="M22" s="777">
        <f t="shared" si="4"/>
        <v>0</v>
      </c>
      <c r="N22" s="777">
        <f t="shared" si="7"/>
        <v>16.8</v>
      </c>
      <c r="O22" s="777">
        <f t="shared" si="5"/>
        <v>46.960000000000008</v>
      </c>
      <c r="P22" s="777">
        <f t="shared" si="6"/>
        <v>0</v>
      </c>
      <c r="Q22" s="777">
        <f t="shared" si="6"/>
        <v>622.04999999999984</v>
      </c>
      <c r="R22" s="777">
        <f t="shared" si="6"/>
        <v>686.87000000000035</v>
      </c>
      <c r="T22" s="777">
        <v>3.0950000000000006</v>
      </c>
      <c r="U22" s="777">
        <v>30.95</v>
      </c>
      <c r="V22" s="777">
        <v>0</v>
      </c>
      <c r="W22" s="777">
        <v>0</v>
      </c>
      <c r="Y22" s="803">
        <v>0</v>
      </c>
      <c r="Z22" s="803">
        <v>0</v>
      </c>
      <c r="AA22" s="803">
        <v>0</v>
      </c>
      <c r="AB22" s="803">
        <v>0</v>
      </c>
      <c r="AD22" s="777">
        <v>3.9</v>
      </c>
      <c r="AE22" s="777">
        <v>0</v>
      </c>
      <c r="AF22" s="777">
        <v>21.84</v>
      </c>
      <c r="AG22" s="804">
        <v>3.9</v>
      </c>
      <c r="AH22" s="804">
        <v>-17.940000000000001</v>
      </c>
      <c r="AI22" s="777">
        <v>-801.96</v>
      </c>
      <c r="AK22" s="805" t="s">
        <v>67</v>
      </c>
      <c r="AL22" s="806">
        <v>0</v>
      </c>
      <c r="AM22" s="805" t="s">
        <v>67</v>
      </c>
      <c r="AN22" s="806">
        <v>0</v>
      </c>
      <c r="AO22" s="807">
        <v>13.8</v>
      </c>
      <c r="AP22" s="808">
        <v>616.87999999999988</v>
      </c>
      <c r="AR22" s="809" t="s">
        <v>67</v>
      </c>
      <c r="AS22" s="809">
        <v>0</v>
      </c>
      <c r="AT22" s="810" t="s">
        <v>67</v>
      </c>
      <c r="AU22" s="809">
        <v>0</v>
      </c>
      <c r="AV22" s="811">
        <v>0</v>
      </c>
      <c r="AW22" s="811">
        <v>0</v>
      </c>
      <c r="AY22" s="812" t="s">
        <v>67</v>
      </c>
      <c r="AZ22" s="768">
        <v>0</v>
      </c>
      <c r="BA22" s="813" t="s">
        <v>67</v>
      </c>
      <c r="BB22" s="768">
        <v>0</v>
      </c>
      <c r="BC22" s="814">
        <v>0</v>
      </c>
      <c r="BD22" s="808">
        <v>0</v>
      </c>
      <c r="BF22" s="766" t="s">
        <v>67</v>
      </c>
      <c r="BG22" s="766">
        <v>0</v>
      </c>
      <c r="BH22" s="767" t="s">
        <v>67</v>
      </c>
      <c r="BI22" s="766">
        <v>0</v>
      </c>
      <c r="BJ22" s="814">
        <v>30.95</v>
      </c>
      <c r="BK22" s="808">
        <v>46.43</v>
      </c>
      <c r="BM22" s="766" t="s">
        <v>67</v>
      </c>
      <c r="BN22" s="766">
        <v>0</v>
      </c>
      <c r="BO22" s="767" t="s">
        <v>67</v>
      </c>
      <c r="BP22" s="768">
        <v>0</v>
      </c>
      <c r="BQ22" s="814">
        <v>0</v>
      </c>
      <c r="BR22" s="808">
        <v>0</v>
      </c>
      <c r="BT22" s="766" t="s">
        <v>67</v>
      </c>
      <c r="BU22" s="771">
        <v>0</v>
      </c>
      <c r="BV22" s="815" t="s">
        <v>67</v>
      </c>
      <c r="BW22" s="771">
        <v>0</v>
      </c>
      <c r="BX22" s="814">
        <v>0</v>
      </c>
      <c r="BY22" s="808">
        <v>0</v>
      </c>
      <c r="CA22" s="771" t="s">
        <v>67</v>
      </c>
      <c r="CB22" s="771">
        <v>0</v>
      </c>
      <c r="CC22" s="815" t="s">
        <v>67</v>
      </c>
      <c r="CD22" s="771">
        <v>0</v>
      </c>
      <c r="CE22" s="814">
        <v>0</v>
      </c>
      <c r="CF22" s="808">
        <v>0</v>
      </c>
      <c r="CH22" s="771" t="s">
        <v>67</v>
      </c>
      <c r="CI22" s="771">
        <v>0</v>
      </c>
      <c r="CJ22" s="771" t="s">
        <v>67</v>
      </c>
      <c r="CK22" s="771">
        <v>0</v>
      </c>
      <c r="CL22" s="814">
        <v>3.9</v>
      </c>
      <c r="CM22" s="816">
        <v>4.7</v>
      </c>
      <c r="CO22" s="817">
        <v>0.1</v>
      </c>
      <c r="CP22" s="818">
        <v>1060</v>
      </c>
      <c r="CQ22" s="819">
        <v>0</v>
      </c>
      <c r="CR22" s="819">
        <v>-3.9</v>
      </c>
    </row>
    <row r="23" spans="1:96" ht="13.15" customHeight="1" outlineLevel="1">
      <c r="A23" s="800" t="s">
        <v>630</v>
      </c>
      <c r="B23" s="800" t="s">
        <v>605</v>
      </c>
      <c r="C23" s="800">
        <v>3.1720000000000002</v>
      </c>
      <c r="D23" s="801">
        <v>0.78</v>
      </c>
      <c r="E23" s="777">
        <v>1.34</v>
      </c>
      <c r="F23" s="777">
        <f t="shared" si="1"/>
        <v>2.2799999999999998</v>
      </c>
      <c r="G23" s="777">
        <f t="shared" si="2"/>
        <v>4.28</v>
      </c>
      <c r="H23" s="777">
        <f t="shared" si="3"/>
        <v>9.0299999999999994</v>
      </c>
      <c r="I23" s="777">
        <f t="shared" si="3"/>
        <v>626.32999999999993</v>
      </c>
      <c r="J23" s="802">
        <f t="shared" si="0"/>
        <v>0</v>
      </c>
      <c r="K23" s="801">
        <f>IF('Modelo 1.0 - NS'!R22=1,'Modelo 2.0 - Cubação'!E23,IF((E23-'Modelo 1.0 - NS'!U22)&lt;=0,E23,'Modelo 1.0 - NS'!U22))</f>
        <v>1.34</v>
      </c>
      <c r="L23" s="777">
        <f>'Modelo 1.0 - NS'!Q22</f>
        <v>4.6960000000000006</v>
      </c>
      <c r="M23" s="777">
        <f t="shared" si="4"/>
        <v>0</v>
      </c>
      <c r="N23" s="777">
        <f t="shared" si="7"/>
        <v>4.2822000000000351</v>
      </c>
      <c r="O23" s="777">
        <f t="shared" si="5"/>
        <v>14.895712000000122</v>
      </c>
      <c r="P23" s="777">
        <f t="shared" si="6"/>
        <v>0</v>
      </c>
      <c r="Q23" s="777">
        <f t="shared" si="6"/>
        <v>626.33219999999983</v>
      </c>
      <c r="R23" s="777">
        <f t="shared" si="6"/>
        <v>701.76571200000046</v>
      </c>
      <c r="T23" s="777">
        <v>3.0950000000000006</v>
      </c>
      <c r="U23" s="777">
        <v>9.82</v>
      </c>
      <c r="V23" s="777">
        <v>0</v>
      </c>
      <c r="W23" s="777">
        <v>0</v>
      </c>
      <c r="Y23" s="803">
        <v>0</v>
      </c>
      <c r="Z23" s="803">
        <v>0</v>
      </c>
      <c r="AA23" s="803">
        <v>0</v>
      </c>
      <c r="AB23" s="803">
        <v>0</v>
      </c>
      <c r="AD23" s="777">
        <v>2.2799999999999998</v>
      </c>
      <c r="AE23" s="777">
        <v>0</v>
      </c>
      <c r="AF23" s="777">
        <v>5.57</v>
      </c>
      <c r="AG23" s="804">
        <v>2.2799999999999998</v>
      </c>
      <c r="AH23" s="804">
        <v>-3.2900000000000005</v>
      </c>
      <c r="AI23" s="777">
        <v>-805.25</v>
      </c>
      <c r="AK23" s="805" t="s">
        <v>67</v>
      </c>
      <c r="AL23" s="806">
        <v>0</v>
      </c>
      <c r="AM23" s="805" t="s">
        <v>67</v>
      </c>
      <c r="AN23" s="806">
        <v>0</v>
      </c>
      <c r="AO23" s="807">
        <v>2.5299999999999998</v>
      </c>
      <c r="AP23" s="808">
        <v>619.40999999999985</v>
      </c>
      <c r="AR23" s="809" t="s">
        <v>67</v>
      </c>
      <c r="AS23" s="809">
        <v>0</v>
      </c>
      <c r="AT23" s="810" t="s">
        <v>67</v>
      </c>
      <c r="AU23" s="809">
        <v>0</v>
      </c>
      <c r="AV23" s="811">
        <v>0</v>
      </c>
      <c r="AW23" s="811">
        <v>0</v>
      </c>
      <c r="AY23" s="812" t="s">
        <v>67</v>
      </c>
      <c r="AZ23" s="768">
        <v>0</v>
      </c>
      <c r="BA23" s="813" t="s">
        <v>67</v>
      </c>
      <c r="BB23" s="768">
        <v>0</v>
      </c>
      <c r="BC23" s="814">
        <v>0</v>
      </c>
      <c r="BD23" s="808">
        <v>0</v>
      </c>
      <c r="BF23" s="766" t="s">
        <v>67</v>
      </c>
      <c r="BG23" s="766">
        <v>0</v>
      </c>
      <c r="BH23" s="767" t="s">
        <v>67</v>
      </c>
      <c r="BI23" s="766">
        <v>0</v>
      </c>
      <c r="BJ23" s="814">
        <v>9.82</v>
      </c>
      <c r="BK23" s="808">
        <v>56.25</v>
      </c>
      <c r="BM23" s="766" t="s">
        <v>67</v>
      </c>
      <c r="BN23" s="766">
        <v>0</v>
      </c>
      <c r="BO23" s="767" t="s">
        <v>67</v>
      </c>
      <c r="BP23" s="768">
        <v>0</v>
      </c>
      <c r="BQ23" s="814">
        <v>0</v>
      </c>
      <c r="BR23" s="808">
        <v>0</v>
      </c>
      <c r="BT23" s="766" t="s">
        <v>67</v>
      </c>
      <c r="BU23" s="771">
        <v>0</v>
      </c>
      <c r="BV23" s="815" t="s">
        <v>67</v>
      </c>
      <c r="BW23" s="771">
        <v>0</v>
      </c>
      <c r="BX23" s="814">
        <v>0</v>
      </c>
      <c r="BY23" s="808">
        <v>0</v>
      </c>
      <c r="CA23" s="771" t="s">
        <v>67</v>
      </c>
      <c r="CB23" s="771">
        <v>0</v>
      </c>
      <c r="CC23" s="815" t="s">
        <v>67</v>
      </c>
      <c r="CD23" s="771">
        <v>0</v>
      </c>
      <c r="CE23" s="814">
        <v>0</v>
      </c>
      <c r="CF23" s="808">
        <v>0</v>
      </c>
      <c r="CH23" s="771" t="s">
        <v>67</v>
      </c>
      <c r="CI23" s="771">
        <v>0</v>
      </c>
      <c r="CJ23" s="771" t="s">
        <v>67</v>
      </c>
      <c r="CK23" s="771">
        <v>0</v>
      </c>
      <c r="CL23" s="814">
        <v>2.2799999999999998</v>
      </c>
      <c r="CM23" s="816">
        <v>6.98</v>
      </c>
      <c r="CO23" s="817">
        <v>0.1</v>
      </c>
      <c r="CP23" s="818">
        <v>1063.172</v>
      </c>
      <c r="CQ23" s="819">
        <v>0</v>
      </c>
      <c r="CR23" s="819">
        <v>-2.2799999999999998</v>
      </c>
    </row>
    <row r="24" spans="1:96" ht="13.15" customHeight="1" outlineLevel="1">
      <c r="A24" s="800" t="s">
        <v>630</v>
      </c>
      <c r="B24" s="800" t="s">
        <v>605</v>
      </c>
      <c r="C24" s="800">
        <v>10</v>
      </c>
      <c r="D24" s="801">
        <v>0.73</v>
      </c>
      <c r="E24" s="777">
        <v>1.33</v>
      </c>
      <c r="F24" s="777">
        <f t="shared" si="1"/>
        <v>5.16</v>
      </c>
      <c r="G24" s="777">
        <f t="shared" si="2"/>
        <v>9.1199999999999992</v>
      </c>
      <c r="H24" s="777">
        <f t="shared" ref="H24:I39" si="8">F24+H23</f>
        <v>14.19</v>
      </c>
      <c r="I24" s="777">
        <f t="shared" si="8"/>
        <v>635.44999999999993</v>
      </c>
      <c r="J24" s="802">
        <f t="shared" si="0"/>
        <v>0</v>
      </c>
      <c r="K24" s="801">
        <f>IF('Modelo 1.0 - NS'!R23=1,'Modelo 2.0 - Cubação'!E24,IF((E24-'Modelo 1.0 - NS'!U23)&lt;=0,E24,'Modelo 1.0 - NS'!U23))</f>
        <v>1.33</v>
      </c>
      <c r="L24" s="777">
        <f>'Modelo 1.0 - NS'!Q23</f>
        <v>4.6960000000000006</v>
      </c>
      <c r="M24" s="777">
        <f t="shared" si="4"/>
        <v>0</v>
      </c>
      <c r="N24" s="777">
        <f t="shared" si="7"/>
        <v>9.1153799999999663</v>
      </c>
      <c r="O24" s="777">
        <f t="shared" si="5"/>
        <v>32.064287999999884</v>
      </c>
      <c r="P24" s="777">
        <f t="shared" ref="P24:R39" si="9">M24+P23</f>
        <v>0</v>
      </c>
      <c r="Q24" s="777">
        <f t="shared" si="9"/>
        <v>635.44757999999979</v>
      </c>
      <c r="R24" s="777">
        <f t="shared" si="9"/>
        <v>733.83000000000038</v>
      </c>
      <c r="T24" s="777">
        <v>3.0950000000000006</v>
      </c>
      <c r="U24" s="777">
        <v>21.13</v>
      </c>
      <c r="V24" s="777">
        <v>0</v>
      </c>
      <c r="W24" s="777">
        <v>0</v>
      </c>
      <c r="Y24" s="803">
        <v>0</v>
      </c>
      <c r="Z24" s="803">
        <v>0</v>
      </c>
      <c r="AA24" s="803">
        <v>0</v>
      </c>
      <c r="AB24" s="803">
        <v>0</v>
      </c>
      <c r="AD24" s="777">
        <v>5.16</v>
      </c>
      <c r="AE24" s="777">
        <v>0</v>
      </c>
      <c r="AF24" s="777">
        <v>11.85</v>
      </c>
      <c r="AG24" s="804">
        <v>5.16</v>
      </c>
      <c r="AH24" s="804">
        <v>-6.6899999999999995</v>
      </c>
      <c r="AI24" s="777">
        <v>-811.94</v>
      </c>
      <c r="AK24" s="805" t="s">
        <v>67</v>
      </c>
      <c r="AL24" s="806">
        <v>0</v>
      </c>
      <c r="AM24" s="805" t="s">
        <v>67</v>
      </c>
      <c r="AN24" s="806">
        <v>0</v>
      </c>
      <c r="AO24" s="807">
        <v>5.15</v>
      </c>
      <c r="AP24" s="808">
        <v>624.55999999999983</v>
      </c>
      <c r="AR24" s="809" t="s">
        <v>67</v>
      </c>
      <c r="AS24" s="809">
        <v>0</v>
      </c>
      <c r="AT24" s="810" t="s">
        <v>67</v>
      </c>
      <c r="AU24" s="809">
        <v>0</v>
      </c>
      <c r="AV24" s="811">
        <v>0</v>
      </c>
      <c r="AW24" s="811">
        <v>0</v>
      </c>
      <c r="AY24" s="812" t="s">
        <v>67</v>
      </c>
      <c r="AZ24" s="768">
        <v>0</v>
      </c>
      <c r="BA24" s="813" t="s">
        <v>67</v>
      </c>
      <c r="BB24" s="768">
        <v>0</v>
      </c>
      <c r="BC24" s="814">
        <v>0</v>
      </c>
      <c r="BD24" s="808">
        <v>0</v>
      </c>
      <c r="BF24" s="766" t="s">
        <v>67</v>
      </c>
      <c r="BG24" s="766">
        <v>0</v>
      </c>
      <c r="BH24" s="767" t="s">
        <v>67</v>
      </c>
      <c r="BI24" s="766">
        <v>0</v>
      </c>
      <c r="BJ24" s="814">
        <v>21.13</v>
      </c>
      <c r="BK24" s="808">
        <v>77.38</v>
      </c>
      <c r="BM24" s="766" t="s">
        <v>67</v>
      </c>
      <c r="BN24" s="766">
        <v>0</v>
      </c>
      <c r="BO24" s="767" t="s">
        <v>67</v>
      </c>
      <c r="BP24" s="768">
        <v>0</v>
      </c>
      <c r="BQ24" s="814">
        <v>0</v>
      </c>
      <c r="BR24" s="808">
        <v>0</v>
      </c>
      <c r="BT24" s="766" t="s">
        <v>67</v>
      </c>
      <c r="BU24" s="771">
        <v>0</v>
      </c>
      <c r="BV24" s="815" t="s">
        <v>67</v>
      </c>
      <c r="BW24" s="771">
        <v>0</v>
      </c>
      <c r="BX24" s="814">
        <v>0</v>
      </c>
      <c r="BY24" s="808">
        <v>0</v>
      </c>
      <c r="CA24" s="771" t="s">
        <v>67</v>
      </c>
      <c r="CB24" s="771">
        <v>0</v>
      </c>
      <c r="CC24" s="815" t="s">
        <v>67</v>
      </c>
      <c r="CD24" s="771">
        <v>0</v>
      </c>
      <c r="CE24" s="814">
        <v>0</v>
      </c>
      <c r="CF24" s="808">
        <v>0</v>
      </c>
      <c r="CH24" s="771" t="s">
        <v>67</v>
      </c>
      <c r="CI24" s="771">
        <v>0</v>
      </c>
      <c r="CJ24" s="771" t="s">
        <v>67</v>
      </c>
      <c r="CK24" s="771">
        <v>0</v>
      </c>
      <c r="CL24" s="814">
        <v>5.16</v>
      </c>
      <c r="CM24" s="816">
        <v>12.14</v>
      </c>
      <c r="CO24" s="817">
        <v>0.1</v>
      </c>
      <c r="CP24" s="818">
        <v>1070</v>
      </c>
      <c r="CQ24" s="819">
        <v>0</v>
      </c>
      <c r="CR24" s="819">
        <v>-5.16</v>
      </c>
    </row>
    <row r="25" spans="1:96" ht="13.15" customHeight="1" outlineLevel="1">
      <c r="A25" s="800" t="s">
        <v>634</v>
      </c>
      <c r="B25" s="800" t="s">
        <v>605</v>
      </c>
      <c r="C25" s="800">
        <v>0</v>
      </c>
      <c r="D25" s="801">
        <v>1.05</v>
      </c>
      <c r="E25" s="777">
        <v>1.45</v>
      </c>
      <c r="F25" s="777">
        <f t="shared" si="1"/>
        <v>8.9</v>
      </c>
      <c r="G25" s="777">
        <f t="shared" si="2"/>
        <v>13.9</v>
      </c>
      <c r="H25" s="777">
        <f t="shared" si="8"/>
        <v>23.09</v>
      </c>
      <c r="I25" s="777">
        <f t="shared" si="8"/>
        <v>649.34999999999991</v>
      </c>
      <c r="J25" s="802">
        <f t="shared" si="0"/>
        <v>0</v>
      </c>
      <c r="K25" s="801">
        <f>IF('Modelo 1.0 - NS'!R24=1,'Modelo 2.0 - Cubação'!E25,IF((E25-'Modelo 1.0 - NS'!U24)&lt;=0,E25,'Modelo 1.0 - NS'!U24))</f>
        <v>1.45</v>
      </c>
      <c r="L25" s="777">
        <f>'Modelo 1.0 - NS'!Q24</f>
        <v>4.6960000000000006</v>
      </c>
      <c r="M25" s="777">
        <f t="shared" si="4"/>
        <v>0</v>
      </c>
      <c r="N25" s="777">
        <f t="shared" si="7"/>
        <v>13.900000000000002</v>
      </c>
      <c r="O25" s="777">
        <f t="shared" si="5"/>
        <v>46.960000000000008</v>
      </c>
      <c r="P25" s="777">
        <f t="shared" si="9"/>
        <v>0</v>
      </c>
      <c r="Q25" s="777">
        <f t="shared" si="9"/>
        <v>649.34757999999977</v>
      </c>
      <c r="R25" s="777">
        <f t="shared" si="9"/>
        <v>780.79000000000042</v>
      </c>
      <c r="T25" s="777">
        <v>3.0950000000000006</v>
      </c>
      <c r="U25" s="777">
        <v>30.95</v>
      </c>
      <c r="V25" s="777">
        <v>0</v>
      </c>
      <c r="W25" s="777">
        <v>0</v>
      </c>
      <c r="Y25" s="803">
        <v>0</v>
      </c>
      <c r="Z25" s="803">
        <v>0</v>
      </c>
      <c r="AA25" s="803">
        <v>0</v>
      </c>
      <c r="AB25" s="803">
        <v>0</v>
      </c>
      <c r="AD25" s="777">
        <v>8.9</v>
      </c>
      <c r="AE25" s="777">
        <v>0</v>
      </c>
      <c r="AF25" s="777">
        <v>18.07</v>
      </c>
      <c r="AG25" s="804">
        <v>8.9</v>
      </c>
      <c r="AH25" s="804">
        <v>-9.17</v>
      </c>
      <c r="AI25" s="777">
        <v>-821.11</v>
      </c>
      <c r="AK25" s="805" t="s">
        <v>67</v>
      </c>
      <c r="AL25" s="806">
        <v>0</v>
      </c>
      <c r="AM25" s="805" t="s">
        <v>67</v>
      </c>
      <c r="AN25" s="806">
        <v>0</v>
      </c>
      <c r="AO25" s="807">
        <v>7.05</v>
      </c>
      <c r="AP25" s="808">
        <v>631.60999999999979</v>
      </c>
      <c r="AR25" s="809" t="s">
        <v>67</v>
      </c>
      <c r="AS25" s="809">
        <v>0</v>
      </c>
      <c r="AT25" s="810" t="s">
        <v>67</v>
      </c>
      <c r="AU25" s="809">
        <v>0</v>
      </c>
      <c r="AV25" s="811">
        <v>0</v>
      </c>
      <c r="AW25" s="811">
        <v>0</v>
      </c>
      <c r="AY25" s="812" t="s">
        <v>67</v>
      </c>
      <c r="AZ25" s="768">
        <v>0</v>
      </c>
      <c r="BA25" s="813" t="s">
        <v>67</v>
      </c>
      <c r="BB25" s="768">
        <v>0</v>
      </c>
      <c r="BC25" s="814">
        <v>0</v>
      </c>
      <c r="BD25" s="808">
        <v>0</v>
      </c>
      <c r="BF25" s="766" t="s">
        <v>67</v>
      </c>
      <c r="BG25" s="766">
        <v>0</v>
      </c>
      <c r="BH25" s="767" t="s">
        <v>67</v>
      </c>
      <c r="BI25" s="766">
        <v>0</v>
      </c>
      <c r="BJ25" s="814">
        <v>30.95</v>
      </c>
      <c r="BK25" s="808">
        <v>108.33</v>
      </c>
      <c r="BM25" s="766" t="s">
        <v>67</v>
      </c>
      <c r="BN25" s="766">
        <v>0</v>
      </c>
      <c r="BO25" s="767" t="s">
        <v>67</v>
      </c>
      <c r="BP25" s="768">
        <v>0</v>
      </c>
      <c r="BQ25" s="814">
        <v>0</v>
      </c>
      <c r="BR25" s="808">
        <v>0</v>
      </c>
      <c r="BT25" s="766" t="s">
        <v>67</v>
      </c>
      <c r="BU25" s="771">
        <v>0</v>
      </c>
      <c r="BV25" s="815" t="s">
        <v>67</v>
      </c>
      <c r="BW25" s="771">
        <v>0</v>
      </c>
      <c r="BX25" s="814">
        <v>0</v>
      </c>
      <c r="BY25" s="808">
        <v>0</v>
      </c>
      <c r="CA25" s="771" t="s">
        <v>67</v>
      </c>
      <c r="CB25" s="771">
        <v>0</v>
      </c>
      <c r="CC25" s="815" t="s">
        <v>67</v>
      </c>
      <c r="CD25" s="771">
        <v>0</v>
      </c>
      <c r="CE25" s="814">
        <v>0</v>
      </c>
      <c r="CF25" s="808">
        <v>0</v>
      </c>
      <c r="CH25" s="771" t="s">
        <v>67</v>
      </c>
      <c r="CI25" s="771">
        <v>0</v>
      </c>
      <c r="CJ25" s="771" t="s">
        <v>67</v>
      </c>
      <c r="CK25" s="771">
        <v>0</v>
      </c>
      <c r="CL25" s="814">
        <v>8.9</v>
      </c>
      <c r="CM25" s="816">
        <v>21.04</v>
      </c>
      <c r="CO25" s="817">
        <v>0.1</v>
      </c>
      <c r="CP25" s="818">
        <v>1080</v>
      </c>
      <c r="CQ25" s="819">
        <v>0</v>
      </c>
      <c r="CR25" s="819">
        <v>-8.9</v>
      </c>
    </row>
    <row r="26" spans="1:96" ht="13.15" customHeight="1" outlineLevel="1">
      <c r="A26" s="800" t="s">
        <v>634</v>
      </c>
      <c r="B26" s="800" t="s">
        <v>605</v>
      </c>
      <c r="C26" s="800">
        <v>10</v>
      </c>
      <c r="D26" s="801">
        <v>1.08</v>
      </c>
      <c r="E26" s="777">
        <v>1.55</v>
      </c>
      <c r="F26" s="777">
        <f t="shared" si="1"/>
        <v>10.65</v>
      </c>
      <c r="G26" s="777">
        <f t="shared" si="2"/>
        <v>15</v>
      </c>
      <c r="H26" s="777">
        <f t="shared" si="8"/>
        <v>33.74</v>
      </c>
      <c r="I26" s="777">
        <f t="shared" si="8"/>
        <v>664.34999999999991</v>
      </c>
      <c r="J26" s="802">
        <f t="shared" si="0"/>
        <v>0</v>
      </c>
      <c r="K26" s="801">
        <f>IF('Modelo 1.0 - NS'!R25=1,'Modelo 2.0 - Cubação'!E26,IF((E26-'Modelo 1.0 - NS'!U25)&lt;=0,E26,'Modelo 1.0 - NS'!U25))</f>
        <v>1.55</v>
      </c>
      <c r="L26" s="777">
        <f>'Modelo 1.0 - NS'!Q25</f>
        <v>4.6960000000000006</v>
      </c>
      <c r="M26" s="777">
        <f t="shared" si="4"/>
        <v>0</v>
      </c>
      <c r="N26" s="777">
        <f t="shared" si="7"/>
        <v>15</v>
      </c>
      <c r="O26" s="777">
        <f t="shared" si="5"/>
        <v>46.960000000000008</v>
      </c>
      <c r="P26" s="777">
        <f t="shared" si="9"/>
        <v>0</v>
      </c>
      <c r="Q26" s="777">
        <f t="shared" si="9"/>
        <v>664.34757999999977</v>
      </c>
      <c r="R26" s="777">
        <f t="shared" si="9"/>
        <v>827.75000000000045</v>
      </c>
      <c r="T26" s="777">
        <v>3.0950000000000006</v>
      </c>
      <c r="U26" s="777">
        <v>30.95</v>
      </c>
      <c r="V26" s="777">
        <v>0</v>
      </c>
      <c r="W26" s="777">
        <v>0</v>
      </c>
      <c r="Y26" s="803">
        <v>0</v>
      </c>
      <c r="Z26" s="803">
        <v>0</v>
      </c>
      <c r="AA26" s="803">
        <v>0</v>
      </c>
      <c r="AB26" s="803">
        <v>0</v>
      </c>
      <c r="AD26" s="777">
        <v>10.65</v>
      </c>
      <c r="AE26" s="777">
        <v>0</v>
      </c>
      <c r="AF26" s="777">
        <v>19.5</v>
      </c>
      <c r="AG26" s="804">
        <v>10.65</v>
      </c>
      <c r="AH26" s="804">
        <v>-8.85</v>
      </c>
      <c r="AI26" s="777">
        <v>-829.96</v>
      </c>
      <c r="AK26" s="805" t="s">
        <v>67</v>
      </c>
      <c r="AL26" s="806">
        <v>0</v>
      </c>
      <c r="AM26" s="805" t="s">
        <v>67</v>
      </c>
      <c r="AN26" s="806">
        <v>0</v>
      </c>
      <c r="AO26" s="807">
        <v>6.81</v>
      </c>
      <c r="AP26" s="808">
        <v>638.41999999999973</v>
      </c>
      <c r="AR26" s="809" t="s">
        <v>67</v>
      </c>
      <c r="AS26" s="809">
        <v>0</v>
      </c>
      <c r="AT26" s="810" t="s">
        <v>67</v>
      </c>
      <c r="AU26" s="809">
        <v>0</v>
      </c>
      <c r="AV26" s="811">
        <v>0</v>
      </c>
      <c r="AW26" s="811">
        <v>0</v>
      </c>
      <c r="AY26" s="812" t="s">
        <v>67</v>
      </c>
      <c r="AZ26" s="768">
        <v>0</v>
      </c>
      <c r="BA26" s="813" t="s">
        <v>67</v>
      </c>
      <c r="BB26" s="768">
        <v>0</v>
      </c>
      <c r="BC26" s="814">
        <v>0</v>
      </c>
      <c r="BD26" s="808">
        <v>0</v>
      </c>
      <c r="BF26" s="766" t="s">
        <v>67</v>
      </c>
      <c r="BG26" s="766">
        <v>0</v>
      </c>
      <c r="BH26" s="767" t="s">
        <v>67</v>
      </c>
      <c r="BI26" s="766">
        <v>0</v>
      </c>
      <c r="BJ26" s="814">
        <v>30.95</v>
      </c>
      <c r="BK26" s="808">
        <v>139.28</v>
      </c>
      <c r="BM26" s="766" t="s">
        <v>67</v>
      </c>
      <c r="BN26" s="766">
        <v>0</v>
      </c>
      <c r="BO26" s="767" t="s">
        <v>67</v>
      </c>
      <c r="BP26" s="768">
        <v>0</v>
      </c>
      <c r="BQ26" s="814">
        <v>0</v>
      </c>
      <c r="BR26" s="808">
        <v>0</v>
      </c>
      <c r="BT26" s="766" t="s">
        <v>67</v>
      </c>
      <c r="BU26" s="771">
        <v>0</v>
      </c>
      <c r="BV26" s="815" t="s">
        <v>67</v>
      </c>
      <c r="BW26" s="771">
        <v>0</v>
      </c>
      <c r="BX26" s="814">
        <v>0</v>
      </c>
      <c r="BY26" s="808">
        <v>0</v>
      </c>
      <c r="CA26" s="771" t="s">
        <v>67</v>
      </c>
      <c r="CB26" s="771">
        <v>0</v>
      </c>
      <c r="CC26" s="815" t="s">
        <v>67</v>
      </c>
      <c r="CD26" s="771">
        <v>0</v>
      </c>
      <c r="CE26" s="814">
        <v>0</v>
      </c>
      <c r="CF26" s="808">
        <v>0</v>
      </c>
      <c r="CH26" s="771" t="s">
        <v>67</v>
      </c>
      <c r="CI26" s="771">
        <v>0</v>
      </c>
      <c r="CJ26" s="771" t="s">
        <v>67</v>
      </c>
      <c r="CK26" s="771">
        <v>0</v>
      </c>
      <c r="CL26" s="814">
        <v>10.65</v>
      </c>
      <c r="CM26" s="816">
        <v>31.689999999999998</v>
      </c>
      <c r="CO26" s="817">
        <v>0.1</v>
      </c>
      <c r="CP26" s="818">
        <v>1090</v>
      </c>
      <c r="CQ26" s="819">
        <v>0</v>
      </c>
      <c r="CR26" s="819">
        <v>-10.65</v>
      </c>
    </row>
    <row r="27" spans="1:96" ht="13.15" customHeight="1" outlineLevel="1">
      <c r="A27" s="800" t="s">
        <v>637</v>
      </c>
      <c r="B27" s="800" t="s">
        <v>605</v>
      </c>
      <c r="C27" s="800">
        <v>0</v>
      </c>
      <c r="D27" s="801">
        <v>1.2</v>
      </c>
      <c r="E27" s="777">
        <v>1.47</v>
      </c>
      <c r="F27" s="777">
        <f t="shared" si="1"/>
        <v>11.4</v>
      </c>
      <c r="G27" s="777">
        <f t="shared" si="2"/>
        <v>15.1</v>
      </c>
      <c r="H27" s="777">
        <f t="shared" si="8"/>
        <v>45.14</v>
      </c>
      <c r="I27" s="777">
        <f t="shared" si="8"/>
        <v>679.44999999999993</v>
      </c>
      <c r="J27" s="802">
        <f t="shared" si="0"/>
        <v>0</v>
      </c>
      <c r="K27" s="801">
        <f>IF('Modelo 1.0 - NS'!R26=1,'Modelo 2.0 - Cubação'!E27,IF((E27-'Modelo 1.0 - NS'!U26)&lt;=0,E27,'Modelo 1.0 - NS'!U26))</f>
        <v>1.47</v>
      </c>
      <c r="L27" s="777">
        <f>'Modelo 1.0 - NS'!Q26</f>
        <v>4.6960000000000006</v>
      </c>
      <c r="M27" s="777">
        <f t="shared" si="4"/>
        <v>0</v>
      </c>
      <c r="N27" s="777">
        <f t="shared" si="7"/>
        <v>15.1</v>
      </c>
      <c r="O27" s="777">
        <f t="shared" si="5"/>
        <v>46.960000000000008</v>
      </c>
      <c r="P27" s="777">
        <f t="shared" si="9"/>
        <v>0</v>
      </c>
      <c r="Q27" s="777">
        <f t="shared" si="9"/>
        <v>679.44757999999979</v>
      </c>
      <c r="R27" s="777">
        <f t="shared" si="9"/>
        <v>874.71000000000049</v>
      </c>
      <c r="T27" s="777">
        <v>3.0950000000000006</v>
      </c>
      <c r="U27" s="777">
        <v>30.95</v>
      </c>
      <c r="V27" s="777">
        <v>0</v>
      </c>
      <c r="W27" s="777">
        <v>0</v>
      </c>
      <c r="Y27" s="803">
        <v>0</v>
      </c>
      <c r="Z27" s="803">
        <v>0</v>
      </c>
      <c r="AA27" s="803">
        <v>0</v>
      </c>
      <c r="AB27" s="803">
        <v>0</v>
      </c>
      <c r="AD27" s="777">
        <v>11.4</v>
      </c>
      <c r="AE27" s="777">
        <v>0</v>
      </c>
      <c r="AF27" s="777">
        <v>19.63</v>
      </c>
      <c r="AG27" s="804">
        <v>11.4</v>
      </c>
      <c r="AH27" s="804">
        <v>-8.2299999999999986</v>
      </c>
      <c r="AI27" s="777">
        <v>-838.19</v>
      </c>
      <c r="AK27" s="805" t="s">
        <v>67</v>
      </c>
      <c r="AL27" s="806">
        <v>0</v>
      </c>
      <c r="AM27" s="805" t="s">
        <v>67</v>
      </c>
      <c r="AN27" s="806">
        <v>0</v>
      </c>
      <c r="AO27" s="807">
        <v>6.33</v>
      </c>
      <c r="AP27" s="808">
        <v>644.74999999999977</v>
      </c>
      <c r="AR27" s="809" t="s">
        <v>67</v>
      </c>
      <c r="AS27" s="809">
        <v>0</v>
      </c>
      <c r="AT27" s="810" t="s">
        <v>67</v>
      </c>
      <c r="AU27" s="809">
        <v>0</v>
      </c>
      <c r="AV27" s="811">
        <v>0</v>
      </c>
      <c r="AW27" s="811">
        <v>0</v>
      </c>
      <c r="AY27" s="812" t="s">
        <v>67</v>
      </c>
      <c r="AZ27" s="768">
        <v>0</v>
      </c>
      <c r="BA27" s="813" t="s">
        <v>67</v>
      </c>
      <c r="BB27" s="768">
        <v>0</v>
      </c>
      <c r="BC27" s="814">
        <v>0</v>
      </c>
      <c r="BD27" s="808">
        <v>0</v>
      </c>
      <c r="BF27" s="766" t="s">
        <v>67</v>
      </c>
      <c r="BG27" s="766">
        <v>0</v>
      </c>
      <c r="BH27" s="767" t="s">
        <v>67</v>
      </c>
      <c r="BI27" s="766">
        <v>0</v>
      </c>
      <c r="BJ27" s="814">
        <v>30.95</v>
      </c>
      <c r="BK27" s="808">
        <v>170.23</v>
      </c>
      <c r="BM27" s="766" t="s">
        <v>67</v>
      </c>
      <c r="BN27" s="766">
        <v>0</v>
      </c>
      <c r="BO27" s="767" t="s">
        <v>67</v>
      </c>
      <c r="BP27" s="768">
        <v>0</v>
      </c>
      <c r="BQ27" s="814">
        <v>0</v>
      </c>
      <c r="BR27" s="808">
        <v>0</v>
      </c>
      <c r="BT27" s="766" t="s">
        <v>67</v>
      </c>
      <c r="BU27" s="771">
        <v>0</v>
      </c>
      <c r="BV27" s="815" t="s">
        <v>67</v>
      </c>
      <c r="BW27" s="771">
        <v>0</v>
      </c>
      <c r="BX27" s="814">
        <v>0</v>
      </c>
      <c r="BY27" s="808">
        <v>0</v>
      </c>
      <c r="CA27" s="771" t="s">
        <v>67</v>
      </c>
      <c r="CB27" s="771">
        <v>0</v>
      </c>
      <c r="CC27" s="815" t="s">
        <v>67</v>
      </c>
      <c r="CD27" s="771">
        <v>0</v>
      </c>
      <c r="CE27" s="814">
        <v>0</v>
      </c>
      <c r="CF27" s="808">
        <v>0</v>
      </c>
      <c r="CH27" s="771" t="s">
        <v>67</v>
      </c>
      <c r="CI27" s="771">
        <v>0</v>
      </c>
      <c r="CJ27" s="771" t="s">
        <v>67</v>
      </c>
      <c r="CK27" s="771">
        <v>0</v>
      </c>
      <c r="CL27" s="814">
        <v>11.4</v>
      </c>
      <c r="CM27" s="816">
        <v>43.089999999999996</v>
      </c>
      <c r="CO27" s="817">
        <v>0.1</v>
      </c>
      <c r="CP27" s="818">
        <v>1100</v>
      </c>
      <c r="CQ27" s="819">
        <v>0</v>
      </c>
      <c r="CR27" s="819">
        <v>-11.4</v>
      </c>
    </row>
    <row r="28" spans="1:96" ht="13.15" customHeight="1" outlineLevel="1">
      <c r="A28" s="800" t="s">
        <v>637</v>
      </c>
      <c r="B28" s="800" t="s">
        <v>605</v>
      </c>
      <c r="C28" s="800">
        <v>1.3240000000000001</v>
      </c>
      <c r="D28" s="801">
        <v>1.17</v>
      </c>
      <c r="E28" s="777">
        <v>1.33</v>
      </c>
      <c r="F28" s="777">
        <f t="shared" si="1"/>
        <v>1.57</v>
      </c>
      <c r="G28" s="777">
        <f t="shared" si="2"/>
        <v>1.85</v>
      </c>
      <c r="H28" s="777">
        <f t="shared" si="8"/>
        <v>46.71</v>
      </c>
      <c r="I28" s="777">
        <f t="shared" si="8"/>
        <v>681.3</v>
      </c>
      <c r="J28" s="802">
        <f t="shared" si="0"/>
        <v>0</v>
      </c>
      <c r="K28" s="801">
        <f>IF('Modelo 1.0 - NS'!R27=1,'Modelo 2.0 - Cubação'!E28,IF((E28-'Modelo 1.0 - NS'!U27)&lt;=0,E28,'Modelo 1.0 - NS'!U27))</f>
        <v>1.33</v>
      </c>
      <c r="L28" s="777">
        <f>'Modelo 1.0 - NS'!Q27</f>
        <v>4.6960000000000006</v>
      </c>
      <c r="M28" s="777">
        <f t="shared" si="4"/>
        <v>0</v>
      </c>
      <c r="N28" s="777">
        <f t="shared" si="7"/>
        <v>1.8536000000000967</v>
      </c>
      <c r="O28" s="777">
        <f t="shared" si="5"/>
        <v>6.217504000000325</v>
      </c>
      <c r="P28" s="777">
        <f t="shared" si="9"/>
        <v>0</v>
      </c>
      <c r="Q28" s="777">
        <f t="shared" si="9"/>
        <v>681.30117999999993</v>
      </c>
      <c r="R28" s="777">
        <f t="shared" si="9"/>
        <v>880.92750400000079</v>
      </c>
      <c r="T28" s="777">
        <v>3.0950000000000006</v>
      </c>
      <c r="U28" s="777">
        <v>4.0999999999999996</v>
      </c>
      <c r="V28" s="777">
        <v>0</v>
      </c>
      <c r="W28" s="777">
        <v>0</v>
      </c>
      <c r="Y28" s="803">
        <v>0</v>
      </c>
      <c r="Z28" s="803">
        <v>0</v>
      </c>
      <c r="AA28" s="803">
        <v>0</v>
      </c>
      <c r="AB28" s="803">
        <v>0</v>
      </c>
      <c r="AD28" s="777">
        <v>1.57</v>
      </c>
      <c r="AE28" s="777">
        <v>0</v>
      </c>
      <c r="AF28" s="777">
        <v>2.41</v>
      </c>
      <c r="AG28" s="804">
        <v>1.57</v>
      </c>
      <c r="AH28" s="804">
        <v>-0.84000000000000008</v>
      </c>
      <c r="AI28" s="777">
        <v>-839.03000000000009</v>
      </c>
      <c r="AK28" s="805" t="s">
        <v>67</v>
      </c>
      <c r="AL28" s="806">
        <v>0</v>
      </c>
      <c r="AM28" s="805" t="s">
        <v>67</v>
      </c>
      <c r="AN28" s="806">
        <v>0</v>
      </c>
      <c r="AO28" s="807">
        <v>0.65</v>
      </c>
      <c r="AP28" s="808">
        <v>645.39999999999975</v>
      </c>
      <c r="AR28" s="809" t="s">
        <v>67</v>
      </c>
      <c r="AS28" s="809">
        <v>0</v>
      </c>
      <c r="AT28" s="810" t="s">
        <v>67</v>
      </c>
      <c r="AU28" s="809">
        <v>0</v>
      </c>
      <c r="AV28" s="811">
        <v>0</v>
      </c>
      <c r="AW28" s="811">
        <v>0</v>
      </c>
      <c r="AY28" s="812" t="s">
        <v>67</v>
      </c>
      <c r="AZ28" s="768">
        <v>0</v>
      </c>
      <c r="BA28" s="813" t="s">
        <v>67</v>
      </c>
      <c r="BB28" s="768">
        <v>0</v>
      </c>
      <c r="BC28" s="814">
        <v>0</v>
      </c>
      <c r="BD28" s="808">
        <v>0</v>
      </c>
      <c r="BF28" s="766" t="s">
        <v>67</v>
      </c>
      <c r="BG28" s="766">
        <v>0</v>
      </c>
      <c r="BH28" s="767" t="s">
        <v>67</v>
      </c>
      <c r="BI28" s="766">
        <v>0</v>
      </c>
      <c r="BJ28" s="814">
        <v>4.0999999999999996</v>
      </c>
      <c r="BK28" s="808">
        <v>174.32999999999998</v>
      </c>
      <c r="BM28" s="766" t="s">
        <v>67</v>
      </c>
      <c r="BN28" s="766">
        <v>0</v>
      </c>
      <c r="BO28" s="767" t="s">
        <v>67</v>
      </c>
      <c r="BP28" s="768">
        <v>0</v>
      </c>
      <c r="BQ28" s="814">
        <v>0</v>
      </c>
      <c r="BR28" s="808">
        <v>0</v>
      </c>
      <c r="BT28" s="766" t="s">
        <v>67</v>
      </c>
      <c r="BU28" s="771">
        <v>0</v>
      </c>
      <c r="BV28" s="815" t="s">
        <v>67</v>
      </c>
      <c r="BW28" s="771">
        <v>0</v>
      </c>
      <c r="BX28" s="814">
        <v>0</v>
      </c>
      <c r="BY28" s="808">
        <v>0</v>
      </c>
      <c r="CA28" s="771" t="s">
        <v>67</v>
      </c>
      <c r="CB28" s="771">
        <v>0</v>
      </c>
      <c r="CC28" s="815" t="s">
        <v>67</v>
      </c>
      <c r="CD28" s="771">
        <v>0</v>
      </c>
      <c r="CE28" s="814">
        <v>0</v>
      </c>
      <c r="CF28" s="808">
        <v>0</v>
      </c>
      <c r="CH28" s="771" t="s">
        <v>67</v>
      </c>
      <c r="CI28" s="771">
        <v>0</v>
      </c>
      <c r="CJ28" s="771" t="s">
        <v>67</v>
      </c>
      <c r="CK28" s="771">
        <v>0</v>
      </c>
      <c r="CL28" s="814">
        <v>1.57</v>
      </c>
      <c r="CM28" s="816">
        <v>44.66</v>
      </c>
      <c r="CO28" s="817">
        <v>0.1</v>
      </c>
      <c r="CP28" s="818">
        <v>1101.3240000000001</v>
      </c>
      <c r="CQ28" s="819">
        <v>0</v>
      </c>
      <c r="CR28" s="819">
        <v>-1.57</v>
      </c>
    </row>
    <row r="29" spans="1:96" ht="13.15" customHeight="1" outlineLevel="1">
      <c r="A29" s="800" t="s">
        <v>637</v>
      </c>
      <c r="B29" s="800" t="s">
        <v>605</v>
      </c>
      <c r="C29" s="800">
        <v>10</v>
      </c>
      <c r="D29" s="801">
        <v>1</v>
      </c>
      <c r="E29" s="777">
        <v>0.56000000000000005</v>
      </c>
      <c r="F29" s="777">
        <f t="shared" si="1"/>
        <v>9.41</v>
      </c>
      <c r="G29" s="777">
        <f t="shared" si="2"/>
        <v>8.1999999999999993</v>
      </c>
      <c r="H29" s="777">
        <f t="shared" si="8"/>
        <v>56.120000000000005</v>
      </c>
      <c r="I29" s="777">
        <f t="shared" si="8"/>
        <v>689.5</v>
      </c>
      <c r="J29" s="802">
        <f t="shared" si="0"/>
        <v>0</v>
      </c>
      <c r="K29" s="801">
        <f>IF('Modelo 1.0 - NS'!R28=1,'Modelo 2.0 - Cubação'!E29,IF((E29-'Modelo 1.0 - NS'!U28)&lt;=0,E29,'Modelo 1.0 - NS'!U28))</f>
        <v>0.56000000000000005</v>
      </c>
      <c r="L29" s="777">
        <f>'Modelo 1.0 - NS'!Q28</f>
        <v>4.6960000000000006</v>
      </c>
      <c r="M29" s="777">
        <f t="shared" si="4"/>
        <v>0</v>
      </c>
      <c r="N29" s="777">
        <f t="shared" si="7"/>
        <v>8.1988199999999356</v>
      </c>
      <c r="O29" s="777">
        <f t="shared" si="5"/>
        <v>40.742495999999683</v>
      </c>
      <c r="P29" s="777">
        <f t="shared" si="9"/>
        <v>0</v>
      </c>
      <c r="Q29" s="777">
        <f t="shared" si="9"/>
        <v>689.49999999999989</v>
      </c>
      <c r="R29" s="777">
        <f t="shared" si="9"/>
        <v>921.67000000000053</v>
      </c>
      <c r="T29" s="777">
        <v>3.0950000000000006</v>
      </c>
      <c r="U29" s="777">
        <v>26.85</v>
      </c>
      <c r="V29" s="777">
        <v>0</v>
      </c>
      <c r="W29" s="777">
        <v>0</v>
      </c>
      <c r="Y29" s="777">
        <v>0</v>
      </c>
      <c r="Z29" s="777">
        <v>0</v>
      </c>
      <c r="AA29" s="777">
        <v>0</v>
      </c>
      <c r="AB29" s="777">
        <v>0</v>
      </c>
      <c r="AD29" s="777">
        <v>9.41</v>
      </c>
      <c r="AE29" s="777">
        <v>0</v>
      </c>
      <c r="AF29" s="777">
        <v>10.66</v>
      </c>
      <c r="AG29" s="804">
        <v>9.41</v>
      </c>
      <c r="AH29" s="804">
        <v>-1.25</v>
      </c>
      <c r="AI29" s="777">
        <v>-840.28000000000009</v>
      </c>
      <c r="AK29" s="805" t="s">
        <v>67</v>
      </c>
      <c r="AL29" s="820">
        <v>0</v>
      </c>
      <c r="AM29" s="643" t="s">
        <v>809</v>
      </c>
      <c r="AN29" s="820">
        <v>1</v>
      </c>
      <c r="AO29" s="807">
        <v>0.96</v>
      </c>
      <c r="AP29" s="807">
        <v>646.35999999999979</v>
      </c>
      <c r="AR29" s="809" t="s">
        <v>67</v>
      </c>
      <c r="AS29" s="809">
        <v>0</v>
      </c>
      <c r="AT29" s="810" t="s">
        <v>67</v>
      </c>
      <c r="AU29" s="809">
        <v>0</v>
      </c>
      <c r="AV29" s="811">
        <v>0</v>
      </c>
      <c r="AW29" s="811">
        <v>0</v>
      </c>
      <c r="AY29" s="812" t="s">
        <v>67</v>
      </c>
      <c r="AZ29" s="812">
        <v>0</v>
      </c>
      <c r="BA29" s="821" t="s">
        <v>67</v>
      </c>
      <c r="BB29" s="812">
        <v>0</v>
      </c>
      <c r="BC29" s="814">
        <v>0</v>
      </c>
      <c r="BD29" s="807">
        <v>0</v>
      </c>
      <c r="BF29" s="812" t="s">
        <v>67</v>
      </c>
      <c r="BG29" s="812">
        <v>0</v>
      </c>
      <c r="BH29" s="821" t="s">
        <v>67</v>
      </c>
      <c r="BI29" s="812">
        <v>0</v>
      </c>
      <c r="BJ29" s="814">
        <v>26.85</v>
      </c>
      <c r="BK29" s="807">
        <v>201.17999999999998</v>
      </c>
      <c r="BM29" s="812" t="s">
        <v>67</v>
      </c>
      <c r="BN29" s="812">
        <v>0</v>
      </c>
      <c r="BO29" s="821" t="s">
        <v>67</v>
      </c>
      <c r="BP29" s="812">
        <v>0</v>
      </c>
      <c r="BQ29" s="814">
        <v>0</v>
      </c>
      <c r="BR29" s="807">
        <v>0</v>
      </c>
      <c r="BT29" s="812" t="s">
        <v>67</v>
      </c>
      <c r="BU29" s="812">
        <v>0</v>
      </c>
      <c r="BV29" s="821" t="s">
        <v>67</v>
      </c>
      <c r="BW29" s="812">
        <v>0</v>
      </c>
      <c r="BX29" s="814">
        <v>0</v>
      </c>
      <c r="BY29" s="807">
        <v>0</v>
      </c>
      <c r="CA29" s="812" t="s">
        <v>67</v>
      </c>
      <c r="CB29" s="812">
        <v>0</v>
      </c>
      <c r="CC29" s="821" t="s">
        <v>67</v>
      </c>
      <c r="CD29" s="812">
        <v>0</v>
      </c>
      <c r="CE29" s="814">
        <v>0</v>
      </c>
      <c r="CF29" s="807">
        <v>0</v>
      </c>
      <c r="CH29" s="812" t="s">
        <v>67</v>
      </c>
      <c r="CI29" s="771">
        <v>0</v>
      </c>
      <c r="CJ29" s="812" t="s">
        <v>67</v>
      </c>
      <c r="CK29" s="771">
        <v>0</v>
      </c>
      <c r="CL29" s="814">
        <v>9.41</v>
      </c>
      <c r="CM29" s="814">
        <v>54.069999999999993</v>
      </c>
      <c r="CO29" s="817">
        <v>0.1</v>
      </c>
      <c r="CP29" s="818">
        <v>1110</v>
      </c>
      <c r="CQ29" s="819">
        <v>0</v>
      </c>
      <c r="CR29" s="819">
        <v>-9.41</v>
      </c>
    </row>
    <row r="30" spans="1:96" ht="13.15" customHeight="1" outlineLevel="1">
      <c r="A30" s="800" t="s">
        <v>641</v>
      </c>
      <c r="B30" s="800" t="s">
        <v>605</v>
      </c>
      <c r="C30" s="800">
        <v>0</v>
      </c>
      <c r="D30" s="801">
        <v>0.51</v>
      </c>
      <c r="E30" s="777">
        <v>0.15</v>
      </c>
      <c r="F30" s="777">
        <f t="shared" si="1"/>
        <v>7.55</v>
      </c>
      <c r="G30" s="777">
        <f t="shared" si="2"/>
        <v>3.55</v>
      </c>
      <c r="H30" s="777">
        <f t="shared" si="8"/>
        <v>63.67</v>
      </c>
      <c r="I30" s="777">
        <f t="shared" si="8"/>
        <v>693.05</v>
      </c>
      <c r="J30" s="802">
        <f t="shared" si="0"/>
        <v>0</v>
      </c>
      <c r="K30" s="801">
        <f>IF('Modelo 1.0 - NS'!R29=1,'Modelo 2.0 - Cubação'!E30,IF((E30-'Modelo 1.0 - NS'!U29)&lt;=0,E30,'Modelo 1.0 - NS'!U29))</f>
        <v>0.15</v>
      </c>
      <c r="L30" s="777">
        <f>'Modelo 1.0 - NS'!Q29</f>
        <v>4.6960000000000006</v>
      </c>
      <c r="M30" s="777">
        <f t="shared" si="4"/>
        <v>0</v>
      </c>
      <c r="N30" s="777">
        <f t="shared" si="7"/>
        <v>3.5500000000000003</v>
      </c>
      <c r="O30" s="777">
        <f t="shared" si="5"/>
        <v>46.960000000000008</v>
      </c>
      <c r="P30" s="777">
        <f t="shared" si="9"/>
        <v>0</v>
      </c>
      <c r="Q30" s="777">
        <f t="shared" si="9"/>
        <v>693.04999999999984</v>
      </c>
      <c r="R30" s="777">
        <f t="shared" si="9"/>
        <v>968.63000000000056</v>
      </c>
      <c r="T30" s="777">
        <v>3.0950000000000006</v>
      </c>
      <c r="U30" s="777">
        <v>30.95</v>
      </c>
      <c r="V30" s="777">
        <v>0</v>
      </c>
      <c r="W30" s="777">
        <v>0</v>
      </c>
      <c r="Y30" s="803">
        <v>0</v>
      </c>
      <c r="Z30" s="803">
        <v>0</v>
      </c>
      <c r="AA30" s="803">
        <v>0</v>
      </c>
      <c r="AB30" s="803">
        <v>0</v>
      </c>
      <c r="AD30" s="777">
        <v>7.55</v>
      </c>
      <c r="AE30" s="777">
        <v>0</v>
      </c>
      <c r="AF30" s="777">
        <v>4.62</v>
      </c>
      <c r="AG30" s="804">
        <v>4.62</v>
      </c>
      <c r="AH30" s="804">
        <v>2.9299999999999997</v>
      </c>
      <c r="AI30" s="777">
        <v>-837.35000000000014</v>
      </c>
      <c r="AK30" s="805" t="s">
        <v>67</v>
      </c>
      <c r="AL30" s="806">
        <v>0</v>
      </c>
      <c r="AM30" s="805" t="s">
        <v>67</v>
      </c>
      <c r="AN30" s="806">
        <v>0</v>
      </c>
      <c r="AO30" s="807">
        <v>0</v>
      </c>
      <c r="AP30" s="808">
        <v>0</v>
      </c>
      <c r="AR30" s="809" t="s">
        <v>67</v>
      </c>
      <c r="AS30" s="809">
        <v>0</v>
      </c>
      <c r="AT30" s="810" t="s">
        <v>67</v>
      </c>
      <c r="AU30" s="809">
        <v>0</v>
      </c>
      <c r="AV30" s="811">
        <v>0</v>
      </c>
      <c r="AW30" s="811">
        <v>0</v>
      </c>
      <c r="AY30" s="812" t="s">
        <v>815</v>
      </c>
      <c r="AZ30" s="768">
        <v>1</v>
      </c>
      <c r="BA30" s="813" t="s">
        <v>67</v>
      </c>
      <c r="BB30" s="768">
        <v>0</v>
      </c>
      <c r="BC30" s="814">
        <v>2.93</v>
      </c>
      <c r="BD30" s="808">
        <v>2.93</v>
      </c>
      <c r="BF30" s="766" t="s">
        <v>67</v>
      </c>
      <c r="BG30" s="766">
        <v>0</v>
      </c>
      <c r="BH30" s="767" t="s">
        <v>67</v>
      </c>
      <c r="BI30" s="766">
        <v>0</v>
      </c>
      <c r="BJ30" s="814">
        <v>30.95</v>
      </c>
      <c r="BK30" s="808">
        <v>232.12999999999997</v>
      </c>
      <c r="BM30" s="766" t="s">
        <v>67</v>
      </c>
      <c r="BN30" s="766">
        <v>0</v>
      </c>
      <c r="BO30" s="767" t="s">
        <v>67</v>
      </c>
      <c r="BP30" s="768">
        <v>0</v>
      </c>
      <c r="BQ30" s="814">
        <v>0</v>
      </c>
      <c r="BR30" s="808">
        <v>0</v>
      </c>
      <c r="BT30" s="766" t="s">
        <v>67</v>
      </c>
      <c r="BU30" s="771">
        <v>0</v>
      </c>
      <c r="BV30" s="815" t="s">
        <v>67</v>
      </c>
      <c r="BW30" s="771">
        <v>0</v>
      </c>
      <c r="BX30" s="814">
        <v>0</v>
      </c>
      <c r="BY30" s="808">
        <v>0</v>
      </c>
      <c r="CA30" s="771" t="s">
        <v>67</v>
      </c>
      <c r="CB30" s="771">
        <v>0</v>
      </c>
      <c r="CC30" s="815" t="s">
        <v>67</v>
      </c>
      <c r="CD30" s="771">
        <v>0</v>
      </c>
      <c r="CE30" s="814">
        <v>0</v>
      </c>
      <c r="CF30" s="808">
        <v>0</v>
      </c>
      <c r="CH30" s="771" t="s">
        <v>67</v>
      </c>
      <c r="CI30" s="771">
        <v>0</v>
      </c>
      <c r="CJ30" s="771" t="s">
        <v>67</v>
      </c>
      <c r="CK30" s="771">
        <v>0</v>
      </c>
      <c r="CL30" s="814">
        <v>4.62</v>
      </c>
      <c r="CM30" s="816">
        <v>58.689999999999991</v>
      </c>
      <c r="CO30" s="817">
        <v>0.1</v>
      </c>
      <c r="CP30" s="818">
        <v>1120</v>
      </c>
      <c r="CQ30" s="819">
        <v>4.62</v>
      </c>
      <c r="CR30" s="819">
        <v>0</v>
      </c>
    </row>
    <row r="31" spans="1:96" ht="13.15" customHeight="1" outlineLevel="1">
      <c r="A31" s="800" t="s">
        <v>641</v>
      </c>
      <c r="B31" s="800" t="s">
        <v>605</v>
      </c>
      <c r="C31" s="800">
        <v>10</v>
      </c>
      <c r="D31" s="801">
        <v>0.68</v>
      </c>
      <c r="E31" s="777">
        <v>0.19</v>
      </c>
      <c r="F31" s="777">
        <f t="shared" si="1"/>
        <v>5.95</v>
      </c>
      <c r="G31" s="777">
        <f t="shared" si="2"/>
        <v>1.7</v>
      </c>
      <c r="H31" s="777">
        <f t="shared" si="8"/>
        <v>69.62</v>
      </c>
      <c r="I31" s="777">
        <f t="shared" si="8"/>
        <v>694.75</v>
      </c>
      <c r="J31" s="802">
        <f t="shared" si="0"/>
        <v>0</v>
      </c>
      <c r="K31" s="801">
        <f>IF('Modelo 1.0 - NS'!R30=1,'Modelo 2.0 - Cubação'!E31,IF((E31-'Modelo 1.0 - NS'!U30)&lt;=0,E31,'Modelo 1.0 - NS'!U30))</f>
        <v>0.19</v>
      </c>
      <c r="L31" s="777">
        <f>'Modelo 1.0 - NS'!Q30</f>
        <v>4.6960000000000006</v>
      </c>
      <c r="M31" s="777">
        <f t="shared" si="4"/>
        <v>0</v>
      </c>
      <c r="N31" s="777">
        <f t="shared" si="7"/>
        <v>1.6999999999999997</v>
      </c>
      <c r="O31" s="777">
        <f t="shared" si="5"/>
        <v>46.960000000000008</v>
      </c>
      <c r="P31" s="777">
        <f t="shared" si="9"/>
        <v>0</v>
      </c>
      <c r="Q31" s="777">
        <f t="shared" si="9"/>
        <v>694.74999999999989</v>
      </c>
      <c r="R31" s="777">
        <f t="shared" si="9"/>
        <v>1015.5900000000006</v>
      </c>
      <c r="T31" s="777">
        <v>3.0950000000000006</v>
      </c>
      <c r="U31" s="777">
        <v>30.95</v>
      </c>
      <c r="V31" s="777">
        <v>0</v>
      </c>
      <c r="W31" s="777">
        <v>0</v>
      </c>
      <c r="Y31" s="803">
        <v>0</v>
      </c>
      <c r="Z31" s="803">
        <v>0</v>
      </c>
      <c r="AA31" s="803">
        <v>0</v>
      </c>
      <c r="AB31" s="803">
        <v>0</v>
      </c>
      <c r="AD31" s="777">
        <v>5.95</v>
      </c>
      <c r="AE31" s="777">
        <v>0</v>
      </c>
      <c r="AF31" s="777">
        <v>2.21</v>
      </c>
      <c r="AG31" s="804">
        <v>2.21</v>
      </c>
      <c r="AH31" s="804">
        <v>3.74</v>
      </c>
      <c r="AI31" s="777">
        <v>-833.61000000000013</v>
      </c>
      <c r="AK31" s="805" t="s">
        <v>67</v>
      </c>
      <c r="AL31" s="806">
        <v>0</v>
      </c>
      <c r="AM31" s="805" t="s">
        <v>67</v>
      </c>
      <c r="AN31" s="806">
        <v>0</v>
      </c>
      <c r="AO31" s="807">
        <v>0</v>
      </c>
      <c r="AP31" s="808">
        <v>0</v>
      </c>
      <c r="AR31" s="809" t="s">
        <v>67</v>
      </c>
      <c r="AS31" s="809">
        <v>0</v>
      </c>
      <c r="AT31" s="810" t="s">
        <v>67</v>
      </c>
      <c r="AU31" s="809">
        <v>0</v>
      </c>
      <c r="AV31" s="811">
        <v>0</v>
      </c>
      <c r="AW31" s="811">
        <v>0</v>
      </c>
      <c r="AY31" s="812" t="s">
        <v>67</v>
      </c>
      <c r="AZ31" s="768">
        <v>0</v>
      </c>
      <c r="BA31" s="813" t="s">
        <v>67</v>
      </c>
      <c r="BB31" s="768">
        <v>0</v>
      </c>
      <c r="BC31" s="814">
        <v>3.74</v>
      </c>
      <c r="BD31" s="808">
        <v>6.67</v>
      </c>
      <c r="BF31" s="766" t="s">
        <v>67</v>
      </c>
      <c r="BG31" s="766">
        <v>0</v>
      </c>
      <c r="BH31" s="767" t="s">
        <v>67</v>
      </c>
      <c r="BI31" s="766">
        <v>0</v>
      </c>
      <c r="BJ31" s="814">
        <v>30.95</v>
      </c>
      <c r="BK31" s="808">
        <v>263.08</v>
      </c>
      <c r="BM31" s="766" t="s">
        <v>67</v>
      </c>
      <c r="BN31" s="766">
        <v>0</v>
      </c>
      <c r="BO31" s="767" t="s">
        <v>67</v>
      </c>
      <c r="BP31" s="768">
        <v>0</v>
      </c>
      <c r="BQ31" s="814">
        <v>0</v>
      </c>
      <c r="BR31" s="808">
        <v>0</v>
      </c>
      <c r="BT31" s="766" t="s">
        <v>67</v>
      </c>
      <c r="BU31" s="771">
        <v>0</v>
      </c>
      <c r="BV31" s="815" t="s">
        <v>67</v>
      </c>
      <c r="BW31" s="771">
        <v>0</v>
      </c>
      <c r="BX31" s="814">
        <v>0</v>
      </c>
      <c r="BY31" s="808">
        <v>0</v>
      </c>
      <c r="CA31" s="771" t="s">
        <v>67</v>
      </c>
      <c r="CB31" s="771">
        <v>0</v>
      </c>
      <c r="CC31" s="815" t="s">
        <v>67</v>
      </c>
      <c r="CD31" s="771">
        <v>0</v>
      </c>
      <c r="CE31" s="814">
        <v>0</v>
      </c>
      <c r="CF31" s="808">
        <v>0</v>
      </c>
      <c r="CH31" s="771" t="s">
        <v>67</v>
      </c>
      <c r="CI31" s="771">
        <v>0</v>
      </c>
      <c r="CJ31" s="771" t="s">
        <v>67</v>
      </c>
      <c r="CK31" s="771">
        <v>0</v>
      </c>
      <c r="CL31" s="814">
        <v>2.21</v>
      </c>
      <c r="CM31" s="816">
        <v>60.899999999999991</v>
      </c>
      <c r="CO31" s="817">
        <v>0.1</v>
      </c>
      <c r="CP31" s="818">
        <v>1130</v>
      </c>
      <c r="CQ31" s="819">
        <v>2.21</v>
      </c>
      <c r="CR31" s="819">
        <v>0</v>
      </c>
    </row>
    <row r="32" spans="1:96" ht="13.15" customHeight="1" outlineLevel="1">
      <c r="A32" s="800" t="s">
        <v>641</v>
      </c>
      <c r="B32" s="800" t="s">
        <v>605</v>
      </c>
      <c r="C32" s="800">
        <v>19.475000000000001</v>
      </c>
      <c r="D32" s="801">
        <v>0.73</v>
      </c>
      <c r="E32" s="777">
        <v>0.32</v>
      </c>
      <c r="F32" s="777">
        <f t="shared" si="1"/>
        <v>6.68</v>
      </c>
      <c r="G32" s="777">
        <f t="shared" si="2"/>
        <v>2.42</v>
      </c>
      <c r="H32" s="777">
        <f t="shared" si="8"/>
        <v>76.300000000000011</v>
      </c>
      <c r="I32" s="777">
        <f t="shared" si="8"/>
        <v>697.17</v>
      </c>
      <c r="J32" s="802">
        <f t="shared" si="0"/>
        <v>0</v>
      </c>
      <c r="K32" s="801">
        <f>IF('Modelo 1.0 - NS'!R31=1,'Modelo 2.0 - Cubação'!E32,IF((E32-'Modelo 1.0 - NS'!U31)&lt;=0,E32,'Modelo 1.0 - NS'!U31))</f>
        <v>0.32</v>
      </c>
      <c r="L32" s="777">
        <f>'Modelo 1.0 - NS'!Q31</f>
        <v>4.6960000000000006</v>
      </c>
      <c r="M32" s="777">
        <f t="shared" si="4"/>
        <v>0</v>
      </c>
      <c r="N32" s="777">
        <f t="shared" si="7"/>
        <v>2.416124999999977</v>
      </c>
      <c r="O32" s="777">
        <f t="shared" si="5"/>
        <v>44.494599999999579</v>
      </c>
      <c r="P32" s="777">
        <f t="shared" si="9"/>
        <v>0</v>
      </c>
      <c r="Q32" s="777">
        <f t="shared" si="9"/>
        <v>697.16612499999985</v>
      </c>
      <c r="R32" s="777">
        <f t="shared" si="9"/>
        <v>1060.0846000000001</v>
      </c>
      <c r="T32" s="777">
        <v>3.0950000000000006</v>
      </c>
      <c r="U32" s="777">
        <v>29.33</v>
      </c>
      <c r="V32" s="777">
        <v>0</v>
      </c>
      <c r="W32" s="777">
        <v>0</v>
      </c>
      <c r="Y32" s="803">
        <v>0</v>
      </c>
      <c r="Z32" s="803">
        <v>0</v>
      </c>
      <c r="AA32" s="803">
        <v>0</v>
      </c>
      <c r="AB32" s="803">
        <v>0</v>
      </c>
      <c r="AD32" s="777">
        <v>6.68</v>
      </c>
      <c r="AE32" s="777">
        <v>0</v>
      </c>
      <c r="AF32" s="777">
        <v>3.14</v>
      </c>
      <c r="AG32" s="804">
        <v>3.14</v>
      </c>
      <c r="AH32" s="804">
        <v>3.5399999999999996</v>
      </c>
      <c r="AI32" s="777">
        <v>-830.07000000000016</v>
      </c>
      <c r="AK32" s="805" t="s">
        <v>67</v>
      </c>
      <c r="AL32" s="806">
        <v>0</v>
      </c>
      <c r="AM32" s="805" t="s">
        <v>67</v>
      </c>
      <c r="AN32" s="806">
        <v>0</v>
      </c>
      <c r="AO32" s="807">
        <v>0</v>
      </c>
      <c r="AP32" s="808">
        <v>0</v>
      </c>
      <c r="AR32" s="809" t="s">
        <v>67</v>
      </c>
      <c r="AS32" s="809">
        <v>0</v>
      </c>
      <c r="AT32" s="810" t="s">
        <v>67</v>
      </c>
      <c r="AU32" s="809">
        <v>0</v>
      </c>
      <c r="AV32" s="811">
        <v>0</v>
      </c>
      <c r="AW32" s="811">
        <v>0</v>
      </c>
      <c r="AY32" s="812" t="s">
        <v>67</v>
      </c>
      <c r="AZ32" s="768">
        <v>0</v>
      </c>
      <c r="BA32" s="813" t="s">
        <v>67</v>
      </c>
      <c r="BB32" s="768">
        <v>0</v>
      </c>
      <c r="BC32" s="814">
        <v>3.54</v>
      </c>
      <c r="BD32" s="808">
        <v>10.210000000000001</v>
      </c>
      <c r="BF32" s="766" t="s">
        <v>67</v>
      </c>
      <c r="BG32" s="766">
        <v>0</v>
      </c>
      <c r="BH32" s="767" t="s">
        <v>67</v>
      </c>
      <c r="BI32" s="766">
        <v>0</v>
      </c>
      <c r="BJ32" s="814">
        <v>29.33</v>
      </c>
      <c r="BK32" s="808">
        <v>292.40999999999997</v>
      </c>
      <c r="BM32" s="766" t="s">
        <v>67</v>
      </c>
      <c r="BN32" s="766">
        <v>0</v>
      </c>
      <c r="BO32" s="767" t="s">
        <v>67</v>
      </c>
      <c r="BP32" s="768">
        <v>0</v>
      </c>
      <c r="BQ32" s="814">
        <v>0</v>
      </c>
      <c r="BR32" s="808">
        <v>0</v>
      </c>
      <c r="BT32" s="766" t="s">
        <v>67</v>
      </c>
      <c r="BU32" s="771">
        <v>0</v>
      </c>
      <c r="BV32" s="815" t="s">
        <v>67</v>
      </c>
      <c r="BW32" s="771">
        <v>0</v>
      </c>
      <c r="BX32" s="814">
        <v>0</v>
      </c>
      <c r="BY32" s="808">
        <v>0</v>
      </c>
      <c r="CA32" s="771" t="s">
        <v>67</v>
      </c>
      <c r="CB32" s="771">
        <v>0</v>
      </c>
      <c r="CC32" s="815" t="s">
        <v>67</v>
      </c>
      <c r="CD32" s="771">
        <v>0</v>
      </c>
      <c r="CE32" s="814">
        <v>0</v>
      </c>
      <c r="CF32" s="808">
        <v>0</v>
      </c>
      <c r="CH32" s="771" t="s">
        <v>67</v>
      </c>
      <c r="CI32" s="771">
        <v>0</v>
      </c>
      <c r="CJ32" s="771" t="s">
        <v>67</v>
      </c>
      <c r="CK32" s="771">
        <v>0</v>
      </c>
      <c r="CL32" s="814">
        <v>3.14</v>
      </c>
      <c r="CM32" s="816">
        <v>64.039999999999992</v>
      </c>
      <c r="CO32" s="817">
        <v>0.1</v>
      </c>
      <c r="CP32" s="818">
        <v>1139.4749999999999</v>
      </c>
      <c r="CQ32" s="819">
        <v>3.14</v>
      </c>
      <c r="CR32" s="819">
        <v>0</v>
      </c>
    </row>
    <row r="33" spans="1:96" ht="13.15" customHeight="1" outlineLevel="1">
      <c r="A33" s="800" t="s">
        <v>645</v>
      </c>
      <c r="B33" s="800" t="s">
        <v>605</v>
      </c>
      <c r="C33" s="800">
        <v>0</v>
      </c>
      <c r="D33" s="801">
        <v>0.76</v>
      </c>
      <c r="E33" s="777">
        <v>0.31</v>
      </c>
      <c r="F33" s="777">
        <f t="shared" si="1"/>
        <v>0.39</v>
      </c>
      <c r="G33" s="777">
        <f t="shared" si="2"/>
        <v>0.17</v>
      </c>
      <c r="H33" s="777">
        <f t="shared" si="8"/>
        <v>76.690000000000012</v>
      </c>
      <c r="I33" s="777">
        <f t="shared" si="8"/>
        <v>697.33999999999992</v>
      </c>
      <c r="J33" s="802">
        <f t="shared" si="0"/>
        <v>0</v>
      </c>
      <c r="K33" s="801">
        <f>IF('Modelo 1.0 - NS'!R32=1,'Modelo 2.0 - Cubação'!E33,IF((E33-'Modelo 1.0 - NS'!U32)&lt;=0,E33,'Modelo 1.0 - NS'!U32))</f>
        <v>0.31</v>
      </c>
      <c r="L33" s="777">
        <f>'Modelo 1.0 - NS'!Q32</f>
        <v>4.6960000000000006</v>
      </c>
      <c r="M33" s="777">
        <f t="shared" si="4"/>
        <v>0</v>
      </c>
      <c r="N33" s="777">
        <f t="shared" si="7"/>
        <v>0.16537500000002864</v>
      </c>
      <c r="O33" s="777">
        <f t="shared" si="5"/>
        <v>2.4654000000004275</v>
      </c>
      <c r="P33" s="777">
        <f t="shared" si="9"/>
        <v>0</v>
      </c>
      <c r="Q33" s="777">
        <f t="shared" si="9"/>
        <v>697.33149999999989</v>
      </c>
      <c r="R33" s="777">
        <f t="shared" si="9"/>
        <v>1062.5500000000006</v>
      </c>
      <c r="T33" s="777">
        <v>3.0950000000000006</v>
      </c>
      <c r="U33" s="777">
        <v>1.62</v>
      </c>
      <c r="V33" s="777">
        <v>0</v>
      </c>
      <c r="W33" s="777">
        <v>0</v>
      </c>
      <c r="Y33" s="803">
        <v>0</v>
      </c>
      <c r="Z33" s="803">
        <v>0</v>
      </c>
      <c r="AA33" s="803">
        <v>0</v>
      </c>
      <c r="AB33" s="803">
        <v>0</v>
      </c>
      <c r="AD33" s="777">
        <v>0.39</v>
      </c>
      <c r="AE33" s="777">
        <v>0</v>
      </c>
      <c r="AF33" s="777">
        <v>0.21</v>
      </c>
      <c r="AG33" s="804">
        <v>0.21</v>
      </c>
      <c r="AH33" s="804">
        <v>0.18000000000000002</v>
      </c>
      <c r="AI33" s="777">
        <v>-829.89000000000021</v>
      </c>
      <c r="AK33" s="805" t="s">
        <v>67</v>
      </c>
      <c r="AL33" s="806">
        <v>0</v>
      </c>
      <c r="AM33" s="805" t="s">
        <v>67</v>
      </c>
      <c r="AN33" s="806">
        <v>0</v>
      </c>
      <c r="AO33" s="807">
        <v>0</v>
      </c>
      <c r="AP33" s="808">
        <v>0</v>
      </c>
      <c r="AR33" s="809" t="s">
        <v>67</v>
      </c>
      <c r="AS33" s="809">
        <v>0</v>
      </c>
      <c r="AT33" s="810" t="s">
        <v>67</v>
      </c>
      <c r="AU33" s="809">
        <v>0</v>
      </c>
      <c r="AV33" s="811">
        <v>0</v>
      </c>
      <c r="AW33" s="811">
        <v>0</v>
      </c>
      <c r="AY33" s="812" t="s">
        <v>67</v>
      </c>
      <c r="AZ33" s="768">
        <v>0</v>
      </c>
      <c r="BA33" s="813" t="s">
        <v>67</v>
      </c>
      <c r="BB33" s="768">
        <v>0</v>
      </c>
      <c r="BC33" s="814">
        <v>0.18</v>
      </c>
      <c r="BD33" s="808">
        <v>10.39</v>
      </c>
      <c r="BF33" s="766" t="s">
        <v>67</v>
      </c>
      <c r="BG33" s="766">
        <v>0</v>
      </c>
      <c r="BH33" s="767" t="s">
        <v>67</v>
      </c>
      <c r="BI33" s="766">
        <v>0</v>
      </c>
      <c r="BJ33" s="814">
        <v>1.62</v>
      </c>
      <c r="BK33" s="808">
        <v>294.02999999999997</v>
      </c>
      <c r="BM33" s="766" t="s">
        <v>67</v>
      </c>
      <c r="BN33" s="766">
        <v>0</v>
      </c>
      <c r="BO33" s="767" t="s">
        <v>67</v>
      </c>
      <c r="BP33" s="768">
        <v>0</v>
      </c>
      <c r="BQ33" s="814">
        <v>0</v>
      </c>
      <c r="BR33" s="808">
        <v>0</v>
      </c>
      <c r="BT33" s="766" t="s">
        <v>67</v>
      </c>
      <c r="BU33" s="771">
        <v>0</v>
      </c>
      <c r="BV33" s="815" t="s">
        <v>67</v>
      </c>
      <c r="BW33" s="771">
        <v>0</v>
      </c>
      <c r="BX33" s="814">
        <v>0</v>
      </c>
      <c r="BY33" s="808">
        <v>0</v>
      </c>
      <c r="CA33" s="771" t="s">
        <v>67</v>
      </c>
      <c r="CB33" s="771">
        <v>0</v>
      </c>
      <c r="CC33" s="815" t="s">
        <v>67</v>
      </c>
      <c r="CD33" s="771">
        <v>0</v>
      </c>
      <c r="CE33" s="814">
        <v>0</v>
      </c>
      <c r="CF33" s="808">
        <v>0</v>
      </c>
      <c r="CH33" s="771" t="s">
        <v>67</v>
      </c>
      <c r="CI33" s="771">
        <v>0</v>
      </c>
      <c r="CJ33" s="771" t="s">
        <v>67</v>
      </c>
      <c r="CK33" s="771">
        <v>0</v>
      </c>
      <c r="CL33" s="814">
        <v>0.21</v>
      </c>
      <c r="CM33" s="816">
        <v>64.249999999999986</v>
      </c>
      <c r="CO33" s="817">
        <v>0.1</v>
      </c>
      <c r="CP33" s="818">
        <v>1140</v>
      </c>
      <c r="CQ33" s="819">
        <v>0.21</v>
      </c>
      <c r="CR33" s="819">
        <v>0</v>
      </c>
    </row>
    <row r="34" spans="1:96" ht="13.15" customHeight="1" outlineLevel="1">
      <c r="A34" s="800" t="s">
        <v>645</v>
      </c>
      <c r="B34" s="800" t="s">
        <v>605</v>
      </c>
      <c r="C34" s="800">
        <v>10</v>
      </c>
      <c r="D34" s="801">
        <v>0.86</v>
      </c>
      <c r="E34" s="777">
        <v>0.43</v>
      </c>
      <c r="F34" s="777">
        <f t="shared" si="1"/>
        <v>8.1</v>
      </c>
      <c r="G34" s="777">
        <f t="shared" si="2"/>
        <v>3.7</v>
      </c>
      <c r="H34" s="777">
        <f t="shared" si="8"/>
        <v>84.79</v>
      </c>
      <c r="I34" s="777">
        <f t="shared" si="8"/>
        <v>701.04</v>
      </c>
      <c r="J34" s="802">
        <f t="shared" si="0"/>
        <v>0</v>
      </c>
      <c r="K34" s="801">
        <f>IF('Modelo 1.0 - NS'!R33=1,'Modelo 2.0 - Cubação'!E34,IF((E34-'Modelo 1.0 - NS'!U33)&lt;=0,E34,'Modelo 1.0 - NS'!U33))</f>
        <v>0.43</v>
      </c>
      <c r="L34" s="777">
        <f>'Modelo 1.0 - NS'!Q33</f>
        <v>4.6960000000000006</v>
      </c>
      <c r="M34" s="777">
        <f t="shared" si="4"/>
        <v>0</v>
      </c>
      <c r="N34" s="777">
        <f t="shared" si="7"/>
        <v>3.7</v>
      </c>
      <c r="O34" s="777">
        <f t="shared" si="5"/>
        <v>46.960000000000008</v>
      </c>
      <c r="P34" s="777">
        <f t="shared" si="9"/>
        <v>0</v>
      </c>
      <c r="Q34" s="777">
        <f t="shared" si="9"/>
        <v>701.03149999999994</v>
      </c>
      <c r="R34" s="777">
        <f t="shared" si="9"/>
        <v>1109.5100000000007</v>
      </c>
      <c r="T34" s="777">
        <v>3.0950000000000006</v>
      </c>
      <c r="U34" s="777">
        <v>30.95</v>
      </c>
      <c r="V34" s="777">
        <v>0</v>
      </c>
      <c r="W34" s="777">
        <v>0</v>
      </c>
      <c r="Y34" s="803">
        <v>0</v>
      </c>
      <c r="Z34" s="803">
        <v>0</v>
      </c>
      <c r="AA34" s="803">
        <v>0</v>
      </c>
      <c r="AB34" s="803">
        <v>0</v>
      </c>
      <c r="AD34" s="777">
        <v>8.1</v>
      </c>
      <c r="AE34" s="777">
        <v>0</v>
      </c>
      <c r="AF34" s="777">
        <v>4.8099999999999996</v>
      </c>
      <c r="AG34" s="804">
        <v>4.8099999999999996</v>
      </c>
      <c r="AH34" s="804">
        <v>3.29</v>
      </c>
      <c r="AI34" s="777">
        <v>-826.60000000000025</v>
      </c>
      <c r="AK34" s="805" t="s">
        <v>67</v>
      </c>
      <c r="AL34" s="806">
        <v>0</v>
      </c>
      <c r="AM34" s="805" t="s">
        <v>67</v>
      </c>
      <c r="AN34" s="806">
        <v>0</v>
      </c>
      <c r="AO34" s="807">
        <v>0</v>
      </c>
      <c r="AP34" s="808">
        <v>0</v>
      </c>
      <c r="AR34" s="809" t="s">
        <v>67</v>
      </c>
      <c r="AS34" s="809">
        <v>0</v>
      </c>
      <c r="AT34" s="810" t="s">
        <v>67</v>
      </c>
      <c r="AU34" s="809">
        <v>0</v>
      </c>
      <c r="AV34" s="811">
        <v>0</v>
      </c>
      <c r="AW34" s="811">
        <v>0</v>
      </c>
      <c r="AY34" s="812" t="s">
        <v>67</v>
      </c>
      <c r="AZ34" s="768">
        <v>0</v>
      </c>
      <c r="BA34" s="813" t="s">
        <v>67</v>
      </c>
      <c r="BB34" s="768">
        <v>0</v>
      </c>
      <c r="BC34" s="814">
        <v>3.29</v>
      </c>
      <c r="BD34" s="808">
        <v>13.68</v>
      </c>
      <c r="BF34" s="766" t="s">
        <v>67</v>
      </c>
      <c r="BG34" s="766">
        <v>0</v>
      </c>
      <c r="BH34" s="767" t="s">
        <v>67</v>
      </c>
      <c r="BI34" s="766">
        <v>0</v>
      </c>
      <c r="BJ34" s="814">
        <v>30.95</v>
      </c>
      <c r="BK34" s="808">
        <v>324.97999999999996</v>
      </c>
      <c r="BM34" s="766" t="s">
        <v>67</v>
      </c>
      <c r="BN34" s="766">
        <v>0</v>
      </c>
      <c r="BO34" s="767" t="s">
        <v>67</v>
      </c>
      <c r="BP34" s="768">
        <v>0</v>
      </c>
      <c r="BQ34" s="814">
        <v>0</v>
      </c>
      <c r="BR34" s="808">
        <v>0</v>
      </c>
      <c r="BT34" s="766" t="s">
        <v>67</v>
      </c>
      <c r="BU34" s="771">
        <v>0</v>
      </c>
      <c r="BV34" s="815" t="s">
        <v>67</v>
      </c>
      <c r="BW34" s="771">
        <v>0</v>
      </c>
      <c r="BX34" s="814">
        <v>0</v>
      </c>
      <c r="BY34" s="808">
        <v>0</v>
      </c>
      <c r="CA34" s="771" t="s">
        <v>67</v>
      </c>
      <c r="CB34" s="771">
        <v>0</v>
      </c>
      <c r="CC34" s="815" t="s">
        <v>67</v>
      </c>
      <c r="CD34" s="771">
        <v>0</v>
      </c>
      <c r="CE34" s="814">
        <v>0</v>
      </c>
      <c r="CF34" s="808">
        <v>0</v>
      </c>
      <c r="CH34" s="771" t="s">
        <v>67</v>
      </c>
      <c r="CI34" s="771">
        <v>0</v>
      </c>
      <c r="CJ34" s="771" t="s">
        <v>67</v>
      </c>
      <c r="CK34" s="771">
        <v>0</v>
      </c>
      <c r="CL34" s="814">
        <v>4.8099999999999996</v>
      </c>
      <c r="CM34" s="816">
        <v>69.059999999999988</v>
      </c>
      <c r="CO34" s="817">
        <v>0.1</v>
      </c>
      <c r="CP34" s="818">
        <v>1150</v>
      </c>
      <c r="CQ34" s="819">
        <v>4.8099999999999996</v>
      </c>
      <c r="CR34" s="819">
        <v>0</v>
      </c>
    </row>
    <row r="35" spans="1:96" ht="13.15" customHeight="1" outlineLevel="1">
      <c r="A35" s="800" t="s">
        <v>648</v>
      </c>
      <c r="B35" s="800" t="s">
        <v>605</v>
      </c>
      <c r="C35" s="800">
        <v>0</v>
      </c>
      <c r="D35" s="801">
        <v>1.1200000000000001</v>
      </c>
      <c r="E35" s="777">
        <v>0.38</v>
      </c>
      <c r="F35" s="777">
        <f t="shared" si="1"/>
        <v>9.9</v>
      </c>
      <c r="G35" s="777">
        <f t="shared" si="2"/>
        <v>4.05</v>
      </c>
      <c r="H35" s="777">
        <f t="shared" si="8"/>
        <v>94.690000000000012</v>
      </c>
      <c r="I35" s="777">
        <f t="shared" si="8"/>
        <v>705.08999999999992</v>
      </c>
      <c r="J35" s="802">
        <f t="shared" si="0"/>
        <v>0</v>
      </c>
      <c r="K35" s="801">
        <f>IF('Modelo 1.0 - NS'!R34=1,'Modelo 2.0 - Cubação'!E35,IF((E35-'Modelo 1.0 - NS'!U34)&lt;=0,E35,'Modelo 1.0 - NS'!U34))</f>
        <v>0.38</v>
      </c>
      <c r="L35" s="777">
        <f>'Modelo 1.0 - NS'!Q34</f>
        <v>4.6960000000000006</v>
      </c>
      <c r="M35" s="777">
        <f t="shared" si="4"/>
        <v>0</v>
      </c>
      <c r="N35" s="777">
        <f t="shared" si="7"/>
        <v>4.0500000000000007</v>
      </c>
      <c r="O35" s="777">
        <f t="shared" si="5"/>
        <v>46.960000000000008</v>
      </c>
      <c r="P35" s="777">
        <f t="shared" si="9"/>
        <v>0</v>
      </c>
      <c r="Q35" s="777">
        <f t="shared" si="9"/>
        <v>705.08149999999989</v>
      </c>
      <c r="R35" s="777">
        <f t="shared" si="9"/>
        <v>1156.4700000000007</v>
      </c>
      <c r="T35" s="777">
        <v>3.0950000000000006</v>
      </c>
      <c r="U35" s="777">
        <v>30.95</v>
      </c>
      <c r="V35" s="777">
        <v>0</v>
      </c>
      <c r="W35" s="777">
        <v>0</v>
      </c>
      <c r="Y35" s="803">
        <v>0</v>
      </c>
      <c r="Z35" s="803">
        <v>0</v>
      </c>
      <c r="AA35" s="803">
        <v>0</v>
      </c>
      <c r="AB35" s="803">
        <v>0</v>
      </c>
      <c r="AD35" s="777">
        <v>9.9</v>
      </c>
      <c r="AE35" s="777">
        <v>0</v>
      </c>
      <c r="AF35" s="777">
        <v>5.27</v>
      </c>
      <c r="AG35" s="804">
        <v>5.27</v>
      </c>
      <c r="AH35" s="804">
        <v>4.6300000000000008</v>
      </c>
      <c r="AI35" s="777">
        <v>-821.97000000000025</v>
      </c>
      <c r="AK35" s="805" t="s">
        <v>67</v>
      </c>
      <c r="AL35" s="806">
        <v>0</v>
      </c>
      <c r="AM35" s="805" t="s">
        <v>67</v>
      </c>
      <c r="AN35" s="806">
        <v>0</v>
      </c>
      <c r="AO35" s="807">
        <v>0</v>
      </c>
      <c r="AP35" s="808">
        <v>0</v>
      </c>
      <c r="AR35" s="809" t="s">
        <v>67</v>
      </c>
      <c r="AS35" s="809">
        <v>0</v>
      </c>
      <c r="AT35" s="810" t="s">
        <v>67</v>
      </c>
      <c r="AU35" s="809">
        <v>0</v>
      </c>
      <c r="AV35" s="811">
        <v>0</v>
      </c>
      <c r="AW35" s="811">
        <v>0</v>
      </c>
      <c r="AY35" s="812" t="s">
        <v>67</v>
      </c>
      <c r="AZ35" s="768">
        <v>0</v>
      </c>
      <c r="BA35" s="813" t="s">
        <v>67</v>
      </c>
      <c r="BB35" s="768">
        <v>0</v>
      </c>
      <c r="BC35" s="814">
        <v>4.63</v>
      </c>
      <c r="BD35" s="808">
        <v>18.309999999999999</v>
      </c>
      <c r="BF35" s="766" t="s">
        <v>67</v>
      </c>
      <c r="BG35" s="766">
        <v>0</v>
      </c>
      <c r="BH35" s="767" t="s">
        <v>67</v>
      </c>
      <c r="BI35" s="766">
        <v>0</v>
      </c>
      <c r="BJ35" s="814">
        <v>30.95</v>
      </c>
      <c r="BK35" s="808">
        <v>355.92999999999995</v>
      </c>
      <c r="BM35" s="766" t="s">
        <v>67</v>
      </c>
      <c r="BN35" s="766">
        <v>0</v>
      </c>
      <c r="BO35" s="767" t="s">
        <v>67</v>
      </c>
      <c r="BP35" s="768">
        <v>0</v>
      </c>
      <c r="BQ35" s="814">
        <v>0</v>
      </c>
      <c r="BR35" s="808">
        <v>0</v>
      </c>
      <c r="BT35" s="766" t="s">
        <v>67</v>
      </c>
      <c r="BU35" s="771">
        <v>0</v>
      </c>
      <c r="BV35" s="815" t="s">
        <v>67</v>
      </c>
      <c r="BW35" s="771">
        <v>0</v>
      </c>
      <c r="BX35" s="814">
        <v>0</v>
      </c>
      <c r="BY35" s="808">
        <v>0</v>
      </c>
      <c r="CA35" s="771" t="s">
        <v>67</v>
      </c>
      <c r="CB35" s="771">
        <v>0</v>
      </c>
      <c r="CC35" s="815" t="s">
        <v>67</v>
      </c>
      <c r="CD35" s="771">
        <v>0</v>
      </c>
      <c r="CE35" s="814">
        <v>0</v>
      </c>
      <c r="CF35" s="808">
        <v>0</v>
      </c>
      <c r="CH35" s="771" t="s">
        <v>67</v>
      </c>
      <c r="CI35" s="771">
        <v>0</v>
      </c>
      <c r="CJ35" s="771" t="s">
        <v>67</v>
      </c>
      <c r="CK35" s="771">
        <v>0</v>
      </c>
      <c r="CL35" s="814">
        <v>5.27</v>
      </c>
      <c r="CM35" s="816">
        <v>74.329999999999984</v>
      </c>
      <c r="CO35" s="817">
        <v>0.1</v>
      </c>
      <c r="CP35" s="818">
        <v>1160</v>
      </c>
      <c r="CQ35" s="819">
        <v>5.27</v>
      </c>
      <c r="CR35" s="819">
        <v>0</v>
      </c>
    </row>
    <row r="36" spans="1:96" ht="13.15" customHeight="1" outlineLevel="1">
      <c r="A36" s="800" t="s">
        <v>648</v>
      </c>
      <c r="B36" s="800" t="s">
        <v>605</v>
      </c>
      <c r="C36" s="800">
        <v>10</v>
      </c>
      <c r="D36" s="801">
        <v>1.22</v>
      </c>
      <c r="E36" s="777">
        <v>0.33</v>
      </c>
      <c r="F36" s="777">
        <f t="shared" si="1"/>
        <v>11.7</v>
      </c>
      <c r="G36" s="777">
        <f t="shared" si="2"/>
        <v>3.55</v>
      </c>
      <c r="H36" s="777">
        <f t="shared" si="8"/>
        <v>106.39000000000001</v>
      </c>
      <c r="I36" s="777">
        <f t="shared" si="8"/>
        <v>708.63999999999987</v>
      </c>
      <c r="J36" s="802">
        <f t="shared" si="0"/>
        <v>0</v>
      </c>
      <c r="K36" s="801">
        <f>IF('Modelo 1.0 - NS'!R35=1,'Modelo 2.0 - Cubação'!E36,IF((E36-'Modelo 1.0 - NS'!U35)&lt;=0,E36,'Modelo 1.0 - NS'!U35))</f>
        <v>0.33</v>
      </c>
      <c r="L36" s="777">
        <f>'Modelo 1.0 - NS'!Q35</f>
        <v>4.6960000000000006</v>
      </c>
      <c r="M36" s="777">
        <f t="shared" si="4"/>
        <v>0</v>
      </c>
      <c r="N36" s="777">
        <f t="shared" si="7"/>
        <v>3.55</v>
      </c>
      <c r="O36" s="777">
        <f t="shared" si="5"/>
        <v>46.960000000000008</v>
      </c>
      <c r="P36" s="777">
        <f t="shared" si="9"/>
        <v>0</v>
      </c>
      <c r="Q36" s="777">
        <f t="shared" si="9"/>
        <v>708.63149999999985</v>
      </c>
      <c r="R36" s="777">
        <f t="shared" si="9"/>
        <v>1203.4300000000007</v>
      </c>
      <c r="T36" s="777">
        <v>3.0950000000000006</v>
      </c>
      <c r="U36" s="777">
        <v>30.95</v>
      </c>
      <c r="V36" s="777">
        <v>0</v>
      </c>
      <c r="W36" s="777">
        <v>0</v>
      </c>
      <c r="Y36" s="803">
        <v>0</v>
      </c>
      <c r="Z36" s="803">
        <v>0</v>
      </c>
      <c r="AA36" s="803">
        <v>0</v>
      </c>
      <c r="AB36" s="803">
        <v>0</v>
      </c>
      <c r="AD36" s="777">
        <v>11.7</v>
      </c>
      <c r="AE36" s="777">
        <v>0</v>
      </c>
      <c r="AF36" s="777">
        <v>4.62</v>
      </c>
      <c r="AG36" s="804">
        <v>4.62</v>
      </c>
      <c r="AH36" s="804">
        <v>7.0799999999999992</v>
      </c>
      <c r="AI36" s="777">
        <v>-814.89000000000021</v>
      </c>
      <c r="AK36" s="805" t="s">
        <v>67</v>
      </c>
      <c r="AL36" s="806">
        <v>0</v>
      </c>
      <c r="AM36" s="805" t="s">
        <v>67</v>
      </c>
      <c r="AN36" s="806">
        <v>0</v>
      </c>
      <c r="AO36" s="807">
        <v>0</v>
      </c>
      <c r="AP36" s="808">
        <v>0</v>
      </c>
      <c r="AR36" s="809" t="s">
        <v>67</v>
      </c>
      <c r="AS36" s="809">
        <v>0</v>
      </c>
      <c r="AT36" s="810" t="s">
        <v>67</v>
      </c>
      <c r="AU36" s="809">
        <v>0</v>
      </c>
      <c r="AV36" s="811">
        <v>0</v>
      </c>
      <c r="AW36" s="811">
        <v>0</v>
      </c>
      <c r="AY36" s="812" t="s">
        <v>67</v>
      </c>
      <c r="AZ36" s="768">
        <v>0</v>
      </c>
      <c r="BA36" s="813" t="s">
        <v>67</v>
      </c>
      <c r="BB36" s="768">
        <v>0</v>
      </c>
      <c r="BC36" s="814">
        <v>7.08</v>
      </c>
      <c r="BD36" s="808">
        <v>25.39</v>
      </c>
      <c r="BF36" s="766" t="s">
        <v>67</v>
      </c>
      <c r="BG36" s="766">
        <v>0</v>
      </c>
      <c r="BH36" s="767" t="s">
        <v>67</v>
      </c>
      <c r="BI36" s="766">
        <v>0</v>
      </c>
      <c r="BJ36" s="814">
        <v>30.95</v>
      </c>
      <c r="BK36" s="808">
        <v>386.87999999999994</v>
      </c>
      <c r="BM36" s="766" t="s">
        <v>67</v>
      </c>
      <c r="BN36" s="766">
        <v>0</v>
      </c>
      <c r="BO36" s="767" t="s">
        <v>67</v>
      </c>
      <c r="BP36" s="768">
        <v>0</v>
      </c>
      <c r="BQ36" s="814">
        <v>0</v>
      </c>
      <c r="BR36" s="808">
        <v>0</v>
      </c>
      <c r="BT36" s="766" t="s">
        <v>67</v>
      </c>
      <c r="BU36" s="771">
        <v>0</v>
      </c>
      <c r="BV36" s="815" t="s">
        <v>67</v>
      </c>
      <c r="BW36" s="771">
        <v>0</v>
      </c>
      <c r="BX36" s="814">
        <v>0</v>
      </c>
      <c r="BY36" s="808">
        <v>0</v>
      </c>
      <c r="CA36" s="771" t="s">
        <v>67</v>
      </c>
      <c r="CB36" s="771">
        <v>0</v>
      </c>
      <c r="CC36" s="815" t="s">
        <v>67</v>
      </c>
      <c r="CD36" s="771">
        <v>0</v>
      </c>
      <c r="CE36" s="814">
        <v>0</v>
      </c>
      <c r="CF36" s="808">
        <v>0</v>
      </c>
      <c r="CH36" s="771" t="s">
        <v>67</v>
      </c>
      <c r="CI36" s="771">
        <v>0</v>
      </c>
      <c r="CJ36" s="771" t="s">
        <v>67</v>
      </c>
      <c r="CK36" s="771">
        <v>0</v>
      </c>
      <c r="CL36" s="814">
        <v>4.62</v>
      </c>
      <c r="CM36" s="816">
        <v>78.949999999999989</v>
      </c>
      <c r="CO36" s="817">
        <v>0.1</v>
      </c>
      <c r="CP36" s="818">
        <v>1170</v>
      </c>
      <c r="CQ36" s="819">
        <v>4.62</v>
      </c>
      <c r="CR36" s="819">
        <v>0</v>
      </c>
    </row>
    <row r="37" spans="1:96" ht="13.15" customHeight="1" outlineLevel="1">
      <c r="A37" s="800" t="s">
        <v>651</v>
      </c>
      <c r="B37" s="800" t="s">
        <v>605</v>
      </c>
      <c r="C37" s="800">
        <v>0</v>
      </c>
      <c r="D37" s="801">
        <v>0.9</v>
      </c>
      <c r="E37" s="777">
        <v>0.3</v>
      </c>
      <c r="F37" s="777">
        <f t="shared" si="1"/>
        <v>10.6</v>
      </c>
      <c r="G37" s="777">
        <f t="shared" si="2"/>
        <v>3.15</v>
      </c>
      <c r="H37" s="777">
        <f t="shared" si="8"/>
        <v>116.99000000000001</v>
      </c>
      <c r="I37" s="777">
        <f t="shared" si="8"/>
        <v>711.78999999999985</v>
      </c>
      <c r="J37" s="802">
        <f t="shared" si="0"/>
        <v>0</v>
      </c>
      <c r="K37" s="801">
        <f>IF('Modelo 1.0 - NS'!R36=1,'Modelo 2.0 - Cubação'!E37,IF((E37-'Modelo 1.0 - NS'!U36)&lt;=0,E37,'Modelo 1.0 - NS'!U36))</f>
        <v>0.3</v>
      </c>
      <c r="L37" s="777">
        <f>'Modelo 1.0 - NS'!Q36</f>
        <v>4.6960000000000006</v>
      </c>
      <c r="M37" s="777">
        <f t="shared" si="4"/>
        <v>0</v>
      </c>
      <c r="N37" s="777">
        <f t="shared" si="7"/>
        <v>3.15</v>
      </c>
      <c r="O37" s="777">
        <f t="shared" si="5"/>
        <v>46.960000000000008</v>
      </c>
      <c r="P37" s="777">
        <f t="shared" si="9"/>
        <v>0</v>
      </c>
      <c r="Q37" s="777">
        <f t="shared" si="9"/>
        <v>711.78149999999982</v>
      </c>
      <c r="R37" s="777">
        <f t="shared" si="9"/>
        <v>1250.3900000000008</v>
      </c>
      <c r="T37" s="777">
        <v>3.0950000000000006</v>
      </c>
      <c r="U37" s="777">
        <v>30.95</v>
      </c>
      <c r="V37" s="777">
        <v>0</v>
      </c>
      <c r="W37" s="777">
        <v>0</v>
      </c>
      <c r="Y37" s="803">
        <v>0</v>
      </c>
      <c r="Z37" s="803">
        <v>0</v>
      </c>
      <c r="AA37" s="803">
        <v>0</v>
      </c>
      <c r="AB37" s="803">
        <v>0</v>
      </c>
      <c r="AD37" s="777">
        <v>10.6</v>
      </c>
      <c r="AE37" s="777">
        <v>0</v>
      </c>
      <c r="AF37" s="777">
        <v>4.0999999999999996</v>
      </c>
      <c r="AG37" s="804">
        <v>4.0999999999999996</v>
      </c>
      <c r="AH37" s="804">
        <v>6.5</v>
      </c>
      <c r="AI37" s="777">
        <v>-808.39000000000021</v>
      </c>
      <c r="AK37" s="805" t="s">
        <v>67</v>
      </c>
      <c r="AL37" s="806">
        <v>0</v>
      </c>
      <c r="AM37" s="805" t="s">
        <v>67</v>
      </c>
      <c r="AN37" s="806">
        <v>0</v>
      </c>
      <c r="AO37" s="807">
        <v>0</v>
      </c>
      <c r="AP37" s="808">
        <v>0</v>
      </c>
      <c r="AR37" s="809" t="s">
        <v>67</v>
      </c>
      <c r="AS37" s="809">
        <v>0</v>
      </c>
      <c r="AT37" s="810" t="s">
        <v>67</v>
      </c>
      <c r="AU37" s="809">
        <v>0</v>
      </c>
      <c r="AV37" s="811">
        <v>0</v>
      </c>
      <c r="AW37" s="811">
        <v>0</v>
      </c>
      <c r="AY37" s="812" t="s">
        <v>67</v>
      </c>
      <c r="AZ37" s="768">
        <v>0</v>
      </c>
      <c r="BA37" s="813" t="s">
        <v>67</v>
      </c>
      <c r="BB37" s="768">
        <v>0</v>
      </c>
      <c r="BC37" s="814">
        <v>6.5</v>
      </c>
      <c r="BD37" s="808">
        <v>31.89</v>
      </c>
      <c r="BF37" s="766" t="s">
        <v>67</v>
      </c>
      <c r="BG37" s="766">
        <v>0</v>
      </c>
      <c r="BH37" s="767" t="s">
        <v>67</v>
      </c>
      <c r="BI37" s="766">
        <v>0</v>
      </c>
      <c r="BJ37" s="814">
        <v>30.95</v>
      </c>
      <c r="BK37" s="808">
        <v>417.82999999999993</v>
      </c>
      <c r="BM37" s="766" t="s">
        <v>67</v>
      </c>
      <c r="BN37" s="766">
        <v>0</v>
      </c>
      <c r="BO37" s="767" t="s">
        <v>67</v>
      </c>
      <c r="BP37" s="768">
        <v>0</v>
      </c>
      <c r="BQ37" s="814">
        <v>0</v>
      </c>
      <c r="BR37" s="808">
        <v>0</v>
      </c>
      <c r="BT37" s="766" t="s">
        <v>67</v>
      </c>
      <c r="BU37" s="771">
        <v>0</v>
      </c>
      <c r="BV37" s="815" t="s">
        <v>67</v>
      </c>
      <c r="BW37" s="771">
        <v>0</v>
      </c>
      <c r="BX37" s="814">
        <v>0</v>
      </c>
      <c r="BY37" s="808">
        <v>0</v>
      </c>
      <c r="CA37" s="771" t="s">
        <v>67</v>
      </c>
      <c r="CB37" s="771">
        <v>0</v>
      </c>
      <c r="CC37" s="815" t="s">
        <v>67</v>
      </c>
      <c r="CD37" s="771">
        <v>0</v>
      </c>
      <c r="CE37" s="814">
        <v>0</v>
      </c>
      <c r="CF37" s="808">
        <v>0</v>
      </c>
      <c r="CH37" s="771" t="s">
        <v>67</v>
      </c>
      <c r="CI37" s="771">
        <v>0</v>
      </c>
      <c r="CJ37" s="771" t="s">
        <v>67</v>
      </c>
      <c r="CK37" s="771">
        <v>0</v>
      </c>
      <c r="CL37" s="814">
        <v>4.0999999999999996</v>
      </c>
      <c r="CM37" s="816">
        <v>83.049999999999983</v>
      </c>
      <c r="CO37" s="817">
        <v>0.1</v>
      </c>
      <c r="CP37" s="818">
        <v>1180</v>
      </c>
      <c r="CQ37" s="819">
        <v>4.0999999999999996</v>
      </c>
      <c r="CR37" s="819">
        <v>0</v>
      </c>
    </row>
    <row r="38" spans="1:96" ht="13.15" customHeight="1" outlineLevel="1">
      <c r="A38" s="800" t="s">
        <v>651</v>
      </c>
      <c r="B38" s="800" t="s">
        <v>605</v>
      </c>
      <c r="C38" s="800">
        <v>10</v>
      </c>
      <c r="D38" s="801">
        <v>0.75</v>
      </c>
      <c r="E38" s="777">
        <v>0.15</v>
      </c>
      <c r="F38" s="777">
        <f t="shared" si="1"/>
        <v>8.25</v>
      </c>
      <c r="G38" s="777">
        <f t="shared" si="2"/>
        <v>2.25</v>
      </c>
      <c r="H38" s="777">
        <f t="shared" si="8"/>
        <v>125.24000000000001</v>
      </c>
      <c r="I38" s="777">
        <f t="shared" si="8"/>
        <v>714.03999999999985</v>
      </c>
      <c r="J38" s="802">
        <f t="shared" si="0"/>
        <v>0</v>
      </c>
      <c r="K38" s="801">
        <f>IF('Modelo 1.0 - NS'!R37=1,'Modelo 2.0 - Cubação'!E38,IF((E38-'Modelo 1.0 - NS'!U37)&lt;=0,E38,'Modelo 1.0 - NS'!U37))</f>
        <v>0.15</v>
      </c>
      <c r="L38" s="777">
        <f>'Modelo 1.0 - NS'!Q37</f>
        <v>4.6960000000000006</v>
      </c>
      <c r="M38" s="777">
        <f t="shared" si="4"/>
        <v>0</v>
      </c>
      <c r="N38" s="777">
        <f t="shared" si="7"/>
        <v>2.25</v>
      </c>
      <c r="O38" s="777">
        <f t="shared" si="5"/>
        <v>46.960000000000008</v>
      </c>
      <c r="P38" s="777">
        <f t="shared" si="9"/>
        <v>0</v>
      </c>
      <c r="Q38" s="777">
        <f t="shared" si="9"/>
        <v>714.03149999999982</v>
      </c>
      <c r="R38" s="777">
        <f t="shared" si="9"/>
        <v>1297.3500000000008</v>
      </c>
      <c r="T38" s="777">
        <v>3.0950000000000006</v>
      </c>
      <c r="U38" s="777">
        <v>30.95</v>
      </c>
      <c r="V38" s="777">
        <v>0</v>
      </c>
      <c r="W38" s="777">
        <v>0</v>
      </c>
      <c r="Y38" s="803">
        <v>0</v>
      </c>
      <c r="Z38" s="803">
        <v>0</v>
      </c>
      <c r="AA38" s="803">
        <v>0</v>
      </c>
      <c r="AB38" s="803">
        <v>0</v>
      </c>
      <c r="AD38" s="777">
        <v>8.25</v>
      </c>
      <c r="AE38" s="777">
        <v>0</v>
      </c>
      <c r="AF38" s="777">
        <v>2.93</v>
      </c>
      <c r="AG38" s="804">
        <v>2.93</v>
      </c>
      <c r="AH38" s="804">
        <v>5.32</v>
      </c>
      <c r="AI38" s="777">
        <v>-803.07000000000016</v>
      </c>
      <c r="AK38" s="805" t="s">
        <v>67</v>
      </c>
      <c r="AL38" s="806">
        <v>0</v>
      </c>
      <c r="AM38" s="805" t="s">
        <v>67</v>
      </c>
      <c r="AN38" s="806">
        <v>0</v>
      </c>
      <c r="AO38" s="807">
        <v>0</v>
      </c>
      <c r="AP38" s="808">
        <v>0</v>
      </c>
      <c r="AR38" s="809" t="s">
        <v>67</v>
      </c>
      <c r="AS38" s="809">
        <v>0</v>
      </c>
      <c r="AT38" s="810" t="s">
        <v>67</v>
      </c>
      <c r="AU38" s="809">
        <v>0</v>
      </c>
      <c r="AV38" s="811">
        <v>0</v>
      </c>
      <c r="AW38" s="811">
        <v>0</v>
      </c>
      <c r="AY38" s="812" t="s">
        <v>67</v>
      </c>
      <c r="AZ38" s="768">
        <v>0</v>
      </c>
      <c r="BA38" s="813" t="s">
        <v>67</v>
      </c>
      <c r="BB38" s="768">
        <v>0</v>
      </c>
      <c r="BC38" s="814">
        <v>5.32</v>
      </c>
      <c r="BD38" s="808">
        <v>37.21</v>
      </c>
      <c r="BF38" s="766" t="s">
        <v>67</v>
      </c>
      <c r="BG38" s="766">
        <v>0</v>
      </c>
      <c r="BH38" s="767" t="s">
        <v>67</v>
      </c>
      <c r="BI38" s="766">
        <v>0</v>
      </c>
      <c r="BJ38" s="814">
        <v>30.95</v>
      </c>
      <c r="BK38" s="808">
        <v>448.77999999999992</v>
      </c>
      <c r="BM38" s="766" t="s">
        <v>67</v>
      </c>
      <c r="BN38" s="766">
        <v>0</v>
      </c>
      <c r="BO38" s="767" t="s">
        <v>67</v>
      </c>
      <c r="BP38" s="768">
        <v>0</v>
      </c>
      <c r="BQ38" s="814">
        <v>0</v>
      </c>
      <c r="BR38" s="808">
        <v>0</v>
      </c>
      <c r="BT38" s="766" t="s">
        <v>67</v>
      </c>
      <c r="BU38" s="771">
        <v>0</v>
      </c>
      <c r="BV38" s="815" t="s">
        <v>67</v>
      </c>
      <c r="BW38" s="771">
        <v>0</v>
      </c>
      <c r="BX38" s="814">
        <v>0</v>
      </c>
      <c r="BY38" s="808">
        <v>0</v>
      </c>
      <c r="CA38" s="771" t="s">
        <v>67</v>
      </c>
      <c r="CB38" s="771">
        <v>0</v>
      </c>
      <c r="CC38" s="815" t="s">
        <v>67</v>
      </c>
      <c r="CD38" s="771">
        <v>0</v>
      </c>
      <c r="CE38" s="814">
        <v>0</v>
      </c>
      <c r="CF38" s="808">
        <v>0</v>
      </c>
      <c r="CH38" s="771" t="s">
        <v>67</v>
      </c>
      <c r="CI38" s="771">
        <v>0</v>
      </c>
      <c r="CJ38" s="771" t="s">
        <v>67</v>
      </c>
      <c r="CK38" s="771">
        <v>0</v>
      </c>
      <c r="CL38" s="814">
        <v>2.93</v>
      </c>
      <c r="CM38" s="816">
        <v>85.97999999999999</v>
      </c>
      <c r="CO38" s="817">
        <v>0.1</v>
      </c>
      <c r="CP38" s="818">
        <v>1190</v>
      </c>
      <c r="CQ38" s="819">
        <v>2.93</v>
      </c>
      <c r="CR38" s="819">
        <v>0</v>
      </c>
    </row>
    <row r="39" spans="1:96" ht="13.15" customHeight="1" outlineLevel="1">
      <c r="A39" s="800" t="s">
        <v>654</v>
      </c>
      <c r="B39" s="800" t="s">
        <v>605</v>
      </c>
      <c r="C39" s="800">
        <v>0</v>
      </c>
      <c r="D39" s="801">
        <v>0.48</v>
      </c>
      <c r="E39" s="777">
        <v>0.35</v>
      </c>
      <c r="F39" s="777">
        <f t="shared" si="1"/>
        <v>6.15</v>
      </c>
      <c r="G39" s="777">
        <f t="shared" si="2"/>
        <v>2.5</v>
      </c>
      <c r="H39" s="777">
        <f t="shared" si="8"/>
        <v>131.39000000000001</v>
      </c>
      <c r="I39" s="777">
        <f t="shared" si="8"/>
        <v>716.53999999999985</v>
      </c>
      <c r="J39" s="802">
        <f t="shared" si="0"/>
        <v>0</v>
      </c>
      <c r="K39" s="801">
        <f>IF('Modelo 1.0 - NS'!R38=1,'Modelo 2.0 - Cubação'!E39,IF((E39-'Modelo 1.0 - NS'!U38)&lt;=0,E39,'Modelo 1.0 - NS'!U38))</f>
        <v>0.35</v>
      </c>
      <c r="L39" s="777">
        <f>'Modelo 1.0 - NS'!Q38</f>
        <v>4.6960000000000006</v>
      </c>
      <c r="M39" s="777">
        <f t="shared" si="4"/>
        <v>0</v>
      </c>
      <c r="N39" s="777">
        <f t="shared" si="7"/>
        <v>2.5</v>
      </c>
      <c r="O39" s="777">
        <f t="shared" si="5"/>
        <v>46.960000000000008</v>
      </c>
      <c r="P39" s="777">
        <f t="shared" si="9"/>
        <v>0</v>
      </c>
      <c r="Q39" s="777">
        <f t="shared" si="9"/>
        <v>716.53149999999982</v>
      </c>
      <c r="R39" s="777">
        <f t="shared" si="9"/>
        <v>1344.3100000000009</v>
      </c>
      <c r="T39" s="777">
        <v>3.0950000000000006</v>
      </c>
      <c r="U39" s="777">
        <v>30.95</v>
      </c>
      <c r="V39" s="777">
        <v>0</v>
      </c>
      <c r="W39" s="777">
        <v>0</v>
      </c>
      <c r="Y39" s="803">
        <v>0</v>
      </c>
      <c r="Z39" s="803">
        <v>0</v>
      </c>
      <c r="AA39" s="803">
        <v>0</v>
      </c>
      <c r="AB39" s="803">
        <v>0</v>
      </c>
      <c r="AD39" s="777">
        <v>6.15</v>
      </c>
      <c r="AE39" s="777">
        <v>0</v>
      </c>
      <c r="AF39" s="777">
        <v>3.25</v>
      </c>
      <c r="AG39" s="804">
        <v>3.25</v>
      </c>
      <c r="AH39" s="804">
        <v>2.9000000000000004</v>
      </c>
      <c r="AI39" s="777">
        <v>-800.17000000000019</v>
      </c>
      <c r="AK39" s="805" t="s">
        <v>67</v>
      </c>
      <c r="AL39" s="806">
        <v>0</v>
      </c>
      <c r="AM39" s="805" t="s">
        <v>67</v>
      </c>
      <c r="AN39" s="806">
        <v>0</v>
      </c>
      <c r="AO39" s="807">
        <v>0</v>
      </c>
      <c r="AP39" s="808">
        <v>0</v>
      </c>
      <c r="AR39" s="809" t="s">
        <v>67</v>
      </c>
      <c r="AS39" s="809">
        <v>0</v>
      </c>
      <c r="AT39" s="810" t="s">
        <v>67</v>
      </c>
      <c r="AU39" s="809">
        <v>0</v>
      </c>
      <c r="AV39" s="811">
        <v>0</v>
      </c>
      <c r="AW39" s="811">
        <v>0</v>
      </c>
      <c r="AY39" s="812" t="s">
        <v>67</v>
      </c>
      <c r="AZ39" s="768">
        <v>0</v>
      </c>
      <c r="BA39" s="813" t="s">
        <v>815</v>
      </c>
      <c r="BB39" s="768">
        <v>1</v>
      </c>
      <c r="BC39" s="814">
        <v>2.9</v>
      </c>
      <c r="BD39" s="808">
        <v>40.11</v>
      </c>
      <c r="BF39" s="766" t="s">
        <v>67</v>
      </c>
      <c r="BG39" s="766">
        <v>0</v>
      </c>
      <c r="BH39" s="767" t="s">
        <v>67</v>
      </c>
      <c r="BI39" s="766">
        <v>0</v>
      </c>
      <c r="BJ39" s="814">
        <v>30.95</v>
      </c>
      <c r="BK39" s="808">
        <v>479.7299999999999</v>
      </c>
      <c r="BM39" s="766" t="s">
        <v>67</v>
      </c>
      <c r="BN39" s="766">
        <v>0</v>
      </c>
      <c r="BO39" s="767" t="s">
        <v>67</v>
      </c>
      <c r="BP39" s="768">
        <v>0</v>
      </c>
      <c r="BQ39" s="814">
        <v>0</v>
      </c>
      <c r="BR39" s="808">
        <v>0</v>
      </c>
      <c r="BT39" s="766" t="s">
        <v>67</v>
      </c>
      <c r="BU39" s="771">
        <v>0</v>
      </c>
      <c r="BV39" s="815" t="s">
        <v>67</v>
      </c>
      <c r="BW39" s="771">
        <v>0</v>
      </c>
      <c r="BX39" s="814">
        <v>0</v>
      </c>
      <c r="BY39" s="808">
        <v>0</v>
      </c>
      <c r="CA39" s="771" t="s">
        <v>67</v>
      </c>
      <c r="CB39" s="771">
        <v>0</v>
      </c>
      <c r="CC39" s="815" t="s">
        <v>67</v>
      </c>
      <c r="CD39" s="771">
        <v>0</v>
      </c>
      <c r="CE39" s="814">
        <v>0</v>
      </c>
      <c r="CF39" s="808">
        <v>0</v>
      </c>
      <c r="CH39" s="771" t="s">
        <v>67</v>
      </c>
      <c r="CI39" s="771">
        <v>0</v>
      </c>
      <c r="CJ39" s="771" t="s">
        <v>67</v>
      </c>
      <c r="CK39" s="771">
        <v>0</v>
      </c>
      <c r="CL39" s="814">
        <v>3.25</v>
      </c>
      <c r="CM39" s="816">
        <v>89.22999999999999</v>
      </c>
      <c r="CO39" s="817">
        <v>0.1</v>
      </c>
      <c r="CP39" s="818">
        <v>1200</v>
      </c>
      <c r="CQ39" s="819">
        <v>3.25</v>
      </c>
      <c r="CR39" s="819">
        <v>0</v>
      </c>
    </row>
    <row r="40" spans="1:96" ht="13.15" customHeight="1" outlineLevel="1">
      <c r="A40" s="800" t="s">
        <v>654</v>
      </c>
      <c r="B40" s="800" t="s">
        <v>605</v>
      </c>
      <c r="C40" s="800">
        <v>10</v>
      </c>
      <c r="D40" s="801">
        <v>0.28999999999999998</v>
      </c>
      <c r="E40" s="777">
        <v>0.55000000000000004</v>
      </c>
      <c r="F40" s="777">
        <f t="shared" si="1"/>
        <v>3.85</v>
      </c>
      <c r="G40" s="777">
        <f t="shared" si="2"/>
        <v>4.5</v>
      </c>
      <c r="H40" s="777">
        <f t="shared" ref="H40:I55" si="10">F40+H39</f>
        <v>135.24</v>
      </c>
      <c r="I40" s="777">
        <f t="shared" si="10"/>
        <v>721.03999999999985</v>
      </c>
      <c r="J40" s="802">
        <f t="shared" si="0"/>
        <v>0</v>
      </c>
      <c r="K40" s="801">
        <f>IF('Modelo 1.0 - NS'!R39=1,'Modelo 2.0 - Cubação'!E40,IF((E40-'Modelo 1.0 - NS'!U39)&lt;=0,E40,'Modelo 1.0 - NS'!U39))</f>
        <v>0.55000000000000004</v>
      </c>
      <c r="L40" s="777">
        <f>'Modelo 1.0 - NS'!Q39</f>
        <v>4.6960000000000006</v>
      </c>
      <c r="M40" s="777">
        <f t="shared" si="4"/>
        <v>0</v>
      </c>
      <c r="N40" s="777">
        <f t="shared" si="7"/>
        <v>4.5</v>
      </c>
      <c r="O40" s="777">
        <f t="shared" si="5"/>
        <v>46.960000000000008</v>
      </c>
      <c r="P40" s="777">
        <f t="shared" ref="P40:R55" si="11">M40+P39</f>
        <v>0</v>
      </c>
      <c r="Q40" s="777">
        <f t="shared" si="11"/>
        <v>721.03149999999982</v>
      </c>
      <c r="R40" s="777">
        <f t="shared" si="11"/>
        <v>1391.2700000000009</v>
      </c>
      <c r="T40" s="777">
        <v>3.0950000000000006</v>
      </c>
      <c r="U40" s="777">
        <v>30.95</v>
      </c>
      <c r="V40" s="777">
        <v>0</v>
      </c>
      <c r="W40" s="777">
        <v>0</v>
      </c>
      <c r="Y40" s="803">
        <v>0</v>
      </c>
      <c r="Z40" s="803">
        <v>0</v>
      </c>
      <c r="AA40" s="803">
        <v>0</v>
      </c>
      <c r="AB40" s="803">
        <v>0</v>
      </c>
      <c r="AD40" s="777">
        <v>3.85</v>
      </c>
      <c r="AE40" s="777">
        <v>0</v>
      </c>
      <c r="AF40" s="777">
        <v>5.85</v>
      </c>
      <c r="AG40" s="804">
        <v>3.85</v>
      </c>
      <c r="AH40" s="804">
        <v>-1.9999999999999996</v>
      </c>
      <c r="AI40" s="777">
        <v>-802.17000000000019</v>
      </c>
      <c r="AK40" s="805" t="s">
        <v>816</v>
      </c>
      <c r="AL40" s="806">
        <v>1</v>
      </c>
      <c r="AM40" s="805" t="s">
        <v>67</v>
      </c>
      <c r="AN40" s="806">
        <v>0</v>
      </c>
      <c r="AO40" s="807">
        <v>1.54</v>
      </c>
      <c r="AP40" s="808">
        <v>1.54</v>
      </c>
      <c r="AR40" s="809" t="s">
        <v>67</v>
      </c>
      <c r="AS40" s="809">
        <v>0</v>
      </c>
      <c r="AT40" s="810" t="s">
        <v>67</v>
      </c>
      <c r="AU40" s="809">
        <v>0</v>
      </c>
      <c r="AV40" s="811">
        <v>0</v>
      </c>
      <c r="AW40" s="811">
        <v>0</v>
      </c>
      <c r="AY40" s="812" t="s">
        <v>67</v>
      </c>
      <c r="AZ40" s="768">
        <v>0</v>
      </c>
      <c r="BA40" s="813" t="s">
        <v>67</v>
      </c>
      <c r="BB40" s="768">
        <v>0</v>
      </c>
      <c r="BC40" s="814">
        <v>0</v>
      </c>
      <c r="BD40" s="808">
        <v>0</v>
      </c>
      <c r="BF40" s="766" t="s">
        <v>67</v>
      </c>
      <c r="BG40" s="766">
        <v>0</v>
      </c>
      <c r="BH40" s="767" t="s">
        <v>67</v>
      </c>
      <c r="BI40" s="766">
        <v>0</v>
      </c>
      <c r="BJ40" s="814">
        <v>30.95</v>
      </c>
      <c r="BK40" s="808">
        <v>510.67999999999989</v>
      </c>
      <c r="BM40" s="766" t="s">
        <v>67</v>
      </c>
      <c r="BN40" s="766">
        <v>0</v>
      </c>
      <c r="BO40" s="767" t="s">
        <v>67</v>
      </c>
      <c r="BP40" s="768">
        <v>0</v>
      </c>
      <c r="BQ40" s="814">
        <v>0</v>
      </c>
      <c r="BR40" s="808">
        <v>0</v>
      </c>
      <c r="BT40" s="766" t="s">
        <v>67</v>
      </c>
      <c r="BU40" s="771">
        <v>0</v>
      </c>
      <c r="BV40" s="815" t="s">
        <v>67</v>
      </c>
      <c r="BW40" s="771">
        <v>0</v>
      </c>
      <c r="BX40" s="814">
        <v>0</v>
      </c>
      <c r="BY40" s="808">
        <v>0</v>
      </c>
      <c r="CA40" s="771" t="s">
        <v>67</v>
      </c>
      <c r="CB40" s="771">
        <v>0</v>
      </c>
      <c r="CC40" s="815" t="s">
        <v>67</v>
      </c>
      <c r="CD40" s="771">
        <v>0</v>
      </c>
      <c r="CE40" s="814">
        <v>0</v>
      </c>
      <c r="CF40" s="808">
        <v>0</v>
      </c>
      <c r="CH40" s="771" t="s">
        <v>67</v>
      </c>
      <c r="CI40" s="771">
        <v>0</v>
      </c>
      <c r="CJ40" s="771" t="s">
        <v>67</v>
      </c>
      <c r="CK40" s="771">
        <v>0</v>
      </c>
      <c r="CL40" s="814">
        <v>3.85</v>
      </c>
      <c r="CM40" s="816">
        <v>93.079999999999984</v>
      </c>
      <c r="CO40" s="817">
        <v>0.1</v>
      </c>
      <c r="CP40" s="818">
        <v>1210</v>
      </c>
      <c r="CQ40" s="819">
        <v>0</v>
      </c>
      <c r="CR40" s="819">
        <v>-3.85</v>
      </c>
    </row>
    <row r="41" spans="1:96" ht="13.15" customHeight="1" outlineLevel="1">
      <c r="A41" s="800" t="s">
        <v>654</v>
      </c>
      <c r="B41" s="800" t="s">
        <v>605</v>
      </c>
      <c r="C41" s="800">
        <v>14.426</v>
      </c>
      <c r="D41" s="801">
        <v>0.14000000000000001</v>
      </c>
      <c r="E41" s="777">
        <v>0.72</v>
      </c>
      <c r="F41" s="777">
        <f t="shared" si="1"/>
        <v>0.95</v>
      </c>
      <c r="G41" s="777">
        <f t="shared" si="2"/>
        <v>2.81</v>
      </c>
      <c r="H41" s="777">
        <f t="shared" si="10"/>
        <v>136.19</v>
      </c>
      <c r="I41" s="777">
        <f t="shared" si="10"/>
        <v>723.8499999999998</v>
      </c>
      <c r="J41" s="802">
        <f t="shared" si="0"/>
        <v>0</v>
      </c>
      <c r="K41" s="801">
        <f>IF('Modelo 1.0 - NS'!R40=1,'Modelo 2.0 - Cubação'!E41,IF((E41-'Modelo 1.0 - NS'!U40)&lt;=0,E41,'Modelo 1.0 - NS'!U40))</f>
        <v>0.72</v>
      </c>
      <c r="L41" s="777">
        <f>'Modelo 1.0 - NS'!Q40</f>
        <v>4.6960000000000006</v>
      </c>
      <c r="M41" s="777">
        <f t="shared" si="4"/>
        <v>0</v>
      </c>
      <c r="N41" s="777">
        <f t="shared" si="7"/>
        <v>2.8105099999999563</v>
      </c>
      <c r="O41" s="777">
        <f t="shared" si="5"/>
        <v>20.784495999999677</v>
      </c>
      <c r="P41" s="777">
        <f t="shared" si="11"/>
        <v>0</v>
      </c>
      <c r="Q41" s="777">
        <f t="shared" si="11"/>
        <v>723.84200999999973</v>
      </c>
      <c r="R41" s="777">
        <f t="shared" si="11"/>
        <v>1412.0544960000007</v>
      </c>
      <c r="T41" s="777">
        <v>3.0950000000000006</v>
      </c>
      <c r="U41" s="777">
        <v>13.7</v>
      </c>
      <c r="V41" s="777">
        <v>0</v>
      </c>
      <c r="W41" s="777">
        <v>0</v>
      </c>
      <c r="Y41" s="803">
        <v>0</v>
      </c>
      <c r="Z41" s="803">
        <v>0</v>
      </c>
      <c r="AA41" s="803">
        <v>0</v>
      </c>
      <c r="AB41" s="803">
        <v>0</v>
      </c>
      <c r="AD41" s="777">
        <v>0.95</v>
      </c>
      <c r="AE41" s="777">
        <v>0</v>
      </c>
      <c r="AF41" s="777">
        <v>3.65</v>
      </c>
      <c r="AG41" s="804">
        <v>0.95</v>
      </c>
      <c r="AH41" s="804">
        <v>-2.7</v>
      </c>
      <c r="AI41" s="777">
        <v>-804.87000000000023</v>
      </c>
      <c r="AK41" s="805" t="s">
        <v>67</v>
      </c>
      <c r="AL41" s="806">
        <v>0</v>
      </c>
      <c r="AM41" s="805" t="s">
        <v>67</v>
      </c>
      <c r="AN41" s="806">
        <v>0</v>
      </c>
      <c r="AO41" s="807">
        <v>2.08</v>
      </c>
      <c r="AP41" s="808">
        <v>3.62</v>
      </c>
      <c r="AR41" s="809" t="s">
        <v>67</v>
      </c>
      <c r="AS41" s="809">
        <v>0</v>
      </c>
      <c r="AT41" s="810" t="s">
        <v>67</v>
      </c>
      <c r="AU41" s="809">
        <v>0</v>
      </c>
      <c r="AV41" s="811">
        <v>0</v>
      </c>
      <c r="AW41" s="811">
        <v>0</v>
      </c>
      <c r="AY41" s="812" t="s">
        <v>67</v>
      </c>
      <c r="AZ41" s="768">
        <v>0</v>
      </c>
      <c r="BA41" s="813" t="s">
        <v>67</v>
      </c>
      <c r="BB41" s="768">
        <v>0</v>
      </c>
      <c r="BC41" s="814">
        <v>0</v>
      </c>
      <c r="BD41" s="808">
        <v>0</v>
      </c>
      <c r="BF41" s="766" t="s">
        <v>67</v>
      </c>
      <c r="BG41" s="766">
        <v>0</v>
      </c>
      <c r="BH41" s="767" t="s">
        <v>67</v>
      </c>
      <c r="BI41" s="766">
        <v>0</v>
      </c>
      <c r="BJ41" s="814">
        <v>13.7</v>
      </c>
      <c r="BK41" s="808">
        <v>524.37999999999988</v>
      </c>
      <c r="BM41" s="766" t="s">
        <v>67</v>
      </c>
      <c r="BN41" s="766">
        <v>0</v>
      </c>
      <c r="BO41" s="767" t="s">
        <v>67</v>
      </c>
      <c r="BP41" s="768">
        <v>0</v>
      </c>
      <c r="BQ41" s="814">
        <v>0</v>
      </c>
      <c r="BR41" s="808">
        <v>0</v>
      </c>
      <c r="BT41" s="766" t="s">
        <v>67</v>
      </c>
      <c r="BU41" s="771">
        <v>0</v>
      </c>
      <c r="BV41" s="815" t="s">
        <v>67</v>
      </c>
      <c r="BW41" s="771">
        <v>0</v>
      </c>
      <c r="BX41" s="814">
        <v>0</v>
      </c>
      <c r="BY41" s="808">
        <v>0</v>
      </c>
      <c r="CA41" s="771" t="s">
        <v>67</v>
      </c>
      <c r="CB41" s="771">
        <v>0</v>
      </c>
      <c r="CC41" s="815" t="s">
        <v>67</v>
      </c>
      <c r="CD41" s="771">
        <v>0</v>
      </c>
      <c r="CE41" s="814">
        <v>0</v>
      </c>
      <c r="CF41" s="808">
        <v>0</v>
      </c>
      <c r="CH41" s="771" t="s">
        <v>67</v>
      </c>
      <c r="CI41" s="771">
        <v>0</v>
      </c>
      <c r="CJ41" s="771" t="s">
        <v>67</v>
      </c>
      <c r="CK41" s="771">
        <v>0</v>
      </c>
      <c r="CL41" s="814">
        <v>0.95</v>
      </c>
      <c r="CM41" s="816">
        <v>94.029999999999987</v>
      </c>
      <c r="CO41" s="817">
        <v>0.1</v>
      </c>
      <c r="CP41" s="818">
        <v>1214.4259999999999</v>
      </c>
      <c r="CQ41" s="819">
        <v>0</v>
      </c>
      <c r="CR41" s="819">
        <v>-0.95</v>
      </c>
    </row>
    <row r="42" spans="1:96" ht="13.15" customHeight="1" outlineLevel="1">
      <c r="A42" s="800" t="s">
        <v>658</v>
      </c>
      <c r="B42" s="800" t="s">
        <v>605</v>
      </c>
      <c r="C42" s="800">
        <v>0</v>
      </c>
      <c r="D42" s="801">
        <v>0.05</v>
      </c>
      <c r="E42" s="777">
        <v>0.57999999999999996</v>
      </c>
      <c r="F42" s="777">
        <f t="shared" si="1"/>
        <v>0.53</v>
      </c>
      <c r="G42" s="777">
        <f t="shared" si="2"/>
        <v>3.62</v>
      </c>
      <c r="H42" s="777">
        <f t="shared" si="10"/>
        <v>136.72</v>
      </c>
      <c r="I42" s="777">
        <f t="shared" si="10"/>
        <v>727.4699999999998</v>
      </c>
      <c r="J42" s="802">
        <f t="shared" si="0"/>
        <v>0</v>
      </c>
      <c r="K42" s="801">
        <f>IF('Modelo 1.0 - NS'!R41=1,'Modelo 2.0 - Cubação'!E42,IF((E42-'Modelo 1.0 - NS'!U41)&lt;=0,E42,'Modelo 1.0 - NS'!U41))</f>
        <v>0.57999999999999996</v>
      </c>
      <c r="L42" s="777">
        <f>'Modelo 1.0 - NS'!Q41</f>
        <v>4.6960000000000006</v>
      </c>
      <c r="M42" s="777">
        <f t="shared" si="4"/>
        <v>0</v>
      </c>
      <c r="N42" s="777">
        <f t="shared" si="7"/>
        <v>3.6231000000000444</v>
      </c>
      <c r="O42" s="777">
        <f t="shared" si="5"/>
        <v>26.175504000000327</v>
      </c>
      <c r="P42" s="777">
        <f t="shared" si="11"/>
        <v>0</v>
      </c>
      <c r="Q42" s="777">
        <f t="shared" si="11"/>
        <v>727.46510999999975</v>
      </c>
      <c r="R42" s="777">
        <f t="shared" si="11"/>
        <v>1438.2300000000009</v>
      </c>
      <c r="T42" s="777">
        <v>0</v>
      </c>
      <c r="U42" s="777">
        <v>8.6300000000000008</v>
      </c>
      <c r="V42" s="777">
        <v>3.28</v>
      </c>
      <c r="W42" s="777">
        <v>9.14</v>
      </c>
      <c r="Y42" s="803">
        <v>0</v>
      </c>
      <c r="Z42" s="803">
        <v>0</v>
      </c>
      <c r="AA42" s="803">
        <v>0</v>
      </c>
      <c r="AB42" s="803">
        <v>0</v>
      </c>
      <c r="AD42" s="777">
        <v>0.53</v>
      </c>
      <c r="AE42" s="777">
        <v>0</v>
      </c>
      <c r="AF42" s="777">
        <v>4.71</v>
      </c>
      <c r="AG42" s="804">
        <v>0.53</v>
      </c>
      <c r="AH42" s="804">
        <v>-4.18</v>
      </c>
      <c r="AI42" s="777">
        <v>-809.05000000000018</v>
      </c>
      <c r="AK42" s="805" t="s">
        <v>67</v>
      </c>
      <c r="AL42" s="806">
        <v>0</v>
      </c>
      <c r="AM42" s="805" t="s">
        <v>67</v>
      </c>
      <c r="AN42" s="806">
        <v>0</v>
      </c>
      <c r="AO42" s="807">
        <v>3.22</v>
      </c>
      <c r="AP42" s="808">
        <v>6.84</v>
      </c>
      <c r="AR42" s="809" t="s">
        <v>67</v>
      </c>
      <c r="AS42" s="809">
        <v>0</v>
      </c>
      <c r="AT42" s="810" t="s">
        <v>67</v>
      </c>
      <c r="AU42" s="809">
        <v>0</v>
      </c>
      <c r="AV42" s="811">
        <v>0</v>
      </c>
      <c r="AW42" s="811">
        <v>0</v>
      </c>
      <c r="AY42" s="812" t="s">
        <v>67</v>
      </c>
      <c r="AZ42" s="768">
        <v>0</v>
      </c>
      <c r="BA42" s="813" t="s">
        <v>67</v>
      </c>
      <c r="BB42" s="768">
        <v>0</v>
      </c>
      <c r="BC42" s="814">
        <v>0</v>
      </c>
      <c r="BD42" s="808">
        <v>0</v>
      </c>
      <c r="BF42" s="766" t="s">
        <v>67</v>
      </c>
      <c r="BG42" s="766">
        <v>0</v>
      </c>
      <c r="BH42" s="767" t="s">
        <v>813</v>
      </c>
      <c r="BI42" s="766">
        <v>1</v>
      </c>
      <c r="BJ42" s="814">
        <v>8.6300000000000008</v>
      </c>
      <c r="BK42" s="808">
        <v>533.00999999999988</v>
      </c>
      <c r="BM42" s="766" t="s">
        <v>67</v>
      </c>
      <c r="BN42" s="766">
        <v>0</v>
      </c>
      <c r="BO42" s="767" t="s">
        <v>67</v>
      </c>
      <c r="BP42" s="768">
        <v>0</v>
      </c>
      <c r="BQ42" s="814">
        <v>0</v>
      </c>
      <c r="BR42" s="808">
        <v>0</v>
      </c>
      <c r="BT42" s="766" t="s">
        <v>817</v>
      </c>
      <c r="BU42" s="771">
        <v>1</v>
      </c>
      <c r="BV42" s="815" t="s">
        <v>67</v>
      </c>
      <c r="BW42" s="771">
        <v>0</v>
      </c>
      <c r="BX42" s="814">
        <v>9.14</v>
      </c>
      <c r="BY42" s="808">
        <v>9.14</v>
      </c>
      <c r="CA42" s="771" t="s">
        <v>67</v>
      </c>
      <c r="CB42" s="771">
        <v>0</v>
      </c>
      <c r="CC42" s="815" t="s">
        <v>67</v>
      </c>
      <c r="CD42" s="771">
        <v>0</v>
      </c>
      <c r="CE42" s="814">
        <v>0</v>
      </c>
      <c r="CF42" s="808">
        <v>0</v>
      </c>
      <c r="CH42" s="771" t="s">
        <v>67</v>
      </c>
      <c r="CI42" s="771">
        <v>0</v>
      </c>
      <c r="CJ42" s="771" t="s">
        <v>67</v>
      </c>
      <c r="CK42" s="771">
        <v>0</v>
      </c>
      <c r="CL42" s="814">
        <v>0.53</v>
      </c>
      <c r="CM42" s="816">
        <v>94.559999999999988</v>
      </c>
      <c r="CO42" s="817">
        <v>0.1</v>
      </c>
      <c r="CP42" s="818">
        <v>1220</v>
      </c>
      <c r="CQ42" s="819">
        <v>0</v>
      </c>
      <c r="CR42" s="819">
        <v>-0.53</v>
      </c>
    </row>
    <row r="43" spans="1:96" ht="13.15" customHeight="1" outlineLevel="1">
      <c r="A43" s="800" t="s">
        <v>658</v>
      </c>
      <c r="B43" s="800" t="s">
        <v>605</v>
      </c>
      <c r="C43" s="800">
        <v>10</v>
      </c>
      <c r="D43" s="801">
        <v>0</v>
      </c>
      <c r="E43" s="777">
        <v>1.45</v>
      </c>
      <c r="F43" s="777">
        <f t="shared" si="1"/>
        <v>0.25</v>
      </c>
      <c r="G43" s="777">
        <f t="shared" si="2"/>
        <v>10.15</v>
      </c>
      <c r="H43" s="777">
        <f t="shared" si="10"/>
        <v>136.97</v>
      </c>
      <c r="I43" s="777">
        <f t="shared" si="10"/>
        <v>737.61999999999978</v>
      </c>
      <c r="J43" s="802">
        <f t="shared" si="0"/>
        <v>0</v>
      </c>
      <c r="K43" s="801">
        <f>IF('Modelo 1.0 - NS'!R42=1,'Modelo 2.0 - Cubação'!E43,IF((E43-'Modelo 1.0 - NS'!U42)&lt;=0,E43,'Modelo 1.0 - NS'!U42))</f>
        <v>1.45</v>
      </c>
      <c r="L43" s="777">
        <f>'Modelo 1.0 - NS'!Q42</f>
        <v>4.6960000000000006</v>
      </c>
      <c r="M43" s="777">
        <f t="shared" si="4"/>
        <v>0</v>
      </c>
      <c r="N43" s="777">
        <f t="shared" si="7"/>
        <v>10.149999999999999</v>
      </c>
      <c r="O43" s="777">
        <f t="shared" si="5"/>
        <v>46.960000000000008</v>
      </c>
      <c r="P43" s="777">
        <f t="shared" si="11"/>
        <v>0</v>
      </c>
      <c r="Q43" s="777">
        <f t="shared" si="11"/>
        <v>737.61510999999973</v>
      </c>
      <c r="R43" s="777">
        <f t="shared" si="11"/>
        <v>1485.190000000001</v>
      </c>
      <c r="T43" s="777">
        <v>0</v>
      </c>
      <c r="U43" s="777">
        <v>0</v>
      </c>
      <c r="V43" s="777">
        <v>3.28</v>
      </c>
      <c r="W43" s="777">
        <v>32.799999999999997</v>
      </c>
      <c r="Y43" s="803">
        <v>0</v>
      </c>
      <c r="Z43" s="803">
        <v>0</v>
      </c>
      <c r="AA43" s="803">
        <v>0</v>
      </c>
      <c r="AB43" s="803">
        <v>0</v>
      </c>
      <c r="AD43" s="777">
        <v>0.25</v>
      </c>
      <c r="AE43" s="777">
        <v>0</v>
      </c>
      <c r="AF43" s="777">
        <v>13.2</v>
      </c>
      <c r="AG43" s="804">
        <v>0.25</v>
      </c>
      <c r="AH43" s="804">
        <v>-12.95</v>
      </c>
      <c r="AI43" s="777">
        <v>-822.00000000000023</v>
      </c>
      <c r="AK43" s="805" t="s">
        <v>67</v>
      </c>
      <c r="AL43" s="806">
        <v>0</v>
      </c>
      <c r="AM43" s="805" t="s">
        <v>67</v>
      </c>
      <c r="AN43" s="806">
        <v>0</v>
      </c>
      <c r="AO43" s="807">
        <v>9.9600000000000009</v>
      </c>
      <c r="AP43" s="808">
        <v>16.8</v>
      </c>
      <c r="AR43" s="809" t="s">
        <v>67</v>
      </c>
      <c r="AS43" s="809">
        <v>0</v>
      </c>
      <c r="AT43" s="810" t="s">
        <v>67</v>
      </c>
      <c r="AU43" s="809">
        <v>0</v>
      </c>
      <c r="AV43" s="811">
        <v>0</v>
      </c>
      <c r="AW43" s="811">
        <v>0</v>
      </c>
      <c r="AY43" s="812" t="s">
        <v>67</v>
      </c>
      <c r="AZ43" s="768">
        <v>0</v>
      </c>
      <c r="BA43" s="813" t="s">
        <v>67</v>
      </c>
      <c r="BB43" s="768">
        <v>0</v>
      </c>
      <c r="BC43" s="814">
        <v>0</v>
      </c>
      <c r="BD43" s="808">
        <v>0</v>
      </c>
      <c r="BF43" s="766" t="s">
        <v>67</v>
      </c>
      <c r="BG43" s="766">
        <v>0</v>
      </c>
      <c r="BH43" s="767" t="s">
        <v>67</v>
      </c>
      <c r="BI43" s="766">
        <v>0</v>
      </c>
      <c r="BJ43" s="814">
        <v>0</v>
      </c>
      <c r="BK43" s="808">
        <v>0</v>
      </c>
      <c r="BM43" s="766" t="s">
        <v>67</v>
      </c>
      <c r="BN43" s="766">
        <v>0</v>
      </c>
      <c r="BO43" s="767" t="s">
        <v>67</v>
      </c>
      <c r="BP43" s="768">
        <v>0</v>
      </c>
      <c r="BQ43" s="814">
        <v>0</v>
      </c>
      <c r="BR43" s="808">
        <v>0</v>
      </c>
      <c r="BT43" s="766" t="s">
        <v>67</v>
      </c>
      <c r="BU43" s="771">
        <v>0</v>
      </c>
      <c r="BV43" s="815" t="s">
        <v>67</v>
      </c>
      <c r="BW43" s="771">
        <v>0</v>
      </c>
      <c r="BX43" s="814">
        <v>32.799999999999997</v>
      </c>
      <c r="BY43" s="808">
        <v>41.94</v>
      </c>
      <c r="CA43" s="771" t="s">
        <v>67</v>
      </c>
      <c r="CB43" s="771">
        <v>0</v>
      </c>
      <c r="CC43" s="815" t="s">
        <v>67</v>
      </c>
      <c r="CD43" s="771">
        <v>0</v>
      </c>
      <c r="CE43" s="814">
        <v>0</v>
      </c>
      <c r="CF43" s="808">
        <v>0</v>
      </c>
      <c r="CH43" s="771" t="s">
        <v>67</v>
      </c>
      <c r="CI43" s="771">
        <v>0</v>
      </c>
      <c r="CJ43" s="771" t="s">
        <v>67</v>
      </c>
      <c r="CK43" s="771">
        <v>0</v>
      </c>
      <c r="CL43" s="814">
        <v>0.25</v>
      </c>
      <c r="CM43" s="816">
        <v>94.809999999999988</v>
      </c>
      <c r="CO43" s="817">
        <v>0.1</v>
      </c>
      <c r="CP43" s="818">
        <v>1230</v>
      </c>
      <c r="CQ43" s="819">
        <v>0</v>
      </c>
      <c r="CR43" s="819">
        <v>-0.25</v>
      </c>
    </row>
    <row r="44" spans="1:96" ht="13.15" customHeight="1" outlineLevel="1">
      <c r="A44" s="800" t="s">
        <v>661</v>
      </c>
      <c r="B44" s="800" t="s">
        <v>605</v>
      </c>
      <c r="C44" s="800">
        <v>0</v>
      </c>
      <c r="D44" s="801">
        <v>0.03</v>
      </c>
      <c r="E44" s="777">
        <v>1.1599999999999999</v>
      </c>
      <c r="F44" s="777">
        <f t="shared" si="1"/>
        <v>0.15</v>
      </c>
      <c r="G44" s="777">
        <f t="shared" si="2"/>
        <v>13.05</v>
      </c>
      <c r="H44" s="777">
        <f t="shared" si="10"/>
        <v>137.12</v>
      </c>
      <c r="I44" s="777">
        <f t="shared" si="10"/>
        <v>750.66999999999973</v>
      </c>
      <c r="J44" s="802">
        <f t="shared" si="0"/>
        <v>0</v>
      </c>
      <c r="K44" s="801">
        <f>IF('Modelo 1.0 - NS'!R43=1,'Modelo 2.0 - Cubação'!E44,IF((E44-'Modelo 1.0 - NS'!U43)&lt;=0,E44,'Modelo 1.0 - NS'!U43))</f>
        <v>1.1599999999999999</v>
      </c>
      <c r="L44" s="777">
        <f>'Modelo 1.0 - NS'!Q43</f>
        <v>4.6960000000000006</v>
      </c>
      <c r="M44" s="777">
        <f t="shared" si="4"/>
        <v>0</v>
      </c>
      <c r="N44" s="777">
        <f t="shared" si="7"/>
        <v>13.049999999999999</v>
      </c>
      <c r="O44" s="777">
        <f t="shared" si="5"/>
        <v>46.960000000000008</v>
      </c>
      <c r="P44" s="777">
        <f t="shared" si="11"/>
        <v>0</v>
      </c>
      <c r="Q44" s="777">
        <f t="shared" si="11"/>
        <v>750.66510999999969</v>
      </c>
      <c r="R44" s="777">
        <f t="shared" si="11"/>
        <v>1532.150000000001</v>
      </c>
      <c r="T44" s="777">
        <v>0</v>
      </c>
      <c r="U44" s="777">
        <v>0</v>
      </c>
      <c r="V44" s="777">
        <v>3.28</v>
      </c>
      <c r="W44" s="777">
        <v>32.799999999999997</v>
      </c>
      <c r="Y44" s="803">
        <v>0</v>
      </c>
      <c r="Z44" s="803">
        <v>0</v>
      </c>
      <c r="AA44" s="803">
        <v>0</v>
      </c>
      <c r="AB44" s="803">
        <v>0</v>
      </c>
      <c r="AD44" s="777">
        <v>0.15</v>
      </c>
      <c r="AE44" s="777">
        <v>0</v>
      </c>
      <c r="AF44" s="777">
        <v>16.97</v>
      </c>
      <c r="AG44" s="804">
        <v>0.15</v>
      </c>
      <c r="AH44" s="804">
        <v>-16.82</v>
      </c>
      <c r="AI44" s="777">
        <v>-838.82000000000028</v>
      </c>
      <c r="AK44" s="805" t="s">
        <v>67</v>
      </c>
      <c r="AL44" s="806">
        <v>0</v>
      </c>
      <c r="AM44" s="805" t="s">
        <v>67</v>
      </c>
      <c r="AN44" s="806">
        <v>0</v>
      </c>
      <c r="AO44" s="807">
        <v>12.94</v>
      </c>
      <c r="AP44" s="808">
        <v>29.740000000000002</v>
      </c>
      <c r="AR44" s="809" t="s">
        <v>67</v>
      </c>
      <c r="AS44" s="809">
        <v>0</v>
      </c>
      <c r="AT44" s="810" t="s">
        <v>67</v>
      </c>
      <c r="AU44" s="809">
        <v>0</v>
      </c>
      <c r="AV44" s="811">
        <v>0</v>
      </c>
      <c r="AW44" s="811">
        <v>0</v>
      </c>
      <c r="AY44" s="812" t="s">
        <v>67</v>
      </c>
      <c r="AZ44" s="768">
        <v>0</v>
      </c>
      <c r="BA44" s="813" t="s">
        <v>67</v>
      </c>
      <c r="BB44" s="768">
        <v>0</v>
      </c>
      <c r="BC44" s="814">
        <v>0</v>
      </c>
      <c r="BD44" s="808">
        <v>0</v>
      </c>
      <c r="BF44" s="766" t="s">
        <v>67</v>
      </c>
      <c r="BG44" s="766">
        <v>0</v>
      </c>
      <c r="BH44" s="767" t="s">
        <v>67</v>
      </c>
      <c r="BI44" s="766">
        <v>0</v>
      </c>
      <c r="BJ44" s="814">
        <v>0</v>
      </c>
      <c r="BK44" s="808">
        <v>0</v>
      </c>
      <c r="BM44" s="766" t="s">
        <v>67</v>
      </c>
      <c r="BN44" s="766">
        <v>0</v>
      </c>
      <c r="BO44" s="767" t="s">
        <v>67</v>
      </c>
      <c r="BP44" s="768">
        <v>0</v>
      </c>
      <c r="BQ44" s="814">
        <v>0</v>
      </c>
      <c r="BR44" s="808">
        <v>0</v>
      </c>
      <c r="BT44" s="766" t="s">
        <v>67</v>
      </c>
      <c r="BU44" s="771">
        <v>0</v>
      </c>
      <c r="BV44" s="815" t="s">
        <v>67</v>
      </c>
      <c r="BW44" s="771">
        <v>0</v>
      </c>
      <c r="BX44" s="814">
        <v>32.799999999999997</v>
      </c>
      <c r="BY44" s="808">
        <v>74.739999999999995</v>
      </c>
      <c r="CA44" s="771" t="s">
        <v>67</v>
      </c>
      <c r="CB44" s="771">
        <v>0</v>
      </c>
      <c r="CC44" s="815" t="s">
        <v>67</v>
      </c>
      <c r="CD44" s="771">
        <v>0</v>
      </c>
      <c r="CE44" s="814">
        <v>0</v>
      </c>
      <c r="CF44" s="808">
        <v>0</v>
      </c>
      <c r="CH44" s="771" t="s">
        <v>67</v>
      </c>
      <c r="CI44" s="771">
        <v>0</v>
      </c>
      <c r="CJ44" s="771" t="s">
        <v>67</v>
      </c>
      <c r="CK44" s="771">
        <v>0</v>
      </c>
      <c r="CL44" s="814">
        <v>0.15</v>
      </c>
      <c r="CM44" s="816">
        <v>94.96</v>
      </c>
      <c r="CO44" s="817">
        <v>0.1</v>
      </c>
      <c r="CP44" s="818">
        <v>1240</v>
      </c>
      <c r="CQ44" s="819">
        <v>0</v>
      </c>
      <c r="CR44" s="819">
        <v>-0.15</v>
      </c>
    </row>
    <row r="45" spans="1:96" ht="13.15" customHeight="1" outlineLevel="1">
      <c r="A45" s="800" t="s">
        <v>661</v>
      </c>
      <c r="B45" s="800" t="s">
        <v>605</v>
      </c>
      <c r="C45" s="800">
        <v>10</v>
      </c>
      <c r="D45" s="801">
        <v>0.21</v>
      </c>
      <c r="E45" s="777">
        <v>1.96</v>
      </c>
      <c r="F45" s="777">
        <f t="shared" si="1"/>
        <v>1.2</v>
      </c>
      <c r="G45" s="777">
        <f t="shared" si="2"/>
        <v>15.6</v>
      </c>
      <c r="H45" s="777">
        <f t="shared" si="10"/>
        <v>138.32</v>
      </c>
      <c r="I45" s="777">
        <f t="shared" si="10"/>
        <v>766.26999999999975</v>
      </c>
      <c r="J45" s="802">
        <f t="shared" si="0"/>
        <v>0</v>
      </c>
      <c r="K45" s="801">
        <f>IF('Modelo 1.0 - NS'!R44=1,'Modelo 2.0 - Cubação'!E45,IF((E45-'Modelo 1.0 - NS'!U44)&lt;=0,E45,'Modelo 1.0 - NS'!U44))</f>
        <v>1.96</v>
      </c>
      <c r="L45" s="777">
        <f>'Modelo 1.0 - NS'!Q44</f>
        <v>4.6960000000000006</v>
      </c>
      <c r="M45" s="777">
        <f t="shared" si="4"/>
        <v>0</v>
      </c>
      <c r="N45" s="777">
        <f t="shared" si="7"/>
        <v>15.600000000000001</v>
      </c>
      <c r="O45" s="777">
        <f t="shared" si="5"/>
        <v>46.960000000000008</v>
      </c>
      <c r="P45" s="777">
        <f t="shared" si="11"/>
        <v>0</v>
      </c>
      <c r="Q45" s="777">
        <f t="shared" si="11"/>
        <v>766.26510999999971</v>
      </c>
      <c r="R45" s="777">
        <f t="shared" si="11"/>
        <v>1579.110000000001</v>
      </c>
      <c r="T45" s="777">
        <v>0</v>
      </c>
      <c r="U45" s="777">
        <v>0</v>
      </c>
      <c r="V45" s="777">
        <v>3.28</v>
      </c>
      <c r="W45" s="777">
        <v>32.799999999999997</v>
      </c>
      <c r="Y45" s="803">
        <v>0</v>
      </c>
      <c r="Z45" s="803">
        <v>0</v>
      </c>
      <c r="AA45" s="803">
        <v>0</v>
      </c>
      <c r="AB45" s="803">
        <v>0</v>
      </c>
      <c r="AD45" s="777">
        <v>1.2</v>
      </c>
      <c r="AE45" s="777">
        <v>0</v>
      </c>
      <c r="AF45" s="777">
        <v>20.28</v>
      </c>
      <c r="AG45" s="804">
        <v>1.2</v>
      </c>
      <c r="AH45" s="804">
        <v>-19.080000000000002</v>
      </c>
      <c r="AI45" s="777">
        <v>-857.90000000000032</v>
      </c>
      <c r="AK45" s="805" t="s">
        <v>67</v>
      </c>
      <c r="AL45" s="806">
        <v>0</v>
      </c>
      <c r="AM45" s="805" t="s">
        <v>67</v>
      </c>
      <c r="AN45" s="806">
        <v>0</v>
      </c>
      <c r="AO45" s="807">
        <v>14.68</v>
      </c>
      <c r="AP45" s="808">
        <v>44.42</v>
      </c>
      <c r="AR45" s="809" t="s">
        <v>67</v>
      </c>
      <c r="AS45" s="809">
        <v>0</v>
      </c>
      <c r="AT45" s="810" t="s">
        <v>67</v>
      </c>
      <c r="AU45" s="809">
        <v>0</v>
      </c>
      <c r="AV45" s="811">
        <v>0</v>
      </c>
      <c r="AW45" s="811">
        <v>0</v>
      </c>
      <c r="AY45" s="812" t="s">
        <v>67</v>
      </c>
      <c r="AZ45" s="768">
        <v>0</v>
      </c>
      <c r="BA45" s="813" t="s">
        <v>67</v>
      </c>
      <c r="BB45" s="768">
        <v>0</v>
      </c>
      <c r="BC45" s="814">
        <v>0</v>
      </c>
      <c r="BD45" s="808">
        <v>0</v>
      </c>
      <c r="BF45" s="766" t="s">
        <v>67</v>
      </c>
      <c r="BG45" s="766">
        <v>0</v>
      </c>
      <c r="BH45" s="767" t="s">
        <v>67</v>
      </c>
      <c r="BI45" s="766">
        <v>0</v>
      </c>
      <c r="BJ45" s="814">
        <v>0</v>
      </c>
      <c r="BK45" s="808">
        <v>0</v>
      </c>
      <c r="BM45" s="766" t="s">
        <v>67</v>
      </c>
      <c r="BN45" s="766">
        <v>0</v>
      </c>
      <c r="BO45" s="767" t="s">
        <v>67</v>
      </c>
      <c r="BP45" s="768">
        <v>0</v>
      </c>
      <c r="BQ45" s="814">
        <v>0</v>
      </c>
      <c r="BR45" s="808">
        <v>0</v>
      </c>
      <c r="BT45" s="766" t="s">
        <v>67</v>
      </c>
      <c r="BU45" s="771">
        <v>0</v>
      </c>
      <c r="BV45" s="815" t="s">
        <v>67</v>
      </c>
      <c r="BW45" s="771">
        <v>0</v>
      </c>
      <c r="BX45" s="814">
        <v>32.799999999999997</v>
      </c>
      <c r="BY45" s="808">
        <v>107.53999999999999</v>
      </c>
      <c r="CA45" s="771" t="s">
        <v>67</v>
      </c>
      <c r="CB45" s="771">
        <v>0</v>
      </c>
      <c r="CC45" s="815" t="s">
        <v>67</v>
      </c>
      <c r="CD45" s="771">
        <v>0</v>
      </c>
      <c r="CE45" s="814">
        <v>0</v>
      </c>
      <c r="CF45" s="808">
        <v>0</v>
      </c>
      <c r="CH45" s="771" t="s">
        <v>67</v>
      </c>
      <c r="CI45" s="771">
        <v>0</v>
      </c>
      <c r="CJ45" s="771" t="s">
        <v>67</v>
      </c>
      <c r="CK45" s="771">
        <v>0</v>
      </c>
      <c r="CL45" s="814">
        <v>1.2</v>
      </c>
      <c r="CM45" s="816">
        <v>96.16</v>
      </c>
      <c r="CO45" s="817">
        <v>0.1</v>
      </c>
      <c r="CP45" s="818">
        <v>1250</v>
      </c>
      <c r="CQ45" s="819">
        <v>0</v>
      </c>
      <c r="CR45" s="819">
        <v>-1.2</v>
      </c>
    </row>
    <row r="46" spans="1:96" ht="13.15" customHeight="1" outlineLevel="1">
      <c r="A46" s="800" t="s">
        <v>661</v>
      </c>
      <c r="B46" s="800" t="s">
        <v>605</v>
      </c>
      <c r="C46" s="800">
        <v>12.268000000000001</v>
      </c>
      <c r="D46" s="801">
        <v>0.24</v>
      </c>
      <c r="E46" s="777">
        <v>2.06</v>
      </c>
      <c r="F46" s="777">
        <f t="shared" si="1"/>
        <v>0.51</v>
      </c>
      <c r="G46" s="777">
        <f t="shared" si="2"/>
        <v>4.5599999999999996</v>
      </c>
      <c r="H46" s="777">
        <f t="shared" si="10"/>
        <v>138.82999999999998</v>
      </c>
      <c r="I46" s="777">
        <f t="shared" si="10"/>
        <v>770.8299999999997</v>
      </c>
      <c r="J46" s="802">
        <f t="shared" si="0"/>
        <v>0</v>
      </c>
      <c r="K46" s="801">
        <f>IF('Modelo 1.0 - NS'!R45=1,'Modelo 2.0 - Cubação'!E46,IF((E46-'Modelo 1.0 - NS'!U45)&lt;=0,E46,'Modelo 1.0 - NS'!U45))</f>
        <v>2.06</v>
      </c>
      <c r="L46" s="777">
        <f>'Modelo 1.0 - NS'!Q45</f>
        <v>4.6960000000000006</v>
      </c>
      <c r="M46" s="777">
        <f t="shared" si="4"/>
        <v>0</v>
      </c>
      <c r="N46" s="777">
        <f t="shared" si="7"/>
        <v>4.5586800000000576</v>
      </c>
      <c r="O46" s="777">
        <f t="shared" si="5"/>
        <v>10.650528000000138</v>
      </c>
      <c r="P46" s="777">
        <f t="shared" si="11"/>
        <v>0</v>
      </c>
      <c r="Q46" s="777">
        <f t="shared" si="11"/>
        <v>770.8237899999998</v>
      </c>
      <c r="R46" s="777">
        <f t="shared" si="11"/>
        <v>1589.7605280000012</v>
      </c>
      <c r="T46" s="777">
        <v>0</v>
      </c>
      <c r="U46" s="777">
        <v>0</v>
      </c>
      <c r="V46" s="777">
        <v>3.28</v>
      </c>
      <c r="W46" s="777">
        <v>7.44</v>
      </c>
      <c r="Y46" s="803">
        <v>0</v>
      </c>
      <c r="Z46" s="803">
        <v>0</v>
      </c>
      <c r="AA46" s="803">
        <v>0</v>
      </c>
      <c r="AB46" s="803">
        <v>0</v>
      </c>
      <c r="AD46" s="777">
        <v>0.51</v>
      </c>
      <c r="AE46" s="777">
        <v>0</v>
      </c>
      <c r="AF46" s="777">
        <v>5.93</v>
      </c>
      <c r="AG46" s="804">
        <v>0.51</v>
      </c>
      <c r="AH46" s="804">
        <v>-5.42</v>
      </c>
      <c r="AI46" s="777">
        <v>-863.32000000000028</v>
      </c>
      <c r="AK46" s="805" t="s">
        <v>67</v>
      </c>
      <c r="AL46" s="806">
        <v>0</v>
      </c>
      <c r="AM46" s="805" t="s">
        <v>67</v>
      </c>
      <c r="AN46" s="806">
        <v>0</v>
      </c>
      <c r="AO46" s="807">
        <v>4.17</v>
      </c>
      <c r="AP46" s="808">
        <v>48.59</v>
      </c>
      <c r="AR46" s="809" t="s">
        <v>67</v>
      </c>
      <c r="AS46" s="809">
        <v>0</v>
      </c>
      <c r="AT46" s="810" t="s">
        <v>67</v>
      </c>
      <c r="AU46" s="809">
        <v>0</v>
      </c>
      <c r="AV46" s="811">
        <v>0</v>
      </c>
      <c r="AW46" s="811">
        <v>0</v>
      </c>
      <c r="AY46" s="812" t="s">
        <v>67</v>
      </c>
      <c r="AZ46" s="768">
        <v>0</v>
      </c>
      <c r="BA46" s="813" t="s">
        <v>67</v>
      </c>
      <c r="BB46" s="768">
        <v>0</v>
      </c>
      <c r="BC46" s="814">
        <v>0</v>
      </c>
      <c r="BD46" s="808">
        <v>0</v>
      </c>
      <c r="BF46" s="766" t="s">
        <v>67</v>
      </c>
      <c r="BG46" s="766">
        <v>0</v>
      </c>
      <c r="BH46" s="767" t="s">
        <v>67</v>
      </c>
      <c r="BI46" s="766">
        <v>0</v>
      </c>
      <c r="BJ46" s="814">
        <v>0</v>
      </c>
      <c r="BK46" s="808">
        <v>0</v>
      </c>
      <c r="BM46" s="766" t="s">
        <v>67</v>
      </c>
      <c r="BN46" s="766">
        <v>0</v>
      </c>
      <c r="BO46" s="767" t="s">
        <v>67</v>
      </c>
      <c r="BP46" s="768">
        <v>0</v>
      </c>
      <c r="BQ46" s="814">
        <v>0</v>
      </c>
      <c r="BR46" s="808">
        <v>0</v>
      </c>
      <c r="BT46" s="766" t="s">
        <v>67</v>
      </c>
      <c r="BU46" s="771">
        <v>0</v>
      </c>
      <c r="BV46" s="815" t="s">
        <v>67</v>
      </c>
      <c r="BW46" s="771">
        <v>0</v>
      </c>
      <c r="BX46" s="814">
        <v>7.44</v>
      </c>
      <c r="BY46" s="808">
        <v>114.97999999999999</v>
      </c>
      <c r="CA46" s="771" t="s">
        <v>67</v>
      </c>
      <c r="CB46" s="771">
        <v>0</v>
      </c>
      <c r="CC46" s="815" t="s">
        <v>67</v>
      </c>
      <c r="CD46" s="771">
        <v>0</v>
      </c>
      <c r="CE46" s="814">
        <v>0</v>
      </c>
      <c r="CF46" s="808">
        <v>0</v>
      </c>
      <c r="CH46" s="771" t="s">
        <v>67</v>
      </c>
      <c r="CI46" s="771">
        <v>0</v>
      </c>
      <c r="CJ46" s="771" t="s">
        <v>67</v>
      </c>
      <c r="CK46" s="771">
        <v>0</v>
      </c>
      <c r="CL46" s="814">
        <v>0.51</v>
      </c>
      <c r="CM46" s="816">
        <v>96.67</v>
      </c>
      <c r="CO46" s="817">
        <v>0.1</v>
      </c>
      <c r="CP46" s="818">
        <v>1252.268</v>
      </c>
      <c r="CQ46" s="819">
        <v>0</v>
      </c>
      <c r="CR46" s="819">
        <v>-0.51</v>
      </c>
    </row>
    <row r="47" spans="1:96" ht="13.15" customHeight="1" outlineLevel="1">
      <c r="A47" s="800" t="s">
        <v>665</v>
      </c>
      <c r="B47" s="800" t="s">
        <v>605</v>
      </c>
      <c r="C47" s="800">
        <v>0</v>
      </c>
      <c r="D47" s="801">
        <v>0.21</v>
      </c>
      <c r="E47" s="777">
        <v>2.02</v>
      </c>
      <c r="F47" s="777">
        <f t="shared" si="1"/>
        <v>1.74</v>
      </c>
      <c r="G47" s="777">
        <f t="shared" si="2"/>
        <v>15.77</v>
      </c>
      <c r="H47" s="777">
        <f t="shared" si="10"/>
        <v>140.57</v>
      </c>
      <c r="I47" s="777">
        <f t="shared" si="10"/>
        <v>786.59999999999968</v>
      </c>
      <c r="J47" s="802">
        <f t="shared" si="0"/>
        <v>0</v>
      </c>
      <c r="K47" s="801">
        <f>IF('Modelo 1.0 - NS'!R46=1,'Modelo 2.0 - Cubação'!E47,IF((E47-'Modelo 1.0 - NS'!U46)&lt;=0,E47,'Modelo 1.0 - NS'!U46))</f>
        <v>2.02</v>
      </c>
      <c r="L47" s="777">
        <f>'Modelo 1.0 - NS'!Q46</f>
        <v>4.6960000000000006</v>
      </c>
      <c r="M47" s="777">
        <f t="shared" si="4"/>
        <v>0</v>
      </c>
      <c r="N47" s="777">
        <f t="shared" si="7"/>
        <v>15.773279999999941</v>
      </c>
      <c r="O47" s="777">
        <f t="shared" si="5"/>
        <v>36.309471999999872</v>
      </c>
      <c r="P47" s="777">
        <f t="shared" si="11"/>
        <v>0</v>
      </c>
      <c r="Q47" s="777">
        <f t="shared" si="11"/>
        <v>786.59706999999969</v>
      </c>
      <c r="R47" s="777">
        <f t="shared" si="11"/>
        <v>1626.0700000000011</v>
      </c>
      <c r="T47" s="777">
        <v>0</v>
      </c>
      <c r="U47" s="777">
        <v>0</v>
      </c>
      <c r="V47" s="777">
        <v>3.28</v>
      </c>
      <c r="W47" s="777">
        <v>25.36</v>
      </c>
      <c r="Y47" s="803">
        <v>0</v>
      </c>
      <c r="Z47" s="803">
        <v>0</v>
      </c>
      <c r="AA47" s="803">
        <v>0</v>
      </c>
      <c r="AB47" s="803">
        <v>0</v>
      </c>
      <c r="AD47" s="777">
        <v>1.74</v>
      </c>
      <c r="AE47" s="777">
        <v>0</v>
      </c>
      <c r="AF47" s="777">
        <v>20.51</v>
      </c>
      <c r="AG47" s="804">
        <v>1.74</v>
      </c>
      <c r="AH47" s="804">
        <v>-18.770000000000003</v>
      </c>
      <c r="AI47" s="777">
        <v>-882.09000000000026</v>
      </c>
      <c r="AK47" s="805" t="s">
        <v>67</v>
      </c>
      <c r="AL47" s="806">
        <v>0</v>
      </c>
      <c r="AM47" s="805" t="s">
        <v>67</v>
      </c>
      <c r="AN47" s="806">
        <v>0</v>
      </c>
      <c r="AO47" s="807">
        <v>14.44</v>
      </c>
      <c r="AP47" s="808">
        <v>63.03</v>
      </c>
      <c r="AR47" s="809" t="s">
        <v>67</v>
      </c>
      <c r="AS47" s="809">
        <v>0</v>
      </c>
      <c r="AT47" s="810" t="s">
        <v>67</v>
      </c>
      <c r="AU47" s="809">
        <v>0</v>
      </c>
      <c r="AV47" s="811">
        <v>0</v>
      </c>
      <c r="AW47" s="811">
        <v>0</v>
      </c>
      <c r="AY47" s="812" t="s">
        <v>67</v>
      </c>
      <c r="AZ47" s="768">
        <v>0</v>
      </c>
      <c r="BA47" s="813" t="s">
        <v>67</v>
      </c>
      <c r="BB47" s="768">
        <v>0</v>
      </c>
      <c r="BC47" s="814">
        <v>0</v>
      </c>
      <c r="BD47" s="808">
        <v>0</v>
      </c>
      <c r="BF47" s="766" t="s">
        <v>67</v>
      </c>
      <c r="BG47" s="766">
        <v>0</v>
      </c>
      <c r="BH47" s="767" t="s">
        <v>67</v>
      </c>
      <c r="BI47" s="766">
        <v>0</v>
      </c>
      <c r="BJ47" s="814">
        <v>0</v>
      </c>
      <c r="BK47" s="808">
        <v>0</v>
      </c>
      <c r="BM47" s="766" t="s">
        <v>67</v>
      </c>
      <c r="BN47" s="766">
        <v>0</v>
      </c>
      <c r="BO47" s="767" t="s">
        <v>67</v>
      </c>
      <c r="BP47" s="768">
        <v>0</v>
      </c>
      <c r="BQ47" s="814">
        <v>0</v>
      </c>
      <c r="BR47" s="808">
        <v>0</v>
      </c>
      <c r="BT47" s="766" t="s">
        <v>67</v>
      </c>
      <c r="BU47" s="771">
        <v>0</v>
      </c>
      <c r="BV47" s="815" t="s">
        <v>67</v>
      </c>
      <c r="BW47" s="771">
        <v>0</v>
      </c>
      <c r="BX47" s="814">
        <v>25.36</v>
      </c>
      <c r="BY47" s="808">
        <v>140.33999999999997</v>
      </c>
      <c r="CA47" s="771" t="s">
        <v>67</v>
      </c>
      <c r="CB47" s="771">
        <v>0</v>
      </c>
      <c r="CC47" s="815" t="s">
        <v>67</v>
      </c>
      <c r="CD47" s="771">
        <v>0</v>
      </c>
      <c r="CE47" s="814">
        <v>0</v>
      </c>
      <c r="CF47" s="808">
        <v>0</v>
      </c>
      <c r="CH47" s="771" t="s">
        <v>67</v>
      </c>
      <c r="CI47" s="771">
        <v>0</v>
      </c>
      <c r="CJ47" s="771" t="s">
        <v>67</v>
      </c>
      <c r="CK47" s="771">
        <v>0</v>
      </c>
      <c r="CL47" s="814">
        <v>1.74</v>
      </c>
      <c r="CM47" s="816">
        <v>98.41</v>
      </c>
      <c r="CO47" s="817">
        <v>0.1</v>
      </c>
      <c r="CP47" s="818">
        <v>1260</v>
      </c>
      <c r="CQ47" s="819">
        <v>0</v>
      </c>
      <c r="CR47" s="819">
        <v>-1.74</v>
      </c>
    </row>
    <row r="48" spans="1:96" ht="13.15" customHeight="1" outlineLevel="1">
      <c r="A48" s="800" t="s">
        <v>665</v>
      </c>
      <c r="B48" s="800" t="s">
        <v>605</v>
      </c>
      <c r="C48" s="800">
        <v>10</v>
      </c>
      <c r="D48" s="801">
        <v>1.62</v>
      </c>
      <c r="E48" s="777">
        <v>1.6</v>
      </c>
      <c r="F48" s="777">
        <f t="shared" si="1"/>
        <v>9.15</v>
      </c>
      <c r="G48" s="777">
        <f t="shared" si="2"/>
        <v>18.100000000000001</v>
      </c>
      <c r="H48" s="777">
        <f t="shared" si="10"/>
        <v>149.72</v>
      </c>
      <c r="I48" s="777">
        <f t="shared" si="10"/>
        <v>804.6999999999997</v>
      </c>
      <c r="J48" s="802">
        <f t="shared" si="0"/>
        <v>0</v>
      </c>
      <c r="K48" s="801">
        <f>IF('Modelo 1.0 - NS'!R47=1,'Modelo 2.0 - Cubação'!E48,IF((E48-'Modelo 1.0 - NS'!U47)&lt;=0,E48,'Modelo 1.0 - NS'!U47))</f>
        <v>1.6</v>
      </c>
      <c r="L48" s="777">
        <f>'Modelo 1.0 - NS'!Q47</f>
        <v>4.6960000000000006</v>
      </c>
      <c r="M48" s="777">
        <f t="shared" si="4"/>
        <v>0</v>
      </c>
      <c r="N48" s="777">
        <f t="shared" si="7"/>
        <v>18.100000000000001</v>
      </c>
      <c r="O48" s="777">
        <f t="shared" si="5"/>
        <v>46.960000000000008</v>
      </c>
      <c r="P48" s="777">
        <f t="shared" si="11"/>
        <v>0</v>
      </c>
      <c r="Q48" s="777">
        <f t="shared" si="11"/>
        <v>804.69706999999971</v>
      </c>
      <c r="R48" s="777">
        <f t="shared" si="11"/>
        <v>1673.0300000000011</v>
      </c>
      <c r="T48" s="777">
        <v>0</v>
      </c>
      <c r="U48" s="777">
        <v>0</v>
      </c>
      <c r="V48" s="777">
        <v>3.28</v>
      </c>
      <c r="W48" s="777">
        <v>32.799999999999997</v>
      </c>
      <c r="Y48" s="803">
        <v>0</v>
      </c>
      <c r="Z48" s="803">
        <v>0</v>
      </c>
      <c r="AA48" s="803">
        <v>0</v>
      </c>
      <c r="AB48" s="803">
        <v>0</v>
      </c>
      <c r="AD48" s="777">
        <v>9.15</v>
      </c>
      <c r="AE48" s="777">
        <v>0</v>
      </c>
      <c r="AF48" s="777">
        <v>23.53</v>
      </c>
      <c r="AG48" s="804">
        <v>9.15</v>
      </c>
      <c r="AH48" s="804">
        <v>-14.38</v>
      </c>
      <c r="AI48" s="777">
        <v>-896.47000000000025</v>
      </c>
      <c r="AK48" s="805" t="s">
        <v>67</v>
      </c>
      <c r="AL48" s="806">
        <v>0</v>
      </c>
      <c r="AM48" s="805" t="s">
        <v>816</v>
      </c>
      <c r="AN48" s="806">
        <v>1</v>
      </c>
      <c r="AO48" s="807">
        <v>11.06</v>
      </c>
      <c r="AP48" s="808">
        <v>74.09</v>
      </c>
      <c r="AR48" s="809" t="s">
        <v>67</v>
      </c>
      <c r="AS48" s="809">
        <v>0</v>
      </c>
      <c r="AT48" s="810" t="s">
        <v>67</v>
      </c>
      <c r="AU48" s="809">
        <v>0</v>
      </c>
      <c r="AV48" s="811">
        <v>0</v>
      </c>
      <c r="AW48" s="811">
        <v>0</v>
      </c>
      <c r="AY48" s="812" t="s">
        <v>67</v>
      </c>
      <c r="AZ48" s="768">
        <v>0</v>
      </c>
      <c r="BA48" s="813" t="s">
        <v>67</v>
      </c>
      <c r="BB48" s="768">
        <v>0</v>
      </c>
      <c r="BC48" s="814">
        <v>0</v>
      </c>
      <c r="BD48" s="808">
        <v>0</v>
      </c>
      <c r="BF48" s="766" t="s">
        <v>818</v>
      </c>
      <c r="BG48" s="766">
        <v>0</v>
      </c>
      <c r="BH48" s="767" t="s">
        <v>67</v>
      </c>
      <c r="BI48" s="766">
        <v>0</v>
      </c>
      <c r="BJ48" s="814">
        <v>0</v>
      </c>
      <c r="BK48" s="808">
        <v>0</v>
      </c>
      <c r="BM48" s="766" t="s">
        <v>67</v>
      </c>
      <c r="BN48" s="766">
        <v>0</v>
      </c>
      <c r="BO48" s="767" t="s">
        <v>67</v>
      </c>
      <c r="BP48" s="768">
        <v>0</v>
      </c>
      <c r="BQ48" s="814">
        <v>0</v>
      </c>
      <c r="BR48" s="808">
        <v>0</v>
      </c>
      <c r="BT48" s="766" t="s">
        <v>67</v>
      </c>
      <c r="BU48" s="771">
        <v>0</v>
      </c>
      <c r="BV48" s="815" t="s">
        <v>67</v>
      </c>
      <c r="BW48" s="771">
        <v>0</v>
      </c>
      <c r="BX48" s="814">
        <v>32.799999999999997</v>
      </c>
      <c r="BY48" s="808">
        <v>173.14</v>
      </c>
      <c r="CA48" s="771" t="s">
        <v>67</v>
      </c>
      <c r="CB48" s="771">
        <v>0</v>
      </c>
      <c r="CC48" s="815" t="s">
        <v>67</v>
      </c>
      <c r="CD48" s="771">
        <v>0</v>
      </c>
      <c r="CE48" s="814">
        <v>0</v>
      </c>
      <c r="CF48" s="808">
        <v>0</v>
      </c>
      <c r="CH48" s="771" t="s">
        <v>67</v>
      </c>
      <c r="CI48" s="771">
        <v>0</v>
      </c>
      <c r="CJ48" s="771" t="s">
        <v>67</v>
      </c>
      <c r="CK48" s="771">
        <v>0</v>
      </c>
      <c r="CL48" s="814">
        <v>9.15</v>
      </c>
      <c r="CM48" s="816">
        <v>107.56</v>
      </c>
      <c r="CO48" s="817">
        <v>0.1</v>
      </c>
      <c r="CP48" s="818">
        <v>1270</v>
      </c>
      <c r="CQ48" s="819">
        <v>0</v>
      </c>
      <c r="CR48" s="819">
        <v>-9.15</v>
      </c>
    </row>
    <row r="49" spans="1:96" ht="13.15" customHeight="1" outlineLevel="1">
      <c r="A49" s="800" t="s">
        <v>668</v>
      </c>
      <c r="B49" s="800" t="s">
        <v>605</v>
      </c>
      <c r="C49" s="800">
        <v>0</v>
      </c>
      <c r="D49" s="801">
        <v>2.41</v>
      </c>
      <c r="E49" s="777">
        <v>1.1599999999999999</v>
      </c>
      <c r="F49" s="777">
        <f t="shared" si="1"/>
        <v>20.149999999999999</v>
      </c>
      <c r="G49" s="777">
        <f t="shared" si="2"/>
        <v>13.8</v>
      </c>
      <c r="H49" s="777">
        <f t="shared" si="10"/>
        <v>169.87</v>
      </c>
      <c r="I49" s="777">
        <f t="shared" si="10"/>
        <v>818.49999999999966</v>
      </c>
      <c r="J49" s="802">
        <f t="shared" si="0"/>
        <v>0</v>
      </c>
      <c r="K49" s="801">
        <f>IF('Modelo 1.0 - NS'!R48=1,'Modelo 2.0 - Cubação'!E49,IF((E49-'Modelo 1.0 - NS'!U48)&lt;=0,E49,'Modelo 1.0 - NS'!U48))</f>
        <v>1.1599999999999999</v>
      </c>
      <c r="L49" s="777">
        <f>'Modelo 1.0 - NS'!Q48</f>
        <v>4.6960000000000006</v>
      </c>
      <c r="M49" s="777">
        <f t="shared" si="4"/>
        <v>0</v>
      </c>
      <c r="N49" s="777">
        <f t="shared" si="7"/>
        <v>13.799999999999999</v>
      </c>
      <c r="O49" s="777">
        <f t="shared" si="5"/>
        <v>46.960000000000008</v>
      </c>
      <c r="P49" s="777">
        <f t="shared" si="11"/>
        <v>0</v>
      </c>
      <c r="Q49" s="777">
        <f t="shared" si="11"/>
        <v>818.49706999999967</v>
      </c>
      <c r="R49" s="777">
        <f t="shared" si="11"/>
        <v>1719.9900000000011</v>
      </c>
      <c r="T49" s="777">
        <v>3.0950000000000006</v>
      </c>
      <c r="U49" s="777">
        <v>15.48</v>
      </c>
      <c r="V49" s="777">
        <v>0</v>
      </c>
      <c r="W49" s="777">
        <v>16.399999999999999</v>
      </c>
      <c r="Y49" s="803">
        <v>0</v>
      </c>
      <c r="Z49" s="803">
        <v>0</v>
      </c>
      <c r="AA49" s="803">
        <v>0</v>
      </c>
      <c r="AB49" s="803">
        <v>0</v>
      </c>
      <c r="AD49" s="777">
        <v>20.149999999999999</v>
      </c>
      <c r="AE49" s="777">
        <v>0</v>
      </c>
      <c r="AF49" s="777">
        <v>17.940000000000001</v>
      </c>
      <c r="AG49" s="804">
        <v>17.940000000000001</v>
      </c>
      <c r="AH49" s="804">
        <v>2.2099999999999973</v>
      </c>
      <c r="AI49" s="777">
        <v>-894.26000000000022</v>
      </c>
      <c r="AK49" s="805" t="s">
        <v>67</v>
      </c>
      <c r="AL49" s="806">
        <v>0</v>
      </c>
      <c r="AM49" s="805" t="s">
        <v>67</v>
      </c>
      <c r="AN49" s="806">
        <v>0</v>
      </c>
      <c r="AO49" s="807">
        <v>0</v>
      </c>
      <c r="AP49" s="808">
        <v>0</v>
      </c>
      <c r="AR49" s="809" t="s">
        <v>67</v>
      </c>
      <c r="AS49" s="809">
        <v>0</v>
      </c>
      <c r="AT49" s="810" t="s">
        <v>67</v>
      </c>
      <c r="AU49" s="809">
        <v>0</v>
      </c>
      <c r="AV49" s="811">
        <v>0</v>
      </c>
      <c r="AW49" s="811">
        <v>0</v>
      </c>
      <c r="AY49" s="812" t="s">
        <v>819</v>
      </c>
      <c r="AZ49" s="768">
        <v>1</v>
      </c>
      <c r="BA49" s="813" t="s">
        <v>67</v>
      </c>
      <c r="BB49" s="768">
        <v>0</v>
      </c>
      <c r="BC49" s="814">
        <v>2.21</v>
      </c>
      <c r="BD49" s="808">
        <v>2.21</v>
      </c>
      <c r="BF49" s="766" t="s">
        <v>67</v>
      </c>
      <c r="BG49" s="766">
        <v>1</v>
      </c>
      <c r="BH49" s="767" t="s">
        <v>67</v>
      </c>
      <c r="BI49" s="766">
        <v>0</v>
      </c>
      <c r="BJ49" s="814">
        <v>15.48</v>
      </c>
      <c r="BK49" s="808">
        <v>15.48</v>
      </c>
      <c r="BM49" s="766" t="s">
        <v>67</v>
      </c>
      <c r="BN49" s="766">
        <v>0</v>
      </c>
      <c r="BO49" s="767" t="s">
        <v>67</v>
      </c>
      <c r="BP49" s="768">
        <v>0</v>
      </c>
      <c r="BQ49" s="814">
        <v>0</v>
      </c>
      <c r="BR49" s="808">
        <v>0</v>
      </c>
      <c r="BT49" s="766" t="s">
        <v>67</v>
      </c>
      <c r="BU49" s="771">
        <v>0</v>
      </c>
      <c r="BV49" s="815" t="s">
        <v>817</v>
      </c>
      <c r="BW49" s="771">
        <v>1</v>
      </c>
      <c r="BX49" s="814">
        <v>16.399999999999999</v>
      </c>
      <c r="BY49" s="808">
        <v>189.54</v>
      </c>
      <c r="CA49" s="771" t="s">
        <v>67</v>
      </c>
      <c r="CB49" s="771">
        <v>0</v>
      </c>
      <c r="CC49" s="815" t="s">
        <v>67</v>
      </c>
      <c r="CD49" s="771">
        <v>0</v>
      </c>
      <c r="CE49" s="814">
        <v>0</v>
      </c>
      <c r="CF49" s="808">
        <v>0</v>
      </c>
      <c r="CH49" s="771" t="s">
        <v>67</v>
      </c>
      <c r="CI49" s="771">
        <v>0</v>
      </c>
      <c r="CJ49" s="771" t="s">
        <v>67</v>
      </c>
      <c r="CK49" s="771">
        <v>0</v>
      </c>
      <c r="CL49" s="814">
        <v>17.940000000000001</v>
      </c>
      <c r="CM49" s="816">
        <v>125.5</v>
      </c>
      <c r="CO49" s="817">
        <v>0.1</v>
      </c>
      <c r="CP49" s="818">
        <v>1280</v>
      </c>
      <c r="CQ49" s="819">
        <v>17.940000000000001</v>
      </c>
      <c r="CR49" s="819">
        <v>0</v>
      </c>
    </row>
    <row r="50" spans="1:96" ht="13.15" customHeight="1" outlineLevel="1">
      <c r="A50" s="800" t="s">
        <v>668</v>
      </c>
      <c r="B50" s="800" t="s">
        <v>605</v>
      </c>
      <c r="C50" s="800">
        <v>10</v>
      </c>
      <c r="D50" s="801">
        <v>1.99</v>
      </c>
      <c r="E50" s="777">
        <v>1.1499999999999999</v>
      </c>
      <c r="F50" s="777">
        <f t="shared" si="1"/>
        <v>22</v>
      </c>
      <c r="G50" s="777">
        <f t="shared" si="2"/>
        <v>11.55</v>
      </c>
      <c r="H50" s="777">
        <f t="shared" si="10"/>
        <v>191.87</v>
      </c>
      <c r="I50" s="777">
        <f t="shared" si="10"/>
        <v>830.04999999999961</v>
      </c>
      <c r="J50" s="802">
        <f t="shared" si="0"/>
        <v>0</v>
      </c>
      <c r="K50" s="801">
        <f>IF('Modelo 1.0 - NS'!R49=1,'Modelo 2.0 - Cubação'!E50,IF((E50-'Modelo 1.0 - NS'!U49)&lt;=0,E50,'Modelo 1.0 - NS'!U49))</f>
        <v>1.1499999999999999</v>
      </c>
      <c r="L50" s="777">
        <f>'Modelo 1.0 - NS'!Q49</f>
        <v>4.6960000000000006</v>
      </c>
      <c r="M50" s="777">
        <f t="shared" si="4"/>
        <v>0</v>
      </c>
      <c r="N50" s="777">
        <f t="shared" si="7"/>
        <v>11.549999999999997</v>
      </c>
      <c r="O50" s="777">
        <f t="shared" si="5"/>
        <v>46.960000000000008</v>
      </c>
      <c r="P50" s="777">
        <f t="shared" si="11"/>
        <v>0</v>
      </c>
      <c r="Q50" s="777">
        <f t="shared" si="11"/>
        <v>830.04706999999962</v>
      </c>
      <c r="R50" s="777">
        <f t="shared" si="11"/>
        <v>1766.9500000000012</v>
      </c>
      <c r="T50" s="777">
        <v>3.0950000000000006</v>
      </c>
      <c r="U50" s="777">
        <v>30.95</v>
      </c>
      <c r="V50" s="777">
        <v>0</v>
      </c>
      <c r="W50" s="777">
        <v>0</v>
      </c>
      <c r="Y50" s="803">
        <v>0</v>
      </c>
      <c r="Z50" s="803">
        <v>0</v>
      </c>
      <c r="AA50" s="803">
        <v>0</v>
      </c>
      <c r="AB50" s="803">
        <v>0</v>
      </c>
      <c r="AD50" s="777">
        <v>22</v>
      </c>
      <c r="AE50" s="777">
        <v>0</v>
      </c>
      <c r="AF50" s="777">
        <v>15.02</v>
      </c>
      <c r="AG50" s="804">
        <v>15.02</v>
      </c>
      <c r="AH50" s="804">
        <v>6.98</v>
      </c>
      <c r="AI50" s="777">
        <v>-887.2800000000002</v>
      </c>
      <c r="AK50" s="805" t="s">
        <v>67</v>
      </c>
      <c r="AL50" s="806">
        <v>0</v>
      </c>
      <c r="AM50" s="805" t="s">
        <v>67</v>
      </c>
      <c r="AN50" s="806">
        <v>0</v>
      </c>
      <c r="AO50" s="807">
        <v>0</v>
      </c>
      <c r="AP50" s="808">
        <v>0</v>
      </c>
      <c r="AR50" s="809" t="s">
        <v>67</v>
      </c>
      <c r="AS50" s="809">
        <v>0</v>
      </c>
      <c r="AT50" s="810" t="s">
        <v>67</v>
      </c>
      <c r="AU50" s="809">
        <v>0</v>
      </c>
      <c r="AV50" s="811">
        <v>0</v>
      </c>
      <c r="AW50" s="811">
        <v>0</v>
      </c>
      <c r="AY50" s="812" t="s">
        <v>67</v>
      </c>
      <c r="AZ50" s="768">
        <v>0</v>
      </c>
      <c r="BA50" s="813" t="s">
        <v>67</v>
      </c>
      <c r="BB50" s="768">
        <v>0</v>
      </c>
      <c r="BC50" s="814">
        <v>6.98</v>
      </c>
      <c r="BD50" s="808">
        <v>9.1900000000000013</v>
      </c>
      <c r="BF50" s="766" t="s">
        <v>67</v>
      </c>
      <c r="BG50" s="766">
        <v>0</v>
      </c>
      <c r="BH50" s="767" t="s">
        <v>67</v>
      </c>
      <c r="BI50" s="766">
        <v>0</v>
      </c>
      <c r="BJ50" s="814">
        <v>30.95</v>
      </c>
      <c r="BK50" s="808">
        <v>46.43</v>
      </c>
      <c r="BM50" s="766" t="s">
        <v>67</v>
      </c>
      <c r="BN50" s="766">
        <v>0</v>
      </c>
      <c r="BO50" s="767" t="s">
        <v>67</v>
      </c>
      <c r="BP50" s="768">
        <v>0</v>
      </c>
      <c r="BQ50" s="814">
        <v>0</v>
      </c>
      <c r="BR50" s="808">
        <v>0</v>
      </c>
      <c r="BT50" s="766" t="s">
        <v>67</v>
      </c>
      <c r="BU50" s="771">
        <v>0</v>
      </c>
      <c r="BV50" s="815" t="s">
        <v>67</v>
      </c>
      <c r="BW50" s="771">
        <v>0</v>
      </c>
      <c r="BX50" s="814">
        <v>0</v>
      </c>
      <c r="BY50" s="808">
        <v>0</v>
      </c>
      <c r="CA50" s="771" t="s">
        <v>67</v>
      </c>
      <c r="CB50" s="771">
        <v>0</v>
      </c>
      <c r="CC50" s="815" t="s">
        <v>67</v>
      </c>
      <c r="CD50" s="771">
        <v>0</v>
      </c>
      <c r="CE50" s="814">
        <v>0</v>
      </c>
      <c r="CF50" s="808">
        <v>0</v>
      </c>
      <c r="CH50" s="771" t="s">
        <v>67</v>
      </c>
      <c r="CI50" s="771">
        <v>0</v>
      </c>
      <c r="CJ50" s="771" t="s">
        <v>67</v>
      </c>
      <c r="CK50" s="771">
        <v>0</v>
      </c>
      <c r="CL50" s="814">
        <v>15.02</v>
      </c>
      <c r="CM50" s="816">
        <v>140.52000000000001</v>
      </c>
      <c r="CO50" s="817">
        <v>0.1</v>
      </c>
      <c r="CP50" s="818">
        <v>1290</v>
      </c>
      <c r="CQ50" s="819">
        <v>15.02</v>
      </c>
      <c r="CR50" s="819">
        <v>0</v>
      </c>
    </row>
    <row r="51" spans="1:96" ht="13.15" customHeight="1" outlineLevel="1">
      <c r="A51" s="800" t="s">
        <v>668</v>
      </c>
      <c r="B51" s="800" t="s">
        <v>605</v>
      </c>
      <c r="C51" s="800">
        <v>10.109</v>
      </c>
      <c r="D51" s="801">
        <v>1.99</v>
      </c>
      <c r="E51" s="777">
        <v>1.1599999999999999</v>
      </c>
      <c r="F51" s="777">
        <f t="shared" si="1"/>
        <v>0.22</v>
      </c>
      <c r="G51" s="777">
        <f t="shared" si="2"/>
        <v>0.13</v>
      </c>
      <c r="H51" s="777">
        <f t="shared" si="10"/>
        <v>192.09</v>
      </c>
      <c r="I51" s="777">
        <f t="shared" si="10"/>
        <v>830.17999999999961</v>
      </c>
      <c r="J51" s="802">
        <f t="shared" si="0"/>
        <v>0</v>
      </c>
      <c r="K51" s="801">
        <f>IF('Modelo 1.0 - NS'!R50=1,'Modelo 2.0 - Cubação'!E51,IF((E51-'Modelo 1.0 - NS'!U50)&lt;=0,E51,'Modelo 1.0 - NS'!U50))</f>
        <v>1.1599999999999999</v>
      </c>
      <c r="L51" s="777">
        <f>'Modelo 1.0 - NS'!Q50</f>
        <v>4.6960000000000006</v>
      </c>
      <c r="M51" s="777">
        <f t="shared" si="4"/>
        <v>0</v>
      </c>
      <c r="N51" s="777">
        <f t="shared" si="7"/>
        <v>0.12589499999991174</v>
      </c>
      <c r="O51" s="777">
        <f t="shared" si="5"/>
        <v>0.51186399999964127</v>
      </c>
      <c r="P51" s="777">
        <f t="shared" si="11"/>
        <v>0</v>
      </c>
      <c r="Q51" s="777">
        <f t="shared" si="11"/>
        <v>830.17296499999952</v>
      </c>
      <c r="R51" s="777">
        <f t="shared" si="11"/>
        <v>1767.4618640000008</v>
      </c>
      <c r="T51" s="777">
        <v>3.0950000000000006</v>
      </c>
      <c r="U51" s="777">
        <v>0.34</v>
      </c>
      <c r="V51" s="777">
        <v>0</v>
      </c>
      <c r="W51" s="777">
        <v>0</v>
      </c>
      <c r="Y51" s="803">
        <v>0</v>
      </c>
      <c r="Z51" s="803">
        <v>0</v>
      </c>
      <c r="AA51" s="803">
        <v>0</v>
      </c>
      <c r="AB51" s="803">
        <v>0</v>
      </c>
      <c r="AD51" s="777">
        <v>0.22</v>
      </c>
      <c r="AE51" s="777">
        <v>0</v>
      </c>
      <c r="AF51" s="777">
        <v>0.16</v>
      </c>
      <c r="AG51" s="804">
        <v>0.16</v>
      </c>
      <c r="AH51" s="804">
        <v>0.06</v>
      </c>
      <c r="AI51" s="777">
        <v>-887.22000000000025</v>
      </c>
      <c r="AK51" s="805" t="s">
        <v>67</v>
      </c>
      <c r="AL51" s="806">
        <v>0</v>
      </c>
      <c r="AM51" s="805" t="s">
        <v>67</v>
      </c>
      <c r="AN51" s="806">
        <v>0</v>
      </c>
      <c r="AO51" s="807">
        <v>0</v>
      </c>
      <c r="AP51" s="808">
        <v>0</v>
      </c>
      <c r="AR51" s="809" t="s">
        <v>67</v>
      </c>
      <c r="AS51" s="809">
        <v>0</v>
      </c>
      <c r="AT51" s="810" t="s">
        <v>67</v>
      </c>
      <c r="AU51" s="809">
        <v>0</v>
      </c>
      <c r="AV51" s="811">
        <v>0</v>
      </c>
      <c r="AW51" s="811">
        <v>0</v>
      </c>
      <c r="AY51" s="812" t="s">
        <v>67</v>
      </c>
      <c r="AZ51" s="768">
        <v>0</v>
      </c>
      <c r="BA51" s="813" t="s">
        <v>67</v>
      </c>
      <c r="BB51" s="768">
        <v>0</v>
      </c>
      <c r="BC51" s="814">
        <v>0.06</v>
      </c>
      <c r="BD51" s="808">
        <v>9.2500000000000018</v>
      </c>
      <c r="BF51" s="766" t="s">
        <v>67</v>
      </c>
      <c r="BG51" s="766">
        <v>0</v>
      </c>
      <c r="BH51" s="767" t="s">
        <v>67</v>
      </c>
      <c r="BI51" s="766">
        <v>0</v>
      </c>
      <c r="BJ51" s="814">
        <v>0.34</v>
      </c>
      <c r="BK51" s="808">
        <v>46.77</v>
      </c>
      <c r="BM51" s="766" t="s">
        <v>67</v>
      </c>
      <c r="BN51" s="766">
        <v>0</v>
      </c>
      <c r="BO51" s="767" t="s">
        <v>67</v>
      </c>
      <c r="BP51" s="768">
        <v>0</v>
      </c>
      <c r="BQ51" s="814">
        <v>0</v>
      </c>
      <c r="BR51" s="808">
        <v>0</v>
      </c>
      <c r="BT51" s="766" t="s">
        <v>67</v>
      </c>
      <c r="BU51" s="771">
        <v>0</v>
      </c>
      <c r="BV51" s="815" t="s">
        <v>67</v>
      </c>
      <c r="BW51" s="771">
        <v>0</v>
      </c>
      <c r="BX51" s="814">
        <v>0</v>
      </c>
      <c r="BY51" s="808">
        <v>0</v>
      </c>
      <c r="CA51" s="771" t="s">
        <v>67</v>
      </c>
      <c r="CB51" s="771">
        <v>0</v>
      </c>
      <c r="CC51" s="815" t="s">
        <v>67</v>
      </c>
      <c r="CD51" s="771">
        <v>0</v>
      </c>
      <c r="CE51" s="814">
        <v>0</v>
      </c>
      <c r="CF51" s="808">
        <v>0</v>
      </c>
      <c r="CH51" s="771" t="s">
        <v>67</v>
      </c>
      <c r="CI51" s="771">
        <v>0</v>
      </c>
      <c r="CJ51" s="771" t="s">
        <v>67</v>
      </c>
      <c r="CK51" s="771">
        <v>0</v>
      </c>
      <c r="CL51" s="814">
        <v>0.16</v>
      </c>
      <c r="CM51" s="816">
        <v>140.68</v>
      </c>
      <c r="CO51" s="817">
        <v>0.1</v>
      </c>
      <c r="CP51" s="818">
        <v>1290.1089999999999</v>
      </c>
      <c r="CQ51" s="819">
        <v>0.16</v>
      </c>
      <c r="CR51" s="819">
        <v>0</v>
      </c>
    </row>
    <row r="52" spans="1:96" ht="13.15" customHeight="1" outlineLevel="1">
      <c r="A52" s="800" t="s">
        <v>672</v>
      </c>
      <c r="B52" s="800" t="s">
        <v>605</v>
      </c>
      <c r="C52" s="800">
        <v>0</v>
      </c>
      <c r="D52" s="801">
        <v>1.04</v>
      </c>
      <c r="E52" s="777">
        <v>0.94</v>
      </c>
      <c r="F52" s="777">
        <f t="shared" si="1"/>
        <v>14.98</v>
      </c>
      <c r="G52" s="777">
        <f t="shared" si="2"/>
        <v>10.39</v>
      </c>
      <c r="H52" s="777">
        <f t="shared" si="10"/>
        <v>207.07</v>
      </c>
      <c r="I52" s="777">
        <f t="shared" si="10"/>
        <v>840.5699999999996</v>
      </c>
      <c r="J52" s="802">
        <f t="shared" si="0"/>
        <v>0</v>
      </c>
      <c r="K52" s="801">
        <f>IF('Modelo 1.0 - NS'!R51=1,'Modelo 2.0 - Cubação'!E52,IF((E52-'Modelo 1.0 - NS'!U51)&lt;=0,E52,'Modelo 1.0 - NS'!U51))</f>
        <v>0.94</v>
      </c>
      <c r="L52" s="777">
        <f>'Modelo 1.0 - NS'!Q51</f>
        <v>4.516</v>
      </c>
      <c r="M52" s="777">
        <f t="shared" si="4"/>
        <v>0</v>
      </c>
      <c r="N52" s="777">
        <f t="shared" si="7"/>
        <v>10.385550000000078</v>
      </c>
      <c r="O52" s="777">
        <f t="shared" si="5"/>
        <v>45.557946000000349</v>
      </c>
      <c r="P52" s="777">
        <f t="shared" si="11"/>
        <v>0</v>
      </c>
      <c r="Q52" s="777">
        <f t="shared" si="11"/>
        <v>840.5585149999996</v>
      </c>
      <c r="R52" s="777">
        <f t="shared" si="11"/>
        <v>1813.0198100000011</v>
      </c>
      <c r="T52" s="777">
        <v>0</v>
      </c>
      <c r="U52" s="777">
        <v>15.31</v>
      </c>
      <c r="V52" s="777">
        <v>3.1</v>
      </c>
      <c r="W52" s="777">
        <v>15.33</v>
      </c>
      <c r="Y52" s="803">
        <v>0</v>
      </c>
      <c r="Z52" s="803">
        <v>0</v>
      </c>
      <c r="AA52" s="803">
        <v>0</v>
      </c>
      <c r="AB52" s="803">
        <v>0</v>
      </c>
      <c r="AD52" s="777">
        <v>14.98</v>
      </c>
      <c r="AE52" s="777">
        <v>0</v>
      </c>
      <c r="AF52" s="777">
        <v>13.5</v>
      </c>
      <c r="AG52" s="804">
        <v>13.5</v>
      </c>
      <c r="AH52" s="804">
        <v>1.4800000000000004</v>
      </c>
      <c r="AI52" s="777">
        <v>-885.74000000000024</v>
      </c>
      <c r="AK52" s="805" t="s">
        <v>67</v>
      </c>
      <c r="AL52" s="806">
        <v>0</v>
      </c>
      <c r="AM52" s="805" t="s">
        <v>67</v>
      </c>
      <c r="AN52" s="806">
        <v>0</v>
      </c>
      <c r="AO52" s="807">
        <v>0</v>
      </c>
      <c r="AP52" s="808">
        <v>0</v>
      </c>
      <c r="AR52" s="809" t="s">
        <v>67</v>
      </c>
      <c r="AS52" s="809">
        <v>0</v>
      </c>
      <c r="AT52" s="810" t="s">
        <v>67</v>
      </c>
      <c r="AU52" s="809">
        <v>0</v>
      </c>
      <c r="AV52" s="811">
        <v>0</v>
      </c>
      <c r="AW52" s="811">
        <v>0</v>
      </c>
      <c r="AY52" s="812" t="s">
        <v>67</v>
      </c>
      <c r="AZ52" s="768">
        <v>0</v>
      </c>
      <c r="BA52" s="813" t="s">
        <v>67</v>
      </c>
      <c r="BB52" s="768">
        <v>0</v>
      </c>
      <c r="BC52" s="814">
        <v>1.48</v>
      </c>
      <c r="BD52" s="808">
        <v>10.730000000000002</v>
      </c>
      <c r="BF52" s="766" t="s">
        <v>67</v>
      </c>
      <c r="BG52" s="766">
        <v>0</v>
      </c>
      <c r="BH52" s="767" t="s">
        <v>67</v>
      </c>
      <c r="BI52" s="766">
        <v>0</v>
      </c>
      <c r="BJ52" s="814">
        <v>15.31</v>
      </c>
      <c r="BK52" s="808">
        <v>62.080000000000005</v>
      </c>
      <c r="BM52" s="766" t="s">
        <v>67</v>
      </c>
      <c r="BN52" s="766">
        <v>0</v>
      </c>
      <c r="BO52" s="767" t="s">
        <v>67</v>
      </c>
      <c r="BP52" s="768">
        <v>0</v>
      </c>
      <c r="BQ52" s="814">
        <v>0</v>
      </c>
      <c r="BR52" s="808">
        <v>0</v>
      </c>
      <c r="BT52" s="766" t="s">
        <v>820</v>
      </c>
      <c r="BU52" s="771">
        <v>1</v>
      </c>
      <c r="BV52" s="815" t="s">
        <v>67</v>
      </c>
      <c r="BW52" s="771">
        <v>0</v>
      </c>
      <c r="BX52" s="814">
        <v>15.33</v>
      </c>
      <c r="BY52" s="808">
        <v>15.33</v>
      </c>
      <c r="CA52" s="771" t="s">
        <v>67</v>
      </c>
      <c r="CB52" s="771">
        <v>0</v>
      </c>
      <c r="CC52" s="815" t="s">
        <v>67</v>
      </c>
      <c r="CD52" s="771">
        <v>0</v>
      </c>
      <c r="CE52" s="814">
        <v>0</v>
      </c>
      <c r="CF52" s="808">
        <v>0</v>
      </c>
      <c r="CH52" s="771" t="s">
        <v>67</v>
      </c>
      <c r="CI52" s="771">
        <v>0</v>
      </c>
      <c r="CJ52" s="771" t="s">
        <v>67</v>
      </c>
      <c r="CK52" s="771">
        <v>0</v>
      </c>
      <c r="CL52" s="814">
        <v>13.5</v>
      </c>
      <c r="CM52" s="816">
        <v>154.18</v>
      </c>
      <c r="CO52" s="817">
        <v>0.1</v>
      </c>
      <c r="CP52" s="818">
        <v>1300</v>
      </c>
      <c r="CQ52" s="819">
        <v>13.5</v>
      </c>
      <c r="CR52" s="819">
        <v>0</v>
      </c>
    </row>
    <row r="53" spans="1:96" ht="13.15" customHeight="1" outlineLevel="1">
      <c r="A53" s="800" t="s">
        <v>672</v>
      </c>
      <c r="B53" s="800" t="s">
        <v>605</v>
      </c>
      <c r="C53" s="800">
        <v>10</v>
      </c>
      <c r="D53" s="801">
        <v>1.25</v>
      </c>
      <c r="E53" s="777">
        <v>0.11</v>
      </c>
      <c r="F53" s="777">
        <f t="shared" si="1"/>
        <v>11.45</v>
      </c>
      <c r="G53" s="777">
        <f t="shared" si="2"/>
        <v>5.25</v>
      </c>
      <c r="H53" s="777">
        <f t="shared" si="10"/>
        <v>218.51999999999998</v>
      </c>
      <c r="I53" s="777">
        <f t="shared" si="10"/>
        <v>845.8199999999996</v>
      </c>
      <c r="J53" s="802">
        <f t="shared" si="0"/>
        <v>0</v>
      </c>
      <c r="K53" s="801">
        <f>IF('Modelo 1.0 - NS'!R52=1,'Modelo 2.0 - Cubação'!E53,IF((E53-'Modelo 1.0 - NS'!U52)&lt;=0,E53,'Modelo 1.0 - NS'!U52))</f>
        <v>0.11</v>
      </c>
      <c r="L53" s="777">
        <f>'Modelo 1.0 - NS'!Q52</f>
        <v>4.4520000000000008</v>
      </c>
      <c r="M53" s="777">
        <f t="shared" si="4"/>
        <v>0</v>
      </c>
      <c r="N53" s="777">
        <f t="shared" si="7"/>
        <v>5.25</v>
      </c>
      <c r="O53" s="777">
        <f t="shared" si="5"/>
        <v>44.84</v>
      </c>
      <c r="P53" s="777">
        <f t="shared" si="11"/>
        <v>0</v>
      </c>
      <c r="Q53" s="777">
        <f t="shared" si="11"/>
        <v>845.8085149999996</v>
      </c>
      <c r="R53" s="777">
        <f t="shared" si="11"/>
        <v>1857.8598100000011</v>
      </c>
      <c r="T53" s="777">
        <v>2.8524000000000003</v>
      </c>
      <c r="U53" s="777">
        <v>14.26</v>
      </c>
      <c r="V53" s="777">
        <v>0</v>
      </c>
      <c r="W53" s="777">
        <v>15.5</v>
      </c>
      <c r="Y53" s="803">
        <v>0</v>
      </c>
      <c r="Z53" s="803">
        <v>0</v>
      </c>
      <c r="AA53" s="803">
        <v>0</v>
      </c>
      <c r="AB53" s="803">
        <v>0</v>
      </c>
      <c r="AD53" s="777">
        <v>11.45</v>
      </c>
      <c r="AE53" s="777">
        <v>0</v>
      </c>
      <c r="AF53" s="777">
        <v>6.83</v>
      </c>
      <c r="AG53" s="804">
        <v>6.83</v>
      </c>
      <c r="AH53" s="804">
        <v>4.6199999999999992</v>
      </c>
      <c r="AI53" s="777">
        <v>-881.12000000000023</v>
      </c>
      <c r="AK53" s="805" t="s">
        <v>67</v>
      </c>
      <c r="AL53" s="806">
        <v>0</v>
      </c>
      <c r="AM53" s="805" t="s">
        <v>67</v>
      </c>
      <c r="AN53" s="806">
        <v>0</v>
      </c>
      <c r="AO53" s="807">
        <v>0</v>
      </c>
      <c r="AP53" s="808">
        <v>0</v>
      </c>
      <c r="AR53" s="809" t="s">
        <v>67</v>
      </c>
      <c r="AS53" s="809">
        <v>0</v>
      </c>
      <c r="AT53" s="810" t="s">
        <v>67</v>
      </c>
      <c r="AU53" s="809">
        <v>0</v>
      </c>
      <c r="AV53" s="811">
        <v>0</v>
      </c>
      <c r="AW53" s="811">
        <v>0</v>
      </c>
      <c r="AY53" s="812" t="s">
        <v>67</v>
      </c>
      <c r="AZ53" s="768">
        <v>0</v>
      </c>
      <c r="BA53" s="813" t="s">
        <v>819</v>
      </c>
      <c r="BB53" s="768">
        <v>1</v>
      </c>
      <c r="BC53" s="814">
        <v>4.62</v>
      </c>
      <c r="BD53" s="808">
        <v>15.350000000000001</v>
      </c>
      <c r="BF53" s="766" t="s">
        <v>67</v>
      </c>
      <c r="BG53" s="766">
        <v>0</v>
      </c>
      <c r="BH53" s="767" t="s">
        <v>818</v>
      </c>
      <c r="BI53" s="766">
        <v>1</v>
      </c>
      <c r="BJ53" s="814">
        <v>14.26</v>
      </c>
      <c r="BK53" s="808">
        <v>76.34</v>
      </c>
      <c r="BM53" s="766" t="s">
        <v>67</v>
      </c>
      <c r="BN53" s="766">
        <v>0</v>
      </c>
      <c r="BO53" s="767" t="s">
        <v>67</v>
      </c>
      <c r="BP53" s="768">
        <v>0</v>
      </c>
      <c r="BQ53" s="814">
        <v>0</v>
      </c>
      <c r="BR53" s="808">
        <v>0</v>
      </c>
      <c r="BT53" s="766" t="s">
        <v>67</v>
      </c>
      <c r="BU53" s="771">
        <v>0</v>
      </c>
      <c r="BV53" s="815" t="s">
        <v>820</v>
      </c>
      <c r="BW53" s="771">
        <v>1</v>
      </c>
      <c r="BX53" s="814">
        <v>15.5</v>
      </c>
      <c r="BY53" s="808">
        <v>30.83</v>
      </c>
      <c r="CA53" s="771" t="s">
        <v>67</v>
      </c>
      <c r="CB53" s="771">
        <v>0</v>
      </c>
      <c r="CC53" s="815" t="s">
        <v>67</v>
      </c>
      <c r="CD53" s="771">
        <v>0</v>
      </c>
      <c r="CE53" s="814">
        <v>0</v>
      </c>
      <c r="CF53" s="808">
        <v>0</v>
      </c>
      <c r="CH53" s="771" t="s">
        <v>67</v>
      </c>
      <c r="CI53" s="771">
        <v>0</v>
      </c>
      <c r="CJ53" s="771" t="s">
        <v>814</v>
      </c>
      <c r="CK53" s="771">
        <v>1</v>
      </c>
      <c r="CL53" s="814">
        <v>6.83</v>
      </c>
      <c r="CM53" s="816">
        <v>161.01000000000002</v>
      </c>
      <c r="CO53" s="817">
        <v>0.1</v>
      </c>
      <c r="CP53" s="818">
        <v>1310</v>
      </c>
      <c r="CQ53" s="819">
        <v>6.83</v>
      </c>
      <c r="CR53" s="819">
        <v>0</v>
      </c>
    </row>
    <row r="54" spans="1:96" s="826" customFormat="1" ht="13.15" customHeight="1" outlineLevel="1">
      <c r="A54" s="822"/>
      <c r="B54" s="822"/>
      <c r="C54" s="822"/>
      <c r="D54" s="823"/>
      <c r="E54" s="824"/>
      <c r="F54" s="824"/>
      <c r="G54" s="824"/>
      <c r="H54" s="824"/>
      <c r="I54" s="824"/>
      <c r="J54" s="825"/>
      <c r="K54" s="823"/>
      <c r="L54" s="824"/>
      <c r="M54" s="824"/>
      <c r="N54" s="824"/>
      <c r="O54" s="824"/>
      <c r="P54" s="824"/>
      <c r="Q54" s="824"/>
      <c r="R54" s="824"/>
      <c r="T54" s="824"/>
      <c r="U54" s="824"/>
      <c r="V54" s="824"/>
      <c r="W54" s="824"/>
      <c r="Y54" s="827"/>
      <c r="Z54" s="827"/>
      <c r="AA54" s="827"/>
      <c r="AB54" s="827"/>
      <c r="AD54" s="824"/>
      <c r="AE54" s="777">
        <v>0</v>
      </c>
      <c r="AF54" s="777">
        <v>0</v>
      </c>
      <c r="AG54" s="804">
        <v>0</v>
      </c>
      <c r="AH54" s="804">
        <v>0</v>
      </c>
      <c r="AI54" s="777">
        <v>-881.12000000000023</v>
      </c>
      <c r="AK54" s="828"/>
      <c r="AL54" s="829"/>
      <c r="AM54" s="829"/>
      <c r="AN54" s="829"/>
      <c r="AO54" s="807">
        <v>0</v>
      </c>
      <c r="AP54" s="830"/>
      <c r="AQ54" s="831"/>
      <c r="AR54" s="832"/>
      <c r="AS54" s="832"/>
      <c r="AT54" s="833"/>
      <c r="AU54" s="832"/>
      <c r="AV54" s="834"/>
      <c r="AW54" s="834"/>
      <c r="AX54" s="831"/>
      <c r="AY54" s="835"/>
      <c r="AZ54" s="835"/>
      <c r="BA54" s="836"/>
      <c r="BB54" s="835"/>
      <c r="BC54" s="814">
        <v>0</v>
      </c>
      <c r="BD54" s="830"/>
      <c r="BE54" s="831"/>
      <c r="BF54" s="837"/>
      <c r="BG54" s="837"/>
      <c r="BH54" s="838"/>
      <c r="BI54" s="837"/>
      <c r="BJ54" s="839"/>
      <c r="BK54" s="830"/>
      <c r="BL54" s="831"/>
      <c r="BM54" s="837"/>
      <c r="BN54" s="837"/>
      <c r="BO54" s="838"/>
      <c r="BP54" s="835"/>
      <c r="BQ54" s="839"/>
      <c r="BR54" s="830"/>
      <c r="BS54" s="831"/>
      <c r="BT54" s="837"/>
      <c r="BU54" s="840"/>
      <c r="BV54" s="841"/>
      <c r="BW54" s="840"/>
      <c r="BX54" s="839"/>
      <c r="BY54" s="830"/>
      <c r="BZ54" s="831"/>
      <c r="CA54" s="840"/>
      <c r="CB54" s="840"/>
      <c r="CC54" s="841"/>
      <c r="CD54" s="840"/>
      <c r="CE54" s="839"/>
      <c r="CF54" s="830"/>
      <c r="CG54" s="831"/>
      <c r="CH54" s="840"/>
      <c r="CI54" s="771">
        <v>0</v>
      </c>
      <c r="CJ54" s="840"/>
      <c r="CK54" s="771">
        <v>0</v>
      </c>
      <c r="CL54" s="814">
        <v>0</v>
      </c>
      <c r="CM54" s="842"/>
      <c r="CO54" s="843"/>
      <c r="CP54" s="844"/>
      <c r="CQ54" s="845"/>
      <c r="CR54" s="845"/>
    </row>
    <row r="55" spans="1:96" ht="13.15" customHeight="1" outlineLevel="1">
      <c r="A55" s="800" t="s">
        <v>675</v>
      </c>
      <c r="B55" s="800" t="s">
        <v>605</v>
      </c>
      <c r="C55" s="800">
        <v>0</v>
      </c>
      <c r="D55" s="846">
        <v>0.03</v>
      </c>
      <c r="E55" s="847">
        <v>0.25</v>
      </c>
      <c r="F55" s="777">
        <f t="shared" si="1"/>
        <v>0</v>
      </c>
      <c r="G55" s="777">
        <f t="shared" si="2"/>
        <v>0</v>
      </c>
      <c r="H55" s="777">
        <f t="shared" si="10"/>
        <v>0</v>
      </c>
      <c r="I55" s="777">
        <f t="shared" si="10"/>
        <v>0</v>
      </c>
      <c r="J55" s="802">
        <f t="shared" si="0"/>
        <v>0</v>
      </c>
      <c r="K55" s="801">
        <f>IF('Modelo 1.0 - NS'!R54=1,'Modelo 2.0 - Cubação'!E55,IF((E55-'Modelo 1.0 - NS'!U54)&lt;=0,E55,'Modelo 1.0 - NS'!U54))</f>
        <v>0.25</v>
      </c>
      <c r="L55" s="777">
        <f>'Modelo 1.0 - NS'!Q54</f>
        <v>3.976</v>
      </c>
      <c r="M55" s="777">
        <f t="shared" si="4"/>
        <v>0</v>
      </c>
      <c r="N55" s="777">
        <f>IFERROR(IF(A54="",0,((A55*20+C55)-(A54*20+C54))/2*(K54+K55)),0)</f>
        <v>0</v>
      </c>
      <c r="O55" s="777">
        <f>IFERROR(IF(A54="",0,((A55*20+C55)-(A54*20+C54))/2*(L54+L55)),0)</f>
        <v>0</v>
      </c>
      <c r="P55" s="777">
        <f t="shared" si="11"/>
        <v>0</v>
      </c>
      <c r="Q55" s="777">
        <f t="shared" si="11"/>
        <v>0</v>
      </c>
      <c r="R55" s="777">
        <f t="shared" si="11"/>
        <v>0</v>
      </c>
      <c r="T55" s="777">
        <v>0</v>
      </c>
      <c r="U55" s="777">
        <v>0</v>
      </c>
      <c r="V55" s="777">
        <v>2.56</v>
      </c>
      <c r="W55" s="777">
        <v>0</v>
      </c>
      <c r="Y55" s="803">
        <v>0</v>
      </c>
      <c r="Z55" s="803">
        <v>0</v>
      </c>
      <c r="AA55" s="803">
        <v>0</v>
      </c>
      <c r="AB55" s="803">
        <v>0</v>
      </c>
      <c r="AD55" s="777">
        <v>0</v>
      </c>
      <c r="AE55" s="777">
        <v>0</v>
      </c>
      <c r="AF55" s="777">
        <v>0</v>
      </c>
      <c r="AG55" s="804">
        <v>0</v>
      </c>
      <c r="AH55" s="804">
        <v>0</v>
      </c>
      <c r="AI55" s="777">
        <v>-881.12000000000023</v>
      </c>
      <c r="AK55" s="805" t="s">
        <v>67</v>
      </c>
      <c r="AL55" s="806">
        <v>0</v>
      </c>
      <c r="AM55" s="805" t="s">
        <v>67</v>
      </c>
      <c r="AN55" s="806">
        <v>0</v>
      </c>
      <c r="AO55" s="807">
        <v>0</v>
      </c>
      <c r="AP55" s="808">
        <v>0</v>
      </c>
      <c r="AR55" s="809" t="s">
        <v>67</v>
      </c>
      <c r="AS55" s="809">
        <v>0</v>
      </c>
      <c r="AT55" s="810" t="s">
        <v>67</v>
      </c>
      <c r="AU55" s="809">
        <v>0</v>
      </c>
      <c r="AV55" s="811">
        <v>0</v>
      </c>
      <c r="AW55" s="811">
        <v>0</v>
      </c>
      <c r="AY55" s="768" t="s">
        <v>67</v>
      </c>
      <c r="AZ55" s="768">
        <v>0</v>
      </c>
      <c r="BA55" s="813" t="s">
        <v>67</v>
      </c>
      <c r="BB55" s="768">
        <v>0</v>
      </c>
      <c r="BC55" s="814">
        <v>0</v>
      </c>
      <c r="BD55" s="808">
        <v>0</v>
      </c>
      <c r="BF55" s="766" t="s">
        <v>67</v>
      </c>
      <c r="BG55" s="766">
        <v>0</v>
      </c>
      <c r="BH55" s="767" t="s">
        <v>67</v>
      </c>
      <c r="BI55" s="766">
        <v>0</v>
      </c>
      <c r="BJ55" s="814">
        <v>0</v>
      </c>
      <c r="BK55" s="808">
        <v>0</v>
      </c>
      <c r="BM55" s="766" t="s">
        <v>67</v>
      </c>
      <c r="BN55" s="766">
        <v>0</v>
      </c>
      <c r="BO55" s="767" t="s">
        <v>67</v>
      </c>
      <c r="BP55" s="768">
        <v>0</v>
      </c>
      <c r="BQ55" s="814">
        <v>0</v>
      </c>
      <c r="BR55" s="808">
        <v>0</v>
      </c>
      <c r="BT55" s="766" t="s">
        <v>67</v>
      </c>
      <c r="BU55" s="771">
        <v>0</v>
      </c>
      <c r="BV55" s="815" t="s">
        <v>67</v>
      </c>
      <c r="BW55" s="771">
        <v>0</v>
      </c>
      <c r="BX55" s="814">
        <v>0</v>
      </c>
      <c r="BY55" s="808">
        <v>0</v>
      </c>
      <c r="CA55" s="771" t="s">
        <v>67</v>
      </c>
      <c r="CB55" s="771">
        <v>0</v>
      </c>
      <c r="CC55" s="815" t="s">
        <v>67</v>
      </c>
      <c r="CD55" s="771">
        <v>0</v>
      </c>
      <c r="CE55" s="814">
        <v>0</v>
      </c>
      <c r="CF55" s="808">
        <v>0</v>
      </c>
      <c r="CH55" s="771" t="s">
        <v>67</v>
      </c>
      <c r="CI55" s="771">
        <v>0</v>
      </c>
      <c r="CJ55" s="771" t="s">
        <v>67</v>
      </c>
      <c r="CK55" s="771">
        <v>0</v>
      </c>
      <c r="CL55" s="814">
        <v>0</v>
      </c>
      <c r="CM55" s="816">
        <v>0</v>
      </c>
      <c r="CO55" s="848">
        <v>0.1</v>
      </c>
      <c r="CP55" s="818">
        <v>0</v>
      </c>
      <c r="CQ55" s="773">
        <v>0</v>
      </c>
      <c r="CR55" s="773">
        <v>0</v>
      </c>
    </row>
    <row r="56" spans="1:96" ht="13.15" customHeight="1" outlineLevel="1">
      <c r="A56" s="800" t="s">
        <v>675</v>
      </c>
      <c r="B56" s="800" t="s">
        <v>605</v>
      </c>
      <c r="C56" s="800">
        <v>10</v>
      </c>
      <c r="D56" s="846">
        <v>0</v>
      </c>
      <c r="E56" s="847">
        <v>0.5</v>
      </c>
      <c r="F56" s="777">
        <f t="shared" si="1"/>
        <v>0.15</v>
      </c>
      <c r="G56" s="777">
        <f t="shared" si="2"/>
        <v>3.75</v>
      </c>
      <c r="H56" s="777">
        <f t="shared" ref="H56:I71" si="12">F56+H55</f>
        <v>0.15</v>
      </c>
      <c r="I56" s="777">
        <f t="shared" si="12"/>
        <v>3.75</v>
      </c>
      <c r="J56" s="802">
        <f t="shared" si="0"/>
        <v>0</v>
      </c>
      <c r="K56" s="801">
        <f>IF('Modelo 1.0 - NS'!R55=1,'Modelo 2.0 - Cubação'!E56,IF((E56-'Modelo 1.0 - NS'!U55)&lt;=0,E56,'Modelo 1.0 - NS'!U55))</f>
        <v>0.5</v>
      </c>
      <c r="L56" s="777">
        <f>'Modelo 1.0 - NS'!Q55</f>
        <v>3.9780000000000002</v>
      </c>
      <c r="M56" s="777">
        <f t="shared" si="4"/>
        <v>0</v>
      </c>
      <c r="N56" s="777">
        <f t="shared" si="7"/>
        <v>3.75</v>
      </c>
      <c r="O56" s="777">
        <f t="shared" ref="O56:O116" si="13">IFERROR(((A56*20+C56)-(A55*20+C55))/2*(L55+L56),0)</f>
        <v>39.770000000000003</v>
      </c>
      <c r="P56" s="777">
        <f t="shared" ref="P56:R71" si="14">M56+P55</f>
        <v>0</v>
      </c>
      <c r="Q56" s="777">
        <f t="shared" si="14"/>
        <v>3.75</v>
      </c>
      <c r="R56" s="777">
        <f t="shared" si="14"/>
        <v>39.770000000000003</v>
      </c>
      <c r="T56" s="777">
        <v>0</v>
      </c>
      <c r="U56" s="777">
        <v>0</v>
      </c>
      <c r="V56" s="777">
        <v>2.56</v>
      </c>
      <c r="W56" s="777">
        <v>25.6</v>
      </c>
      <c r="Y56" s="803">
        <v>0</v>
      </c>
      <c r="Z56" s="803">
        <v>0</v>
      </c>
      <c r="AA56" s="803">
        <v>0</v>
      </c>
      <c r="AB56" s="803">
        <v>0</v>
      </c>
      <c r="AD56" s="777">
        <v>0.15</v>
      </c>
      <c r="AE56" s="777">
        <v>0</v>
      </c>
      <c r="AF56" s="777">
        <v>4.88</v>
      </c>
      <c r="AG56" s="804">
        <v>0.15</v>
      </c>
      <c r="AH56" s="804">
        <v>-4.7299999999999995</v>
      </c>
      <c r="AI56" s="777">
        <v>-885.85000000000025</v>
      </c>
      <c r="AK56" s="805" t="s">
        <v>821</v>
      </c>
      <c r="AL56" s="806">
        <v>1</v>
      </c>
      <c r="AM56" s="805" t="s">
        <v>67</v>
      </c>
      <c r="AN56" s="806">
        <v>0</v>
      </c>
      <c r="AO56" s="807">
        <v>3.64</v>
      </c>
      <c r="AP56" s="808">
        <v>3.64</v>
      </c>
      <c r="AR56" s="809" t="s">
        <v>67</v>
      </c>
      <c r="AS56" s="809">
        <v>0</v>
      </c>
      <c r="AT56" s="810" t="s">
        <v>67</v>
      </c>
      <c r="AU56" s="809">
        <v>0</v>
      </c>
      <c r="AV56" s="811">
        <v>0</v>
      </c>
      <c r="AW56" s="811">
        <v>0</v>
      </c>
      <c r="AY56" s="768" t="s">
        <v>67</v>
      </c>
      <c r="AZ56" s="768">
        <v>0</v>
      </c>
      <c r="BA56" s="813" t="s">
        <v>67</v>
      </c>
      <c r="BB56" s="768">
        <v>0</v>
      </c>
      <c r="BC56" s="814">
        <v>0</v>
      </c>
      <c r="BD56" s="808">
        <v>0</v>
      </c>
      <c r="BF56" s="766" t="s">
        <v>67</v>
      </c>
      <c r="BG56" s="766">
        <v>0</v>
      </c>
      <c r="BH56" s="767" t="s">
        <v>67</v>
      </c>
      <c r="BI56" s="766">
        <v>0</v>
      </c>
      <c r="BJ56" s="814">
        <v>0</v>
      </c>
      <c r="BK56" s="808">
        <v>0</v>
      </c>
      <c r="BM56" s="766" t="s">
        <v>67</v>
      </c>
      <c r="BN56" s="766">
        <v>0</v>
      </c>
      <c r="BO56" s="767" t="s">
        <v>67</v>
      </c>
      <c r="BP56" s="768">
        <v>0</v>
      </c>
      <c r="BQ56" s="814">
        <v>0</v>
      </c>
      <c r="BR56" s="808">
        <v>0</v>
      </c>
      <c r="BT56" s="766" t="s">
        <v>822</v>
      </c>
      <c r="BU56" s="771">
        <v>1</v>
      </c>
      <c r="BV56" s="815" t="s">
        <v>67</v>
      </c>
      <c r="BW56" s="771">
        <v>0</v>
      </c>
      <c r="BX56" s="814">
        <v>25.6</v>
      </c>
      <c r="BY56" s="808">
        <v>25.6</v>
      </c>
      <c r="CA56" s="771" t="s">
        <v>67</v>
      </c>
      <c r="CB56" s="771">
        <v>0</v>
      </c>
      <c r="CC56" s="815" t="s">
        <v>67</v>
      </c>
      <c r="CD56" s="771">
        <v>0</v>
      </c>
      <c r="CE56" s="814">
        <v>0</v>
      </c>
      <c r="CF56" s="808">
        <v>0</v>
      </c>
      <c r="CH56" s="771" t="s">
        <v>823</v>
      </c>
      <c r="CI56" s="771">
        <v>1</v>
      </c>
      <c r="CJ56" s="771" t="s">
        <v>823</v>
      </c>
      <c r="CK56" s="771">
        <v>1</v>
      </c>
      <c r="CL56" s="814">
        <v>0.15</v>
      </c>
      <c r="CM56" s="816">
        <v>0.15</v>
      </c>
      <c r="CO56" s="848">
        <v>0.1</v>
      </c>
      <c r="CP56" s="818">
        <v>10</v>
      </c>
      <c r="CQ56" s="773">
        <v>0</v>
      </c>
      <c r="CR56" s="773">
        <v>-0.15</v>
      </c>
    </row>
    <row r="57" spans="1:96" ht="13.15" customHeight="1" outlineLevel="1">
      <c r="A57" s="800" t="s">
        <v>352</v>
      </c>
      <c r="B57" s="800" t="s">
        <v>605</v>
      </c>
      <c r="C57" s="800">
        <v>0</v>
      </c>
      <c r="D57" s="846">
        <v>0</v>
      </c>
      <c r="E57" s="847">
        <v>0.61</v>
      </c>
      <c r="F57" s="777">
        <f t="shared" si="1"/>
        <v>0</v>
      </c>
      <c r="G57" s="777">
        <f t="shared" si="2"/>
        <v>5.55</v>
      </c>
      <c r="H57" s="777">
        <f t="shared" si="12"/>
        <v>0.15</v>
      </c>
      <c r="I57" s="777">
        <f t="shared" si="12"/>
        <v>9.3000000000000007</v>
      </c>
      <c r="J57" s="802">
        <f t="shared" si="0"/>
        <v>0</v>
      </c>
      <c r="K57" s="801">
        <f>IF('Modelo 1.0 - NS'!R56=1,'Modelo 2.0 - Cubação'!E57,IF((E57-'Modelo 1.0 - NS'!U56)&lt;=0,E57,'Modelo 1.0 - NS'!U56))</f>
        <v>0.61</v>
      </c>
      <c r="L57" s="777">
        <f>'Modelo 1.0 - NS'!Q56</f>
        <v>4.024</v>
      </c>
      <c r="M57" s="777">
        <f t="shared" si="4"/>
        <v>0</v>
      </c>
      <c r="N57" s="777">
        <f t="shared" si="7"/>
        <v>5.5499999999999989</v>
      </c>
      <c r="O57" s="777">
        <f t="shared" si="13"/>
        <v>40.010000000000005</v>
      </c>
      <c r="P57" s="777">
        <f t="shared" si="14"/>
        <v>0</v>
      </c>
      <c r="Q57" s="777">
        <f t="shared" si="14"/>
        <v>9.2999999999999989</v>
      </c>
      <c r="R57" s="777">
        <f t="shared" si="14"/>
        <v>79.78</v>
      </c>
      <c r="T57" s="777">
        <v>0</v>
      </c>
      <c r="U57" s="777">
        <v>0</v>
      </c>
      <c r="V57" s="777">
        <v>2.6</v>
      </c>
      <c r="W57" s="777">
        <v>25.8</v>
      </c>
      <c r="Y57" s="803">
        <v>0</v>
      </c>
      <c r="Z57" s="803">
        <v>0</v>
      </c>
      <c r="AA57" s="803">
        <v>0</v>
      </c>
      <c r="AB57" s="803">
        <v>0</v>
      </c>
      <c r="AD57" s="777">
        <v>0</v>
      </c>
      <c r="AE57" s="777">
        <v>0</v>
      </c>
      <c r="AF57" s="777">
        <v>7.22</v>
      </c>
      <c r="AG57" s="804">
        <v>0</v>
      </c>
      <c r="AH57" s="804">
        <v>-7.22</v>
      </c>
      <c r="AI57" s="777">
        <v>-893.07000000000028</v>
      </c>
      <c r="AK57" s="805" t="s">
        <v>67</v>
      </c>
      <c r="AL57" s="806">
        <v>0</v>
      </c>
      <c r="AM57" s="805" t="s">
        <v>67</v>
      </c>
      <c r="AN57" s="806">
        <v>0</v>
      </c>
      <c r="AO57" s="807">
        <v>5.55</v>
      </c>
      <c r="AP57" s="808">
        <v>9.19</v>
      </c>
      <c r="AR57" s="809" t="s">
        <v>67</v>
      </c>
      <c r="AS57" s="809">
        <v>0</v>
      </c>
      <c r="AT57" s="810" t="s">
        <v>67</v>
      </c>
      <c r="AU57" s="809">
        <v>0</v>
      </c>
      <c r="AV57" s="811">
        <v>0</v>
      </c>
      <c r="AW57" s="811">
        <v>0</v>
      </c>
      <c r="AY57" s="768" t="s">
        <v>67</v>
      </c>
      <c r="AZ57" s="768">
        <v>0</v>
      </c>
      <c r="BA57" s="813" t="s">
        <v>67</v>
      </c>
      <c r="BB57" s="768">
        <v>0</v>
      </c>
      <c r="BC57" s="814">
        <v>0</v>
      </c>
      <c r="BD57" s="808">
        <v>0</v>
      </c>
      <c r="BF57" s="766" t="s">
        <v>67</v>
      </c>
      <c r="BG57" s="766">
        <v>0</v>
      </c>
      <c r="BH57" s="767" t="s">
        <v>67</v>
      </c>
      <c r="BI57" s="766">
        <v>0</v>
      </c>
      <c r="BJ57" s="814">
        <v>0</v>
      </c>
      <c r="BK57" s="808">
        <v>0</v>
      </c>
      <c r="BM57" s="766" t="s">
        <v>67</v>
      </c>
      <c r="BN57" s="766">
        <v>0</v>
      </c>
      <c r="BO57" s="767" t="s">
        <v>67</v>
      </c>
      <c r="BP57" s="768">
        <v>0</v>
      </c>
      <c r="BQ57" s="814">
        <v>0</v>
      </c>
      <c r="BR57" s="808">
        <v>0</v>
      </c>
      <c r="BT57" s="766" t="s">
        <v>67</v>
      </c>
      <c r="BU57" s="771">
        <v>0</v>
      </c>
      <c r="BV57" s="815" t="s">
        <v>67</v>
      </c>
      <c r="BW57" s="771">
        <v>0</v>
      </c>
      <c r="BX57" s="814">
        <v>25.8</v>
      </c>
      <c r="BY57" s="808">
        <v>51.400000000000006</v>
      </c>
      <c r="CA57" s="771" t="s">
        <v>67</v>
      </c>
      <c r="CB57" s="771">
        <v>0</v>
      </c>
      <c r="CC57" s="815" t="s">
        <v>67</v>
      </c>
      <c r="CD57" s="771">
        <v>0</v>
      </c>
      <c r="CE57" s="814">
        <v>0</v>
      </c>
      <c r="CF57" s="808">
        <v>0</v>
      </c>
      <c r="CH57" s="771" t="s">
        <v>67</v>
      </c>
      <c r="CI57" s="771">
        <v>0</v>
      </c>
      <c r="CJ57" s="771" t="s">
        <v>67</v>
      </c>
      <c r="CK57" s="771">
        <v>0</v>
      </c>
      <c r="CL57" s="814">
        <v>0</v>
      </c>
      <c r="CM57" s="816">
        <v>0</v>
      </c>
      <c r="CO57" s="848">
        <v>0.1</v>
      </c>
      <c r="CP57" s="818">
        <v>20</v>
      </c>
      <c r="CQ57" s="773">
        <v>0</v>
      </c>
      <c r="CR57" s="773">
        <v>0</v>
      </c>
    </row>
    <row r="58" spans="1:96" ht="13.15" customHeight="1" outlineLevel="1">
      <c r="A58" s="800" t="s">
        <v>352</v>
      </c>
      <c r="B58" s="800" t="s">
        <v>605</v>
      </c>
      <c r="C58" s="800">
        <v>10</v>
      </c>
      <c r="D58" s="846">
        <v>0</v>
      </c>
      <c r="E58" s="847">
        <v>0.72</v>
      </c>
      <c r="F58" s="777">
        <f t="shared" si="1"/>
        <v>0</v>
      </c>
      <c r="G58" s="777">
        <f t="shared" si="2"/>
        <v>6.65</v>
      </c>
      <c r="H58" s="777">
        <f t="shared" si="12"/>
        <v>0.15</v>
      </c>
      <c r="I58" s="777">
        <f t="shared" si="12"/>
        <v>15.950000000000001</v>
      </c>
      <c r="J58" s="802">
        <f t="shared" si="0"/>
        <v>0</v>
      </c>
      <c r="K58" s="801">
        <f>IF('Modelo 1.0 - NS'!R57=1,'Modelo 2.0 - Cubação'!E58,IF((E58-'Modelo 1.0 - NS'!U57)&lt;=0,E58,'Modelo 1.0 - NS'!U57))</f>
        <v>0.72</v>
      </c>
      <c r="L58" s="777">
        <f>'Modelo 1.0 - NS'!Q57</f>
        <v>4.1260000000000003</v>
      </c>
      <c r="M58" s="777">
        <f t="shared" si="4"/>
        <v>0</v>
      </c>
      <c r="N58" s="777">
        <f t="shared" si="7"/>
        <v>6.65</v>
      </c>
      <c r="O58" s="777">
        <f t="shared" si="13"/>
        <v>40.75</v>
      </c>
      <c r="P58" s="777">
        <f t="shared" si="14"/>
        <v>0</v>
      </c>
      <c r="Q58" s="777">
        <f t="shared" si="14"/>
        <v>15.95</v>
      </c>
      <c r="R58" s="777">
        <f t="shared" si="14"/>
        <v>120.53</v>
      </c>
      <c r="T58" s="777">
        <v>0</v>
      </c>
      <c r="U58" s="777">
        <v>0</v>
      </c>
      <c r="V58" s="777">
        <v>2.71</v>
      </c>
      <c r="W58" s="777">
        <v>26.55</v>
      </c>
      <c r="Y58" s="803">
        <v>0</v>
      </c>
      <c r="Z58" s="803">
        <v>0</v>
      </c>
      <c r="AA58" s="803">
        <v>0</v>
      </c>
      <c r="AB58" s="803">
        <v>0</v>
      </c>
      <c r="AD58" s="777">
        <v>0</v>
      </c>
      <c r="AE58" s="777">
        <v>0</v>
      </c>
      <c r="AF58" s="777">
        <v>8.65</v>
      </c>
      <c r="AG58" s="804">
        <v>0</v>
      </c>
      <c r="AH58" s="804">
        <v>-8.65</v>
      </c>
      <c r="AI58" s="777">
        <v>-901.72000000000025</v>
      </c>
      <c r="AK58" s="805" t="s">
        <v>67</v>
      </c>
      <c r="AL58" s="806">
        <v>0</v>
      </c>
      <c r="AM58" s="805" t="s">
        <v>67</v>
      </c>
      <c r="AN58" s="806">
        <v>0</v>
      </c>
      <c r="AO58" s="807">
        <v>6.65</v>
      </c>
      <c r="AP58" s="808">
        <v>15.84</v>
      </c>
      <c r="AR58" s="809" t="s">
        <v>67</v>
      </c>
      <c r="AS58" s="809">
        <v>0</v>
      </c>
      <c r="AT58" s="810" t="s">
        <v>67</v>
      </c>
      <c r="AU58" s="809">
        <v>0</v>
      </c>
      <c r="AV58" s="811">
        <v>0</v>
      </c>
      <c r="AW58" s="811">
        <v>0</v>
      </c>
      <c r="AY58" s="768" t="s">
        <v>67</v>
      </c>
      <c r="AZ58" s="768">
        <v>0</v>
      </c>
      <c r="BA58" s="813" t="s">
        <v>67</v>
      </c>
      <c r="BB58" s="768">
        <v>0</v>
      </c>
      <c r="BC58" s="814">
        <v>0</v>
      </c>
      <c r="BD58" s="808">
        <v>0</v>
      </c>
      <c r="BF58" s="766" t="s">
        <v>67</v>
      </c>
      <c r="BG58" s="766">
        <v>0</v>
      </c>
      <c r="BH58" s="767" t="s">
        <v>67</v>
      </c>
      <c r="BI58" s="766">
        <v>0</v>
      </c>
      <c r="BJ58" s="814">
        <v>0</v>
      </c>
      <c r="BK58" s="808">
        <v>0</v>
      </c>
      <c r="BM58" s="766" t="s">
        <v>67</v>
      </c>
      <c r="BN58" s="766">
        <v>0</v>
      </c>
      <c r="BO58" s="767" t="s">
        <v>67</v>
      </c>
      <c r="BP58" s="768">
        <v>0</v>
      </c>
      <c r="BQ58" s="814">
        <v>0</v>
      </c>
      <c r="BR58" s="808">
        <v>0</v>
      </c>
      <c r="BT58" s="766" t="s">
        <v>67</v>
      </c>
      <c r="BU58" s="771">
        <v>0</v>
      </c>
      <c r="BV58" s="815" t="s">
        <v>67</v>
      </c>
      <c r="BW58" s="771">
        <v>0</v>
      </c>
      <c r="BX58" s="814">
        <v>26.55</v>
      </c>
      <c r="BY58" s="808">
        <v>77.95</v>
      </c>
      <c r="CA58" s="771" t="s">
        <v>67</v>
      </c>
      <c r="CB58" s="771">
        <v>0</v>
      </c>
      <c r="CC58" s="815" t="s">
        <v>67</v>
      </c>
      <c r="CD58" s="771">
        <v>0</v>
      </c>
      <c r="CE58" s="814">
        <v>0</v>
      </c>
      <c r="CF58" s="808">
        <v>0</v>
      </c>
      <c r="CH58" s="771" t="s">
        <v>67</v>
      </c>
      <c r="CI58" s="771">
        <v>0</v>
      </c>
      <c r="CJ58" s="771" t="s">
        <v>67</v>
      </c>
      <c r="CK58" s="771">
        <v>0</v>
      </c>
      <c r="CL58" s="814">
        <v>0</v>
      </c>
      <c r="CM58" s="816">
        <v>0</v>
      </c>
      <c r="CO58" s="848">
        <v>0.1</v>
      </c>
      <c r="CP58" s="818">
        <v>30</v>
      </c>
      <c r="CQ58" s="773">
        <v>0</v>
      </c>
      <c r="CR58" s="773">
        <v>0</v>
      </c>
    </row>
    <row r="59" spans="1:96" ht="13.15" customHeight="1" outlineLevel="1">
      <c r="A59" s="800" t="s">
        <v>680</v>
      </c>
      <c r="B59" s="800" t="s">
        <v>605</v>
      </c>
      <c r="C59" s="800">
        <v>0</v>
      </c>
      <c r="D59" s="846">
        <v>0</v>
      </c>
      <c r="E59" s="847">
        <v>0.52</v>
      </c>
      <c r="F59" s="777">
        <f t="shared" si="1"/>
        <v>0</v>
      </c>
      <c r="G59" s="777">
        <f t="shared" si="2"/>
        <v>6.2</v>
      </c>
      <c r="H59" s="777">
        <f t="shared" si="12"/>
        <v>0.15</v>
      </c>
      <c r="I59" s="777">
        <f t="shared" si="12"/>
        <v>22.150000000000002</v>
      </c>
      <c r="J59" s="802">
        <f t="shared" si="0"/>
        <v>0</v>
      </c>
      <c r="K59" s="801">
        <f>IF('Modelo 1.0 - NS'!R58=1,'Modelo 2.0 - Cubação'!E59,IF((E59-'Modelo 1.0 - NS'!U58)&lt;=0,E59,'Modelo 1.0 - NS'!U58))</f>
        <v>0.52</v>
      </c>
      <c r="L59" s="777">
        <f>'Modelo 1.0 - NS'!Q58</f>
        <v>4.2700000000000005</v>
      </c>
      <c r="M59" s="777">
        <f t="shared" si="4"/>
        <v>0</v>
      </c>
      <c r="N59" s="777">
        <f t="shared" si="7"/>
        <v>6.2</v>
      </c>
      <c r="O59" s="777">
        <f t="shared" si="13"/>
        <v>41.980000000000004</v>
      </c>
      <c r="P59" s="777">
        <f t="shared" si="14"/>
        <v>0</v>
      </c>
      <c r="Q59" s="777">
        <f t="shared" si="14"/>
        <v>22.15</v>
      </c>
      <c r="R59" s="777">
        <f t="shared" si="14"/>
        <v>162.51</v>
      </c>
      <c r="T59" s="777">
        <v>0</v>
      </c>
      <c r="U59" s="777">
        <v>0</v>
      </c>
      <c r="V59" s="777">
        <v>2.85</v>
      </c>
      <c r="W59" s="777">
        <v>27.8</v>
      </c>
      <c r="Y59" s="803">
        <v>0</v>
      </c>
      <c r="Z59" s="803">
        <v>0</v>
      </c>
      <c r="AA59" s="803">
        <v>0</v>
      </c>
      <c r="AB59" s="803">
        <v>0</v>
      </c>
      <c r="AD59" s="777">
        <v>0</v>
      </c>
      <c r="AE59" s="777">
        <v>0</v>
      </c>
      <c r="AF59" s="777">
        <v>8.06</v>
      </c>
      <c r="AG59" s="804">
        <v>0</v>
      </c>
      <c r="AH59" s="804">
        <v>-8.06</v>
      </c>
      <c r="AI59" s="777">
        <v>-909.7800000000002</v>
      </c>
      <c r="AK59" s="805" t="s">
        <v>67</v>
      </c>
      <c r="AL59" s="806">
        <v>0</v>
      </c>
      <c r="AM59" s="805" t="s">
        <v>67</v>
      </c>
      <c r="AN59" s="806">
        <v>0</v>
      </c>
      <c r="AO59" s="807">
        <v>6.2</v>
      </c>
      <c r="AP59" s="808">
        <v>22.04</v>
      </c>
      <c r="AR59" s="809" t="s">
        <v>67</v>
      </c>
      <c r="AS59" s="809">
        <v>0</v>
      </c>
      <c r="AT59" s="810" t="s">
        <v>67</v>
      </c>
      <c r="AU59" s="809">
        <v>0</v>
      </c>
      <c r="AV59" s="811">
        <v>0</v>
      </c>
      <c r="AW59" s="811">
        <v>0</v>
      </c>
      <c r="AY59" s="768" t="s">
        <v>67</v>
      </c>
      <c r="AZ59" s="768">
        <v>0</v>
      </c>
      <c r="BA59" s="813" t="s">
        <v>67</v>
      </c>
      <c r="BB59" s="768">
        <v>0</v>
      </c>
      <c r="BC59" s="814">
        <v>0</v>
      </c>
      <c r="BD59" s="808">
        <v>0</v>
      </c>
      <c r="BF59" s="766" t="s">
        <v>67</v>
      </c>
      <c r="BG59" s="766">
        <v>0</v>
      </c>
      <c r="BH59" s="767" t="s">
        <v>67</v>
      </c>
      <c r="BI59" s="766">
        <v>0</v>
      </c>
      <c r="BJ59" s="814">
        <v>0</v>
      </c>
      <c r="BK59" s="808">
        <v>0</v>
      </c>
      <c r="BM59" s="766" t="s">
        <v>67</v>
      </c>
      <c r="BN59" s="766">
        <v>0</v>
      </c>
      <c r="BO59" s="767" t="s">
        <v>67</v>
      </c>
      <c r="BP59" s="768">
        <v>0</v>
      </c>
      <c r="BQ59" s="814">
        <v>0</v>
      </c>
      <c r="BR59" s="808">
        <v>0</v>
      </c>
      <c r="BT59" s="766" t="s">
        <v>67</v>
      </c>
      <c r="BU59" s="771">
        <v>0</v>
      </c>
      <c r="BV59" s="815" t="s">
        <v>67</v>
      </c>
      <c r="BW59" s="771">
        <v>0</v>
      </c>
      <c r="BX59" s="814">
        <v>27.8</v>
      </c>
      <c r="BY59" s="808">
        <v>105.75</v>
      </c>
      <c r="CA59" s="771" t="s">
        <v>67</v>
      </c>
      <c r="CB59" s="771">
        <v>0</v>
      </c>
      <c r="CC59" s="815" t="s">
        <v>67</v>
      </c>
      <c r="CD59" s="771">
        <v>0</v>
      </c>
      <c r="CE59" s="814">
        <v>0</v>
      </c>
      <c r="CF59" s="808">
        <v>0</v>
      </c>
      <c r="CH59" s="771" t="s">
        <v>67</v>
      </c>
      <c r="CI59" s="771">
        <v>0</v>
      </c>
      <c r="CJ59" s="771" t="s">
        <v>67</v>
      </c>
      <c r="CK59" s="771">
        <v>0</v>
      </c>
      <c r="CL59" s="814">
        <v>0</v>
      </c>
      <c r="CM59" s="816">
        <v>0</v>
      </c>
      <c r="CO59" s="848">
        <v>0.1</v>
      </c>
      <c r="CP59" s="818">
        <v>40</v>
      </c>
      <c r="CQ59" s="773">
        <v>0</v>
      </c>
      <c r="CR59" s="773">
        <v>0</v>
      </c>
    </row>
    <row r="60" spans="1:96" ht="13.15" customHeight="1" outlineLevel="1">
      <c r="A60" s="800" t="s">
        <v>680</v>
      </c>
      <c r="B60" s="800" t="s">
        <v>605</v>
      </c>
      <c r="C60" s="800">
        <v>10</v>
      </c>
      <c r="D60" s="846">
        <v>7.0000000000000007E-2</v>
      </c>
      <c r="E60" s="847">
        <v>0.26</v>
      </c>
      <c r="F60" s="777">
        <f t="shared" si="1"/>
        <v>0.35</v>
      </c>
      <c r="G60" s="777">
        <f t="shared" si="2"/>
        <v>3.9</v>
      </c>
      <c r="H60" s="777">
        <f t="shared" si="12"/>
        <v>0.5</v>
      </c>
      <c r="I60" s="777">
        <f t="shared" si="12"/>
        <v>26.05</v>
      </c>
      <c r="J60" s="802">
        <f t="shared" si="0"/>
        <v>0</v>
      </c>
      <c r="K60" s="801">
        <f>IF('Modelo 1.0 - NS'!R59=1,'Modelo 2.0 - Cubação'!E60,IF((E60-'Modelo 1.0 - NS'!U59)&lt;=0,E60,'Modelo 1.0 - NS'!U59))</f>
        <v>0.26</v>
      </c>
      <c r="L60" s="777">
        <f>'Modelo 1.0 - NS'!Q59</f>
        <v>4.3920000000000003</v>
      </c>
      <c r="M60" s="777">
        <f t="shared" si="4"/>
        <v>0</v>
      </c>
      <c r="N60" s="777">
        <f t="shared" si="7"/>
        <v>3.9000000000000004</v>
      </c>
      <c r="O60" s="777">
        <f t="shared" si="13"/>
        <v>43.31</v>
      </c>
      <c r="P60" s="777">
        <f t="shared" si="14"/>
        <v>0</v>
      </c>
      <c r="Q60" s="777">
        <f t="shared" si="14"/>
        <v>26.049999999999997</v>
      </c>
      <c r="R60" s="777">
        <f t="shared" si="14"/>
        <v>205.82</v>
      </c>
      <c r="T60" s="777">
        <v>2.7914000000000003</v>
      </c>
      <c r="U60" s="777">
        <v>13.96</v>
      </c>
      <c r="V60" s="777">
        <v>0</v>
      </c>
      <c r="W60" s="777">
        <v>14.25</v>
      </c>
      <c r="Y60" s="803">
        <v>0</v>
      </c>
      <c r="Z60" s="803">
        <v>0</v>
      </c>
      <c r="AA60" s="803">
        <v>0</v>
      </c>
      <c r="AB60" s="803">
        <v>0</v>
      </c>
      <c r="AD60" s="777">
        <v>0.35</v>
      </c>
      <c r="AE60" s="777">
        <v>0</v>
      </c>
      <c r="AF60" s="777">
        <v>5.07</v>
      </c>
      <c r="AG60" s="804">
        <v>0.35</v>
      </c>
      <c r="AH60" s="804">
        <v>-4.7200000000000006</v>
      </c>
      <c r="AI60" s="777">
        <v>-914.50000000000023</v>
      </c>
      <c r="AK60" s="805" t="s">
        <v>67</v>
      </c>
      <c r="AL60" s="806">
        <v>0</v>
      </c>
      <c r="AM60" s="805" t="s">
        <v>67</v>
      </c>
      <c r="AN60" s="806">
        <v>0</v>
      </c>
      <c r="AO60" s="807">
        <v>3.63</v>
      </c>
      <c r="AP60" s="808">
        <v>25.669999999999998</v>
      </c>
      <c r="AR60" s="809" t="s">
        <v>67</v>
      </c>
      <c r="AS60" s="809">
        <v>0</v>
      </c>
      <c r="AT60" s="810" t="s">
        <v>67</v>
      </c>
      <c r="AU60" s="809">
        <v>0</v>
      </c>
      <c r="AV60" s="811">
        <v>0</v>
      </c>
      <c r="AW60" s="811">
        <v>0</v>
      </c>
      <c r="AY60" s="768" t="s">
        <v>67</v>
      </c>
      <c r="AZ60" s="768">
        <v>0</v>
      </c>
      <c r="BA60" s="813" t="s">
        <v>67</v>
      </c>
      <c r="BB60" s="768">
        <v>0</v>
      </c>
      <c r="BC60" s="814">
        <v>0</v>
      </c>
      <c r="BD60" s="808">
        <v>0</v>
      </c>
      <c r="BF60" s="766" t="s">
        <v>824</v>
      </c>
      <c r="BG60" s="766">
        <v>1</v>
      </c>
      <c r="BH60" s="767" t="s">
        <v>67</v>
      </c>
      <c r="BI60" s="766">
        <v>0</v>
      </c>
      <c r="BJ60" s="814">
        <v>13.96</v>
      </c>
      <c r="BK60" s="808">
        <v>13.96</v>
      </c>
      <c r="BM60" s="766" t="s">
        <v>67</v>
      </c>
      <c r="BN60" s="766">
        <v>0</v>
      </c>
      <c r="BO60" s="767" t="s">
        <v>67</v>
      </c>
      <c r="BP60" s="768">
        <v>0</v>
      </c>
      <c r="BQ60" s="814">
        <v>0</v>
      </c>
      <c r="BR60" s="808">
        <v>0</v>
      </c>
      <c r="BT60" s="766" t="s">
        <v>67</v>
      </c>
      <c r="BU60" s="771">
        <v>0</v>
      </c>
      <c r="BV60" s="815" t="s">
        <v>67</v>
      </c>
      <c r="BW60" s="771">
        <v>0</v>
      </c>
      <c r="BX60" s="814">
        <v>14.25</v>
      </c>
      <c r="BY60" s="808">
        <v>120</v>
      </c>
      <c r="CA60" s="771" t="s">
        <v>67</v>
      </c>
      <c r="CB60" s="771">
        <v>0</v>
      </c>
      <c r="CC60" s="815" t="s">
        <v>67</v>
      </c>
      <c r="CD60" s="771">
        <v>0</v>
      </c>
      <c r="CE60" s="814">
        <v>0</v>
      </c>
      <c r="CF60" s="808">
        <v>0</v>
      </c>
      <c r="CH60" s="771" t="s">
        <v>825</v>
      </c>
      <c r="CI60" s="771">
        <v>1</v>
      </c>
      <c r="CJ60" s="771" t="s">
        <v>67</v>
      </c>
      <c r="CK60" s="771">
        <v>0</v>
      </c>
      <c r="CL60" s="814">
        <v>0.35</v>
      </c>
      <c r="CM60" s="816">
        <v>0.35</v>
      </c>
      <c r="CO60" s="848">
        <v>0.1</v>
      </c>
      <c r="CP60" s="818">
        <v>50</v>
      </c>
      <c r="CQ60" s="773">
        <v>0</v>
      </c>
      <c r="CR60" s="773">
        <v>-0.35</v>
      </c>
    </row>
    <row r="61" spans="1:96" ht="13.15" customHeight="1" outlineLevel="1">
      <c r="A61" s="800" t="s">
        <v>683</v>
      </c>
      <c r="B61" s="800" t="s">
        <v>605</v>
      </c>
      <c r="C61" s="800">
        <v>0</v>
      </c>
      <c r="D61" s="846">
        <v>0.01</v>
      </c>
      <c r="E61" s="847">
        <v>0.16</v>
      </c>
      <c r="F61" s="777">
        <f t="shared" si="1"/>
        <v>0.4</v>
      </c>
      <c r="G61" s="777">
        <f t="shared" si="2"/>
        <v>2.1</v>
      </c>
      <c r="H61" s="777">
        <f t="shared" si="12"/>
        <v>0.9</v>
      </c>
      <c r="I61" s="777">
        <f t="shared" si="12"/>
        <v>28.150000000000002</v>
      </c>
      <c r="J61" s="802">
        <f t="shared" si="0"/>
        <v>0</v>
      </c>
      <c r="K61" s="801">
        <f>IF('Modelo 1.0 - NS'!R60=1,'Modelo 2.0 - Cubação'!E61,IF((E61-'Modelo 1.0 - NS'!U60)&lt;=0,E61,'Modelo 1.0 - NS'!U60))</f>
        <v>0.16</v>
      </c>
      <c r="L61" s="777">
        <f>'Modelo 1.0 - NS'!Q60</f>
        <v>4.46</v>
      </c>
      <c r="M61" s="777">
        <f t="shared" si="4"/>
        <v>0</v>
      </c>
      <c r="N61" s="777">
        <f t="shared" si="7"/>
        <v>2.1</v>
      </c>
      <c r="O61" s="777">
        <f t="shared" si="13"/>
        <v>44.260000000000005</v>
      </c>
      <c r="P61" s="777">
        <f t="shared" si="14"/>
        <v>0</v>
      </c>
      <c r="Q61" s="777">
        <f t="shared" si="14"/>
        <v>28.15</v>
      </c>
      <c r="R61" s="777">
        <f t="shared" si="14"/>
        <v>250.07999999999998</v>
      </c>
      <c r="T61" s="777">
        <v>0</v>
      </c>
      <c r="U61" s="777">
        <v>13.96</v>
      </c>
      <c r="V61" s="777">
        <v>3.04</v>
      </c>
      <c r="W61" s="777">
        <v>15.2</v>
      </c>
      <c r="Y61" s="803">
        <v>0</v>
      </c>
      <c r="Z61" s="803">
        <v>0</v>
      </c>
      <c r="AA61" s="803">
        <v>0</v>
      </c>
      <c r="AB61" s="803">
        <v>0</v>
      </c>
      <c r="AD61" s="777">
        <v>0.4</v>
      </c>
      <c r="AE61" s="777">
        <v>0</v>
      </c>
      <c r="AF61" s="777">
        <v>2.73</v>
      </c>
      <c r="AG61" s="804">
        <v>0.4</v>
      </c>
      <c r="AH61" s="804">
        <v>-2.33</v>
      </c>
      <c r="AI61" s="777">
        <v>-916.83000000000027</v>
      </c>
      <c r="AK61" s="805" t="s">
        <v>67</v>
      </c>
      <c r="AL61" s="806">
        <v>0</v>
      </c>
      <c r="AM61" s="805" t="s">
        <v>67</v>
      </c>
      <c r="AN61" s="806">
        <v>0</v>
      </c>
      <c r="AO61" s="807">
        <v>1.79</v>
      </c>
      <c r="AP61" s="808">
        <v>27.459999999999997</v>
      </c>
      <c r="AR61" s="809" t="s">
        <v>67</v>
      </c>
      <c r="AS61" s="809">
        <v>0</v>
      </c>
      <c r="AT61" s="810" t="s">
        <v>67</v>
      </c>
      <c r="AU61" s="809">
        <v>0</v>
      </c>
      <c r="AV61" s="811">
        <v>0</v>
      </c>
      <c r="AW61" s="811">
        <v>0</v>
      </c>
      <c r="AY61" s="768" t="s">
        <v>67</v>
      </c>
      <c r="AZ61" s="768">
        <v>0</v>
      </c>
      <c r="BA61" s="813" t="s">
        <v>67</v>
      </c>
      <c r="BB61" s="768">
        <v>0</v>
      </c>
      <c r="BC61" s="814">
        <v>0</v>
      </c>
      <c r="BD61" s="808">
        <v>0</v>
      </c>
      <c r="BF61" s="766" t="s">
        <v>67</v>
      </c>
      <c r="BG61" s="766">
        <v>0</v>
      </c>
      <c r="BH61" s="767" t="s">
        <v>824</v>
      </c>
      <c r="BI61" s="766">
        <v>1</v>
      </c>
      <c r="BJ61" s="814">
        <v>13.96</v>
      </c>
      <c r="BK61" s="808">
        <v>27.92</v>
      </c>
      <c r="BM61" s="766" t="s">
        <v>67</v>
      </c>
      <c r="BN61" s="766">
        <v>0</v>
      </c>
      <c r="BO61" s="767" t="s">
        <v>67</v>
      </c>
      <c r="BP61" s="768">
        <v>0</v>
      </c>
      <c r="BQ61" s="814">
        <v>0</v>
      </c>
      <c r="BR61" s="808">
        <v>0</v>
      </c>
      <c r="BT61" s="766" t="s">
        <v>67</v>
      </c>
      <c r="BU61" s="771">
        <v>0</v>
      </c>
      <c r="BV61" s="815" t="s">
        <v>67</v>
      </c>
      <c r="BW61" s="771">
        <v>0</v>
      </c>
      <c r="BX61" s="814">
        <v>15.2</v>
      </c>
      <c r="BY61" s="808">
        <v>135.19999999999999</v>
      </c>
      <c r="CA61" s="771" t="s">
        <v>67</v>
      </c>
      <c r="CB61" s="771">
        <v>0</v>
      </c>
      <c r="CC61" s="815" t="s">
        <v>67</v>
      </c>
      <c r="CD61" s="771">
        <v>0</v>
      </c>
      <c r="CE61" s="814">
        <v>0</v>
      </c>
      <c r="CF61" s="808">
        <v>0</v>
      </c>
      <c r="CH61" s="771" t="s">
        <v>67</v>
      </c>
      <c r="CI61" s="771">
        <v>0</v>
      </c>
      <c r="CJ61" s="771" t="s">
        <v>67</v>
      </c>
      <c r="CK61" s="771">
        <v>0</v>
      </c>
      <c r="CL61" s="814">
        <v>0.4</v>
      </c>
      <c r="CM61" s="816">
        <v>0.75</v>
      </c>
      <c r="CO61" s="848">
        <v>0.1</v>
      </c>
      <c r="CP61" s="818">
        <v>60</v>
      </c>
      <c r="CQ61" s="773">
        <v>0</v>
      </c>
      <c r="CR61" s="773">
        <v>-0.4</v>
      </c>
    </row>
    <row r="62" spans="1:96" ht="13.15" customHeight="1" outlineLevel="1">
      <c r="A62" s="800" t="s">
        <v>683</v>
      </c>
      <c r="B62" s="800" t="s">
        <v>605</v>
      </c>
      <c r="C62" s="800">
        <v>10</v>
      </c>
      <c r="D62" s="846">
        <v>0</v>
      </c>
      <c r="E62" s="847">
        <v>0.37</v>
      </c>
      <c r="F62" s="777">
        <f t="shared" si="1"/>
        <v>0.05</v>
      </c>
      <c r="G62" s="777">
        <f t="shared" si="2"/>
        <v>2.65</v>
      </c>
      <c r="H62" s="777">
        <f t="shared" si="12"/>
        <v>0.95000000000000007</v>
      </c>
      <c r="I62" s="777">
        <f t="shared" si="12"/>
        <v>30.8</v>
      </c>
      <c r="J62" s="802">
        <f t="shared" si="0"/>
        <v>0</v>
      </c>
      <c r="K62" s="801">
        <f>IF('Modelo 1.0 - NS'!R61=1,'Modelo 2.0 - Cubação'!E62,IF((E62-'Modelo 1.0 - NS'!U61)&lt;=0,E62,'Modelo 1.0 - NS'!U61))</f>
        <v>0.37</v>
      </c>
      <c r="L62" s="777">
        <f>'Modelo 1.0 - NS'!Q61</f>
        <v>4.476</v>
      </c>
      <c r="M62" s="777">
        <f t="shared" si="4"/>
        <v>0</v>
      </c>
      <c r="N62" s="777">
        <f t="shared" si="7"/>
        <v>2.6500000000000004</v>
      </c>
      <c r="O62" s="777">
        <f t="shared" si="13"/>
        <v>44.68</v>
      </c>
      <c r="P62" s="777">
        <f t="shared" si="14"/>
        <v>0</v>
      </c>
      <c r="Q62" s="777">
        <f t="shared" si="14"/>
        <v>30.799999999999997</v>
      </c>
      <c r="R62" s="777">
        <f t="shared" si="14"/>
        <v>294.76</v>
      </c>
      <c r="T62" s="777">
        <v>0</v>
      </c>
      <c r="U62" s="777">
        <v>0</v>
      </c>
      <c r="V62" s="777">
        <v>3.06</v>
      </c>
      <c r="W62" s="777">
        <v>30.5</v>
      </c>
      <c r="Y62" s="803">
        <v>0</v>
      </c>
      <c r="Z62" s="803">
        <v>0</v>
      </c>
      <c r="AA62" s="803">
        <v>0</v>
      </c>
      <c r="AB62" s="803">
        <v>0</v>
      </c>
      <c r="AD62" s="777">
        <v>0.05</v>
      </c>
      <c r="AE62" s="777">
        <v>0</v>
      </c>
      <c r="AF62" s="777">
        <v>3.45</v>
      </c>
      <c r="AG62" s="804">
        <v>0.05</v>
      </c>
      <c r="AH62" s="804">
        <v>-3.4000000000000004</v>
      </c>
      <c r="AI62" s="777">
        <v>-920.23000000000025</v>
      </c>
      <c r="AK62" s="805" t="s">
        <v>67</v>
      </c>
      <c r="AL62" s="806">
        <v>0</v>
      </c>
      <c r="AM62" s="805" t="s">
        <v>67</v>
      </c>
      <c r="AN62" s="806">
        <v>0</v>
      </c>
      <c r="AO62" s="807">
        <v>2.62</v>
      </c>
      <c r="AP62" s="808">
        <v>30.08</v>
      </c>
      <c r="AR62" s="809" t="s">
        <v>67</v>
      </c>
      <c r="AS62" s="809">
        <v>0</v>
      </c>
      <c r="AT62" s="810" t="s">
        <v>67</v>
      </c>
      <c r="AU62" s="809">
        <v>0</v>
      </c>
      <c r="AV62" s="811">
        <v>0</v>
      </c>
      <c r="AW62" s="811">
        <v>0</v>
      </c>
      <c r="AY62" s="768" t="s">
        <v>67</v>
      </c>
      <c r="AZ62" s="768">
        <v>0</v>
      </c>
      <c r="BA62" s="813" t="s">
        <v>67</v>
      </c>
      <c r="BB62" s="768">
        <v>0</v>
      </c>
      <c r="BC62" s="814">
        <v>0</v>
      </c>
      <c r="BD62" s="808">
        <v>0</v>
      </c>
      <c r="BF62" s="766" t="s">
        <v>67</v>
      </c>
      <c r="BG62" s="766">
        <v>0</v>
      </c>
      <c r="BH62" s="767" t="s">
        <v>67</v>
      </c>
      <c r="BI62" s="766">
        <v>0</v>
      </c>
      <c r="BJ62" s="814">
        <v>0</v>
      </c>
      <c r="BK62" s="808">
        <v>0</v>
      </c>
      <c r="BM62" s="766" t="s">
        <v>67</v>
      </c>
      <c r="BN62" s="766">
        <v>0</v>
      </c>
      <c r="BO62" s="767" t="s">
        <v>67</v>
      </c>
      <c r="BP62" s="768">
        <v>0</v>
      </c>
      <c r="BQ62" s="814">
        <v>0</v>
      </c>
      <c r="BR62" s="808">
        <v>0</v>
      </c>
      <c r="BT62" s="766" t="s">
        <v>67</v>
      </c>
      <c r="BU62" s="771">
        <v>0</v>
      </c>
      <c r="BV62" s="815" t="s">
        <v>67</v>
      </c>
      <c r="BW62" s="771">
        <v>0</v>
      </c>
      <c r="BX62" s="814">
        <v>30.5</v>
      </c>
      <c r="BY62" s="808">
        <v>165.7</v>
      </c>
      <c r="CA62" s="771" t="s">
        <v>67</v>
      </c>
      <c r="CB62" s="771">
        <v>0</v>
      </c>
      <c r="CC62" s="815" t="s">
        <v>67</v>
      </c>
      <c r="CD62" s="771">
        <v>0</v>
      </c>
      <c r="CE62" s="814">
        <v>0</v>
      </c>
      <c r="CF62" s="808">
        <v>0</v>
      </c>
      <c r="CH62" s="771" t="s">
        <v>67</v>
      </c>
      <c r="CI62" s="771">
        <v>0</v>
      </c>
      <c r="CJ62" s="771" t="s">
        <v>825</v>
      </c>
      <c r="CK62" s="771">
        <v>1</v>
      </c>
      <c r="CL62" s="814">
        <v>0.05</v>
      </c>
      <c r="CM62" s="816">
        <v>0.8</v>
      </c>
      <c r="CO62" s="848">
        <v>0.1</v>
      </c>
      <c r="CP62" s="818">
        <v>70</v>
      </c>
      <c r="CQ62" s="773">
        <v>0</v>
      </c>
      <c r="CR62" s="773">
        <v>-0.05</v>
      </c>
    </row>
    <row r="63" spans="1:96" ht="13.15" customHeight="1" outlineLevel="1">
      <c r="A63" s="800" t="s">
        <v>686</v>
      </c>
      <c r="B63" s="800" t="s">
        <v>605</v>
      </c>
      <c r="C63" s="800">
        <v>0</v>
      </c>
      <c r="D63" s="846">
        <v>0</v>
      </c>
      <c r="E63" s="847">
        <v>0.46</v>
      </c>
      <c r="F63" s="777">
        <f t="shared" si="1"/>
        <v>0</v>
      </c>
      <c r="G63" s="777">
        <f t="shared" si="2"/>
        <v>4.1500000000000004</v>
      </c>
      <c r="H63" s="777">
        <f t="shared" si="12"/>
        <v>0.95000000000000007</v>
      </c>
      <c r="I63" s="777">
        <f t="shared" si="12"/>
        <v>34.950000000000003</v>
      </c>
      <c r="J63" s="802">
        <f t="shared" si="0"/>
        <v>0</v>
      </c>
      <c r="K63" s="801">
        <f>IF('Modelo 1.0 - NS'!R62=1,'Modelo 2.0 - Cubação'!E63,IF((E63-'Modelo 1.0 - NS'!U62)&lt;=0,E63,'Modelo 1.0 - NS'!U62))</f>
        <v>0.46</v>
      </c>
      <c r="L63" s="777">
        <f>'Modelo 1.0 - NS'!Q62</f>
        <v>4.476</v>
      </c>
      <c r="M63" s="777">
        <f t="shared" si="4"/>
        <v>0</v>
      </c>
      <c r="N63" s="777">
        <f t="shared" si="7"/>
        <v>4.1500000000000004</v>
      </c>
      <c r="O63" s="777">
        <f t="shared" si="13"/>
        <v>44.76</v>
      </c>
      <c r="P63" s="777">
        <f t="shared" si="14"/>
        <v>0</v>
      </c>
      <c r="Q63" s="777">
        <f t="shared" si="14"/>
        <v>34.949999999999996</v>
      </c>
      <c r="R63" s="777">
        <f t="shared" si="14"/>
        <v>339.52</v>
      </c>
      <c r="T63" s="777">
        <v>0</v>
      </c>
      <c r="U63" s="777">
        <v>0</v>
      </c>
      <c r="V63" s="777">
        <v>3.06</v>
      </c>
      <c r="W63" s="777">
        <v>30.6</v>
      </c>
      <c r="Y63" s="803">
        <v>0</v>
      </c>
      <c r="Z63" s="803">
        <v>0</v>
      </c>
      <c r="AA63" s="803">
        <v>0</v>
      </c>
      <c r="AB63" s="803">
        <v>0</v>
      </c>
      <c r="AD63" s="777">
        <v>0</v>
      </c>
      <c r="AE63" s="777">
        <v>0</v>
      </c>
      <c r="AF63" s="777">
        <v>5.4</v>
      </c>
      <c r="AG63" s="804">
        <v>0</v>
      </c>
      <c r="AH63" s="804">
        <v>-5.4</v>
      </c>
      <c r="AI63" s="777">
        <v>-925.63000000000022</v>
      </c>
      <c r="AK63" s="805" t="s">
        <v>67</v>
      </c>
      <c r="AL63" s="806">
        <v>0</v>
      </c>
      <c r="AM63" s="805" t="s">
        <v>67</v>
      </c>
      <c r="AN63" s="806">
        <v>0</v>
      </c>
      <c r="AO63" s="807">
        <v>4.1500000000000004</v>
      </c>
      <c r="AP63" s="808">
        <v>34.229999999999997</v>
      </c>
      <c r="AR63" s="809" t="s">
        <v>67</v>
      </c>
      <c r="AS63" s="809">
        <v>0</v>
      </c>
      <c r="AT63" s="810" t="s">
        <v>67</v>
      </c>
      <c r="AU63" s="809">
        <v>0</v>
      </c>
      <c r="AV63" s="811">
        <v>0</v>
      </c>
      <c r="AW63" s="811">
        <v>0</v>
      </c>
      <c r="AY63" s="768" t="s">
        <v>67</v>
      </c>
      <c r="AZ63" s="768">
        <v>0</v>
      </c>
      <c r="BA63" s="813" t="s">
        <v>67</v>
      </c>
      <c r="BB63" s="768">
        <v>0</v>
      </c>
      <c r="BC63" s="814">
        <v>0</v>
      </c>
      <c r="BD63" s="808">
        <v>0</v>
      </c>
      <c r="BF63" s="766" t="s">
        <v>67</v>
      </c>
      <c r="BG63" s="766">
        <v>0</v>
      </c>
      <c r="BH63" s="767" t="s">
        <v>67</v>
      </c>
      <c r="BI63" s="766">
        <v>0</v>
      </c>
      <c r="BJ63" s="814">
        <v>0</v>
      </c>
      <c r="BK63" s="808">
        <v>0</v>
      </c>
      <c r="BM63" s="766" t="s">
        <v>67</v>
      </c>
      <c r="BN63" s="766">
        <v>0</v>
      </c>
      <c r="BO63" s="767" t="s">
        <v>67</v>
      </c>
      <c r="BP63" s="768">
        <v>0</v>
      </c>
      <c r="BQ63" s="814">
        <v>0</v>
      </c>
      <c r="BR63" s="808">
        <v>0</v>
      </c>
      <c r="BT63" s="766" t="s">
        <v>67</v>
      </c>
      <c r="BU63" s="771">
        <v>0</v>
      </c>
      <c r="BV63" s="815" t="s">
        <v>67</v>
      </c>
      <c r="BW63" s="771">
        <v>0</v>
      </c>
      <c r="BX63" s="814">
        <v>30.6</v>
      </c>
      <c r="BY63" s="808">
        <v>196.29999999999998</v>
      </c>
      <c r="CA63" s="771" t="s">
        <v>67</v>
      </c>
      <c r="CB63" s="771">
        <v>0</v>
      </c>
      <c r="CC63" s="815" t="s">
        <v>67</v>
      </c>
      <c r="CD63" s="771">
        <v>0</v>
      </c>
      <c r="CE63" s="814">
        <v>0</v>
      </c>
      <c r="CF63" s="808">
        <v>0</v>
      </c>
      <c r="CH63" s="771" t="s">
        <v>67</v>
      </c>
      <c r="CI63" s="771">
        <v>0</v>
      </c>
      <c r="CJ63" s="771" t="s">
        <v>67</v>
      </c>
      <c r="CK63" s="771">
        <v>0</v>
      </c>
      <c r="CL63" s="814">
        <v>0</v>
      </c>
      <c r="CM63" s="816">
        <v>0</v>
      </c>
      <c r="CO63" s="848">
        <v>0.1</v>
      </c>
      <c r="CP63" s="818">
        <v>80</v>
      </c>
      <c r="CQ63" s="773">
        <v>0</v>
      </c>
      <c r="CR63" s="773">
        <v>0</v>
      </c>
    </row>
    <row r="64" spans="1:96" ht="13.15" customHeight="1" outlineLevel="1">
      <c r="A64" s="800" t="s">
        <v>686</v>
      </c>
      <c r="B64" s="800" t="s">
        <v>605</v>
      </c>
      <c r="C64" s="800">
        <v>10</v>
      </c>
      <c r="D64" s="846">
        <v>0</v>
      </c>
      <c r="E64" s="847">
        <v>0.52</v>
      </c>
      <c r="F64" s="777">
        <f t="shared" si="1"/>
        <v>0</v>
      </c>
      <c r="G64" s="777">
        <f t="shared" si="2"/>
        <v>4.9000000000000004</v>
      </c>
      <c r="H64" s="777">
        <f t="shared" si="12"/>
        <v>0.95000000000000007</v>
      </c>
      <c r="I64" s="777">
        <f t="shared" si="12"/>
        <v>39.85</v>
      </c>
      <c r="J64" s="802">
        <f t="shared" si="0"/>
        <v>0</v>
      </c>
      <c r="K64" s="801">
        <f>IF('Modelo 1.0 - NS'!R63=1,'Modelo 2.0 - Cubação'!E64,IF((E64-'Modelo 1.0 - NS'!U63)&lt;=0,E64,'Modelo 1.0 - NS'!U63))</f>
        <v>0.52</v>
      </c>
      <c r="L64" s="777">
        <f>'Modelo 1.0 - NS'!Q63</f>
        <v>4.476</v>
      </c>
      <c r="M64" s="777">
        <f t="shared" si="4"/>
        <v>0</v>
      </c>
      <c r="N64" s="777">
        <f t="shared" si="7"/>
        <v>4.9000000000000004</v>
      </c>
      <c r="O64" s="777">
        <f t="shared" si="13"/>
        <v>44.76</v>
      </c>
      <c r="P64" s="777">
        <f t="shared" si="14"/>
        <v>0</v>
      </c>
      <c r="Q64" s="777">
        <f t="shared" si="14"/>
        <v>39.849999999999994</v>
      </c>
      <c r="R64" s="777">
        <f t="shared" si="14"/>
        <v>384.28</v>
      </c>
      <c r="T64" s="777">
        <v>0</v>
      </c>
      <c r="U64" s="777">
        <v>0</v>
      </c>
      <c r="V64" s="777">
        <v>3.06</v>
      </c>
      <c r="W64" s="777">
        <v>30.6</v>
      </c>
      <c r="Y64" s="803">
        <v>0</v>
      </c>
      <c r="Z64" s="803">
        <v>0</v>
      </c>
      <c r="AA64" s="803">
        <v>0</v>
      </c>
      <c r="AB64" s="803">
        <v>0</v>
      </c>
      <c r="AD64" s="777">
        <v>0</v>
      </c>
      <c r="AE64" s="777">
        <v>0</v>
      </c>
      <c r="AF64" s="777">
        <v>6.37</v>
      </c>
      <c r="AG64" s="804">
        <v>0</v>
      </c>
      <c r="AH64" s="804">
        <v>-6.37</v>
      </c>
      <c r="AI64" s="777">
        <v>-932.00000000000023</v>
      </c>
      <c r="AK64" s="805" t="s">
        <v>67</v>
      </c>
      <c r="AL64" s="806">
        <v>0</v>
      </c>
      <c r="AM64" s="805" t="s">
        <v>67</v>
      </c>
      <c r="AN64" s="806">
        <v>0</v>
      </c>
      <c r="AO64" s="807">
        <v>4.9000000000000004</v>
      </c>
      <c r="AP64" s="808">
        <v>39.129999999999995</v>
      </c>
      <c r="AR64" s="809" t="s">
        <v>67</v>
      </c>
      <c r="AS64" s="809">
        <v>0</v>
      </c>
      <c r="AT64" s="810" t="s">
        <v>67</v>
      </c>
      <c r="AU64" s="809">
        <v>0</v>
      </c>
      <c r="AV64" s="811">
        <v>0</v>
      </c>
      <c r="AW64" s="811">
        <v>0</v>
      </c>
      <c r="AY64" s="768" t="s">
        <v>67</v>
      </c>
      <c r="AZ64" s="768">
        <v>0</v>
      </c>
      <c r="BA64" s="813" t="s">
        <v>67</v>
      </c>
      <c r="BB64" s="768">
        <v>0</v>
      </c>
      <c r="BC64" s="814">
        <v>0</v>
      </c>
      <c r="BD64" s="808">
        <v>0</v>
      </c>
      <c r="BF64" s="766" t="s">
        <v>67</v>
      </c>
      <c r="BG64" s="766">
        <v>0</v>
      </c>
      <c r="BH64" s="767" t="s">
        <v>67</v>
      </c>
      <c r="BI64" s="766">
        <v>0</v>
      </c>
      <c r="BJ64" s="814">
        <v>0</v>
      </c>
      <c r="BK64" s="808">
        <v>0</v>
      </c>
      <c r="BM64" s="766" t="s">
        <v>67</v>
      </c>
      <c r="BN64" s="766">
        <v>0</v>
      </c>
      <c r="BO64" s="767" t="s">
        <v>67</v>
      </c>
      <c r="BP64" s="768">
        <v>0</v>
      </c>
      <c r="BQ64" s="814">
        <v>0</v>
      </c>
      <c r="BR64" s="808">
        <v>0</v>
      </c>
      <c r="BT64" s="766" t="s">
        <v>67</v>
      </c>
      <c r="BU64" s="771">
        <v>0</v>
      </c>
      <c r="BV64" s="815" t="s">
        <v>67</v>
      </c>
      <c r="BW64" s="771">
        <v>0</v>
      </c>
      <c r="BX64" s="814">
        <v>30.6</v>
      </c>
      <c r="BY64" s="808">
        <v>226.89999999999998</v>
      </c>
      <c r="CA64" s="771" t="s">
        <v>67</v>
      </c>
      <c r="CB64" s="771">
        <v>0</v>
      </c>
      <c r="CC64" s="815" t="s">
        <v>67</v>
      </c>
      <c r="CD64" s="771">
        <v>0</v>
      </c>
      <c r="CE64" s="814">
        <v>0</v>
      </c>
      <c r="CF64" s="808">
        <v>0</v>
      </c>
      <c r="CH64" s="771" t="s">
        <v>67</v>
      </c>
      <c r="CI64" s="771">
        <v>0</v>
      </c>
      <c r="CJ64" s="771" t="s">
        <v>67</v>
      </c>
      <c r="CK64" s="771">
        <v>0</v>
      </c>
      <c r="CL64" s="814">
        <v>0</v>
      </c>
      <c r="CM64" s="816">
        <v>0</v>
      </c>
      <c r="CO64" s="848">
        <v>0.1</v>
      </c>
      <c r="CP64" s="818">
        <v>90</v>
      </c>
      <c r="CQ64" s="773">
        <v>0</v>
      </c>
      <c r="CR64" s="773">
        <v>0</v>
      </c>
    </row>
    <row r="65" spans="1:96" ht="13.15" customHeight="1" outlineLevel="1">
      <c r="A65" s="800" t="s">
        <v>689</v>
      </c>
      <c r="B65" s="800" t="s">
        <v>605</v>
      </c>
      <c r="C65" s="800">
        <v>0</v>
      </c>
      <c r="D65" s="846">
        <v>0</v>
      </c>
      <c r="E65" s="847">
        <v>0.32</v>
      </c>
      <c r="F65" s="777">
        <f t="shared" si="1"/>
        <v>0</v>
      </c>
      <c r="G65" s="777">
        <f t="shared" si="2"/>
        <v>4.2</v>
      </c>
      <c r="H65" s="777">
        <f t="shared" si="12"/>
        <v>0.95000000000000007</v>
      </c>
      <c r="I65" s="777">
        <f t="shared" si="12"/>
        <v>44.050000000000004</v>
      </c>
      <c r="J65" s="802">
        <f t="shared" si="0"/>
        <v>0</v>
      </c>
      <c r="K65" s="801">
        <f>IF('Modelo 1.0 - NS'!R64=1,'Modelo 2.0 - Cubação'!E65,IF((E65-'Modelo 1.0 - NS'!U64)&lt;=0,E65,'Modelo 1.0 - NS'!U64))</f>
        <v>0.32</v>
      </c>
      <c r="L65" s="777">
        <f>'Modelo 1.0 - NS'!Q64</f>
        <v>4.476</v>
      </c>
      <c r="M65" s="777">
        <f t="shared" si="4"/>
        <v>0</v>
      </c>
      <c r="N65" s="777">
        <f t="shared" si="7"/>
        <v>4.2</v>
      </c>
      <c r="O65" s="777">
        <f t="shared" si="13"/>
        <v>44.76</v>
      </c>
      <c r="P65" s="777">
        <f t="shared" si="14"/>
        <v>0</v>
      </c>
      <c r="Q65" s="777">
        <f t="shared" si="14"/>
        <v>44.05</v>
      </c>
      <c r="R65" s="777">
        <f t="shared" si="14"/>
        <v>429.03999999999996</v>
      </c>
      <c r="T65" s="777">
        <v>2.875</v>
      </c>
      <c r="U65" s="777">
        <v>14.38</v>
      </c>
      <c r="V65" s="777">
        <v>0</v>
      </c>
      <c r="W65" s="777">
        <v>15.3</v>
      </c>
      <c r="Y65" s="803">
        <v>0</v>
      </c>
      <c r="Z65" s="803">
        <v>0</v>
      </c>
      <c r="AA65" s="803">
        <v>0</v>
      </c>
      <c r="AB65" s="803">
        <v>0</v>
      </c>
      <c r="AD65" s="777">
        <v>0</v>
      </c>
      <c r="AE65" s="777">
        <v>0</v>
      </c>
      <c r="AF65" s="777">
        <v>5.46</v>
      </c>
      <c r="AG65" s="804">
        <v>0</v>
      </c>
      <c r="AH65" s="804">
        <v>-5.46</v>
      </c>
      <c r="AI65" s="777">
        <v>-937.46000000000026</v>
      </c>
      <c r="AK65" s="805" t="s">
        <v>67</v>
      </c>
      <c r="AL65" s="806">
        <v>0</v>
      </c>
      <c r="AM65" s="805" t="s">
        <v>67</v>
      </c>
      <c r="AN65" s="806">
        <v>0</v>
      </c>
      <c r="AO65" s="807">
        <v>4.2</v>
      </c>
      <c r="AP65" s="808">
        <v>43.33</v>
      </c>
      <c r="AR65" s="809" t="s">
        <v>67</v>
      </c>
      <c r="AS65" s="809">
        <v>0</v>
      </c>
      <c r="AT65" s="810" t="s">
        <v>67</v>
      </c>
      <c r="AU65" s="809">
        <v>0</v>
      </c>
      <c r="AV65" s="811">
        <v>0</v>
      </c>
      <c r="AW65" s="811">
        <v>0</v>
      </c>
      <c r="AY65" s="768" t="s">
        <v>67</v>
      </c>
      <c r="AZ65" s="768">
        <v>0</v>
      </c>
      <c r="BA65" s="813" t="s">
        <v>67</v>
      </c>
      <c r="BB65" s="768">
        <v>0</v>
      </c>
      <c r="BC65" s="814">
        <v>0</v>
      </c>
      <c r="BD65" s="808">
        <v>0</v>
      </c>
      <c r="BF65" s="766" t="s">
        <v>826</v>
      </c>
      <c r="BG65" s="766">
        <v>1</v>
      </c>
      <c r="BH65" s="767" t="s">
        <v>67</v>
      </c>
      <c r="BI65" s="766">
        <v>0</v>
      </c>
      <c r="BJ65" s="814">
        <v>14.38</v>
      </c>
      <c r="BK65" s="808">
        <v>14.38</v>
      </c>
      <c r="BM65" s="766" t="s">
        <v>67</v>
      </c>
      <c r="BN65" s="766">
        <v>0</v>
      </c>
      <c r="BO65" s="767" t="s">
        <v>67</v>
      </c>
      <c r="BP65" s="768">
        <v>0</v>
      </c>
      <c r="BQ65" s="814">
        <v>0</v>
      </c>
      <c r="BR65" s="808">
        <v>0</v>
      </c>
      <c r="BT65" s="766" t="s">
        <v>67</v>
      </c>
      <c r="BU65" s="771">
        <v>0</v>
      </c>
      <c r="BV65" s="815" t="s">
        <v>67</v>
      </c>
      <c r="BW65" s="771">
        <v>0</v>
      </c>
      <c r="BX65" s="814">
        <v>15.3</v>
      </c>
      <c r="BY65" s="808">
        <v>242.2</v>
      </c>
      <c r="CA65" s="771" t="s">
        <v>67</v>
      </c>
      <c r="CB65" s="771">
        <v>0</v>
      </c>
      <c r="CC65" s="815" t="s">
        <v>67</v>
      </c>
      <c r="CD65" s="771">
        <v>0</v>
      </c>
      <c r="CE65" s="814">
        <v>0</v>
      </c>
      <c r="CF65" s="808">
        <v>0</v>
      </c>
      <c r="CH65" s="771" t="s">
        <v>67</v>
      </c>
      <c r="CI65" s="771">
        <v>0</v>
      </c>
      <c r="CJ65" s="771" t="s">
        <v>67</v>
      </c>
      <c r="CK65" s="771">
        <v>0</v>
      </c>
      <c r="CL65" s="814">
        <v>0</v>
      </c>
      <c r="CM65" s="816">
        <v>0</v>
      </c>
      <c r="CO65" s="848">
        <v>0.1</v>
      </c>
      <c r="CP65" s="818">
        <v>100</v>
      </c>
      <c r="CQ65" s="773">
        <v>0</v>
      </c>
      <c r="CR65" s="773">
        <v>0</v>
      </c>
    </row>
    <row r="66" spans="1:96" ht="13.15" customHeight="1" outlineLevel="1">
      <c r="A66" s="800" t="s">
        <v>689</v>
      </c>
      <c r="B66" s="800" t="s">
        <v>605</v>
      </c>
      <c r="C66" s="800">
        <v>10</v>
      </c>
      <c r="D66" s="846">
        <v>0.02</v>
      </c>
      <c r="E66" s="847">
        <v>0.24</v>
      </c>
      <c r="F66" s="777">
        <f t="shared" si="1"/>
        <v>0.1</v>
      </c>
      <c r="G66" s="777">
        <f t="shared" si="2"/>
        <v>2.8</v>
      </c>
      <c r="H66" s="777">
        <f t="shared" si="12"/>
        <v>1.05</v>
      </c>
      <c r="I66" s="777">
        <f t="shared" si="12"/>
        <v>46.85</v>
      </c>
      <c r="J66" s="802">
        <f t="shared" si="0"/>
        <v>0</v>
      </c>
      <c r="K66" s="801">
        <f>IF('Modelo 1.0 - NS'!R65=1,'Modelo 2.0 - Cubação'!E66,IF((E66-'Modelo 1.0 - NS'!U65)&lt;=0,E66,'Modelo 1.0 - NS'!U65))</f>
        <v>0.24</v>
      </c>
      <c r="L66" s="777">
        <f>'Modelo 1.0 - NS'!Q65</f>
        <v>4.476</v>
      </c>
      <c r="M66" s="777">
        <f t="shared" si="4"/>
        <v>0</v>
      </c>
      <c r="N66" s="777">
        <f t="shared" si="7"/>
        <v>2.8000000000000003</v>
      </c>
      <c r="O66" s="777">
        <f t="shared" si="13"/>
        <v>44.76</v>
      </c>
      <c r="P66" s="777">
        <f t="shared" si="14"/>
        <v>0</v>
      </c>
      <c r="Q66" s="777">
        <f t="shared" si="14"/>
        <v>46.849999999999994</v>
      </c>
      <c r="R66" s="777">
        <f t="shared" si="14"/>
        <v>473.79999999999995</v>
      </c>
      <c r="T66" s="777">
        <v>0</v>
      </c>
      <c r="U66" s="777">
        <v>14.38</v>
      </c>
      <c r="V66" s="777">
        <v>3.06</v>
      </c>
      <c r="W66" s="777">
        <v>15.3</v>
      </c>
      <c r="Y66" s="803">
        <v>0</v>
      </c>
      <c r="Z66" s="803">
        <v>0</v>
      </c>
      <c r="AA66" s="803">
        <v>0</v>
      </c>
      <c r="AB66" s="803">
        <v>0</v>
      </c>
      <c r="AD66" s="777">
        <v>0.1</v>
      </c>
      <c r="AE66" s="777">
        <v>0</v>
      </c>
      <c r="AF66" s="777">
        <v>3.64</v>
      </c>
      <c r="AG66" s="804">
        <v>0.1</v>
      </c>
      <c r="AH66" s="804">
        <v>-3.54</v>
      </c>
      <c r="AI66" s="777">
        <v>-941.00000000000023</v>
      </c>
      <c r="AK66" s="805" t="s">
        <v>67</v>
      </c>
      <c r="AL66" s="806">
        <v>0</v>
      </c>
      <c r="AM66" s="805" t="s">
        <v>67</v>
      </c>
      <c r="AN66" s="806">
        <v>0</v>
      </c>
      <c r="AO66" s="807">
        <v>2.72</v>
      </c>
      <c r="AP66" s="808">
        <v>46.05</v>
      </c>
      <c r="AR66" s="809" t="s">
        <v>67</v>
      </c>
      <c r="AS66" s="809">
        <v>0</v>
      </c>
      <c r="AT66" s="810" t="s">
        <v>67</v>
      </c>
      <c r="AU66" s="809">
        <v>0</v>
      </c>
      <c r="AV66" s="811">
        <v>0</v>
      </c>
      <c r="AW66" s="811">
        <v>0</v>
      </c>
      <c r="AY66" s="768" t="s">
        <v>67</v>
      </c>
      <c r="AZ66" s="768">
        <v>0</v>
      </c>
      <c r="BA66" s="813" t="s">
        <v>67</v>
      </c>
      <c r="BB66" s="768">
        <v>0</v>
      </c>
      <c r="BC66" s="814">
        <v>0</v>
      </c>
      <c r="BD66" s="808">
        <v>0</v>
      </c>
      <c r="BF66" s="766" t="s">
        <v>67</v>
      </c>
      <c r="BG66" s="766">
        <v>0</v>
      </c>
      <c r="BH66" s="767" t="s">
        <v>826</v>
      </c>
      <c r="BI66" s="766">
        <v>1</v>
      </c>
      <c r="BJ66" s="814">
        <v>14.38</v>
      </c>
      <c r="BK66" s="808">
        <v>28.76</v>
      </c>
      <c r="BM66" s="766" t="s">
        <v>67</v>
      </c>
      <c r="BN66" s="766">
        <v>0</v>
      </c>
      <c r="BO66" s="767" t="s">
        <v>67</v>
      </c>
      <c r="BP66" s="768">
        <v>0</v>
      </c>
      <c r="BQ66" s="814">
        <v>0</v>
      </c>
      <c r="BR66" s="808">
        <v>0</v>
      </c>
      <c r="BT66" s="766" t="s">
        <v>67</v>
      </c>
      <c r="BU66" s="771">
        <v>0</v>
      </c>
      <c r="BV66" s="815" t="s">
        <v>67</v>
      </c>
      <c r="BW66" s="771">
        <v>0</v>
      </c>
      <c r="BX66" s="814">
        <v>15.3</v>
      </c>
      <c r="BY66" s="808">
        <v>257.5</v>
      </c>
      <c r="CA66" s="771" t="s">
        <v>67</v>
      </c>
      <c r="CB66" s="771">
        <v>0</v>
      </c>
      <c r="CC66" s="815" t="s">
        <v>67</v>
      </c>
      <c r="CD66" s="771">
        <v>0</v>
      </c>
      <c r="CE66" s="814">
        <v>0</v>
      </c>
      <c r="CF66" s="808">
        <v>0</v>
      </c>
      <c r="CH66" s="771" t="s">
        <v>827</v>
      </c>
      <c r="CI66" s="771">
        <v>1</v>
      </c>
      <c r="CJ66" s="771" t="s">
        <v>67</v>
      </c>
      <c r="CK66" s="771">
        <v>0</v>
      </c>
      <c r="CL66" s="814">
        <v>0.1</v>
      </c>
      <c r="CM66" s="816">
        <v>0.1</v>
      </c>
      <c r="CO66" s="848">
        <v>0.1</v>
      </c>
      <c r="CP66" s="818">
        <v>110</v>
      </c>
      <c r="CQ66" s="773">
        <v>0</v>
      </c>
      <c r="CR66" s="773">
        <v>-0.1</v>
      </c>
    </row>
    <row r="67" spans="1:96" ht="13.15" customHeight="1" outlineLevel="1">
      <c r="A67" s="800" t="s">
        <v>692</v>
      </c>
      <c r="B67" s="800" t="s">
        <v>605</v>
      </c>
      <c r="C67" s="800">
        <v>0</v>
      </c>
      <c r="D67" s="846">
        <v>0</v>
      </c>
      <c r="E67" s="847">
        <v>0.5</v>
      </c>
      <c r="F67" s="777">
        <f t="shared" si="1"/>
        <v>0.1</v>
      </c>
      <c r="G67" s="777">
        <f t="shared" si="2"/>
        <v>3.7</v>
      </c>
      <c r="H67" s="777">
        <f t="shared" si="12"/>
        <v>1.1500000000000001</v>
      </c>
      <c r="I67" s="777">
        <f t="shared" si="12"/>
        <v>50.550000000000004</v>
      </c>
      <c r="J67" s="802">
        <f t="shared" si="0"/>
        <v>0</v>
      </c>
      <c r="K67" s="801">
        <f>IF('Modelo 1.0 - NS'!R66=1,'Modelo 2.0 - Cubação'!E67,IF((E67-'Modelo 1.0 - NS'!U66)&lt;=0,E67,'Modelo 1.0 - NS'!U66))</f>
        <v>0.5</v>
      </c>
      <c r="L67" s="777">
        <f>'Modelo 1.0 - NS'!Q66</f>
        <v>4.476</v>
      </c>
      <c r="M67" s="777">
        <f t="shared" si="4"/>
        <v>0</v>
      </c>
      <c r="N67" s="777">
        <f t="shared" si="7"/>
        <v>3.7</v>
      </c>
      <c r="O67" s="777">
        <f t="shared" si="13"/>
        <v>44.76</v>
      </c>
      <c r="P67" s="777">
        <f t="shared" si="14"/>
        <v>0</v>
      </c>
      <c r="Q67" s="777">
        <f t="shared" si="14"/>
        <v>50.55</v>
      </c>
      <c r="R67" s="777">
        <f t="shared" si="14"/>
        <v>518.55999999999995</v>
      </c>
      <c r="T67" s="777">
        <v>0</v>
      </c>
      <c r="U67" s="777">
        <v>0</v>
      </c>
      <c r="V67" s="777">
        <v>3.06</v>
      </c>
      <c r="W67" s="777">
        <v>30.6</v>
      </c>
      <c r="Y67" s="803">
        <v>0</v>
      </c>
      <c r="Z67" s="803">
        <v>0</v>
      </c>
      <c r="AA67" s="803">
        <v>0</v>
      </c>
      <c r="AB67" s="803">
        <v>0</v>
      </c>
      <c r="AD67" s="777">
        <v>0.1</v>
      </c>
      <c r="AE67" s="777">
        <v>0</v>
      </c>
      <c r="AF67" s="777">
        <v>4.8099999999999996</v>
      </c>
      <c r="AG67" s="804">
        <v>0.1</v>
      </c>
      <c r="AH67" s="804">
        <v>-4.71</v>
      </c>
      <c r="AI67" s="777">
        <v>-945.71000000000026</v>
      </c>
      <c r="AK67" s="805" t="s">
        <v>67</v>
      </c>
      <c r="AL67" s="806">
        <v>0</v>
      </c>
      <c r="AM67" s="805" t="s">
        <v>67</v>
      </c>
      <c r="AN67" s="806">
        <v>0</v>
      </c>
      <c r="AO67" s="807">
        <v>3.62</v>
      </c>
      <c r="AP67" s="808">
        <v>49.669999999999995</v>
      </c>
      <c r="AR67" s="809" t="s">
        <v>67</v>
      </c>
      <c r="AS67" s="809">
        <v>0</v>
      </c>
      <c r="AT67" s="810" t="s">
        <v>67</v>
      </c>
      <c r="AU67" s="809">
        <v>0</v>
      </c>
      <c r="AV67" s="811">
        <v>0</v>
      </c>
      <c r="AW67" s="811">
        <v>0</v>
      </c>
      <c r="AY67" s="768" t="s">
        <v>67</v>
      </c>
      <c r="AZ67" s="768">
        <v>0</v>
      </c>
      <c r="BA67" s="813" t="s">
        <v>67</v>
      </c>
      <c r="BB67" s="768">
        <v>0</v>
      </c>
      <c r="BC67" s="814">
        <v>0</v>
      </c>
      <c r="BD67" s="808">
        <v>0</v>
      </c>
      <c r="BF67" s="766" t="s">
        <v>67</v>
      </c>
      <c r="BG67" s="766">
        <v>0</v>
      </c>
      <c r="BH67" s="767" t="s">
        <v>67</v>
      </c>
      <c r="BI67" s="766">
        <v>0</v>
      </c>
      <c r="BJ67" s="814">
        <v>0</v>
      </c>
      <c r="BK67" s="808">
        <v>0</v>
      </c>
      <c r="BM67" s="766" t="s">
        <v>67</v>
      </c>
      <c r="BN67" s="766">
        <v>0</v>
      </c>
      <c r="BO67" s="767" t="s">
        <v>67</v>
      </c>
      <c r="BP67" s="768">
        <v>0</v>
      </c>
      <c r="BQ67" s="814">
        <v>0</v>
      </c>
      <c r="BR67" s="808">
        <v>0</v>
      </c>
      <c r="BT67" s="766" t="s">
        <v>67</v>
      </c>
      <c r="BU67" s="771">
        <v>0</v>
      </c>
      <c r="BV67" s="815" t="s">
        <v>67</v>
      </c>
      <c r="BW67" s="771">
        <v>0</v>
      </c>
      <c r="BX67" s="814">
        <v>30.6</v>
      </c>
      <c r="BY67" s="808">
        <v>288.10000000000002</v>
      </c>
      <c r="CA67" s="771" t="s">
        <v>67</v>
      </c>
      <c r="CB67" s="771">
        <v>0</v>
      </c>
      <c r="CC67" s="815" t="s">
        <v>67</v>
      </c>
      <c r="CD67" s="771">
        <v>0</v>
      </c>
      <c r="CE67" s="814">
        <v>0</v>
      </c>
      <c r="CF67" s="808">
        <v>0</v>
      </c>
      <c r="CH67" s="771" t="s">
        <v>67</v>
      </c>
      <c r="CI67" s="771">
        <v>0</v>
      </c>
      <c r="CJ67" s="771" t="s">
        <v>827</v>
      </c>
      <c r="CK67" s="771">
        <v>1</v>
      </c>
      <c r="CL67" s="814">
        <v>0.1</v>
      </c>
      <c r="CM67" s="816">
        <v>0.2</v>
      </c>
      <c r="CO67" s="848">
        <v>0.1</v>
      </c>
      <c r="CP67" s="818">
        <v>120</v>
      </c>
      <c r="CQ67" s="773">
        <v>0</v>
      </c>
      <c r="CR67" s="773">
        <v>-0.1</v>
      </c>
    </row>
    <row r="68" spans="1:96" ht="13.15" customHeight="1" outlineLevel="1">
      <c r="A68" s="800" t="s">
        <v>692</v>
      </c>
      <c r="B68" s="800" t="s">
        <v>605</v>
      </c>
      <c r="C68" s="800">
        <v>10</v>
      </c>
      <c r="D68" s="846">
        <v>0</v>
      </c>
      <c r="E68" s="847">
        <v>0.56000000000000005</v>
      </c>
      <c r="F68" s="777">
        <f t="shared" si="1"/>
        <v>0</v>
      </c>
      <c r="G68" s="777">
        <f t="shared" si="2"/>
        <v>5.3</v>
      </c>
      <c r="H68" s="777">
        <f t="shared" si="12"/>
        <v>1.1500000000000001</v>
      </c>
      <c r="I68" s="777">
        <f t="shared" si="12"/>
        <v>55.85</v>
      </c>
      <c r="J68" s="802">
        <f t="shared" si="0"/>
        <v>0</v>
      </c>
      <c r="K68" s="801">
        <f>IF('Modelo 1.0 - NS'!R67=1,'Modelo 2.0 - Cubação'!E68,IF((E68-'Modelo 1.0 - NS'!U67)&lt;=0,E68,'Modelo 1.0 - NS'!U67))</f>
        <v>0.56000000000000005</v>
      </c>
      <c r="L68" s="777">
        <f>'Modelo 1.0 - NS'!Q67</f>
        <v>4.476</v>
      </c>
      <c r="M68" s="777">
        <f t="shared" si="4"/>
        <v>0</v>
      </c>
      <c r="N68" s="777">
        <f t="shared" si="7"/>
        <v>5.3000000000000007</v>
      </c>
      <c r="O68" s="777">
        <f t="shared" si="13"/>
        <v>44.76</v>
      </c>
      <c r="P68" s="777">
        <f t="shared" si="14"/>
        <v>0</v>
      </c>
      <c r="Q68" s="777">
        <f t="shared" si="14"/>
        <v>55.849999999999994</v>
      </c>
      <c r="R68" s="777">
        <f t="shared" si="14"/>
        <v>563.31999999999994</v>
      </c>
      <c r="T68" s="777">
        <v>0</v>
      </c>
      <c r="U68" s="777">
        <v>0</v>
      </c>
      <c r="V68" s="777">
        <v>3.06</v>
      </c>
      <c r="W68" s="777">
        <v>30.6</v>
      </c>
      <c r="Y68" s="803">
        <v>0</v>
      </c>
      <c r="Z68" s="803">
        <v>0</v>
      </c>
      <c r="AA68" s="803">
        <v>0</v>
      </c>
      <c r="AB68" s="803">
        <v>0</v>
      </c>
      <c r="AD68" s="777">
        <v>0</v>
      </c>
      <c r="AE68" s="777">
        <v>0</v>
      </c>
      <c r="AF68" s="777">
        <v>6.89</v>
      </c>
      <c r="AG68" s="804">
        <v>0</v>
      </c>
      <c r="AH68" s="804">
        <v>-6.89</v>
      </c>
      <c r="AI68" s="777">
        <v>-952.60000000000025</v>
      </c>
      <c r="AK68" s="805" t="s">
        <v>67</v>
      </c>
      <c r="AL68" s="806">
        <v>0</v>
      </c>
      <c r="AM68" s="805" t="s">
        <v>67</v>
      </c>
      <c r="AN68" s="806">
        <v>0</v>
      </c>
      <c r="AO68" s="807">
        <v>5.3</v>
      </c>
      <c r="AP68" s="808">
        <v>54.969999999999992</v>
      </c>
      <c r="AR68" s="809" t="s">
        <v>67</v>
      </c>
      <c r="AS68" s="809">
        <v>0</v>
      </c>
      <c r="AT68" s="810" t="s">
        <v>67</v>
      </c>
      <c r="AU68" s="809">
        <v>0</v>
      </c>
      <c r="AV68" s="811">
        <v>0</v>
      </c>
      <c r="AW68" s="811">
        <v>0</v>
      </c>
      <c r="AY68" s="768" t="s">
        <v>67</v>
      </c>
      <c r="AZ68" s="768">
        <v>0</v>
      </c>
      <c r="BA68" s="813" t="s">
        <v>67</v>
      </c>
      <c r="BB68" s="768">
        <v>0</v>
      </c>
      <c r="BC68" s="814">
        <v>0</v>
      </c>
      <c r="BD68" s="808">
        <v>0</v>
      </c>
      <c r="BF68" s="766" t="s">
        <v>67</v>
      </c>
      <c r="BG68" s="766">
        <v>0</v>
      </c>
      <c r="BH68" s="767" t="s">
        <v>67</v>
      </c>
      <c r="BI68" s="766">
        <v>0</v>
      </c>
      <c r="BJ68" s="814">
        <v>0</v>
      </c>
      <c r="BK68" s="808">
        <v>0</v>
      </c>
      <c r="BM68" s="766" t="s">
        <v>67</v>
      </c>
      <c r="BN68" s="766">
        <v>0</v>
      </c>
      <c r="BO68" s="767" t="s">
        <v>67</v>
      </c>
      <c r="BP68" s="768">
        <v>0</v>
      </c>
      <c r="BQ68" s="814">
        <v>0</v>
      </c>
      <c r="BR68" s="808">
        <v>0</v>
      </c>
      <c r="BT68" s="766" t="s">
        <v>67</v>
      </c>
      <c r="BU68" s="771">
        <v>0</v>
      </c>
      <c r="BV68" s="815" t="s">
        <v>67</v>
      </c>
      <c r="BW68" s="771">
        <v>0</v>
      </c>
      <c r="BX68" s="814">
        <v>30.6</v>
      </c>
      <c r="BY68" s="808">
        <v>318.70000000000005</v>
      </c>
      <c r="CA68" s="771" t="s">
        <v>67</v>
      </c>
      <c r="CB68" s="771">
        <v>0</v>
      </c>
      <c r="CC68" s="815" t="s">
        <v>67</v>
      </c>
      <c r="CD68" s="771">
        <v>0</v>
      </c>
      <c r="CE68" s="814">
        <v>0</v>
      </c>
      <c r="CF68" s="808">
        <v>0</v>
      </c>
      <c r="CH68" s="771" t="s">
        <v>67</v>
      </c>
      <c r="CI68" s="771">
        <v>0</v>
      </c>
      <c r="CJ68" s="771" t="s">
        <v>67</v>
      </c>
      <c r="CK68" s="771">
        <v>0</v>
      </c>
      <c r="CL68" s="814">
        <v>0</v>
      </c>
      <c r="CM68" s="816">
        <v>0</v>
      </c>
      <c r="CO68" s="848">
        <v>0.1</v>
      </c>
      <c r="CP68" s="818">
        <v>130</v>
      </c>
      <c r="CQ68" s="773">
        <v>0</v>
      </c>
      <c r="CR68" s="773">
        <v>0</v>
      </c>
    </row>
    <row r="69" spans="1:96" ht="13.15" customHeight="1" outlineLevel="1">
      <c r="A69" s="800" t="s">
        <v>695</v>
      </c>
      <c r="B69" s="800" t="s">
        <v>605</v>
      </c>
      <c r="C69" s="800">
        <v>0</v>
      </c>
      <c r="D69" s="846">
        <v>0.04</v>
      </c>
      <c r="E69" s="847">
        <v>0.49</v>
      </c>
      <c r="F69" s="777">
        <f t="shared" si="1"/>
        <v>0.2</v>
      </c>
      <c r="G69" s="777">
        <f t="shared" si="2"/>
        <v>5.25</v>
      </c>
      <c r="H69" s="777">
        <f t="shared" si="12"/>
        <v>1.35</v>
      </c>
      <c r="I69" s="777">
        <f t="shared" si="12"/>
        <v>61.1</v>
      </c>
      <c r="J69" s="802">
        <f t="shared" si="0"/>
        <v>0</v>
      </c>
      <c r="K69" s="801">
        <f>IF('Modelo 1.0 - NS'!R68=1,'Modelo 2.0 - Cubação'!E69,IF((E69-'Modelo 1.0 - NS'!U68)&lt;=0,E69,'Modelo 1.0 - NS'!U68))</f>
        <v>0.49</v>
      </c>
      <c r="L69" s="777">
        <f>'Modelo 1.0 - NS'!Q68</f>
        <v>4.476</v>
      </c>
      <c r="M69" s="777">
        <f t="shared" si="4"/>
        <v>0</v>
      </c>
      <c r="N69" s="777">
        <f t="shared" si="7"/>
        <v>5.25</v>
      </c>
      <c r="O69" s="777">
        <f t="shared" si="13"/>
        <v>44.76</v>
      </c>
      <c r="P69" s="777">
        <f t="shared" si="14"/>
        <v>0</v>
      </c>
      <c r="Q69" s="777">
        <f t="shared" si="14"/>
        <v>61.099999999999994</v>
      </c>
      <c r="R69" s="777">
        <f t="shared" si="14"/>
        <v>608.07999999999993</v>
      </c>
      <c r="T69" s="777">
        <v>2.875</v>
      </c>
      <c r="U69" s="777">
        <v>14.38</v>
      </c>
      <c r="V69" s="777">
        <v>0</v>
      </c>
      <c r="W69" s="777">
        <v>15.3</v>
      </c>
      <c r="Y69" s="803">
        <v>0</v>
      </c>
      <c r="Z69" s="803">
        <v>0</v>
      </c>
      <c r="AA69" s="803">
        <v>0</v>
      </c>
      <c r="AB69" s="803">
        <v>0</v>
      </c>
      <c r="AD69" s="777">
        <v>0.2</v>
      </c>
      <c r="AE69" s="777">
        <v>0</v>
      </c>
      <c r="AF69" s="777">
        <v>6.83</v>
      </c>
      <c r="AG69" s="804">
        <v>0.2</v>
      </c>
      <c r="AH69" s="804">
        <v>-6.63</v>
      </c>
      <c r="AI69" s="777">
        <v>-959.23000000000025</v>
      </c>
      <c r="AK69" s="805" t="s">
        <v>67</v>
      </c>
      <c r="AL69" s="806">
        <v>0</v>
      </c>
      <c r="AM69" s="805" t="s">
        <v>67</v>
      </c>
      <c r="AN69" s="806">
        <v>0</v>
      </c>
      <c r="AO69" s="807">
        <v>5.0999999999999996</v>
      </c>
      <c r="AP69" s="808">
        <v>60.069999999999993</v>
      </c>
      <c r="AR69" s="809" t="s">
        <v>67</v>
      </c>
      <c r="AS69" s="809">
        <v>0</v>
      </c>
      <c r="AT69" s="810" t="s">
        <v>67</v>
      </c>
      <c r="AU69" s="809">
        <v>0</v>
      </c>
      <c r="AV69" s="811">
        <v>0</v>
      </c>
      <c r="AW69" s="811">
        <v>0</v>
      </c>
      <c r="AY69" s="768" t="s">
        <v>67</v>
      </c>
      <c r="AZ69" s="768">
        <v>0</v>
      </c>
      <c r="BA69" s="813" t="s">
        <v>67</v>
      </c>
      <c r="BB69" s="768">
        <v>0</v>
      </c>
      <c r="BC69" s="814">
        <v>0</v>
      </c>
      <c r="BD69" s="808">
        <v>0</v>
      </c>
      <c r="BF69" s="766" t="s">
        <v>828</v>
      </c>
      <c r="BG69" s="766">
        <v>1</v>
      </c>
      <c r="BH69" s="767" t="s">
        <v>67</v>
      </c>
      <c r="BI69" s="766">
        <v>0</v>
      </c>
      <c r="BJ69" s="814">
        <v>14.38</v>
      </c>
      <c r="BK69" s="808">
        <v>14.38</v>
      </c>
      <c r="BM69" s="766" t="s">
        <v>67</v>
      </c>
      <c r="BN69" s="766">
        <v>0</v>
      </c>
      <c r="BO69" s="767" t="s">
        <v>67</v>
      </c>
      <c r="BP69" s="768">
        <v>0</v>
      </c>
      <c r="BQ69" s="814">
        <v>0</v>
      </c>
      <c r="BR69" s="808">
        <v>0</v>
      </c>
      <c r="BT69" s="766" t="s">
        <v>67</v>
      </c>
      <c r="BU69" s="771">
        <v>0</v>
      </c>
      <c r="BV69" s="815" t="s">
        <v>67</v>
      </c>
      <c r="BW69" s="771">
        <v>0</v>
      </c>
      <c r="BX69" s="814">
        <v>15.3</v>
      </c>
      <c r="BY69" s="808">
        <v>334.00000000000006</v>
      </c>
      <c r="CA69" s="771" t="s">
        <v>67</v>
      </c>
      <c r="CB69" s="771">
        <v>0</v>
      </c>
      <c r="CC69" s="815" t="s">
        <v>67</v>
      </c>
      <c r="CD69" s="771">
        <v>0</v>
      </c>
      <c r="CE69" s="814">
        <v>0</v>
      </c>
      <c r="CF69" s="808">
        <v>0</v>
      </c>
      <c r="CH69" s="771" t="s">
        <v>829</v>
      </c>
      <c r="CI69" s="771">
        <v>1</v>
      </c>
      <c r="CJ69" s="771" t="s">
        <v>67</v>
      </c>
      <c r="CK69" s="771">
        <v>0</v>
      </c>
      <c r="CL69" s="814">
        <v>0.2</v>
      </c>
      <c r="CM69" s="816">
        <v>0.2</v>
      </c>
      <c r="CO69" s="848">
        <v>0.1</v>
      </c>
      <c r="CP69" s="818">
        <v>140</v>
      </c>
      <c r="CQ69" s="773">
        <v>0</v>
      </c>
      <c r="CR69" s="773">
        <v>-0.2</v>
      </c>
    </row>
    <row r="70" spans="1:96" ht="13.15" customHeight="1" outlineLevel="1">
      <c r="A70" s="800" t="s">
        <v>695</v>
      </c>
      <c r="B70" s="800" t="s">
        <v>605</v>
      </c>
      <c r="C70" s="800">
        <v>10</v>
      </c>
      <c r="D70" s="846">
        <v>0</v>
      </c>
      <c r="E70" s="847">
        <v>0.46</v>
      </c>
      <c r="F70" s="777">
        <f t="shared" si="1"/>
        <v>0.2</v>
      </c>
      <c r="G70" s="777">
        <f t="shared" si="2"/>
        <v>4.75</v>
      </c>
      <c r="H70" s="777">
        <f t="shared" si="12"/>
        <v>1.55</v>
      </c>
      <c r="I70" s="777">
        <f t="shared" si="12"/>
        <v>65.849999999999994</v>
      </c>
      <c r="J70" s="802">
        <f t="shared" si="0"/>
        <v>0</v>
      </c>
      <c r="K70" s="801">
        <f>IF('Modelo 1.0 - NS'!R69=1,'Modelo 2.0 - Cubação'!E70,IF((E70-'Modelo 1.0 - NS'!U69)&lt;=0,E70,'Modelo 1.0 - NS'!U69))</f>
        <v>0.46</v>
      </c>
      <c r="L70" s="777">
        <f>'Modelo 1.0 - NS'!Q69</f>
        <v>4.476</v>
      </c>
      <c r="M70" s="777">
        <f t="shared" si="4"/>
        <v>0</v>
      </c>
      <c r="N70" s="777">
        <f t="shared" si="7"/>
        <v>4.75</v>
      </c>
      <c r="O70" s="777">
        <f t="shared" si="13"/>
        <v>44.76</v>
      </c>
      <c r="P70" s="777">
        <f t="shared" si="14"/>
        <v>0</v>
      </c>
      <c r="Q70" s="777">
        <f t="shared" si="14"/>
        <v>65.849999999999994</v>
      </c>
      <c r="R70" s="777">
        <f t="shared" si="14"/>
        <v>652.83999999999992</v>
      </c>
      <c r="T70" s="777">
        <v>0</v>
      </c>
      <c r="U70" s="777">
        <v>14.38</v>
      </c>
      <c r="V70" s="777">
        <v>3.06</v>
      </c>
      <c r="W70" s="777">
        <v>15.3</v>
      </c>
      <c r="Y70" s="803">
        <v>0</v>
      </c>
      <c r="Z70" s="803">
        <v>0</v>
      </c>
      <c r="AA70" s="803">
        <v>0</v>
      </c>
      <c r="AB70" s="803">
        <v>0</v>
      </c>
      <c r="AD70" s="777">
        <v>0.2</v>
      </c>
      <c r="AE70" s="777">
        <v>0</v>
      </c>
      <c r="AF70" s="777">
        <v>6.18</v>
      </c>
      <c r="AG70" s="804">
        <v>0.2</v>
      </c>
      <c r="AH70" s="804">
        <v>-5.9799999999999995</v>
      </c>
      <c r="AI70" s="777">
        <v>-965.21000000000026</v>
      </c>
      <c r="AK70" s="805" t="s">
        <v>67</v>
      </c>
      <c r="AL70" s="806">
        <v>0</v>
      </c>
      <c r="AM70" s="805" t="s">
        <v>67</v>
      </c>
      <c r="AN70" s="806">
        <v>0</v>
      </c>
      <c r="AO70" s="807">
        <v>4.5999999999999996</v>
      </c>
      <c r="AP70" s="808">
        <v>64.669999999999987</v>
      </c>
      <c r="AR70" s="809" t="s">
        <v>67</v>
      </c>
      <c r="AS70" s="809">
        <v>0</v>
      </c>
      <c r="AT70" s="810" t="s">
        <v>67</v>
      </c>
      <c r="AU70" s="809">
        <v>0</v>
      </c>
      <c r="AV70" s="811">
        <v>0</v>
      </c>
      <c r="AW70" s="811">
        <v>0</v>
      </c>
      <c r="AY70" s="768" t="s">
        <v>67</v>
      </c>
      <c r="AZ70" s="768">
        <v>0</v>
      </c>
      <c r="BA70" s="813" t="s">
        <v>67</v>
      </c>
      <c r="BB70" s="768">
        <v>0</v>
      </c>
      <c r="BC70" s="814">
        <v>0</v>
      </c>
      <c r="BD70" s="808">
        <v>0</v>
      </c>
      <c r="BF70" s="766" t="s">
        <v>67</v>
      </c>
      <c r="BG70" s="766">
        <v>0</v>
      </c>
      <c r="BH70" s="767" t="s">
        <v>828</v>
      </c>
      <c r="BI70" s="766">
        <v>1</v>
      </c>
      <c r="BJ70" s="814">
        <v>14.38</v>
      </c>
      <c r="BK70" s="808">
        <v>28.76</v>
      </c>
      <c r="BM70" s="766" t="s">
        <v>67</v>
      </c>
      <c r="BN70" s="766">
        <v>0</v>
      </c>
      <c r="BO70" s="767" t="s">
        <v>67</v>
      </c>
      <c r="BP70" s="768">
        <v>0</v>
      </c>
      <c r="BQ70" s="814">
        <v>0</v>
      </c>
      <c r="BR70" s="808">
        <v>0</v>
      </c>
      <c r="BT70" s="766" t="s">
        <v>67</v>
      </c>
      <c r="BU70" s="771">
        <v>0</v>
      </c>
      <c r="BV70" s="815" t="s">
        <v>67</v>
      </c>
      <c r="BW70" s="771">
        <v>0</v>
      </c>
      <c r="BX70" s="814">
        <v>15.3</v>
      </c>
      <c r="BY70" s="808">
        <v>349.30000000000007</v>
      </c>
      <c r="CA70" s="771" t="s">
        <v>67</v>
      </c>
      <c r="CB70" s="771">
        <v>0</v>
      </c>
      <c r="CC70" s="815" t="s">
        <v>67</v>
      </c>
      <c r="CD70" s="771">
        <v>0</v>
      </c>
      <c r="CE70" s="814">
        <v>0</v>
      </c>
      <c r="CF70" s="808">
        <v>0</v>
      </c>
      <c r="CH70" s="771" t="s">
        <v>67</v>
      </c>
      <c r="CI70" s="771">
        <v>0</v>
      </c>
      <c r="CJ70" s="771" t="s">
        <v>829</v>
      </c>
      <c r="CK70" s="771">
        <v>1</v>
      </c>
      <c r="CL70" s="814">
        <v>0.2</v>
      </c>
      <c r="CM70" s="816">
        <v>0.4</v>
      </c>
      <c r="CO70" s="848">
        <v>0.1</v>
      </c>
      <c r="CP70" s="818">
        <v>150</v>
      </c>
      <c r="CQ70" s="773">
        <v>0</v>
      </c>
      <c r="CR70" s="773">
        <v>-0.2</v>
      </c>
    </row>
    <row r="71" spans="1:96" ht="13.15" customHeight="1" outlineLevel="1">
      <c r="A71" s="800" t="s">
        <v>698</v>
      </c>
      <c r="B71" s="800" t="s">
        <v>605</v>
      </c>
      <c r="C71" s="800">
        <v>0</v>
      </c>
      <c r="D71" s="846">
        <v>0</v>
      </c>
      <c r="E71" s="847">
        <v>0.85</v>
      </c>
      <c r="F71" s="777">
        <f t="shared" si="1"/>
        <v>0</v>
      </c>
      <c r="G71" s="777">
        <f t="shared" si="2"/>
        <v>6.55</v>
      </c>
      <c r="H71" s="777">
        <f t="shared" si="12"/>
        <v>1.55</v>
      </c>
      <c r="I71" s="777">
        <f t="shared" si="12"/>
        <v>72.399999999999991</v>
      </c>
      <c r="J71" s="802">
        <f t="shared" ref="J71:J115" si="15">IF(E71-K71&lt;0,0,E71-K71)</f>
        <v>0</v>
      </c>
      <c r="K71" s="801">
        <f>IF('Modelo 1.0 - NS'!R70=1,'Modelo 2.0 - Cubação'!E71,IF((E71-'Modelo 1.0 - NS'!U70)&lt;=0,E71,'Modelo 1.0 - NS'!U70))</f>
        <v>0.85</v>
      </c>
      <c r="L71" s="777">
        <f>'Modelo 1.0 - NS'!Q70</f>
        <v>4.476</v>
      </c>
      <c r="M71" s="777">
        <f t="shared" si="4"/>
        <v>0</v>
      </c>
      <c r="N71" s="777">
        <f t="shared" si="7"/>
        <v>6.5500000000000007</v>
      </c>
      <c r="O71" s="777">
        <f t="shared" si="13"/>
        <v>44.76</v>
      </c>
      <c r="P71" s="777">
        <f t="shared" si="14"/>
        <v>0</v>
      </c>
      <c r="Q71" s="777">
        <f t="shared" si="14"/>
        <v>72.399999999999991</v>
      </c>
      <c r="R71" s="777">
        <f t="shared" si="14"/>
        <v>697.59999999999991</v>
      </c>
      <c r="T71" s="777">
        <v>0</v>
      </c>
      <c r="U71" s="777">
        <v>0</v>
      </c>
      <c r="V71" s="777">
        <v>3.06</v>
      </c>
      <c r="W71" s="777">
        <v>30.6</v>
      </c>
      <c r="Y71" s="803">
        <v>0</v>
      </c>
      <c r="Z71" s="803">
        <v>0</v>
      </c>
      <c r="AA71" s="803">
        <v>0</v>
      </c>
      <c r="AB71" s="803">
        <v>0</v>
      </c>
      <c r="AD71" s="777">
        <v>0</v>
      </c>
      <c r="AE71" s="777">
        <v>0</v>
      </c>
      <c r="AF71" s="777">
        <v>8.52</v>
      </c>
      <c r="AG71" s="804">
        <v>0</v>
      </c>
      <c r="AH71" s="804">
        <v>-8.52</v>
      </c>
      <c r="AI71" s="777">
        <v>-973.73000000000025</v>
      </c>
      <c r="AK71" s="805" t="s">
        <v>67</v>
      </c>
      <c r="AL71" s="806">
        <v>0</v>
      </c>
      <c r="AM71" s="805" t="s">
        <v>67</v>
      </c>
      <c r="AN71" s="806">
        <v>0</v>
      </c>
      <c r="AO71" s="807">
        <v>6.55</v>
      </c>
      <c r="AP71" s="808">
        <v>71.219999999999985</v>
      </c>
      <c r="AR71" s="809" t="s">
        <v>67</v>
      </c>
      <c r="AS71" s="809">
        <v>0</v>
      </c>
      <c r="AT71" s="810" t="s">
        <v>67</v>
      </c>
      <c r="AU71" s="809">
        <v>0</v>
      </c>
      <c r="AV71" s="811">
        <v>0</v>
      </c>
      <c r="AW71" s="811">
        <v>0</v>
      </c>
      <c r="AY71" s="768" t="s">
        <v>67</v>
      </c>
      <c r="AZ71" s="768">
        <v>0</v>
      </c>
      <c r="BA71" s="813" t="s">
        <v>67</v>
      </c>
      <c r="BB71" s="768">
        <v>0</v>
      </c>
      <c r="BC71" s="814">
        <v>0</v>
      </c>
      <c r="BD71" s="808">
        <v>0</v>
      </c>
      <c r="BF71" s="766" t="s">
        <v>67</v>
      </c>
      <c r="BG71" s="766">
        <v>0</v>
      </c>
      <c r="BH71" s="767" t="s">
        <v>67</v>
      </c>
      <c r="BI71" s="766">
        <v>0</v>
      </c>
      <c r="BJ71" s="814">
        <v>0</v>
      </c>
      <c r="BK71" s="808">
        <v>0</v>
      </c>
      <c r="BM71" s="766" t="s">
        <v>67</v>
      </c>
      <c r="BN71" s="766">
        <v>0</v>
      </c>
      <c r="BO71" s="767" t="s">
        <v>67</v>
      </c>
      <c r="BP71" s="768">
        <v>0</v>
      </c>
      <c r="BQ71" s="814">
        <v>0</v>
      </c>
      <c r="BR71" s="808">
        <v>0</v>
      </c>
      <c r="BT71" s="766" t="s">
        <v>67</v>
      </c>
      <c r="BU71" s="771">
        <v>0</v>
      </c>
      <c r="BV71" s="815" t="s">
        <v>67</v>
      </c>
      <c r="BW71" s="771">
        <v>0</v>
      </c>
      <c r="BX71" s="814">
        <v>30.6</v>
      </c>
      <c r="BY71" s="808">
        <v>379.90000000000009</v>
      </c>
      <c r="CA71" s="771" t="s">
        <v>67</v>
      </c>
      <c r="CB71" s="771">
        <v>0</v>
      </c>
      <c r="CC71" s="815" t="s">
        <v>67</v>
      </c>
      <c r="CD71" s="771">
        <v>0</v>
      </c>
      <c r="CE71" s="814">
        <v>0</v>
      </c>
      <c r="CF71" s="808">
        <v>0</v>
      </c>
      <c r="CH71" s="771" t="s">
        <v>67</v>
      </c>
      <c r="CI71" s="771">
        <v>0</v>
      </c>
      <c r="CJ71" s="771" t="s">
        <v>67</v>
      </c>
      <c r="CK71" s="771">
        <v>0</v>
      </c>
      <c r="CL71" s="814">
        <v>0</v>
      </c>
      <c r="CM71" s="816">
        <v>0</v>
      </c>
      <c r="CO71" s="848">
        <v>0.1</v>
      </c>
      <c r="CP71" s="818">
        <v>160</v>
      </c>
      <c r="CQ71" s="773">
        <v>0</v>
      </c>
      <c r="CR71" s="773">
        <v>0</v>
      </c>
    </row>
    <row r="72" spans="1:96" ht="13.15" customHeight="1" outlineLevel="1">
      <c r="A72" s="800" t="s">
        <v>698</v>
      </c>
      <c r="B72" s="800" t="s">
        <v>605</v>
      </c>
      <c r="C72" s="800">
        <v>10</v>
      </c>
      <c r="D72" s="846">
        <v>0</v>
      </c>
      <c r="E72" s="847">
        <v>1.27</v>
      </c>
      <c r="F72" s="777">
        <f t="shared" ref="F72:F88" si="16">IFERROR(IF(A71="",0,ROUND(((A72*20+C72)-(A71*20+C71))/2*(D71+D72),2)),0)</f>
        <v>0</v>
      </c>
      <c r="G72" s="777">
        <f t="shared" ref="G72:G88" si="17">IFERROR(IF(A71="",0,ROUND(((A72*20+C72)-(A71*20+C71))/2*(E71+E72),2)),0)</f>
        <v>10.6</v>
      </c>
      <c r="H72" s="777">
        <f t="shared" ref="H72:I87" si="18">F72+H71</f>
        <v>1.55</v>
      </c>
      <c r="I72" s="777">
        <f t="shared" si="18"/>
        <v>82.999999999999986</v>
      </c>
      <c r="J72" s="802">
        <f t="shared" si="15"/>
        <v>0</v>
      </c>
      <c r="K72" s="801">
        <f>IF('Modelo 1.0 - NS'!R71=1,'Modelo 2.0 - Cubação'!E72,IF((E72-'Modelo 1.0 - NS'!U71)&lt;=0,E72,'Modelo 1.0 - NS'!U71))</f>
        <v>1.27</v>
      </c>
      <c r="L72" s="777">
        <f>'Modelo 1.0 - NS'!Q71</f>
        <v>4.476</v>
      </c>
      <c r="M72" s="777">
        <f t="shared" ref="M72:M115" si="19">IFERROR(((A72*20+C72)-(A71*20+C71))/2*(J71+J72),0)</f>
        <v>0</v>
      </c>
      <c r="N72" s="777">
        <f t="shared" si="7"/>
        <v>10.600000000000001</v>
      </c>
      <c r="O72" s="777">
        <f t="shared" si="13"/>
        <v>44.76</v>
      </c>
      <c r="P72" s="777">
        <f t="shared" ref="P72:R87" si="20">M72+P71</f>
        <v>0</v>
      </c>
      <c r="Q72" s="777">
        <f t="shared" si="20"/>
        <v>83</v>
      </c>
      <c r="R72" s="777">
        <f t="shared" si="20"/>
        <v>742.3599999999999</v>
      </c>
      <c r="T72" s="777">
        <v>0</v>
      </c>
      <c r="U72" s="777">
        <v>0</v>
      </c>
      <c r="V72" s="777">
        <v>3.06</v>
      </c>
      <c r="W72" s="777">
        <v>30.6</v>
      </c>
      <c r="Y72" s="803">
        <v>0</v>
      </c>
      <c r="Z72" s="803">
        <v>0</v>
      </c>
      <c r="AA72" s="803">
        <v>0</v>
      </c>
      <c r="AB72" s="803">
        <v>0</v>
      </c>
      <c r="AD72" s="777">
        <v>0</v>
      </c>
      <c r="AE72" s="777">
        <v>0</v>
      </c>
      <c r="AF72" s="777">
        <v>13.78</v>
      </c>
      <c r="AG72" s="804">
        <v>0</v>
      </c>
      <c r="AH72" s="804">
        <v>-13.78</v>
      </c>
      <c r="AI72" s="777">
        <v>-987.51000000000022</v>
      </c>
      <c r="AK72" s="805" t="s">
        <v>67</v>
      </c>
      <c r="AL72" s="806">
        <v>0</v>
      </c>
      <c r="AM72" s="805" t="s">
        <v>67</v>
      </c>
      <c r="AN72" s="806">
        <v>0</v>
      </c>
      <c r="AO72" s="807">
        <v>10.6</v>
      </c>
      <c r="AP72" s="808">
        <v>81.819999999999979</v>
      </c>
      <c r="AR72" s="809" t="s">
        <v>67</v>
      </c>
      <c r="AS72" s="809">
        <v>0</v>
      </c>
      <c r="AT72" s="810" t="s">
        <v>67</v>
      </c>
      <c r="AU72" s="809">
        <v>0</v>
      </c>
      <c r="AV72" s="811">
        <v>0</v>
      </c>
      <c r="AW72" s="811">
        <v>0</v>
      </c>
      <c r="AY72" s="768" t="s">
        <v>67</v>
      </c>
      <c r="AZ72" s="768">
        <v>0</v>
      </c>
      <c r="BA72" s="813" t="s">
        <v>67</v>
      </c>
      <c r="BB72" s="768">
        <v>0</v>
      </c>
      <c r="BC72" s="814">
        <v>0</v>
      </c>
      <c r="BD72" s="808">
        <v>0</v>
      </c>
      <c r="BF72" s="766" t="s">
        <v>67</v>
      </c>
      <c r="BG72" s="766">
        <v>0</v>
      </c>
      <c r="BH72" s="767" t="s">
        <v>67</v>
      </c>
      <c r="BI72" s="766">
        <v>0</v>
      </c>
      <c r="BJ72" s="814">
        <v>0</v>
      </c>
      <c r="BK72" s="808">
        <v>0</v>
      </c>
      <c r="BM72" s="766" t="s">
        <v>67</v>
      </c>
      <c r="BN72" s="766">
        <v>0</v>
      </c>
      <c r="BO72" s="767" t="s">
        <v>67</v>
      </c>
      <c r="BP72" s="768">
        <v>0</v>
      </c>
      <c r="BQ72" s="814">
        <v>0</v>
      </c>
      <c r="BR72" s="808">
        <v>0</v>
      </c>
      <c r="BT72" s="766" t="s">
        <v>67</v>
      </c>
      <c r="BU72" s="771">
        <v>0</v>
      </c>
      <c r="BV72" s="815" t="s">
        <v>67</v>
      </c>
      <c r="BW72" s="771">
        <v>0</v>
      </c>
      <c r="BX72" s="814">
        <v>30.6</v>
      </c>
      <c r="BY72" s="808">
        <v>410.50000000000011</v>
      </c>
      <c r="CA72" s="771" t="s">
        <v>67</v>
      </c>
      <c r="CB72" s="771">
        <v>0</v>
      </c>
      <c r="CC72" s="815" t="s">
        <v>67</v>
      </c>
      <c r="CD72" s="771">
        <v>0</v>
      </c>
      <c r="CE72" s="814">
        <v>0</v>
      </c>
      <c r="CF72" s="808">
        <v>0</v>
      </c>
      <c r="CH72" s="771" t="s">
        <v>67</v>
      </c>
      <c r="CI72" s="771">
        <v>0</v>
      </c>
      <c r="CJ72" s="771" t="s">
        <v>67</v>
      </c>
      <c r="CK72" s="771">
        <v>0</v>
      </c>
      <c r="CL72" s="814">
        <v>0</v>
      </c>
      <c r="CM72" s="816">
        <v>0</v>
      </c>
      <c r="CO72" s="848">
        <v>0.1</v>
      </c>
      <c r="CP72" s="818">
        <v>170</v>
      </c>
      <c r="CQ72" s="773">
        <v>0</v>
      </c>
      <c r="CR72" s="773">
        <v>0</v>
      </c>
    </row>
    <row r="73" spans="1:96" ht="13.15" customHeight="1" outlineLevel="1">
      <c r="A73" s="800" t="s">
        <v>701</v>
      </c>
      <c r="B73" s="800" t="s">
        <v>605</v>
      </c>
      <c r="C73" s="800">
        <v>0</v>
      </c>
      <c r="D73" s="846">
        <v>0</v>
      </c>
      <c r="E73" s="847">
        <v>1.02</v>
      </c>
      <c r="F73" s="777">
        <f t="shared" si="16"/>
        <v>0</v>
      </c>
      <c r="G73" s="777">
        <f t="shared" si="17"/>
        <v>11.45</v>
      </c>
      <c r="H73" s="777">
        <f t="shared" si="18"/>
        <v>1.55</v>
      </c>
      <c r="I73" s="777">
        <f t="shared" si="18"/>
        <v>94.449999999999989</v>
      </c>
      <c r="J73" s="802">
        <f t="shared" si="15"/>
        <v>0</v>
      </c>
      <c r="K73" s="801">
        <f>IF('Modelo 1.0 - NS'!R72=1,'Modelo 2.0 - Cubação'!E73,IF((E73-'Modelo 1.0 - NS'!U72)&lt;=0,E73,'Modelo 1.0 - NS'!U72))</f>
        <v>1.02</v>
      </c>
      <c r="L73" s="777">
        <f>'Modelo 1.0 - NS'!Q72</f>
        <v>4.476</v>
      </c>
      <c r="M73" s="777">
        <f t="shared" si="19"/>
        <v>0</v>
      </c>
      <c r="N73" s="777">
        <f t="shared" ref="N73:N116" si="21">IFERROR(((A73*20+C73)-(A72*20+C72))/2*(K72+K73),0)</f>
        <v>11.45</v>
      </c>
      <c r="O73" s="777">
        <f t="shared" si="13"/>
        <v>44.76</v>
      </c>
      <c r="P73" s="777">
        <f t="shared" si="20"/>
        <v>0</v>
      </c>
      <c r="Q73" s="777">
        <f t="shared" si="20"/>
        <v>94.45</v>
      </c>
      <c r="R73" s="777">
        <f t="shared" si="20"/>
        <v>787.11999999999989</v>
      </c>
      <c r="T73" s="777">
        <v>0</v>
      </c>
      <c r="U73" s="777">
        <v>0</v>
      </c>
      <c r="V73" s="777">
        <v>3.06</v>
      </c>
      <c r="W73" s="777">
        <v>30.6</v>
      </c>
      <c r="Y73" s="803">
        <v>0</v>
      </c>
      <c r="Z73" s="803">
        <v>0</v>
      </c>
      <c r="AA73" s="803">
        <v>0</v>
      </c>
      <c r="AB73" s="803">
        <v>0</v>
      </c>
      <c r="AD73" s="777">
        <v>0</v>
      </c>
      <c r="AE73" s="777">
        <v>0</v>
      </c>
      <c r="AF73" s="777">
        <v>14.89</v>
      </c>
      <c r="AG73" s="804">
        <v>0</v>
      </c>
      <c r="AH73" s="804">
        <v>-14.89</v>
      </c>
      <c r="AI73" s="777">
        <v>-1002.4000000000002</v>
      </c>
      <c r="AK73" s="805" t="s">
        <v>67</v>
      </c>
      <c r="AL73" s="806">
        <v>0</v>
      </c>
      <c r="AM73" s="805" t="s">
        <v>67</v>
      </c>
      <c r="AN73" s="806">
        <v>0</v>
      </c>
      <c r="AO73" s="807">
        <v>11.45</v>
      </c>
      <c r="AP73" s="808">
        <v>93.269999999999982</v>
      </c>
      <c r="AR73" s="809" t="s">
        <v>67</v>
      </c>
      <c r="AS73" s="809">
        <v>0</v>
      </c>
      <c r="AT73" s="810" t="s">
        <v>67</v>
      </c>
      <c r="AU73" s="809">
        <v>0</v>
      </c>
      <c r="AV73" s="811">
        <v>0</v>
      </c>
      <c r="AW73" s="811">
        <v>0</v>
      </c>
      <c r="AY73" s="768" t="s">
        <v>67</v>
      </c>
      <c r="AZ73" s="768">
        <v>0</v>
      </c>
      <c r="BA73" s="813" t="s">
        <v>67</v>
      </c>
      <c r="BB73" s="768">
        <v>0</v>
      </c>
      <c r="BC73" s="814">
        <v>0</v>
      </c>
      <c r="BD73" s="808">
        <v>0</v>
      </c>
      <c r="BF73" s="766" t="s">
        <v>67</v>
      </c>
      <c r="BG73" s="766">
        <v>0</v>
      </c>
      <c r="BH73" s="767" t="s">
        <v>67</v>
      </c>
      <c r="BI73" s="766">
        <v>0</v>
      </c>
      <c r="BJ73" s="814">
        <v>0</v>
      </c>
      <c r="BK73" s="808">
        <v>0</v>
      </c>
      <c r="BM73" s="766" t="s">
        <v>67</v>
      </c>
      <c r="BN73" s="766">
        <v>0</v>
      </c>
      <c r="BO73" s="767" t="s">
        <v>67</v>
      </c>
      <c r="BP73" s="768">
        <v>0</v>
      </c>
      <c r="BQ73" s="814">
        <v>0</v>
      </c>
      <c r="BR73" s="808">
        <v>0</v>
      </c>
      <c r="BT73" s="766" t="s">
        <v>67</v>
      </c>
      <c r="BU73" s="771">
        <v>0</v>
      </c>
      <c r="BV73" s="815" t="s">
        <v>67</v>
      </c>
      <c r="BW73" s="771">
        <v>0</v>
      </c>
      <c r="BX73" s="814">
        <v>30.6</v>
      </c>
      <c r="BY73" s="808">
        <v>441.10000000000014</v>
      </c>
      <c r="CA73" s="771" t="s">
        <v>67</v>
      </c>
      <c r="CB73" s="771">
        <v>0</v>
      </c>
      <c r="CC73" s="815" t="s">
        <v>67</v>
      </c>
      <c r="CD73" s="771">
        <v>0</v>
      </c>
      <c r="CE73" s="814">
        <v>0</v>
      </c>
      <c r="CF73" s="808">
        <v>0</v>
      </c>
      <c r="CH73" s="771" t="s">
        <v>67</v>
      </c>
      <c r="CI73" s="771">
        <v>0</v>
      </c>
      <c r="CJ73" s="771" t="s">
        <v>67</v>
      </c>
      <c r="CK73" s="771">
        <v>0</v>
      </c>
      <c r="CL73" s="814">
        <v>0</v>
      </c>
      <c r="CM73" s="816">
        <v>0</v>
      </c>
      <c r="CO73" s="848">
        <v>0.1</v>
      </c>
      <c r="CP73" s="818">
        <v>180</v>
      </c>
      <c r="CQ73" s="773">
        <v>0</v>
      </c>
      <c r="CR73" s="773">
        <v>0</v>
      </c>
    </row>
    <row r="74" spans="1:96" ht="13.15" customHeight="1" outlineLevel="1">
      <c r="A74" s="800" t="s">
        <v>701</v>
      </c>
      <c r="B74" s="800" t="s">
        <v>605</v>
      </c>
      <c r="C74" s="800">
        <v>10</v>
      </c>
      <c r="D74" s="846">
        <v>1.1200000000000001</v>
      </c>
      <c r="E74" s="847">
        <v>0</v>
      </c>
      <c r="F74" s="777">
        <f t="shared" si="16"/>
        <v>5.6</v>
      </c>
      <c r="G74" s="777">
        <f t="shared" si="17"/>
        <v>5.0999999999999996</v>
      </c>
      <c r="H74" s="777">
        <f t="shared" si="18"/>
        <v>7.1499999999999995</v>
      </c>
      <c r="I74" s="777">
        <f t="shared" si="18"/>
        <v>99.549999999999983</v>
      </c>
      <c r="J74" s="802">
        <f t="shared" si="15"/>
        <v>0</v>
      </c>
      <c r="K74" s="801">
        <f>IF('Modelo 1.0 - NS'!R73=1,'Modelo 2.0 - Cubação'!E74,IF((E74-'Modelo 1.0 - NS'!U73)&lt;=0,E74,'Modelo 1.0 - NS'!U73))</f>
        <v>0</v>
      </c>
      <c r="L74" s="777">
        <f>'Modelo 1.0 - NS'!Q73</f>
        <v>4.476</v>
      </c>
      <c r="M74" s="777">
        <f t="shared" si="19"/>
        <v>0</v>
      </c>
      <c r="N74" s="777">
        <f t="shared" si="21"/>
        <v>5.0999999999999996</v>
      </c>
      <c r="O74" s="777">
        <f t="shared" si="13"/>
        <v>44.76</v>
      </c>
      <c r="P74" s="777">
        <f t="shared" si="20"/>
        <v>0</v>
      </c>
      <c r="Q74" s="777">
        <f t="shared" si="20"/>
        <v>99.55</v>
      </c>
      <c r="R74" s="777">
        <f t="shared" si="20"/>
        <v>831.87999999999988</v>
      </c>
      <c r="T74" s="777">
        <v>2.875</v>
      </c>
      <c r="U74" s="777">
        <v>14.38</v>
      </c>
      <c r="V74" s="777">
        <v>0</v>
      </c>
      <c r="W74" s="777">
        <v>15.3</v>
      </c>
      <c r="Y74" s="803">
        <v>0</v>
      </c>
      <c r="Z74" s="803">
        <v>0</v>
      </c>
      <c r="AA74" s="803">
        <v>0</v>
      </c>
      <c r="AB74" s="803">
        <v>0</v>
      </c>
      <c r="AD74" s="777">
        <v>5.6</v>
      </c>
      <c r="AE74" s="777">
        <v>0</v>
      </c>
      <c r="AF74" s="777">
        <v>6.63</v>
      </c>
      <c r="AG74" s="804">
        <v>5.6</v>
      </c>
      <c r="AH74" s="804">
        <v>-1.0300000000000002</v>
      </c>
      <c r="AI74" s="777">
        <v>-1003.4300000000002</v>
      </c>
      <c r="AK74" s="805" t="s">
        <v>67</v>
      </c>
      <c r="AL74" s="806">
        <v>0</v>
      </c>
      <c r="AM74" s="805" t="s">
        <v>821</v>
      </c>
      <c r="AN74" s="806">
        <v>1</v>
      </c>
      <c r="AO74" s="807">
        <v>0.79</v>
      </c>
      <c r="AP74" s="808">
        <v>94.059999999999988</v>
      </c>
      <c r="AR74" s="809" t="s">
        <v>67</v>
      </c>
      <c r="AS74" s="809">
        <v>0</v>
      </c>
      <c r="AT74" s="810" t="s">
        <v>67</v>
      </c>
      <c r="AU74" s="809">
        <v>0</v>
      </c>
      <c r="AV74" s="811">
        <v>0</v>
      </c>
      <c r="AW74" s="811">
        <v>0</v>
      </c>
      <c r="AY74" s="768" t="s">
        <v>67</v>
      </c>
      <c r="AZ74" s="768">
        <v>0</v>
      </c>
      <c r="BA74" s="813" t="s">
        <v>67</v>
      </c>
      <c r="BB74" s="768">
        <v>0</v>
      </c>
      <c r="BC74" s="814">
        <v>0</v>
      </c>
      <c r="BD74" s="808">
        <v>0</v>
      </c>
      <c r="BF74" s="766" t="s">
        <v>830</v>
      </c>
      <c r="BG74" s="766">
        <v>1</v>
      </c>
      <c r="BH74" s="767" t="s">
        <v>830</v>
      </c>
      <c r="BI74" s="766">
        <v>1</v>
      </c>
      <c r="BJ74" s="814">
        <v>14.38</v>
      </c>
      <c r="BK74" s="808">
        <v>14.38</v>
      </c>
      <c r="BM74" s="766" t="s">
        <v>67</v>
      </c>
      <c r="BN74" s="766">
        <v>0</v>
      </c>
      <c r="BO74" s="767" t="s">
        <v>67</v>
      </c>
      <c r="BP74" s="768">
        <v>0</v>
      </c>
      <c r="BQ74" s="814">
        <v>0</v>
      </c>
      <c r="BR74" s="808">
        <v>0</v>
      </c>
      <c r="BT74" s="766" t="s">
        <v>67</v>
      </c>
      <c r="BU74" s="771">
        <v>0</v>
      </c>
      <c r="BV74" s="815" t="s">
        <v>822</v>
      </c>
      <c r="BW74" s="771">
        <v>1</v>
      </c>
      <c r="BX74" s="814">
        <v>15.3</v>
      </c>
      <c r="BY74" s="808">
        <v>456.40000000000015</v>
      </c>
      <c r="CA74" s="771" t="s">
        <v>67</v>
      </c>
      <c r="CB74" s="771">
        <v>0</v>
      </c>
      <c r="CC74" s="815" t="s">
        <v>67</v>
      </c>
      <c r="CD74" s="771">
        <v>0</v>
      </c>
      <c r="CE74" s="814">
        <v>0</v>
      </c>
      <c r="CF74" s="808">
        <v>0</v>
      </c>
      <c r="CH74" s="771" t="s">
        <v>831</v>
      </c>
      <c r="CI74" s="771">
        <v>1</v>
      </c>
      <c r="CJ74" s="771" t="s">
        <v>831</v>
      </c>
      <c r="CK74" s="771">
        <v>1</v>
      </c>
      <c r="CL74" s="814">
        <v>5.6</v>
      </c>
      <c r="CM74" s="816">
        <v>5.6</v>
      </c>
      <c r="CO74" s="848">
        <v>0.1</v>
      </c>
      <c r="CP74" s="818">
        <v>190</v>
      </c>
      <c r="CQ74" s="773">
        <v>0</v>
      </c>
      <c r="CR74" s="773">
        <v>-5.6</v>
      </c>
    </row>
    <row r="75" spans="1:96" s="852" customFormat="1" ht="13.15" customHeight="1" outlineLevel="1">
      <c r="A75" s="627"/>
      <c r="B75" s="627"/>
      <c r="C75" s="627"/>
      <c r="D75" s="627"/>
      <c r="E75" s="627"/>
      <c r="F75" s="627"/>
      <c r="G75" s="627"/>
      <c r="H75" s="627"/>
      <c r="I75" s="627"/>
      <c r="J75" s="849"/>
      <c r="K75" s="850"/>
      <c r="L75" s="851"/>
      <c r="M75" s="851"/>
      <c r="N75" s="851"/>
      <c r="O75" s="851"/>
      <c r="P75" s="851"/>
      <c r="Q75" s="851"/>
      <c r="R75" s="851"/>
      <c r="T75" s="851"/>
      <c r="U75" s="851"/>
      <c r="V75" s="851"/>
      <c r="W75" s="851"/>
      <c r="Y75" s="853"/>
      <c r="Z75" s="853"/>
      <c r="AA75" s="853"/>
      <c r="AB75" s="853"/>
      <c r="AD75" s="851"/>
      <c r="AE75" s="777">
        <v>0</v>
      </c>
      <c r="AF75" s="777">
        <v>0</v>
      </c>
      <c r="AG75" s="804">
        <v>0</v>
      </c>
      <c r="AH75" s="804">
        <v>0</v>
      </c>
      <c r="AI75" s="777">
        <v>-1003.4300000000002</v>
      </c>
      <c r="AK75" s="854"/>
      <c r="AL75" s="855"/>
      <c r="AM75" s="854"/>
      <c r="AN75" s="855"/>
      <c r="AO75" s="807">
        <v>0</v>
      </c>
      <c r="AP75" s="856"/>
      <c r="AQ75" s="857"/>
      <c r="AR75" s="858"/>
      <c r="AS75" s="858"/>
      <c r="AT75" s="859"/>
      <c r="AU75" s="858"/>
      <c r="AV75" s="860"/>
      <c r="AW75" s="860"/>
      <c r="AX75" s="857"/>
      <c r="AY75" s="861"/>
      <c r="AZ75" s="861"/>
      <c r="BA75" s="862"/>
      <c r="BB75" s="861"/>
      <c r="BC75" s="814">
        <v>0</v>
      </c>
      <c r="BD75" s="856"/>
      <c r="BE75" s="857"/>
      <c r="BF75" s="863"/>
      <c r="BG75" s="766">
        <v>0</v>
      </c>
      <c r="BH75" s="864"/>
      <c r="BI75" s="766">
        <v>0</v>
      </c>
      <c r="BJ75" s="814">
        <v>0</v>
      </c>
      <c r="BK75" s="856"/>
      <c r="BL75" s="857"/>
      <c r="BM75" s="863"/>
      <c r="BN75" s="863"/>
      <c r="BO75" s="864"/>
      <c r="BP75" s="861"/>
      <c r="BQ75" s="865"/>
      <c r="BR75" s="856"/>
      <c r="BS75" s="857"/>
      <c r="BT75" s="863"/>
      <c r="BU75" s="866"/>
      <c r="BV75" s="867"/>
      <c r="BW75" s="866"/>
      <c r="BX75" s="865"/>
      <c r="BY75" s="856"/>
      <c r="BZ75" s="857"/>
      <c r="CA75" s="866"/>
      <c r="CB75" s="866"/>
      <c r="CC75" s="867"/>
      <c r="CD75" s="866"/>
      <c r="CE75" s="865"/>
      <c r="CF75" s="856"/>
      <c r="CG75" s="857"/>
      <c r="CH75" s="866"/>
      <c r="CI75" s="771">
        <v>0</v>
      </c>
      <c r="CJ75" s="866"/>
      <c r="CK75" s="771">
        <v>0</v>
      </c>
      <c r="CL75" s="814">
        <v>0</v>
      </c>
      <c r="CM75" s="868"/>
      <c r="CO75" s="869"/>
      <c r="CP75" s="870"/>
      <c r="CQ75" s="871"/>
      <c r="CR75" s="871"/>
    </row>
    <row r="76" spans="1:96" ht="13.15" customHeight="1" outlineLevel="1">
      <c r="A76" s="800" t="s">
        <v>704</v>
      </c>
      <c r="B76" s="800" t="s">
        <v>605</v>
      </c>
      <c r="C76" s="800">
        <v>0</v>
      </c>
      <c r="D76" s="801">
        <v>1.63</v>
      </c>
      <c r="E76" s="777">
        <v>0</v>
      </c>
      <c r="F76" s="777">
        <f t="shared" si="16"/>
        <v>0</v>
      </c>
      <c r="G76" s="777">
        <f t="shared" si="17"/>
        <v>0</v>
      </c>
      <c r="H76" s="777">
        <f t="shared" ref="H76:I77" si="22">F76+H75</f>
        <v>0</v>
      </c>
      <c r="I76" s="777">
        <f t="shared" si="22"/>
        <v>0</v>
      </c>
      <c r="J76" s="802">
        <f>IF(E76-K76&lt;0,0,E76-K76)</f>
        <v>0</v>
      </c>
      <c r="K76" s="801">
        <f>IF('Modelo 1.0 - NS'!R75=1,'Modelo 2.0 - Cubação'!E76,IF((E76-'Modelo 1.0 - NS'!U75)&lt;=0,E76,'Modelo 1.0 - NS'!U75))</f>
        <v>0</v>
      </c>
      <c r="L76" s="777">
        <f>'Modelo 1.0 - NS'!Q75</f>
        <v>4.6960000000000006</v>
      </c>
      <c r="M76" s="777">
        <f>IFERROR(((A76*20+C76)-(A75*20+C75))/2*(J75+J76),0)</f>
        <v>0</v>
      </c>
      <c r="N76" s="777">
        <f>IFERROR(IF(A75="",0,((A76*20+C76)-(A75*20+C75))/2*(K75+K76)),0)</f>
        <v>0</v>
      </c>
      <c r="O76" s="777">
        <f>IFERROR(IF(A75="",0,((A76*20+C76)-(A75*20+C75))/2*(L75+L76)),0)</f>
        <v>0</v>
      </c>
      <c r="P76" s="777">
        <f t="shared" ref="P76:R77" si="23">M76+P75</f>
        <v>0</v>
      </c>
      <c r="Q76" s="777">
        <f t="shared" si="23"/>
        <v>0</v>
      </c>
      <c r="R76" s="777">
        <f t="shared" si="23"/>
        <v>0</v>
      </c>
      <c r="T76" s="777">
        <v>0</v>
      </c>
      <c r="U76" s="777">
        <v>0</v>
      </c>
      <c r="V76" s="777">
        <v>3.28</v>
      </c>
      <c r="W76" s="777">
        <v>1246.4000000000001</v>
      </c>
      <c r="Y76" s="803">
        <v>0</v>
      </c>
      <c r="Z76" s="803">
        <v>0</v>
      </c>
      <c r="AA76" s="803">
        <v>0</v>
      </c>
      <c r="AB76" s="803">
        <v>0</v>
      </c>
      <c r="AD76" s="777">
        <v>0</v>
      </c>
      <c r="AE76" s="777">
        <v>0</v>
      </c>
      <c r="AF76" s="777">
        <v>0</v>
      </c>
      <c r="AG76" s="804">
        <v>0</v>
      </c>
      <c r="AH76" s="804">
        <v>0</v>
      </c>
      <c r="AI76" s="777">
        <v>-1003.4300000000002</v>
      </c>
      <c r="AK76" s="805" t="s">
        <v>67</v>
      </c>
      <c r="AL76" s="806">
        <v>0</v>
      </c>
      <c r="AM76" s="805" t="s">
        <v>67</v>
      </c>
      <c r="AN76" s="806">
        <v>0</v>
      </c>
      <c r="AO76" s="807">
        <v>0</v>
      </c>
      <c r="AP76" s="808">
        <v>0</v>
      </c>
      <c r="AR76" s="809" t="s">
        <v>67</v>
      </c>
      <c r="AS76" s="809">
        <v>0</v>
      </c>
      <c r="AT76" s="810" t="s">
        <v>67</v>
      </c>
      <c r="AU76" s="809">
        <v>0</v>
      </c>
      <c r="AV76" s="811">
        <v>0</v>
      </c>
      <c r="AW76" s="811">
        <v>0</v>
      </c>
      <c r="AY76" s="768" t="s">
        <v>67</v>
      </c>
      <c r="AZ76" s="768">
        <v>0</v>
      </c>
      <c r="BA76" s="813" t="s">
        <v>67</v>
      </c>
      <c r="BB76" s="768">
        <v>0</v>
      </c>
      <c r="BC76" s="814">
        <v>0</v>
      </c>
      <c r="BD76" s="808">
        <v>0</v>
      </c>
      <c r="BF76" s="766" t="s">
        <v>67</v>
      </c>
      <c r="BG76" s="766">
        <v>0</v>
      </c>
      <c r="BH76" s="767" t="s">
        <v>67</v>
      </c>
      <c r="BI76" s="766">
        <v>0</v>
      </c>
      <c r="BJ76" s="814">
        <v>0</v>
      </c>
      <c r="BK76" s="808">
        <v>0</v>
      </c>
      <c r="BM76" s="766" t="s">
        <v>67</v>
      </c>
      <c r="BN76" s="766">
        <v>0</v>
      </c>
      <c r="BO76" s="767" t="s">
        <v>67</v>
      </c>
      <c r="BP76" s="768">
        <v>0</v>
      </c>
      <c r="BQ76" s="814">
        <v>0</v>
      </c>
      <c r="BR76" s="808">
        <v>0</v>
      </c>
      <c r="BT76" s="766" t="s">
        <v>832</v>
      </c>
      <c r="BU76" s="771">
        <v>1</v>
      </c>
      <c r="BV76" s="815" t="s">
        <v>67</v>
      </c>
      <c r="BW76" s="771">
        <v>0</v>
      </c>
      <c r="BX76" s="814">
        <v>1246.4000000000001</v>
      </c>
      <c r="BY76" s="808">
        <v>1246.4000000000001</v>
      </c>
      <c r="CA76" s="771" t="s">
        <v>67</v>
      </c>
      <c r="CB76" s="771">
        <v>0</v>
      </c>
      <c r="CC76" s="815" t="s">
        <v>67</v>
      </c>
      <c r="CD76" s="771">
        <v>0</v>
      </c>
      <c r="CE76" s="814">
        <v>0</v>
      </c>
      <c r="CF76" s="808">
        <v>0</v>
      </c>
      <c r="CH76" s="771" t="s">
        <v>67</v>
      </c>
      <c r="CI76" s="771">
        <v>0</v>
      </c>
      <c r="CJ76" s="771" t="s">
        <v>67</v>
      </c>
      <c r="CK76" s="771">
        <v>0</v>
      </c>
      <c r="CL76" s="814">
        <v>0</v>
      </c>
      <c r="CM76" s="816">
        <v>0</v>
      </c>
      <c r="CO76" s="817">
        <v>0.1</v>
      </c>
      <c r="CP76" s="818">
        <v>760</v>
      </c>
      <c r="CQ76" s="819">
        <v>0</v>
      </c>
      <c r="CR76" s="819">
        <v>0</v>
      </c>
    </row>
    <row r="77" spans="1:96" ht="13.15" customHeight="1" outlineLevel="1">
      <c r="A77" s="800" t="s">
        <v>704</v>
      </c>
      <c r="B77" s="800" t="s">
        <v>605</v>
      </c>
      <c r="C77" s="800">
        <v>10</v>
      </c>
      <c r="D77" s="846">
        <v>0.27</v>
      </c>
      <c r="E77" s="847">
        <v>2.13</v>
      </c>
      <c r="F77" s="777">
        <f t="shared" si="16"/>
        <v>9.5</v>
      </c>
      <c r="G77" s="777">
        <f t="shared" si="17"/>
        <v>10.65</v>
      </c>
      <c r="H77" s="777">
        <f t="shared" si="22"/>
        <v>9.5</v>
      </c>
      <c r="I77" s="777">
        <f t="shared" si="22"/>
        <v>10.65</v>
      </c>
      <c r="J77" s="802">
        <f t="shared" si="15"/>
        <v>0</v>
      </c>
      <c r="K77" s="801">
        <f>IF('Modelo 1.0 - NS'!R76=1,'Modelo 2.0 - Cubação'!E77,IF((E77-'Modelo 1.0 - NS'!U76)&lt;=0,E77,'Modelo 1.0 - NS'!U76))</f>
        <v>2.13</v>
      </c>
      <c r="L77" s="777">
        <f>'Modelo 1.0 - NS'!Q76</f>
        <v>4.6960000000000006</v>
      </c>
      <c r="M77" s="777">
        <f>IFERROR(((A77*20+C77)-(A76*20+C76))/2*(J76+J77),0)</f>
        <v>0</v>
      </c>
      <c r="N77" s="777">
        <f>IFERROR(((A77*20+C77)-(A76*20+C76))/2*(K76+K77),0)</f>
        <v>10.649999999999999</v>
      </c>
      <c r="O77" s="777">
        <f>IFERROR(((A77*20+C77)-(A76*20+C76))/2*(L76+L77),0)</f>
        <v>46.960000000000008</v>
      </c>
      <c r="P77" s="777">
        <f t="shared" si="23"/>
        <v>0</v>
      </c>
      <c r="Q77" s="777">
        <f t="shared" si="23"/>
        <v>10.649999999999999</v>
      </c>
      <c r="R77" s="777">
        <f t="shared" si="23"/>
        <v>46.960000000000008</v>
      </c>
      <c r="T77" s="777">
        <v>0</v>
      </c>
      <c r="U77" s="777">
        <v>0</v>
      </c>
      <c r="V77" s="777">
        <v>3.28</v>
      </c>
      <c r="W77" s="777">
        <v>32.799999999999997</v>
      </c>
      <c r="Y77" s="803">
        <v>0</v>
      </c>
      <c r="Z77" s="803">
        <v>0</v>
      </c>
      <c r="AA77" s="803">
        <v>0</v>
      </c>
      <c r="AB77" s="803">
        <v>0</v>
      </c>
      <c r="AD77" s="777">
        <v>9.5</v>
      </c>
      <c r="AE77" s="777">
        <v>0</v>
      </c>
      <c r="AF77" s="777">
        <v>13.85</v>
      </c>
      <c r="AG77" s="804">
        <v>9.5</v>
      </c>
      <c r="AH77" s="804">
        <v>-4.3499999999999996</v>
      </c>
      <c r="AI77" s="777">
        <v>-1007.7800000000002</v>
      </c>
      <c r="AK77" s="805" t="s">
        <v>833</v>
      </c>
      <c r="AL77" s="806">
        <v>1</v>
      </c>
      <c r="AM77" s="805" t="s">
        <v>67</v>
      </c>
      <c r="AN77" s="806">
        <v>0</v>
      </c>
      <c r="AO77" s="807">
        <v>3.35</v>
      </c>
      <c r="AP77" s="808">
        <v>3.35</v>
      </c>
      <c r="AR77" s="809" t="s">
        <v>67</v>
      </c>
      <c r="AS77" s="809">
        <v>0</v>
      </c>
      <c r="AT77" s="810" t="s">
        <v>67</v>
      </c>
      <c r="AU77" s="809">
        <v>0</v>
      </c>
      <c r="AV77" s="811">
        <v>0</v>
      </c>
      <c r="AW77" s="811">
        <v>0</v>
      </c>
      <c r="AY77" s="768" t="s">
        <v>67</v>
      </c>
      <c r="AZ77" s="768">
        <v>0</v>
      </c>
      <c r="BA77" s="813" t="s">
        <v>67</v>
      </c>
      <c r="BB77" s="768">
        <v>0</v>
      </c>
      <c r="BC77" s="814">
        <v>0</v>
      </c>
      <c r="BD77" s="808">
        <v>0</v>
      </c>
      <c r="BF77" s="766" t="s">
        <v>67</v>
      </c>
      <c r="BG77" s="766">
        <v>0</v>
      </c>
      <c r="BH77" s="767" t="s">
        <v>67</v>
      </c>
      <c r="BI77" s="766">
        <v>0</v>
      </c>
      <c r="BJ77" s="814">
        <v>0</v>
      </c>
      <c r="BK77" s="808">
        <v>0</v>
      </c>
      <c r="BM77" s="766" t="s">
        <v>67</v>
      </c>
      <c r="BN77" s="766">
        <v>0</v>
      </c>
      <c r="BO77" s="767" t="s">
        <v>67</v>
      </c>
      <c r="BP77" s="768">
        <v>0</v>
      </c>
      <c r="BQ77" s="814">
        <v>0</v>
      </c>
      <c r="BR77" s="808">
        <v>0</v>
      </c>
      <c r="BT77" s="766" t="s">
        <v>67</v>
      </c>
      <c r="BU77" s="771">
        <v>0</v>
      </c>
      <c r="BV77" s="815" t="s">
        <v>67</v>
      </c>
      <c r="BW77" s="771">
        <v>0</v>
      </c>
      <c r="BX77" s="814">
        <v>32.799999999999997</v>
      </c>
      <c r="BY77" s="808">
        <v>1279.2</v>
      </c>
      <c r="CA77" s="771" t="s">
        <v>67</v>
      </c>
      <c r="CB77" s="771">
        <v>0</v>
      </c>
      <c r="CC77" s="815" t="s">
        <v>67</v>
      </c>
      <c r="CD77" s="771">
        <v>0</v>
      </c>
      <c r="CE77" s="814">
        <v>0</v>
      </c>
      <c r="CF77" s="808">
        <v>0</v>
      </c>
      <c r="CH77" s="771" t="s">
        <v>834</v>
      </c>
      <c r="CI77" s="771">
        <v>1</v>
      </c>
      <c r="CJ77" s="771" t="s">
        <v>67</v>
      </c>
      <c r="CK77" s="771">
        <v>0</v>
      </c>
      <c r="CL77" s="814">
        <v>9.5</v>
      </c>
      <c r="CM77" s="816">
        <v>9.5</v>
      </c>
      <c r="CO77" s="848">
        <v>0.1</v>
      </c>
      <c r="CP77" s="818">
        <v>770</v>
      </c>
      <c r="CQ77" s="773">
        <v>0</v>
      </c>
      <c r="CR77" s="773">
        <v>-9.5</v>
      </c>
    </row>
    <row r="78" spans="1:96" ht="13.15" customHeight="1" outlineLevel="1">
      <c r="A78" s="800" t="s">
        <v>707</v>
      </c>
      <c r="B78" s="800" t="s">
        <v>605</v>
      </c>
      <c r="C78" s="800">
        <v>0</v>
      </c>
      <c r="D78" s="846">
        <v>0.5</v>
      </c>
      <c r="E78" s="847">
        <v>4.6500000000000004</v>
      </c>
      <c r="F78" s="777">
        <f t="shared" si="16"/>
        <v>3.85</v>
      </c>
      <c r="G78" s="777">
        <f t="shared" si="17"/>
        <v>33.9</v>
      </c>
      <c r="H78" s="777">
        <f t="shared" si="18"/>
        <v>13.35</v>
      </c>
      <c r="I78" s="777">
        <f t="shared" si="18"/>
        <v>44.55</v>
      </c>
      <c r="J78" s="802">
        <f t="shared" si="15"/>
        <v>0</v>
      </c>
      <c r="K78" s="801">
        <f>IF('Modelo 1.0 - NS'!R77=1,'Modelo 2.0 - Cubação'!E78,IF((E78-'Modelo 1.0 - NS'!U77)&lt;=0,E78,'Modelo 1.0 - NS'!U77))</f>
        <v>4.6500000000000004</v>
      </c>
      <c r="L78" s="777">
        <f>'Modelo 1.0 - NS'!Q77</f>
        <v>4.6960000000000006</v>
      </c>
      <c r="M78" s="777">
        <f t="shared" si="19"/>
        <v>0</v>
      </c>
      <c r="N78" s="777">
        <f t="shared" si="21"/>
        <v>33.9</v>
      </c>
      <c r="O78" s="777">
        <f t="shared" si="13"/>
        <v>46.960000000000008</v>
      </c>
      <c r="P78" s="777">
        <f t="shared" si="20"/>
        <v>0</v>
      </c>
      <c r="Q78" s="777">
        <f t="shared" si="20"/>
        <v>44.55</v>
      </c>
      <c r="R78" s="777">
        <f t="shared" si="20"/>
        <v>93.920000000000016</v>
      </c>
      <c r="T78" s="777">
        <v>0</v>
      </c>
      <c r="U78" s="777">
        <v>0</v>
      </c>
      <c r="V78" s="777">
        <v>3.28</v>
      </c>
      <c r="W78" s="777">
        <v>32.799999999999997</v>
      </c>
      <c r="Y78" s="803">
        <v>0</v>
      </c>
      <c r="Z78" s="803">
        <v>0</v>
      </c>
      <c r="AA78" s="803">
        <v>0</v>
      </c>
      <c r="AB78" s="803">
        <v>0</v>
      </c>
      <c r="AD78" s="777">
        <v>3.85</v>
      </c>
      <c r="AE78" s="777">
        <v>0</v>
      </c>
      <c r="AF78" s="777">
        <v>44.07</v>
      </c>
      <c r="AG78" s="804">
        <v>3.85</v>
      </c>
      <c r="AH78" s="804">
        <v>-40.22</v>
      </c>
      <c r="AI78" s="777">
        <v>-1048.0000000000002</v>
      </c>
      <c r="AK78" s="805" t="s">
        <v>67</v>
      </c>
      <c r="AL78" s="806">
        <v>0</v>
      </c>
      <c r="AM78" s="805" t="s">
        <v>67</v>
      </c>
      <c r="AN78" s="806">
        <v>0</v>
      </c>
      <c r="AO78" s="807">
        <v>30.94</v>
      </c>
      <c r="AP78" s="808">
        <v>34.29</v>
      </c>
      <c r="AR78" s="809" t="s">
        <v>67</v>
      </c>
      <c r="AS78" s="809">
        <v>0</v>
      </c>
      <c r="AT78" s="810" t="s">
        <v>67</v>
      </c>
      <c r="AU78" s="809">
        <v>0</v>
      </c>
      <c r="AV78" s="811">
        <v>0</v>
      </c>
      <c r="AW78" s="811">
        <v>0</v>
      </c>
      <c r="AY78" s="768" t="s">
        <v>67</v>
      </c>
      <c r="AZ78" s="768">
        <v>0</v>
      </c>
      <c r="BA78" s="813" t="s">
        <v>67</v>
      </c>
      <c r="BB78" s="768">
        <v>0</v>
      </c>
      <c r="BC78" s="814">
        <v>0</v>
      </c>
      <c r="BD78" s="808">
        <v>0</v>
      </c>
      <c r="BF78" s="766" t="s">
        <v>67</v>
      </c>
      <c r="BG78" s="766">
        <v>0</v>
      </c>
      <c r="BH78" s="767" t="s">
        <v>67</v>
      </c>
      <c r="BI78" s="766">
        <v>0</v>
      </c>
      <c r="BJ78" s="814">
        <v>0</v>
      </c>
      <c r="BK78" s="808">
        <v>0</v>
      </c>
      <c r="BM78" s="766" t="s">
        <v>67</v>
      </c>
      <c r="BN78" s="766">
        <v>0</v>
      </c>
      <c r="BO78" s="767" t="s">
        <v>67</v>
      </c>
      <c r="BP78" s="768">
        <v>0</v>
      </c>
      <c r="BQ78" s="814">
        <v>0</v>
      </c>
      <c r="BR78" s="808">
        <v>0</v>
      </c>
      <c r="BT78" s="766" t="s">
        <v>67</v>
      </c>
      <c r="BU78" s="771">
        <v>0</v>
      </c>
      <c r="BV78" s="815" t="s">
        <v>67</v>
      </c>
      <c r="BW78" s="771">
        <v>0</v>
      </c>
      <c r="BX78" s="814">
        <v>32.799999999999997</v>
      </c>
      <c r="BY78" s="808">
        <v>1312</v>
      </c>
      <c r="CA78" s="771" t="s">
        <v>67</v>
      </c>
      <c r="CB78" s="771">
        <v>0</v>
      </c>
      <c r="CC78" s="815" t="s">
        <v>67</v>
      </c>
      <c r="CD78" s="771">
        <v>0</v>
      </c>
      <c r="CE78" s="814">
        <v>0</v>
      </c>
      <c r="CF78" s="808">
        <v>0</v>
      </c>
      <c r="CH78" s="771" t="s">
        <v>67</v>
      </c>
      <c r="CI78" s="771">
        <v>0</v>
      </c>
      <c r="CJ78" s="771" t="s">
        <v>67</v>
      </c>
      <c r="CK78" s="771">
        <v>0</v>
      </c>
      <c r="CL78" s="814">
        <v>3.85</v>
      </c>
      <c r="CM78" s="816">
        <v>13.35</v>
      </c>
      <c r="CO78" s="848">
        <v>0.1</v>
      </c>
      <c r="CP78" s="818">
        <v>780</v>
      </c>
      <c r="CQ78" s="773">
        <v>0</v>
      </c>
      <c r="CR78" s="773">
        <v>-3.85</v>
      </c>
    </row>
    <row r="79" spans="1:96" ht="13.15" customHeight="1" outlineLevel="1">
      <c r="A79" s="800" t="s">
        <v>707</v>
      </c>
      <c r="B79" s="800" t="s">
        <v>605</v>
      </c>
      <c r="C79" s="800">
        <v>10</v>
      </c>
      <c r="D79" s="846">
        <v>0.51</v>
      </c>
      <c r="E79" s="847">
        <v>5.2</v>
      </c>
      <c r="F79" s="777">
        <f t="shared" si="16"/>
        <v>5.05</v>
      </c>
      <c r="G79" s="777">
        <f t="shared" si="17"/>
        <v>49.25</v>
      </c>
      <c r="H79" s="777">
        <f t="shared" si="18"/>
        <v>18.399999999999999</v>
      </c>
      <c r="I79" s="777">
        <f t="shared" si="18"/>
        <v>93.8</v>
      </c>
      <c r="J79" s="802">
        <f t="shared" si="15"/>
        <v>0</v>
      </c>
      <c r="K79" s="801">
        <f>IF('Modelo 1.0 - NS'!R78=1,'Modelo 2.0 - Cubação'!E79,IF((E79-'Modelo 1.0 - NS'!U78)&lt;=0,E79,'Modelo 1.0 - NS'!U78))</f>
        <v>5.2</v>
      </c>
      <c r="L79" s="777">
        <f>'Modelo 1.0 - NS'!Q78</f>
        <v>4.6960000000000006</v>
      </c>
      <c r="M79" s="777">
        <f t="shared" si="19"/>
        <v>0</v>
      </c>
      <c r="N79" s="777">
        <f t="shared" si="21"/>
        <v>49.250000000000007</v>
      </c>
      <c r="O79" s="777">
        <f t="shared" si="13"/>
        <v>46.960000000000008</v>
      </c>
      <c r="P79" s="777">
        <f t="shared" si="20"/>
        <v>0</v>
      </c>
      <c r="Q79" s="777">
        <f t="shared" si="20"/>
        <v>93.800000000000011</v>
      </c>
      <c r="R79" s="777">
        <f t="shared" si="20"/>
        <v>140.88000000000002</v>
      </c>
      <c r="T79" s="777">
        <v>0</v>
      </c>
      <c r="U79" s="777">
        <v>0</v>
      </c>
      <c r="V79" s="777">
        <v>3.28</v>
      </c>
      <c r="W79" s="777">
        <v>32.799999999999997</v>
      </c>
      <c r="Y79" s="803">
        <v>0</v>
      </c>
      <c r="Z79" s="803">
        <v>0</v>
      </c>
      <c r="AA79" s="803">
        <v>0</v>
      </c>
      <c r="AB79" s="803">
        <v>0</v>
      </c>
      <c r="AD79" s="777">
        <v>5.05</v>
      </c>
      <c r="AE79" s="777">
        <v>0</v>
      </c>
      <c r="AF79" s="777">
        <v>64.03</v>
      </c>
      <c r="AG79" s="804">
        <v>5.05</v>
      </c>
      <c r="AH79" s="804">
        <v>-58.980000000000004</v>
      </c>
      <c r="AI79" s="777">
        <v>-1106.9800000000002</v>
      </c>
      <c r="AK79" s="805" t="s">
        <v>67</v>
      </c>
      <c r="AL79" s="806">
        <v>0</v>
      </c>
      <c r="AM79" s="805" t="s">
        <v>67</v>
      </c>
      <c r="AN79" s="806">
        <v>0</v>
      </c>
      <c r="AO79" s="807">
        <v>45.37</v>
      </c>
      <c r="AP79" s="808">
        <v>79.66</v>
      </c>
      <c r="AR79" s="809" t="s">
        <v>67</v>
      </c>
      <c r="AS79" s="809">
        <v>0</v>
      </c>
      <c r="AT79" s="810" t="s">
        <v>67</v>
      </c>
      <c r="AU79" s="809">
        <v>0</v>
      </c>
      <c r="AV79" s="811">
        <v>0</v>
      </c>
      <c r="AW79" s="811">
        <v>0</v>
      </c>
      <c r="AY79" s="768" t="s">
        <v>67</v>
      </c>
      <c r="AZ79" s="768">
        <v>0</v>
      </c>
      <c r="BA79" s="813" t="s">
        <v>67</v>
      </c>
      <c r="BB79" s="768">
        <v>0</v>
      </c>
      <c r="BC79" s="814">
        <v>0</v>
      </c>
      <c r="BD79" s="808">
        <v>0</v>
      </c>
      <c r="BF79" s="766" t="s">
        <v>67</v>
      </c>
      <c r="BG79" s="766">
        <v>0</v>
      </c>
      <c r="BH79" s="767" t="s">
        <v>67</v>
      </c>
      <c r="BI79" s="766">
        <v>0</v>
      </c>
      <c r="BJ79" s="814">
        <v>0</v>
      </c>
      <c r="BK79" s="808">
        <v>0</v>
      </c>
      <c r="BM79" s="766" t="s">
        <v>67</v>
      </c>
      <c r="BN79" s="766">
        <v>0</v>
      </c>
      <c r="BO79" s="767" t="s">
        <v>67</v>
      </c>
      <c r="BP79" s="768">
        <v>0</v>
      </c>
      <c r="BQ79" s="814">
        <v>0</v>
      </c>
      <c r="BR79" s="808">
        <v>0</v>
      </c>
      <c r="BT79" s="766" t="s">
        <v>67</v>
      </c>
      <c r="BU79" s="771">
        <v>0</v>
      </c>
      <c r="BV79" s="815" t="s">
        <v>67</v>
      </c>
      <c r="BW79" s="771">
        <v>0</v>
      </c>
      <c r="BX79" s="814">
        <v>32.799999999999997</v>
      </c>
      <c r="BY79" s="808">
        <v>1344.8</v>
      </c>
      <c r="CA79" s="771" t="s">
        <v>67</v>
      </c>
      <c r="CB79" s="771">
        <v>0</v>
      </c>
      <c r="CC79" s="815" t="s">
        <v>67</v>
      </c>
      <c r="CD79" s="771">
        <v>0</v>
      </c>
      <c r="CE79" s="814">
        <v>0</v>
      </c>
      <c r="CF79" s="808">
        <v>0</v>
      </c>
      <c r="CH79" s="771" t="s">
        <v>67</v>
      </c>
      <c r="CI79" s="771">
        <v>0</v>
      </c>
      <c r="CJ79" s="771" t="s">
        <v>67</v>
      </c>
      <c r="CK79" s="771">
        <v>0</v>
      </c>
      <c r="CL79" s="814">
        <v>5.05</v>
      </c>
      <c r="CM79" s="816">
        <v>18.399999999999999</v>
      </c>
      <c r="CO79" s="848">
        <v>0.1</v>
      </c>
      <c r="CP79" s="818">
        <v>790</v>
      </c>
      <c r="CQ79" s="773">
        <v>0</v>
      </c>
      <c r="CR79" s="773">
        <v>-5.05</v>
      </c>
    </row>
    <row r="80" spans="1:96" ht="13.15" customHeight="1" outlineLevel="1">
      <c r="A80" s="800" t="s">
        <v>710</v>
      </c>
      <c r="B80" s="800" t="s">
        <v>605</v>
      </c>
      <c r="C80" s="800">
        <v>0</v>
      </c>
      <c r="D80" s="846">
        <v>0</v>
      </c>
      <c r="E80" s="847">
        <v>5.7</v>
      </c>
      <c r="F80" s="777">
        <f t="shared" si="16"/>
        <v>2.5499999999999998</v>
      </c>
      <c r="G80" s="777">
        <f t="shared" si="17"/>
        <v>54.5</v>
      </c>
      <c r="H80" s="777">
        <f t="shared" si="18"/>
        <v>20.95</v>
      </c>
      <c r="I80" s="777">
        <f t="shared" si="18"/>
        <v>148.30000000000001</v>
      </c>
      <c r="J80" s="802">
        <f t="shared" si="15"/>
        <v>0</v>
      </c>
      <c r="K80" s="801">
        <f>IF('Modelo 1.0 - NS'!R79=1,'Modelo 2.0 - Cubação'!E80,IF((E80-'Modelo 1.0 - NS'!U79)&lt;=0,E80,'Modelo 1.0 - NS'!U79))</f>
        <v>5.7</v>
      </c>
      <c r="L80" s="777">
        <f>'Modelo 1.0 - NS'!Q79</f>
        <v>4.6960000000000006</v>
      </c>
      <c r="M80" s="777">
        <f t="shared" si="19"/>
        <v>0</v>
      </c>
      <c r="N80" s="777">
        <f t="shared" si="21"/>
        <v>54.5</v>
      </c>
      <c r="O80" s="777">
        <f t="shared" si="13"/>
        <v>46.960000000000008</v>
      </c>
      <c r="P80" s="777">
        <f t="shared" si="20"/>
        <v>0</v>
      </c>
      <c r="Q80" s="777">
        <f t="shared" si="20"/>
        <v>148.30000000000001</v>
      </c>
      <c r="R80" s="777">
        <f t="shared" si="20"/>
        <v>187.84000000000003</v>
      </c>
      <c r="T80" s="777">
        <v>0</v>
      </c>
      <c r="U80" s="777">
        <v>0</v>
      </c>
      <c r="V80" s="777">
        <v>3.28</v>
      </c>
      <c r="W80" s="777">
        <v>32.799999999999997</v>
      </c>
      <c r="Y80" s="803">
        <v>0</v>
      </c>
      <c r="Z80" s="803">
        <v>0</v>
      </c>
      <c r="AA80" s="803">
        <v>0</v>
      </c>
      <c r="AB80" s="803">
        <v>0</v>
      </c>
      <c r="AD80" s="777">
        <v>2.5499999999999998</v>
      </c>
      <c r="AE80" s="777">
        <v>0</v>
      </c>
      <c r="AF80" s="777">
        <v>70.849999999999994</v>
      </c>
      <c r="AG80" s="804">
        <v>2.5499999999999998</v>
      </c>
      <c r="AH80" s="804">
        <v>-68.3</v>
      </c>
      <c r="AI80" s="777">
        <v>-1175.2800000000002</v>
      </c>
      <c r="AK80" s="805" t="s">
        <v>67</v>
      </c>
      <c r="AL80" s="806">
        <v>0</v>
      </c>
      <c r="AM80" s="805" t="s">
        <v>67</v>
      </c>
      <c r="AN80" s="806">
        <v>0</v>
      </c>
      <c r="AO80" s="807">
        <v>52.54</v>
      </c>
      <c r="AP80" s="808">
        <v>132.19999999999999</v>
      </c>
      <c r="AR80" s="809" t="s">
        <v>67</v>
      </c>
      <c r="AS80" s="809">
        <v>0</v>
      </c>
      <c r="AT80" s="810" t="s">
        <v>67</v>
      </c>
      <c r="AU80" s="809">
        <v>0</v>
      </c>
      <c r="AV80" s="811">
        <v>0</v>
      </c>
      <c r="AW80" s="811">
        <v>0</v>
      </c>
      <c r="AY80" s="768" t="s">
        <v>67</v>
      </c>
      <c r="AZ80" s="768">
        <v>0</v>
      </c>
      <c r="BA80" s="813" t="s">
        <v>67</v>
      </c>
      <c r="BB80" s="768">
        <v>0</v>
      </c>
      <c r="BC80" s="814">
        <v>0</v>
      </c>
      <c r="BD80" s="808">
        <v>0</v>
      </c>
      <c r="BF80" s="766" t="s">
        <v>67</v>
      </c>
      <c r="BG80" s="766">
        <v>0</v>
      </c>
      <c r="BH80" s="767" t="s">
        <v>67</v>
      </c>
      <c r="BI80" s="766">
        <v>0</v>
      </c>
      <c r="BJ80" s="814">
        <v>0</v>
      </c>
      <c r="BK80" s="808">
        <v>0</v>
      </c>
      <c r="BM80" s="766" t="s">
        <v>67</v>
      </c>
      <c r="BN80" s="766">
        <v>0</v>
      </c>
      <c r="BO80" s="767" t="s">
        <v>67</v>
      </c>
      <c r="BP80" s="768">
        <v>0</v>
      </c>
      <c r="BQ80" s="814">
        <v>0</v>
      </c>
      <c r="BR80" s="808">
        <v>0</v>
      </c>
      <c r="BT80" s="766" t="s">
        <v>67</v>
      </c>
      <c r="BU80" s="771">
        <v>0</v>
      </c>
      <c r="BV80" s="815" t="s">
        <v>67</v>
      </c>
      <c r="BW80" s="771">
        <v>0</v>
      </c>
      <c r="BX80" s="814">
        <v>32.799999999999997</v>
      </c>
      <c r="BY80" s="808">
        <v>1377.6</v>
      </c>
      <c r="CA80" s="771" t="s">
        <v>67</v>
      </c>
      <c r="CB80" s="771">
        <v>0</v>
      </c>
      <c r="CC80" s="815" t="s">
        <v>67</v>
      </c>
      <c r="CD80" s="771">
        <v>0</v>
      </c>
      <c r="CE80" s="814">
        <v>0</v>
      </c>
      <c r="CF80" s="808">
        <v>0</v>
      </c>
      <c r="CH80" s="771" t="s">
        <v>67</v>
      </c>
      <c r="CI80" s="771">
        <v>0</v>
      </c>
      <c r="CJ80" s="771" t="s">
        <v>67</v>
      </c>
      <c r="CK80" s="771">
        <v>0</v>
      </c>
      <c r="CL80" s="814">
        <v>2.5499999999999998</v>
      </c>
      <c r="CM80" s="816">
        <v>20.95</v>
      </c>
      <c r="CO80" s="848">
        <v>0.1</v>
      </c>
      <c r="CP80" s="818">
        <v>800</v>
      </c>
      <c r="CQ80" s="773">
        <v>0</v>
      </c>
      <c r="CR80" s="773">
        <v>-2.5499999999999998</v>
      </c>
    </row>
    <row r="81" spans="1:96" ht="13.15" customHeight="1" outlineLevel="1">
      <c r="A81" s="800" t="s">
        <v>710</v>
      </c>
      <c r="B81" s="800" t="s">
        <v>605</v>
      </c>
      <c r="C81" s="800">
        <v>10</v>
      </c>
      <c r="D81" s="846">
        <v>0.27</v>
      </c>
      <c r="E81" s="847">
        <v>3.38</v>
      </c>
      <c r="F81" s="777">
        <f t="shared" si="16"/>
        <v>1.35</v>
      </c>
      <c r="G81" s="777">
        <f t="shared" si="17"/>
        <v>45.4</v>
      </c>
      <c r="H81" s="777">
        <f t="shared" si="18"/>
        <v>22.3</v>
      </c>
      <c r="I81" s="777">
        <f t="shared" si="18"/>
        <v>193.70000000000002</v>
      </c>
      <c r="J81" s="802">
        <f t="shared" si="15"/>
        <v>0</v>
      </c>
      <c r="K81" s="801">
        <f>IF('Modelo 1.0 - NS'!R80=1,'Modelo 2.0 - Cubação'!E81,IF((E81-'Modelo 1.0 - NS'!U80)&lt;=0,E81,'Modelo 1.0 - NS'!U80))</f>
        <v>3.38</v>
      </c>
      <c r="L81" s="777">
        <f>'Modelo 1.0 - NS'!Q80</f>
        <v>4.6960000000000006</v>
      </c>
      <c r="M81" s="777">
        <f t="shared" si="19"/>
        <v>0</v>
      </c>
      <c r="N81" s="777">
        <f t="shared" si="21"/>
        <v>45.4</v>
      </c>
      <c r="O81" s="777">
        <f t="shared" si="13"/>
        <v>46.960000000000008</v>
      </c>
      <c r="P81" s="777">
        <f t="shared" si="20"/>
        <v>0</v>
      </c>
      <c r="Q81" s="777">
        <f t="shared" si="20"/>
        <v>193.70000000000002</v>
      </c>
      <c r="R81" s="777">
        <f t="shared" si="20"/>
        <v>234.80000000000004</v>
      </c>
      <c r="T81" s="777">
        <v>0</v>
      </c>
      <c r="U81" s="777">
        <v>0</v>
      </c>
      <c r="V81" s="777">
        <v>3.28</v>
      </c>
      <c r="W81" s="777">
        <v>32.799999999999997</v>
      </c>
      <c r="Y81" s="803">
        <v>0</v>
      </c>
      <c r="Z81" s="803">
        <v>0</v>
      </c>
      <c r="AA81" s="803">
        <v>0</v>
      </c>
      <c r="AB81" s="803">
        <v>0</v>
      </c>
      <c r="AD81" s="777">
        <v>1.35</v>
      </c>
      <c r="AE81" s="777">
        <v>0</v>
      </c>
      <c r="AF81" s="777">
        <v>59.02</v>
      </c>
      <c r="AG81" s="804">
        <v>1.35</v>
      </c>
      <c r="AH81" s="804">
        <v>-57.67</v>
      </c>
      <c r="AI81" s="777">
        <v>-1232.9500000000003</v>
      </c>
      <c r="AK81" s="805" t="s">
        <v>67</v>
      </c>
      <c r="AL81" s="806">
        <v>0</v>
      </c>
      <c r="AM81" s="805" t="s">
        <v>67</v>
      </c>
      <c r="AN81" s="806">
        <v>0</v>
      </c>
      <c r="AO81" s="807">
        <v>44.36</v>
      </c>
      <c r="AP81" s="808">
        <v>176.56</v>
      </c>
      <c r="AR81" s="809" t="s">
        <v>67</v>
      </c>
      <c r="AS81" s="809">
        <v>0</v>
      </c>
      <c r="AT81" s="810" t="s">
        <v>67</v>
      </c>
      <c r="AU81" s="809">
        <v>0</v>
      </c>
      <c r="AV81" s="811">
        <v>0</v>
      </c>
      <c r="AW81" s="811">
        <v>0</v>
      </c>
      <c r="AY81" s="768" t="s">
        <v>67</v>
      </c>
      <c r="AZ81" s="768">
        <v>0</v>
      </c>
      <c r="BA81" s="813" t="s">
        <v>67</v>
      </c>
      <c r="BB81" s="768">
        <v>0</v>
      </c>
      <c r="BC81" s="814">
        <v>0</v>
      </c>
      <c r="BD81" s="808">
        <v>0</v>
      </c>
      <c r="BF81" s="766" t="s">
        <v>67</v>
      </c>
      <c r="BG81" s="766">
        <v>0</v>
      </c>
      <c r="BH81" s="767" t="s">
        <v>67</v>
      </c>
      <c r="BI81" s="766">
        <v>0</v>
      </c>
      <c r="BJ81" s="814">
        <v>0</v>
      </c>
      <c r="BK81" s="808">
        <v>0</v>
      </c>
      <c r="BM81" s="766" t="s">
        <v>67</v>
      </c>
      <c r="BN81" s="766">
        <v>0</v>
      </c>
      <c r="BO81" s="767" t="s">
        <v>67</v>
      </c>
      <c r="BP81" s="768">
        <v>0</v>
      </c>
      <c r="BQ81" s="814">
        <v>0</v>
      </c>
      <c r="BR81" s="808">
        <v>0</v>
      </c>
      <c r="BT81" s="766" t="s">
        <v>67</v>
      </c>
      <c r="BU81" s="771">
        <v>0</v>
      </c>
      <c r="BV81" s="815" t="s">
        <v>67</v>
      </c>
      <c r="BW81" s="771">
        <v>0</v>
      </c>
      <c r="BX81" s="814">
        <v>32.799999999999997</v>
      </c>
      <c r="BY81" s="808">
        <v>1410.3999999999999</v>
      </c>
      <c r="CA81" s="771" t="s">
        <v>67</v>
      </c>
      <c r="CB81" s="771">
        <v>0</v>
      </c>
      <c r="CC81" s="815" t="s">
        <v>67</v>
      </c>
      <c r="CD81" s="771">
        <v>0</v>
      </c>
      <c r="CE81" s="814">
        <v>0</v>
      </c>
      <c r="CF81" s="808">
        <v>0</v>
      </c>
      <c r="CH81" s="771" t="s">
        <v>67</v>
      </c>
      <c r="CI81" s="771">
        <v>0</v>
      </c>
      <c r="CJ81" s="771" t="s">
        <v>67</v>
      </c>
      <c r="CK81" s="771">
        <v>0</v>
      </c>
      <c r="CL81" s="814">
        <v>1.35</v>
      </c>
      <c r="CM81" s="816">
        <v>22.3</v>
      </c>
      <c r="CO81" s="848">
        <v>0.1</v>
      </c>
      <c r="CP81" s="818">
        <v>810</v>
      </c>
      <c r="CQ81" s="773">
        <v>0</v>
      </c>
      <c r="CR81" s="773">
        <v>-1.35</v>
      </c>
    </row>
    <row r="82" spans="1:96" ht="13.15" customHeight="1" outlineLevel="1">
      <c r="A82" s="800" t="s">
        <v>713</v>
      </c>
      <c r="B82" s="800" t="s">
        <v>605</v>
      </c>
      <c r="C82" s="800">
        <v>0</v>
      </c>
      <c r="D82" s="846">
        <v>0.6</v>
      </c>
      <c r="E82" s="847">
        <v>2.65</v>
      </c>
      <c r="F82" s="777">
        <f t="shared" si="16"/>
        <v>4.3499999999999996</v>
      </c>
      <c r="G82" s="777">
        <f t="shared" si="17"/>
        <v>30.15</v>
      </c>
      <c r="H82" s="777">
        <f t="shared" si="18"/>
        <v>26.65</v>
      </c>
      <c r="I82" s="777">
        <f t="shared" si="18"/>
        <v>223.85000000000002</v>
      </c>
      <c r="J82" s="802">
        <f t="shared" si="15"/>
        <v>0</v>
      </c>
      <c r="K82" s="801">
        <f>IF('Modelo 1.0 - NS'!R81=1,'Modelo 2.0 - Cubação'!E82,IF((E82-'Modelo 1.0 - NS'!U81)&lt;=0,E82,'Modelo 1.0 - NS'!U81))</f>
        <v>2.65</v>
      </c>
      <c r="L82" s="777">
        <f>'Modelo 1.0 - NS'!Q81</f>
        <v>4.6960000000000006</v>
      </c>
      <c r="M82" s="777">
        <f t="shared" si="19"/>
        <v>0</v>
      </c>
      <c r="N82" s="777">
        <f t="shared" si="21"/>
        <v>30.15</v>
      </c>
      <c r="O82" s="777">
        <f t="shared" si="13"/>
        <v>46.960000000000008</v>
      </c>
      <c r="P82" s="777">
        <f t="shared" si="20"/>
        <v>0</v>
      </c>
      <c r="Q82" s="777">
        <f t="shared" si="20"/>
        <v>223.85000000000002</v>
      </c>
      <c r="R82" s="777">
        <f t="shared" si="20"/>
        <v>281.76000000000005</v>
      </c>
      <c r="T82" s="777">
        <v>0</v>
      </c>
      <c r="U82" s="777">
        <v>0</v>
      </c>
      <c r="V82" s="777">
        <v>3.28</v>
      </c>
      <c r="W82" s="777">
        <v>32.799999999999997</v>
      </c>
      <c r="Y82" s="803">
        <v>0</v>
      </c>
      <c r="Z82" s="803">
        <v>0</v>
      </c>
      <c r="AA82" s="803">
        <v>0</v>
      </c>
      <c r="AB82" s="803">
        <v>0</v>
      </c>
      <c r="AD82" s="777">
        <v>4.3499999999999996</v>
      </c>
      <c r="AE82" s="777">
        <v>0</v>
      </c>
      <c r="AF82" s="777">
        <v>39.200000000000003</v>
      </c>
      <c r="AG82" s="804">
        <v>4.3499999999999996</v>
      </c>
      <c r="AH82" s="804">
        <v>-34.85</v>
      </c>
      <c r="AI82" s="777">
        <v>-1267.8000000000002</v>
      </c>
      <c r="AK82" s="805" t="s">
        <v>67</v>
      </c>
      <c r="AL82" s="806">
        <v>0</v>
      </c>
      <c r="AM82" s="805" t="s">
        <v>67</v>
      </c>
      <c r="AN82" s="806">
        <v>0</v>
      </c>
      <c r="AO82" s="807">
        <v>26.81</v>
      </c>
      <c r="AP82" s="808">
        <v>203.37</v>
      </c>
      <c r="AR82" s="809" t="s">
        <v>67</v>
      </c>
      <c r="AS82" s="809">
        <v>0</v>
      </c>
      <c r="AT82" s="810" t="s">
        <v>67</v>
      </c>
      <c r="AU82" s="809">
        <v>0</v>
      </c>
      <c r="AV82" s="811">
        <v>0</v>
      </c>
      <c r="AW82" s="811">
        <v>0</v>
      </c>
      <c r="AY82" s="768" t="s">
        <v>67</v>
      </c>
      <c r="AZ82" s="768">
        <v>0</v>
      </c>
      <c r="BA82" s="813" t="s">
        <v>67</v>
      </c>
      <c r="BB82" s="768">
        <v>0</v>
      </c>
      <c r="BC82" s="814">
        <v>0</v>
      </c>
      <c r="BD82" s="808">
        <v>0</v>
      </c>
      <c r="BF82" s="766" t="s">
        <v>835</v>
      </c>
      <c r="BG82" s="766">
        <v>0</v>
      </c>
      <c r="BH82" s="767" t="s">
        <v>67</v>
      </c>
      <c r="BI82" s="766">
        <v>0</v>
      </c>
      <c r="BJ82" s="814">
        <v>0</v>
      </c>
      <c r="BK82" s="808">
        <v>0</v>
      </c>
      <c r="BM82" s="766" t="s">
        <v>67</v>
      </c>
      <c r="BN82" s="766">
        <v>0</v>
      </c>
      <c r="BO82" s="767" t="s">
        <v>67</v>
      </c>
      <c r="BP82" s="768">
        <v>0</v>
      </c>
      <c r="BQ82" s="814">
        <v>0</v>
      </c>
      <c r="BR82" s="808">
        <v>0</v>
      </c>
      <c r="BT82" s="766" t="s">
        <v>67</v>
      </c>
      <c r="BU82" s="771">
        <v>0</v>
      </c>
      <c r="BV82" s="815" t="s">
        <v>67</v>
      </c>
      <c r="BW82" s="771">
        <v>0</v>
      </c>
      <c r="BX82" s="814">
        <v>32.799999999999997</v>
      </c>
      <c r="BY82" s="808">
        <v>1443.1999999999998</v>
      </c>
      <c r="CA82" s="771" t="s">
        <v>67</v>
      </c>
      <c r="CB82" s="771">
        <v>0</v>
      </c>
      <c r="CC82" s="815" t="s">
        <v>67</v>
      </c>
      <c r="CD82" s="771">
        <v>0</v>
      </c>
      <c r="CE82" s="814">
        <v>0</v>
      </c>
      <c r="CF82" s="808">
        <v>0</v>
      </c>
      <c r="CH82" s="771" t="s">
        <v>67</v>
      </c>
      <c r="CI82" s="771">
        <v>0</v>
      </c>
      <c r="CJ82" s="771" t="s">
        <v>67</v>
      </c>
      <c r="CK82" s="771">
        <v>0</v>
      </c>
      <c r="CL82" s="814">
        <v>4.3499999999999996</v>
      </c>
      <c r="CM82" s="816">
        <v>26.65</v>
      </c>
      <c r="CO82" s="848">
        <v>0.1</v>
      </c>
      <c r="CP82" s="818">
        <v>820</v>
      </c>
      <c r="CQ82" s="773">
        <v>0</v>
      </c>
      <c r="CR82" s="773">
        <v>-4.3499999999999996</v>
      </c>
    </row>
    <row r="83" spans="1:96" ht="13.15" customHeight="1" outlineLevel="1">
      <c r="A83" s="800" t="s">
        <v>713</v>
      </c>
      <c r="B83" s="800" t="s">
        <v>605</v>
      </c>
      <c r="C83" s="800">
        <v>10</v>
      </c>
      <c r="D83" s="846">
        <v>0.1</v>
      </c>
      <c r="E83" s="847">
        <v>2.8</v>
      </c>
      <c r="F83" s="777">
        <f t="shared" si="16"/>
        <v>3.5</v>
      </c>
      <c r="G83" s="777">
        <f t="shared" si="17"/>
        <v>27.25</v>
      </c>
      <c r="H83" s="777">
        <f t="shared" si="18"/>
        <v>30.15</v>
      </c>
      <c r="I83" s="777">
        <f t="shared" si="18"/>
        <v>251.10000000000002</v>
      </c>
      <c r="J83" s="802">
        <f t="shared" si="15"/>
        <v>0</v>
      </c>
      <c r="K83" s="801">
        <f>IF('Modelo 1.0 - NS'!R82=1,'Modelo 2.0 - Cubação'!E83,IF((E83-'Modelo 1.0 - NS'!U82)&lt;=0,E83,'Modelo 1.0 - NS'!U82))</f>
        <v>2.8</v>
      </c>
      <c r="L83" s="777">
        <f>'Modelo 1.0 - NS'!Q82</f>
        <v>4.6960000000000006</v>
      </c>
      <c r="M83" s="777">
        <f t="shared" si="19"/>
        <v>0</v>
      </c>
      <c r="N83" s="777">
        <f t="shared" si="21"/>
        <v>27.249999999999996</v>
      </c>
      <c r="O83" s="777">
        <f t="shared" si="13"/>
        <v>46.960000000000008</v>
      </c>
      <c r="P83" s="777">
        <f t="shared" si="20"/>
        <v>0</v>
      </c>
      <c r="Q83" s="777">
        <f t="shared" si="20"/>
        <v>251.10000000000002</v>
      </c>
      <c r="R83" s="777">
        <f t="shared" si="20"/>
        <v>328.72</v>
      </c>
      <c r="T83" s="777">
        <v>3.0950000000000006</v>
      </c>
      <c r="U83" s="777">
        <v>15.48</v>
      </c>
      <c r="V83" s="777">
        <v>0</v>
      </c>
      <c r="W83" s="777">
        <v>16.399999999999999</v>
      </c>
      <c r="Y83" s="803">
        <v>0</v>
      </c>
      <c r="Z83" s="803">
        <v>0</v>
      </c>
      <c r="AA83" s="803">
        <v>0</v>
      </c>
      <c r="AB83" s="803">
        <v>0</v>
      </c>
      <c r="AD83" s="777">
        <v>3.5</v>
      </c>
      <c r="AE83" s="777">
        <v>0</v>
      </c>
      <c r="AF83" s="777">
        <v>35.43</v>
      </c>
      <c r="AG83" s="804">
        <v>3.5</v>
      </c>
      <c r="AH83" s="804">
        <v>-31.93</v>
      </c>
      <c r="AI83" s="777">
        <v>-1299.7300000000002</v>
      </c>
      <c r="AK83" s="805" t="s">
        <v>67</v>
      </c>
      <c r="AL83" s="806">
        <v>0</v>
      </c>
      <c r="AM83" s="805" t="s">
        <v>67</v>
      </c>
      <c r="AN83" s="806">
        <v>0</v>
      </c>
      <c r="AO83" s="807">
        <v>24.56</v>
      </c>
      <c r="AP83" s="808">
        <v>227.93</v>
      </c>
      <c r="AR83" s="809" t="s">
        <v>67</v>
      </c>
      <c r="AS83" s="809">
        <v>0</v>
      </c>
      <c r="AT83" s="810" t="s">
        <v>67</v>
      </c>
      <c r="AU83" s="809">
        <v>0</v>
      </c>
      <c r="AV83" s="811">
        <v>0</v>
      </c>
      <c r="AW83" s="811">
        <v>0</v>
      </c>
      <c r="AY83" s="768" t="s">
        <v>67</v>
      </c>
      <c r="AZ83" s="768">
        <v>0</v>
      </c>
      <c r="BA83" s="813" t="s">
        <v>67</v>
      </c>
      <c r="BB83" s="768">
        <v>0</v>
      </c>
      <c r="BC83" s="814">
        <v>0</v>
      </c>
      <c r="BD83" s="808">
        <v>0</v>
      </c>
      <c r="BF83" s="766" t="s">
        <v>67</v>
      </c>
      <c r="BG83" s="766">
        <v>1</v>
      </c>
      <c r="BH83" s="767" t="s">
        <v>67</v>
      </c>
      <c r="BI83" s="766">
        <v>0</v>
      </c>
      <c r="BJ83" s="814">
        <v>15.48</v>
      </c>
      <c r="BK83" s="808">
        <v>15.48</v>
      </c>
      <c r="BM83" s="766" t="s">
        <v>67</v>
      </c>
      <c r="BN83" s="766">
        <v>0</v>
      </c>
      <c r="BO83" s="767" t="s">
        <v>67</v>
      </c>
      <c r="BP83" s="768">
        <v>0</v>
      </c>
      <c r="BQ83" s="814">
        <v>0</v>
      </c>
      <c r="BR83" s="808">
        <v>0</v>
      </c>
      <c r="BT83" s="766" t="s">
        <v>67</v>
      </c>
      <c r="BU83" s="771">
        <v>0</v>
      </c>
      <c r="BV83" s="815" t="s">
        <v>67</v>
      </c>
      <c r="BW83" s="771">
        <v>0</v>
      </c>
      <c r="BX83" s="814">
        <v>16.399999999999999</v>
      </c>
      <c r="BY83" s="808">
        <v>1459.6</v>
      </c>
      <c r="CA83" s="771" t="s">
        <v>67</v>
      </c>
      <c r="CB83" s="771">
        <v>0</v>
      </c>
      <c r="CC83" s="815" t="s">
        <v>67</v>
      </c>
      <c r="CD83" s="771">
        <v>0</v>
      </c>
      <c r="CE83" s="814">
        <v>0</v>
      </c>
      <c r="CF83" s="808">
        <v>0</v>
      </c>
      <c r="CH83" s="771" t="s">
        <v>67</v>
      </c>
      <c r="CI83" s="771">
        <v>0</v>
      </c>
      <c r="CJ83" s="771" t="s">
        <v>67</v>
      </c>
      <c r="CK83" s="771">
        <v>0</v>
      </c>
      <c r="CL83" s="814">
        <v>3.5</v>
      </c>
      <c r="CM83" s="816">
        <v>30.15</v>
      </c>
      <c r="CO83" s="848">
        <v>0.1</v>
      </c>
      <c r="CP83" s="818">
        <v>830</v>
      </c>
      <c r="CQ83" s="773">
        <v>0</v>
      </c>
      <c r="CR83" s="773">
        <v>-3.5</v>
      </c>
    </row>
    <row r="84" spans="1:96" ht="13.15" customHeight="1" outlineLevel="1">
      <c r="A84" s="800" t="s">
        <v>716</v>
      </c>
      <c r="B84" s="800" t="s">
        <v>605</v>
      </c>
      <c r="C84" s="800">
        <v>0</v>
      </c>
      <c r="D84" s="846">
        <v>0.28999999999999998</v>
      </c>
      <c r="E84" s="847">
        <v>0.63</v>
      </c>
      <c r="F84" s="777">
        <f t="shared" si="16"/>
        <v>1.95</v>
      </c>
      <c r="G84" s="777">
        <f t="shared" si="17"/>
        <v>17.149999999999999</v>
      </c>
      <c r="H84" s="777">
        <f t="shared" si="18"/>
        <v>32.1</v>
      </c>
      <c r="I84" s="777">
        <f t="shared" si="18"/>
        <v>268.25</v>
      </c>
      <c r="J84" s="802">
        <f t="shared" si="15"/>
        <v>0</v>
      </c>
      <c r="K84" s="801">
        <f>IF('Modelo 1.0 - NS'!R83=1,'Modelo 2.0 - Cubação'!E84,IF((E84-'Modelo 1.0 - NS'!U83)&lt;=0,E84,'Modelo 1.0 - NS'!U83))</f>
        <v>0.63</v>
      </c>
      <c r="L84" s="777">
        <f>'Modelo 1.0 - NS'!Q83</f>
        <v>4.6960000000000006</v>
      </c>
      <c r="M84" s="777">
        <f t="shared" si="19"/>
        <v>0</v>
      </c>
      <c r="N84" s="777">
        <f t="shared" si="21"/>
        <v>17.149999999999999</v>
      </c>
      <c r="O84" s="777">
        <f t="shared" si="13"/>
        <v>46.960000000000008</v>
      </c>
      <c r="P84" s="777">
        <f t="shared" si="20"/>
        <v>0</v>
      </c>
      <c r="Q84" s="777">
        <f t="shared" si="20"/>
        <v>268.25</v>
      </c>
      <c r="R84" s="777">
        <f t="shared" si="20"/>
        <v>375.68000000000006</v>
      </c>
      <c r="T84" s="777">
        <v>0</v>
      </c>
      <c r="U84" s="777">
        <v>15.48</v>
      </c>
      <c r="V84" s="777">
        <v>3.28</v>
      </c>
      <c r="W84" s="777">
        <v>16.399999999999999</v>
      </c>
      <c r="Y84" s="803">
        <v>0</v>
      </c>
      <c r="Z84" s="803">
        <v>0</v>
      </c>
      <c r="AA84" s="803">
        <v>0</v>
      </c>
      <c r="AB84" s="803">
        <v>0</v>
      </c>
      <c r="AD84" s="777">
        <v>1.95</v>
      </c>
      <c r="AE84" s="777">
        <v>0</v>
      </c>
      <c r="AF84" s="777">
        <v>22.3</v>
      </c>
      <c r="AG84" s="804">
        <v>1.95</v>
      </c>
      <c r="AH84" s="804">
        <v>-20.350000000000001</v>
      </c>
      <c r="AI84" s="777">
        <v>-1320.0800000000002</v>
      </c>
      <c r="AK84" s="805" t="s">
        <v>67</v>
      </c>
      <c r="AL84" s="806">
        <v>0</v>
      </c>
      <c r="AM84" s="805" t="s">
        <v>833</v>
      </c>
      <c r="AN84" s="806">
        <v>1</v>
      </c>
      <c r="AO84" s="807">
        <v>15.65</v>
      </c>
      <c r="AP84" s="808">
        <v>243.58</v>
      </c>
      <c r="AR84" s="809" t="s">
        <v>67</v>
      </c>
      <c r="AS84" s="809">
        <v>0</v>
      </c>
      <c r="AT84" s="810" t="s">
        <v>67</v>
      </c>
      <c r="AU84" s="809">
        <v>0</v>
      </c>
      <c r="AV84" s="811">
        <v>0</v>
      </c>
      <c r="AW84" s="811">
        <v>0</v>
      </c>
      <c r="AY84" s="768" t="s">
        <v>67</v>
      </c>
      <c r="AZ84" s="768">
        <v>0</v>
      </c>
      <c r="BA84" s="813" t="s">
        <v>67</v>
      </c>
      <c r="BB84" s="768">
        <v>0</v>
      </c>
      <c r="BC84" s="814">
        <v>0</v>
      </c>
      <c r="BD84" s="808">
        <v>0</v>
      </c>
      <c r="BF84" s="766" t="s">
        <v>67</v>
      </c>
      <c r="BG84" s="766">
        <v>0</v>
      </c>
      <c r="BH84" s="767" t="s">
        <v>67</v>
      </c>
      <c r="BI84" s="766">
        <v>0</v>
      </c>
      <c r="BJ84" s="814">
        <v>15.48</v>
      </c>
      <c r="BK84" s="808">
        <v>30.96</v>
      </c>
      <c r="BM84" s="766" t="s">
        <v>67</v>
      </c>
      <c r="BN84" s="766">
        <v>0</v>
      </c>
      <c r="BO84" s="767" t="s">
        <v>67</v>
      </c>
      <c r="BP84" s="768">
        <v>0</v>
      </c>
      <c r="BQ84" s="814">
        <v>0</v>
      </c>
      <c r="BR84" s="808">
        <v>0</v>
      </c>
      <c r="BT84" s="766" t="s">
        <v>67</v>
      </c>
      <c r="BU84" s="771">
        <v>0</v>
      </c>
      <c r="BV84" s="815" t="s">
        <v>67</v>
      </c>
      <c r="BW84" s="771">
        <v>0</v>
      </c>
      <c r="BX84" s="814">
        <v>16.399999999999999</v>
      </c>
      <c r="BY84" s="808">
        <v>1476</v>
      </c>
      <c r="CA84" s="771" t="s">
        <v>67</v>
      </c>
      <c r="CB84" s="771">
        <v>0</v>
      </c>
      <c r="CC84" s="815" t="s">
        <v>67</v>
      </c>
      <c r="CD84" s="771">
        <v>0</v>
      </c>
      <c r="CE84" s="814">
        <v>0</v>
      </c>
      <c r="CF84" s="808">
        <v>0</v>
      </c>
      <c r="CH84" s="771" t="s">
        <v>67</v>
      </c>
      <c r="CI84" s="771">
        <v>0</v>
      </c>
      <c r="CJ84" s="771" t="s">
        <v>67</v>
      </c>
      <c r="CK84" s="771">
        <v>0</v>
      </c>
      <c r="CL84" s="814">
        <v>1.95</v>
      </c>
      <c r="CM84" s="816">
        <v>32.1</v>
      </c>
      <c r="CO84" s="848">
        <v>0.1</v>
      </c>
      <c r="CP84" s="818">
        <v>840</v>
      </c>
      <c r="CQ84" s="773">
        <v>0</v>
      </c>
      <c r="CR84" s="773">
        <v>-1.95</v>
      </c>
    </row>
    <row r="85" spans="1:96" ht="13.15" customHeight="1" outlineLevel="1">
      <c r="A85" s="800" t="s">
        <v>716</v>
      </c>
      <c r="B85" s="800" t="s">
        <v>605</v>
      </c>
      <c r="C85" s="800">
        <v>10</v>
      </c>
      <c r="D85" s="846">
        <v>2.27</v>
      </c>
      <c r="E85" s="847">
        <v>0.06</v>
      </c>
      <c r="F85" s="777">
        <f t="shared" si="16"/>
        <v>12.8</v>
      </c>
      <c r="G85" s="777">
        <f t="shared" si="17"/>
        <v>3.45</v>
      </c>
      <c r="H85" s="777">
        <f t="shared" si="18"/>
        <v>44.900000000000006</v>
      </c>
      <c r="I85" s="777">
        <f t="shared" si="18"/>
        <v>271.7</v>
      </c>
      <c r="J85" s="802">
        <f t="shared" si="15"/>
        <v>0</v>
      </c>
      <c r="K85" s="801">
        <f>IF('Modelo 1.0 - NS'!R84=1,'Modelo 2.0 - Cubação'!E85,IF((E85-'Modelo 1.0 - NS'!U84)&lt;=0,E85,'Modelo 1.0 - NS'!U84))</f>
        <v>0.06</v>
      </c>
      <c r="L85" s="777">
        <f>'Modelo 1.0 - NS'!Q84</f>
        <v>4.6960000000000006</v>
      </c>
      <c r="M85" s="777">
        <f t="shared" si="19"/>
        <v>0</v>
      </c>
      <c r="N85" s="777">
        <f t="shared" si="21"/>
        <v>3.4499999999999997</v>
      </c>
      <c r="O85" s="777">
        <f t="shared" si="13"/>
        <v>46.960000000000008</v>
      </c>
      <c r="P85" s="777">
        <f t="shared" si="20"/>
        <v>0</v>
      </c>
      <c r="Q85" s="777">
        <f t="shared" si="20"/>
        <v>271.7</v>
      </c>
      <c r="R85" s="777">
        <f t="shared" si="20"/>
        <v>422.6400000000001</v>
      </c>
      <c r="T85" s="777">
        <v>3.0950000000000006</v>
      </c>
      <c r="U85" s="777">
        <v>15.48</v>
      </c>
      <c r="V85" s="777">
        <v>0</v>
      </c>
      <c r="W85" s="777">
        <v>16.399999999999999</v>
      </c>
      <c r="Y85" s="803">
        <v>0</v>
      </c>
      <c r="Z85" s="803">
        <v>0</v>
      </c>
      <c r="AA85" s="803">
        <v>0</v>
      </c>
      <c r="AB85" s="803">
        <v>0</v>
      </c>
      <c r="AD85" s="777">
        <v>12.8</v>
      </c>
      <c r="AE85" s="777">
        <v>0</v>
      </c>
      <c r="AF85" s="777">
        <v>4.49</v>
      </c>
      <c r="AG85" s="804">
        <v>4.49</v>
      </c>
      <c r="AH85" s="804">
        <v>8.31</v>
      </c>
      <c r="AI85" s="777">
        <v>-1311.7700000000002</v>
      </c>
      <c r="AK85" s="805" t="s">
        <v>67</v>
      </c>
      <c r="AL85" s="806">
        <v>0</v>
      </c>
      <c r="AM85" s="805" t="s">
        <v>67</v>
      </c>
      <c r="AN85" s="806">
        <v>0</v>
      </c>
      <c r="AO85" s="807">
        <v>0</v>
      </c>
      <c r="AP85" s="808">
        <v>0</v>
      </c>
      <c r="AR85" s="809" t="s">
        <v>67</v>
      </c>
      <c r="AS85" s="809">
        <v>0</v>
      </c>
      <c r="AT85" s="810" t="s">
        <v>67</v>
      </c>
      <c r="AU85" s="809">
        <v>0</v>
      </c>
      <c r="AV85" s="811">
        <v>0</v>
      </c>
      <c r="AW85" s="811">
        <v>0</v>
      </c>
      <c r="AY85" s="768" t="s">
        <v>836</v>
      </c>
      <c r="AZ85" s="768">
        <v>1</v>
      </c>
      <c r="BA85" s="813" t="s">
        <v>67</v>
      </c>
      <c r="BB85" s="768">
        <v>0</v>
      </c>
      <c r="BC85" s="814">
        <v>8.31</v>
      </c>
      <c r="BD85" s="808">
        <v>8.31</v>
      </c>
      <c r="BF85" s="766" t="s">
        <v>67</v>
      </c>
      <c r="BG85" s="766">
        <v>0</v>
      </c>
      <c r="BH85" s="767" t="s">
        <v>67</v>
      </c>
      <c r="BI85" s="766">
        <v>0</v>
      </c>
      <c r="BJ85" s="814">
        <v>15.48</v>
      </c>
      <c r="BK85" s="808">
        <v>46.44</v>
      </c>
      <c r="BM85" s="766" t="s">
        <v>67</v>
      </c>
      <c r="BN85" s="766">
        <v>0</v>
      </c>
      <c r="BO85" s="767" t="s">
        <v>67</v>
      </c>
      <c r="BP85" s="768">
        <v>0</v>
      </c>
      <c r="BQ85" s="814">
        <v>0</v>
      </c>
      <c r="BR85" s="808">
        <v>0</v>
      </c>
      <c r="BT85" s="766" t="s">
        <v>67</v>
      </c>
      <c r="BU85" s="771">
        <v>0</v>
      </c>
      <c r="BV85" s="815" t="s">
        <v>832</v>
      </c>
      <c r="BW85" s="771">
        <v>1</v>
      </c>
      <c r="BX85" s="814">
        <v>16.399999999999999</v>
      </c>
      <c r="BY85" s="808">
        <v>1492.4</v>
      </c>
      <c r="CA85" s="771" t="s">
        <v>67</v>
      </c>
      <c r="CB85" s="771">
        <v>0</v>
      </c>
      <c r="CC85" s="815" t="s">
        <v>67</v>
      </c>
      <c r="CD85" s="771">
        <v>0</v>
      </c>
      <c r="CE85" s="814">
        <v>0</v>
      </c>
      <c r="CF85" s="808">
        <v>0</v>
      </c>
      <c r="CH85" s="771" t="s">
        <v>67</v>
      </c>
      <c r="CI85" s="771">
        <v>0</v>
      </c>
      <c r="CJ85" s="771" t="s">
        <v>67</v>
      </c>
      <c r="CK85" s="771">
        <v>0</v>
      </c>
      <c r="CL85" s="814">
        <v>4.49</v>
      </c>
      <c r="CM85" s="816">
        <v>36.590000000000003</v>
      </c>
      <c r="CO85" s="848">
        <v>0.1</v>
      </c>
      <c r="CP85" s="818">
        <v>850</v>
      </c>
      <c r="CQ85" s="773">
        <v>4.49</v>
      </c>
      <c r="CR85" s="773">
        <v>0</v>
      </c>
    </row>
    <row r="86" spans="1:96" ht="13.15" customHeight="1" outlineLevel="1">
      <c r="A86" s="800" t="s">
        <v>719</v>
      </c>
      <c r="B86" s="800" t="s">
        <v>605</v>
      </c>
      <c r="C86" s="800">
        <v>0</v>
      </c>
      <c r="D86" s="846">
        <v>3.13</v>
      </c>
      <c r="E86" s="847">
        <v>0</v>
      </c>
      <c r="F86" s="777">
        <f t="shared" si="16"/>
        <v>27</v>
      </c>
      <c r="G86" s="777">
        <f t="shared" si="17"/>
        <v>0.3</v>
      </c>
      <c r="H86" s="777">
        <f t="shared" si="18"/>
        <v>71.900000000000006</v>
      </c>
      <c r="I86" s="777">
        <f t="shared" si="18"/>
        <v>272</v>
      </c>
      <c r="J86" s="802">
        <f t="shared" si="15"/>
        <v>0</v>
      </c>
      <c r="K86" s="801">
        <f>IF('Modelo 1.0 - NS'!R85=1,'Modelo 2.0 - Cubação'!E86,IF((E86-'Modelo 1.0 - NS'!U85)&lt;=0,E86,'Modelo 1.0 - NS'!U85))</f>
        <v>0</v>
      </c>
      <c r="L86" s="777">
        <f>'Modelo 1.0 - NS'!Q85</f>
        <v>4.6960000000000006</v>
      </c>
      <c r="M86" s="777">
        <f t="shared" si="19"/>
        <v>0</v>
      </c>
      <c r="N86" s="777">
        <f t="shared" si="21"/>
        <v>0.3</v>
      </c>
      <c r="O86" s="777">
        <f t="shared" si="13"/>
        <v>46.960000000000008</v>
      </c>
      <c r="P86" s="777">
        <f t="shared" si="20"/>
        <v>0</v>
      </c>
      <c r="Q86" s="777">
        <f t="shared" si="20"/>
        <v>272</v>
      </c>
      <c r="R86" s="777">
        <f t="shared" si="20"/>
        <v>469.60000000000014</v>
      </c>
      <c r="T86" s="777">
        <v>3.0950000000000006</v>
      </c>
      <c r="U86" s="777">
        <v>30.95</v>
      </c>
      <c r="V86" s="777">
        <v>0</v>
      </c>
      <c r="W86" s="777">
        <v>0</v>
      </c>
      <c r="Y86" s="803">
        <v>0</v>
      </c>
      <c r="Z86" s="803">
        <v>0</v>
      </c>
      <c r="AA86" s="803">
        <v>0</v>
      </c>
      <c r="AB86" s="803">
        <v>0</v>
      </c>
      <c r="AD86" s="777">
        <v>27</v>
      </c>
      <c r="AE86" s="777">
        <v>0</v>
      </c>
      <c r="AF86" s="777">
        <v>0.39</v>
      </c>
      <c r="AG86" s="804">
        <v>0.39</v>
      </c>
      <c r="AH86" s="804">
        <v>26.61</v>
      </c>
      <c r="AI86" s="777">
        <v>-1285.1600000000003</v>
      </c>
      <c r="AK86" s="805" t="s">
        <v>67</v>
      </c>
      <c r="AL86" s="806">
        <v>0</v>
      </c>
      <c r="AM86" s="805" t="s">
        <v>67</v>
      </c>
      <c r="AN86" s="806">
        <v>0</v>
      </c>
      <c r="AO86" s="807">
        <v>0</v>
      </c>
      <c r="AP86" s="808">
        <v>0</v>
      </c>
      <c r="AR86" s="809" t="s">
        <v>67</v>
      </c>
      <c r="AS86" s="809">
        <v>0</v>
      </c>
      <c r="AT86" s="810" t="s">
        <v>67</v>
      </c>
      <c r="AU86" s="809">
        <v>0</v>
      </c>
      <c r="AV86" s="811">
        <v>0</v>
      </c>
      <c r="AW86" s="811">
        <v>0</v>
      </c>
      <c r="AY86" s="768" t="s">
        <v>67</v>
      </c>
      <c r="AZ86" s="768">
        <v>0</v>
      </c>
      <c r="BA86" s="813" t="s">
        <v>67</v>
      </c>
      <c r="BB86" s="768">
        <v>0</v>
      </c>
      <c r="BC86" s="814">
        <v>26.61</v>
      </c>
      <c r="BD86" s="808">
        <v>34.92</v>
      </c>
      <c r="BF86" s="766" t="s">
        <v>67</v>
      </c>
      <c r="BG86" s="766">
        <v>0</v>
      </c>
      <c r="BH86" s="767" t="s">
        <v>67</v>
      </c>
      <c r="BI86" s="766">
        <v>0</v>
      </c>
      <c r="BJ86" s="814">
        <v>30.95</v>
      </c>
      <c r="BK86" s="808">
        <v>77.39</v>
      </c>
      <c r="BM86" s="766" t="s">
        <v>67</v>
      </c>
      <c r="BN86" s="766">
        <v>0</v>
      </c>
      <c r="BO86" s="767" t="s">
        <v>67</v>
      </c>
      <c r="BP86" s="768">
        <v>0</v>
      </c>
      <c r="BQ86" s="814">
        <v>0</v>
      </c>
      <c r="BR86" s="808">
        <v>0</v>
      </c>
      <c r="BT86" s="766" t="s">
        <v>67</v>
      </c>
      <c r="BU86" s="771">
        <v>0</v>
      </c>
      <c r="BV86" s="815" t="s">
        <v>67</v>
      </c>
      <c r="BW86" s="771">
        <v>0</v>
      </c>
      <c r="BX86" s="814">
        <v>0</v>
      </c>
      <c r="BY86" s="808">
        <v>0</v>
      </c>
      <c r="CA86" s="771" t="s">
        <v>67</v>
      </c>
      <c r="CB86" s="771">
        <v>0</v>
      </c>
      <c r="CC86" s="815" t="s">
        <v>67</v>
      </c>
      <c r="CD86" s="771">
        <v>0</v>
      </c>
      <c r="CE86" s="814">
        <v>0</v>
      </c>
      <c r="CF86" s="808">
        <v>0</v>
      </c>
      <c r="CH86" s="771" t="s">
        <v>67</v>
      </c>
      <c r="CI86" s="771">
        <v>0</v>
      </c>
      <c r="CJ86" s="771" t="s">
        <v>67</v>
      </c>
      <c r="CK86" s="771">
        <v>0</v>
      </c>
      <c r="CL86" s="814">
        <v>0.39</v>
      </c>
      <c r="CM86" s="816">
        <v>36.980000000000004</v>
      </c>
      <c r="CO86" s="848">
        <v>0.1</v>
      </c>
      <c r="CP86" s="818">
        <v>860</v>
      </c>
      <c r="CQ86" s="773">
        <v>0.39</v>
      </c>
      <c r="CR86" s="773">
        <v>0</v>
      </c>
    </row>
    <row r="87" spans="1:96" ht="13.15" customHeight="1" outlineLevel="1">
      <c r="A87" s="800" t="s">
        <v>719</v>
      </c>
      <c r="B87" s="800" t="s">
        <v>605</v>
      </c>
      <c r="C87" s="800">
        <v>10</v>
      </c>
      <c r="D87" s="846">
        <v>0.92</v>
      </c>
      <c r="E87" s="847">
        <v>0.03</v>
      </c>
      <c r="F87" s="777">
        <f t="shared" si="16"/>
        <v>20.25</v>
      </c>
      <c r="G87" s="777">
        <f t="shared" si="17"/>
        <v>0.15</v>
      </c>
      <c r="H87" s="777">
        <f t="shared" si="18"/>
        <v>92.15</v>
      </c>
      <c r="I87" s="777">
        <f t="shared" si="18"/>
        <v>272.14999999999998</v>
      </c>
      <c r="J87" s="802">
        <f t="shared" si="15"/>
        <v>0</v>
      </c>
      <c r="K87" s="801">
        <f>IF('Modelo 1.0 - NS'!R86=1,'Modelo 2.0 - Cubação'!E87,IF((E87-'Modelo 1.0 - NS'!U86)&lt;=0,E87,'Modelo 1.0 - NS'!U86))</f>
        <v>0.03</v>
      </c>
      <c r="L87" s="777">
        <f>'Modelo 1.0 - NS'!Q86</f>
        <v>4.6960000000000006</v>
      </c>
      <c r="M87" s="777">
        <f t="shared" si="19"/>
        <v>0</v>
      </c>
      <c r="N87" s="777">
        <f t="shared" si="21"/>
        <v>0.15</v>
      </c>
      <c r="O87" s="777">
        <f t="shared" si="13"/>
        <v>46.960000000000008</v>
      </c>
      <c r="P87" s="777">
        <f t="shared" si="20"/>
        <v>0</v>
      </c>
      <c r="Q87" s="777">
        <f t="shared" si="20"/>
        <v>272.14999999999998</v>
      </c>
      <c r="R87" s="777">
        <f t="shared" si="20"/>
        <v>516.56000000000017</v>
      </c>
      <c r="T87" s="777">
        <v>3.0950000000000006</v>
      </c>
      <c r="U87" s="777">
        <v>30.95</v>
      </c>
      <c r="V87" s="777">
        <v>0</v>
      </c>
      <c r="W87" s="777">
        <v>0</v>
      </c>
      <c r="Y87" s="803">
        <v>0</v>
      </c>
      <c r="Z87" s="803">
        <v>0</v>
      </c>
      <c r="AA87" s="803">
        <v>0</v>
      </c>
      <c r="AB87" s="803">
        <v>0</v>
      </c>
      <c r="AD87" s="777">
        <v>20.25</v>
      </c>
      <c r="AE87" s="777">
        <v>0</v>
      </c>
      <c r="AF87" s="777">
        <v>0.2</v>
      </c>
      <c r="AG87" s="804">
        <v>0.2</v>
      </c>
      <c r="AH87" s="804">
        <v>20.05</v>
      </c>
      <c r="AI87" s="777">
        <v>-1265.1100000000004</v>
      </c>
      <c r="AK87" s="805" t="s">
        <v>67</v>
      </c>
      <c r="AL87" s="806">
        <v>0</v>
      </c>
      <c r="AM87" s="805" t="s">
        <v>67</v>
      </c>
      <c r="AN87" s="806">
        <v>0</v>
      </c>
      <c r="AO87" s="807">
        <v>0</v>
      </c>
      <c r="AP87" s="808">
        <v>0</v>
      </c>
      <c r="AR87" s="809" t="s">
        <v>67</v>
      </c>
      <c r="AS87" s="809">
        <v>0</v>
      </c>
      <c r="AT87" s="810" t="s">
        <v>67</v>
      </c>
      <c r="AU87" s="809">
        <v>0</v>
      </c>
      <c r="AV87" s="811">
        <v>0</v>
      </c>
      <c r="AW87" s="811">
        <v>0</v>
      </c>
      <c r="AY87" s="768" t="s">
        <v>67</v>
      </c>
      <c r="AZ87" s="768">
        <v>0</v>
      </c>
      <c r="BA87" s="813" t="s">
        <v>67</v>
      </c>
      <c r="BB87" s="768">
        <v>0</v>
      </c>
      <c r="BC87" s="814">
        <v>20.05</v>
      </c>
      <c r="BD87" s="808">
        <v>54.97</v>
      </c>
      <c r="BF87" s="766" t="s">
        <v>67</v>
      </c>
      <c r="BG87" s="766">
        <v>0</v>
      </c>
      <c r="BH87" s="767" t="s">
        <v>67</v>
      </c>
      <c r="BI87" s="766">
        <v>0</v>
      </c>
      <c r="BJ87" s="814">
        <v>30.95</v>
      </c>
      <c r="BK87" s="808">
        <v>108.34</v>
      </c>
      <c r="BM87" s="766" t="s">
        <v>67</v>
      </c>
      <c r="BN87" s="766">
        <v>0</v>
      </c>
      <c r="BO87" s="767" t="s">
        <v>67</v>
      </c>
      <c r="BP87" s="768">
        <v>0</v>
      </c>
      <c r="BQ87" s="814">
        <v>0</v>
      </c>
      <c r="BR87" s="808">
        <v>0</v>
      </c>
      <c r="BT87" s="766" t="s">
        <v>67</v>
      </c>
      <c r="BU87" s="771">
        <v>0</v>
      </c>
      <c r="BV87" s="815" t="s">
        <v>67</v>
      </c>
      <c r="BW87" s="771">
        <v>0</v>
      </c>
      <c r="BX87" s="814">
        <v>0</v>
      </c>
      <c r="BY87" s="808">
        <v>0</v>
      </c>
      <c r="CA87" s="771" t="s">
        <v>67</v>
      </c>
      <c r="CB87" s="771">
        <v>0</v>
      </c>
      <c r="CC87" s="815" t="s">
        <v>67</v>
      </c>
      <c r="CD87" s="771">
        <v>0</v>
      </c>
      <c r="CE87" s="814">
        <v>0</v>
      </c>
      <c r="CF87" s="808">
        <v>0</v>
      </c>
      <c r="CH87" s="771" t="s">
        <v>67</v>
      </c>
      <c r="CI87" s="771">
        <v>0</v>
      </c>
      <c r="CJ87" s="771" t="s">
        <v>67</v>
      </c>
      <c r="CK87" s="771">
        <v>0</v>
      </c>
      <c r="CL87" s="814">
        <v>0.2</v>
      </c>
      <c r="CM87" s="816">
        <v>37.180000000000007</v>
      </c>
      <c r="CO87" s="848">
        <v>0.1</v>
      </c>
      <c r="CP87" s="818">
        <v>870</v>
      </c>
      <c r="CQ87" s="773">
        <v>0.2</v>
      </c>
      <c r="CR87" s="773">
        <v>0</v>
      </c>
    </row>
    <row r="88" spans="1:96" ht="13.15" customHeight="1" outlineLevel="1">
      <c r="A88" s="800" t="s">
        <v>722</v>
      </c>
      <c r="B88" s="800" t="s">
        <v>605</v>
      </c>
      <c r="C88" s="800">
        <v>0</v>
      </c>
      <c r="D88" s="846">
        <v>3.79</v>
      </c>
      <c r="E88" s="847">
        <v>0</v>
      </c>
      <c r="F88" s="777">
        <f t="shared" si="16"/>
        <v>23.55</v>
      </c>
      <c r="G88" s="777">
        <f t="shared" si="17"/>
        <v>0.15</v>
      </c>
      <c r="H88" s="777">
        <f t="shared" ref="H88:I103" si="24">F88+H87</f>
        <v>115.7</v>
      </c>
      <c r="I88" s="777">
        <f t="shared" si="24"/>
        <v>272.29999999999995</v>
      </c>
      <c r="J88" s="802">
        <f t="shared" si="15"/>
        <v>0</v>
      </c>
      <c r="K88" s="801">
        <f>IF('Modelo 1.0 - NS'!R87=1,'Modelo 2.0 - Cubação'!E88,IF((E88-'Modelo 1.0 - NS'!U87)&lt;=0,E88,'Modelo 1.0 - NS'!U87))</f>
        <v>0</v>
      </c>
      <c r="L88" s="777">
        <f>'Modelo 1.0 - NS'!Q87</f>
        <v>4.6960000000000006</v>
      </c>
      <c r="M88" s="777">
        <f t="shared" si="19"/>
        <v>0</v>
      </c>
      <c r="N88" s="777">
        <f t="shared" si="21"/>
        <v>0.15</v>
      </c>
      <c r="O88" s="777">
        <f t="shared" si="13"/>
        <v>46.960000000000008</v>
      </c>
      <c r="P88" s="777">
        <f t="shared" ref="P88:R103" si="25">M88+P87</f>
        <v>0</v>
      </c>
      <c r="Q88" s="777">
        <f t="shared" si="25"/>
        <v>272.29999999999995</v>
      </c>
      <c r="R88" s="777">
        <f t="shared" si="25"/>
        <v>563.52000000000021</v>
      </c>
      <c r="T88" s="777">
        <v>0</v>
      </c>
      <c r="U88" s="777">
        <v>15.48</v>
      </c>
      <c r="V88" s="777">
        <v>0</v>
      </c>
      <c r="W88" s="777">
        <v>0</v>
      </c>
      <c r="Y88" s="803">
        <v>0</v>
      </c>
      <c r="Z88" s="803">
        <v>0</v>
      </c>
      <c r="AA88" s="803">
        <v>0</v>
      </c>
      <c r="AB88" s="803">
        <v>0</v>
      </c>
      <c r="AD88" s="777">
        <v>23.55</v>
      </c>
      <c r="AE88" s="777">
        <v>0</v>
      </c>
      <c r="AF88" s="777">
        <v>0.2</v>
      </c>
      <c r="AG88" s="804">
        <v>0.2</v>
      </c>
      <c r="AH88" s="804">
        <v>23.35</v>
      </c>
      <c r="AI88" s="777">
        <v>-1241.7600000000004</v>
      </c>
      <c r="AK88" s="805" t="s">
        <v>67</v>
      </c>
      <c r="AL88" s="806">
        <v>0</v>
      </c>
      <c r="AM88" s="805" t="s">
        <v>67</v>
      </c>
      <c r="AN88" s="806">
        <v>0</v>
      </c>
      <c r="AO88" s="807">
        <v>0</v>
      </c>
      <c r="AP88" s="808">
        <v>0</v>
      </c>
      <c r="AR88" s="809" t="s">
        <v>67</v>
      </c>
      <c r="AS88" s="809">
        <v>0</v>
      </c>
      <c r="AT88" s="810" t="s">
        <v>67</v>
      </c>
      <c r="AU88" s="809">
        <v>0</v>
      </c>
      <c r="AV88" s="811">
        <v>0</v>
      </c>
      <c r="AW88" s="811">
        <v>0</v>
      </c>
      <c r="AY88" s="768" t="s">
        <v>67</v>
      </c>
      <c r="AZ88" s="768">
        <v>0</v>
      </c>
      <c r="BA88" s="813" t="s">
        <v>836</v>
      </c>
      <c r="BB88" s="768">
        <v>1</v>
      </c>
      <c r="BC88" s="814">
        <v>23.35</v>
      </c>
      <c r="BD88" s="808">
        <v>78.319999999999993</v>
      </c>
      <c r="BF88" s="766" t="s">
        <v>67</v>
      </c>
      <c r="BG88" s="766">
        <v>0</v>
      </c>
      <c r="BH88" s="767" t="s">
        <v>835</v>
      </c>
      <c r="BI88" s="766">
        <v>1</v>
      </c>
      <c r="BJ88" s="814">
        <v>15.48</v>
      </c>
      <c r="BK88" s="808">
        <v>123.82000000000001</v>
      </c>
      <c r="BM88" s="766" t="s">
        <v>67</v>
      </c>
      <c r="BN88" s="766">
        <v>0</v>
      </c>
      <c r="BO88" s="767" t="s">
        <v>67</v>
      </c>
      <c r="BP88" s="768">
        <v>0</v>
      </c>
      <c r="BQ88" s="814">
        <v>0</v>
      </c>
      <c r="BR88" s="808">
        <v>0</v>
      </c>
      <c r="BT88" s="872" t="s">
        <v>67</v>
      </c>
      <c r="BU88" s="873">
        <v>0</v>
      </c>
      <c r="BV88" s="874" t="s">
        <v>67</v>
      </c>
      <c r="BW88" s="873">
        <v>0</v>
      </c>
      <c r="BX88" s="875">
        <v>0</v>
      </c>
      <c r="BY88" s="876">
        <v>0</v>
      </c>
      <c r="CA88" s="873" t="s">
        <v>67</v>
      </c>
      <c r="CB88" s="771">
        <v>0</v>
      </c>
      <c r="CC88" s="815" t="s">
        <v>67</v>
      </c>
      <c r="CD88" s="771">
        <v>0</v>
      </c>
      <c r="CE88" s="814">
        <v>0</v>
      </c>
      <c r="CF88" s="808">
        <v>0</v>
      </c>
      <c r="CH88" s="771" t="s">
        <v>67</v>
      </c>
      <c r="CI88" s="771">
        <v>0</v>
      </c>
      <c r="CJ88" s="771" t="s">
        <v>834</v>
      </c>
      <c r="CK88" s="771">
        <v>1</v>
      </c>
      <c r="CL88" s="814">
        <v>0.2</v>
      </c>
      <c r="CM88" s="816">
        <v>37.38000000000001</v>
      </c>
      <c r="CO88" s="848">
        <v>0.1</v>
      </c>
      <c r="CP88" s="818">
        <v>880</v>
      </c>
      <c r="CQ88" s="773">
        <v>0.2</v>
      </c>
      <c r="CR88" s="773">
        <v>0</v>
      </c>
    </row>
    <row r="89" spans="1:96" s="852" customFormat="1" ht="13.15" customHeight="1" outlineLevel="1">
      <c r="A89" s="627"/>
      <c r="B89" s="627"/>
      <c r="C89" s="627"/>
      <c r="D89" s="850"/>
      <c r="E89" s="851"/>
      <c r="F89" s="851"/>
      <c r="G89" s="851"/>
      <c r="H89" s="851"/>
      <c r="I89" s="851"/>
      <c r="J89" s="849"/>
      <c r="K89" s="850"/>
      <c r="L89" s="851"/>
      <c r="M89" s="851"/>
      <c r="N89" s="851"/>
      <c r="O89" s="851"/>
      <c r="P89" s="851"/>
      <c r="Q89" s="851"/>
      <c r="R89" s="851"/>
      <c r="T89" s="851"/>
      <c r="U89" s="851"/>
      <c r="V89" s="851"/>
      <c r="W89" s="851"/>
      <c r="Y89" s="853"/>
      <c r="Z89" s="853"/>
      <c r="AA89" s="853"/>
      <c r="AB89" s="853"/>
      <c r="AD89" s="851"/>
      <c r="AE89" s="777">
        <v>0</v>
      </c>
      <c r="AF89" s="777">
        <v>0</v>
      </c>
      <c r="AG89" s="804">
        <v>0</v>
      </c>
      <c r="AH89" s="804">
        <v>0</v>
      </c>
      <c r="AI89" s="777">
        <v>-1241.7600000000004</v>
      </c>
      <c r="AK89" s="805" t="s">
        <v>67</v>
      </c>
      <c r="AL89" s="855"/>
      <c r="AM89" s="854"/>
      <c r="AN89" s="855"/>
      <c r="AO89" s="807">
        <v>0</v>
      </c>
      <c r="AP89" s="856"/>
      <c r="AQ89" s="857"/>
      <c r="AR89" s="809" t="s">
        <v>67</v>
      </c>
      <c r="AS89" s="809">
        <v>0</v>
      </c>
      <c r="AT89" s="859"/>
      <c r="AU89" s="858"/>
      <c r="AV89" s="860"/>
      <c r="AW89" s="860"/>
      <c r="AX89" s="857"/>
      <c r="AY89" s="861"/>
      <c r="AZ89" s="861"/>
      <c r="BA89" s="862"/>
      <c r="BB89" s="861"/>
      <c r="BC89" s="814">
        <v>0</v>
      </c>
      <c r="BD89" s="856"/>
      <c r="BE89" s="857"/>
      <c r="BF89" s="863"/>
      <c r="BG89" s="863"/>
      <c r="BH89" s="864"/>
      <c r="BI89" s="863"/>
      <c r="BJ89" s="865"/>
      <c r="BK89" s="856"/>
      <c r="BL89" s="857"/>
      <c r="BM89" s="863"/>
      <c r="BN89" s="863"/>
      <c r="BO89" s="864"/>
      <c r="BP89" s="861"/>
      <c r="BQ89" s="865"/>
      <c r="BR89" s="856"/>
      <c r="BS89" s="857"/>
      <c r="BT89" s="877" t="s">
        <v>67</v>
      </c>
      <c r="BU89" s="873">
        <v>0</v>
      </c>
      <c r="BV89" s="877" t="s">
        <v>67</v>
      </c>
      <c r="BW89" s="873">
        <v>0</v>
      </c>
      <c r="BX89" s="877">
        <v>0</v>
      </c>
      <c r="BY89" s="877">
        <v>0</v>
      </c>
      <c r="BZ89" s="877"/>
      <c r="CA89" s="877"/>
      <c r="CB89" s="866"/>
      <c r="CC89" s="867"/>
      <c r="CD89" s="866"/>
      <c r="CE89" s="865"/>
      <c r="CF89" s="856"/>
      <c r="CG89" s="857"/>
      <c r="CH89" s="866"/>
      <c r="CI89" s="771">
        <v>0</v>
      </c>
      <c r="CJ89" s="866"/>
      <c r="CK89" s="771">
        <v>0</v>
      </c>
      <c r="CL89" s="814">
        <v>0</v>
      </c>
      <c r="CM89" s="868"/>
      <c r="CO89" s="869"/>
      <c r="CP89" s="870"/>
      <c r="CQ89" s="871"/>
      <c r="CR89" s="871"/>
    </row>
    <row r="90" spans="1:96" ht="13.15" customHeight="1" outlineLevel="1">
      <c r="A90" s="800" t="s">
        <v>724</v>
      </c>
      <c r="B90" s="800" t="s">
        <v>605</v>
      </c>
      <c r="C90" s="800">
        <v>0</v>
      </c>
      <c r="D90" s="801">
        <v>0.03</v>
      </c>
      <c r="E90" s="777">
        <v>0.11</v>
      </c>
      <c r="F90" s="777">
        <f t="shared" ref="F90:F116" si="26">IFERROR(IF(A89="",0,ROUND(((A90*20+C90)-(A89*20+C89))/2*(D89+D90),2)),0)</f>
        <v>0</v>
      </c>
      <c r="G90" s="777">
        <f t="shared" ref="G90:G116" si="27">IFERROR(IF(A89="",0,ROUND(((A90*20+C90)-(A89*20+C89))/2*(E89+E90),2)),0)</f>
        <v>0</v>
      </c>
      <c r="H90" s="777">
        <f>F90+H89</f>
        <v>0</v>
      </c>
      <c r="I90" s="777">
        <f>G90+I89</f>
        <v>0</v>
      </c>
      <c r="J90" s="802">
        <f t="shared" si="15"/>
        <v>0</v>
      </c>
      <c r="K90" s="801">
        <f>IF('Modelo 1.0 - NS'!R89=1,'Modelo 2.0 - Cubação'!E90,IF((E90-'Modelo 1.0 - NS'!U89)&lt;=0,E90,'Modelo 1.0 - NS'!U89))</f>
        <v>0.11</v>
      </c>
      <c r="L90" s="777">
        <f>'Modelo 1.0 - NS'!Q90</f>
        <v>3.976</v>
      </c>
      <c r="M90" s="777">
        <f>IFERROR(((A90*20+C90)-(A89*20+C89))/2*(J89+J90),0)</f>
        <v>0</v>
      </c>
      <c r="N90" s="777">
        <f>IFERROR(IF(A89="",0,((A90*20+C90)-(A89*20+C89))/2*(K89+K90)),0)</f>
        <v>0</v>
      </c>
      <c r="O90" s="777">
        <f>IFERROR(IF(A89="",0,((A90*20+C90)-(A89*20+C89))/2*(L89+L90)),0)</f>
        <v>0</v>
      </c>
      <c r="P90" s="777">
        <f>M90+P89</f>
        <v>0</v>
      </c>
      <c r="Q90" s="777">
        <f>N90+Q89</f>
        <v>0</v>
      </c>
      <c r="R90" s="777">
        <f>O90+R89</f>
        <v>0</v>
      </c>
      <c r="T90" s="777">
        <v>0</v>
      </c>
      <c r="U90" s="777">
        <v>0</v>
      </c>
      <c r="V90" s="777">
        <v>2.56</v>
      </c>
      <c r="W90" s="777">
        <v>3072</v>
      </c>
      <c r="Y90" s="803">
        <v>0</v>
      </c>
      <c r="Z90" s="803">
        <v>0</v>
      </c>
      <c r="AA90" s="803">
        <v>0</v>
      </c>
      <c r="AB90" s="803">
        <v>0</v>
      </c>
      <c r="AD90" s="777">
        <v>0</v>
      </c>
      <c r="AE90" s="777">
        <v>0</v>
      </c>
      <c r="AF90" s="777">
        <v>0</v>
      </c>
      <c r="AG90" s="804">
        <v>0</v>
      </c>
      <c r="AH90" s="804">
        <v>0</v>
      </c>
      <c r="AI90" s="777">
        <v>-1241.7600000000004</v>
      </c>
      <c r="AK90" s="805" t="s">
        <v>67</v>
      </c>
      <c r="AL90" s="806">
        <v>0</v>
      </c>
      <c r="AM90" s="805" t="s">
        <v>67</v>
      </c>
      <c r="AN90" s="806">
        <v>0</v>
      </c>
      <c r="AO90" s="807">
        <v>0</v>
      </c>
      <c r="AP90" s="808">
        <v>0</v>
      </c>
      <c r="AR90" s="809" t="s">
        <v>67</v>
      </c>
      <c r="AS90" s="809">
        <v>0</v>
      </c>
      <c r="AT90" s="810" t="s">
        <v>67</v>
      </c>
      <c r="AU90" s="809">
        <v>0</v>
      </c>
      <c r="AV90" s="811">
        <v>0</v>
      </c>
      <c r="AW90" s="811">
        <v>0</v>
      </c>
      <c r="AY90" s="768" t="s">
        <v>67</v>
      </c>
      <c r="AZ90" s="768">
        <v>0</v>
      </c>
      <c r="BA90" s="813" t="s">
        <v>67</v>
      </c>
      <c r="BB90" s="768">
        <v>0</v>
      </c>
      <c r="BC90" s="814">
        <v>0</v>
      </c>
      <c r="BD90" s="808">
        <v>0</v>
      </c>
      <c r="BF90" s="766" t="s">
        <v>837</v>
      </c>
      <c r="BG90" s="766">
        <v>0</v>
      </c>
      <c r="BH90" s="767" t="s">
        <v>67</v>
      </c>
      <c r="BI90" s="766">
        <v>0</v>
      </c>
      <c r="BJ90" s="814">
        <v>0</v>
      </c>
      <c r="BK90" s="808">
        <v>0</v>
      </c>
      <c r="BM90" s="766" t="s">
        <v>67</v>
      </c>
      <c r="BN90" s="766">
        <v>0</v>
      </c>
      <c r="BO90" s="767" t="s">
        <v>67</v>
      </c>
      <c r="BP90" s="768">
        <v>0</v>
      </c>
      <c r="BQ90" s="814">
        <v>0</v>
      </c>
      <c r="BR90" s="808">
        <v>0</v>
      </c>
      <c r="BT90" s="878" t="s">
        <v>838</v>
      </c>
      <c r="BU90" s="873">
        <v>1</v>
      </c>
      <c r="BV90" s="878" t="s">
        <v>67</v>
      </c>
      <c r="BW90" s="873">
        <v>0</v>
      </c>
      <c r="BX90" s="878">
        <v>3072</v>
      </c>
      <c r="BY90" s="878">
        <v>3072</v>
      </c>
      <c r="BZ90" s="878"/>
      <c r="CA90" s="878" t="s">
        <v>67</v>
      </c>
      <c r="CB90" s="771">
        <v>0</v>
      </c>
      <c r="CC90" s="815" t="s">
        <v>67</v>
      </c>
      <c r="CD90" s="771">
        <v>0</v>
      </c>
      <c r="CE90" s="814">
        <v>0</v>
      </c>
      <c r="CF90" s="808">
        <v>0</v>
      </c>
      <c r="CH90" s="771" t="s">
        <v>67</v>
      </c>
      <c r="CI90" s="771">
        <v>0</v>
      </c>
      <c r="CJ90" s="771" t="s">
        <v>67</v>
      </c>
      <c r="CK90" s="771">
        <v>0</v>
      </c>
      <c r="CL90" s="814">
        <v>0</v>
      </c>
      <c r="CM90" s="816">
        <v>0</v>
      </c>
      <c r="CO90" s="817">
        <v>0.1</v>
      </c>
      <c r="CP90" s="818">
        <v>2400</v>
      </c>
      <c r="CQ90" s="819">
        <v>0</v>
      </c>
      <c r="CR90" s="819">
        <v>0</v>
      </c>
    </row>
    <row r="91" spans="1:96" ht="13.15" customHeight="1" outlineLevel="1">
      <c r="A91" s="800" t="s">
        <v>724</v>
      </c>
      <c r="B91" s="800" t="s">
        <v>605</v>
      </c>
      <c r="C91" s="800">
        <v>10</v>
      </c>
      <c r="D91" s="846">
        <v>0.02</v>
      </c>
      <c r="E91" s="847">
        <v>0.34</v>
      </c>
      <c r="F91" s="777">
        <f t="shared" si="26"/>
        <v>0.25</v>
      </c>
      <c r="G91" s="777">
        <f t="shared" si="27"/>
        <v>2.25</v>
      </c>
      <c r="H91" s="777">
        <f t="shared" si="24"/>
        <v>0.25</v>
      </c>
      <c r="I91" s="777">
        <f t="shared" si="24"/>
        <v>2.25</v>
      </c>
      <c r="J91" s="802">
        <f t="shared" si="15"/>
        <v>0</v>
      </c>
      <c r="K91" s="801">
        <f>IF('Modelo 1.0 - NS'!R90=1,'Modelo 2.0 - Cubação'!E91,IF((E91-'Modelo 1.0 - NS'!U90)&lt;=0,E91,'Modelo 1.0 - NS'!U90))</f>
        <v>0.34</v>
      </c>
      <c r="L91" s="777">
        <f>'Modelo 1.0 - NS'!Q91</f>
        <v>3.976</v>
      </c>
      <c r="M91" s="777">
        <f t="shared" si="19"/>
        <v>0</v>
      </c>
      <c r="N91" s="777">
        <f t="shared" si="21"/>
        <v>2.25</v>
      </c>
      <c r="O91" s="777">
        <f t="shared" si="13"/>
        <v>39.76</v>
      </c>
      <c r="P91" s="777">
        <f t="shared" si="25"/>
        <v>0</v>
      </c>
      <c r="Q91" s="777">
        <f t="shared" si="25"/>
        <v>2.25</v>
      </c>
      <c r="R91" s="777">
        <f t="shared" si="25"/>
        <v>39.76</v>
      </c>
      <c r="T91" s="777">
        <v>2.3755999999999999</v>
      </c>
      <c r="U91" s="777">
        <v>11.88</v>
      </c>
      <c r="V91" s="777">
        <v>0</v>
      </c>
      <c r="W91" s="777">
        <v>12.8</v>
      </c>
      <c r="Y91" s="803">
        <v>0</v>
      </c>
      <c r="Z91" s="803">
        <v>0</v>
      </c>
      <c r="AA91" s="803">
        <v>0</v>
      </c>
      <c r="AB91" s="803">
        <v>0</v>
      </c>
      <c r="AD91" s="777">
        <v>0.25</v>
      </c>
      <c r="AE91" s="777">
        <v>0</v>
      </c>
      <c r="AF91" s="777">
        <v>2.93</v>
      </c>
      <c r="AG91" s="804">
        <v>0.25</v>
      </c>
      <c r="AH91" s="804">
        <v>-2.68</v>
      </c>
      <c r="AI91" s="777">
        <v>-1244.4400000000005</v>
      </c>
      <c r="AK91" s="805" t="s">
        <v>839</v>
      </c>
      <c r="AL91" s="806">
        <v>1</v>
      </c>
      <c r="AM91" s="805" t="s">
        <v>67</v>
      </c>
      <c r="AN91" s="806">
        <v>0</v>
      </c>
      <c r="AO91" s="807">
        <v>2.06</v>
      </c>
      <c r="AP91" s="808">
        <v>2.06</v>
      </c>
      <c r="AR91" s="809" t="s">
        <v>67</v>
      </c>
      <c r="AS91" s="809">
        <v>0</v>
      </c>
      <c r="AT91" s="810" t="s">
        <v>67</v>
      </c>
      <c r="AU91" s="809">
        <v>0</v>
      </c>
      <c r="AV91" s="811">
        <v>0</v>
      </c>
      <c r="AW91" s="811">
        <v>0</v>
      </c>
      <c r="AY91" s="768" t="s">
        <v>67</v>
      </c>
      <c r="AZ91" s="768">
        <v>0</v>
      </c>
      <c r="BA91" s="813" t="s">
        <v>67</v>
      </c>
      <c r="BB91" s="768">
        <v>0</v>
      </c>
      <c r="BC91" s="814">
        <v>0</v>
      </c>
      <c r="BD91" s="808">
        <v>0</v>
      </c>
      <c r="BF91" s="766" t="s">
        <v>67</v>
      </c>
      <c r="BG91" s="766">
        <v>1</v>
      </c>
      <c r="BH91" s="767" t="s">
        <v>67</v>
      </c>
      <c r="BI91" s="766">
        <v>0</v>
      </c>
      <c r="BJ91" s="814">
        <v>11.88</v>
      </c>
      <c r="BK91" s="808">
        <v>11.88</v>
      </c>
      <c r="BM91" s="766" t="s">
        <v>67</v>
      </c>
      <c r="BN91" s="766">
        <v>0</v>
      </c>
      <c r="BO91" s="767" t="s">
        <v>67</v>
      </c>
      <c r="BP91" s="768">
        <v>0</v>
      </c>
      <c r="BQ91" s="814">
        <v>0</v>
      </c>
      <c r="BR91" s="808">
        <v>0</v>
      </c>
      <c r="BT91" s="878" t="s">
        <v>67</v>
      </c>
      <c r="BU91" s="873">
        <v>0</v>
      </c>
      <c r="BV91" s="878" t="s">
        <v>838</v>
      </c>
      <c r="BW91" s="873">
        <v>1</v>
      </c>
      <c r="BX91" s="807">
        <v>12.8</v>
      </c>
      <c r="BY91" s="808">
        <v>3084.8</v>
      </c>
      <c r="CA91" s="879" t="s">
        <v>67</v>
      </c>
      <c r="CB91" s="771">
        <v>0</v>
      </c>
      <c r="CC91" s="815" t="s">
        <v>67</v>
      </c>
      <c r="CD91" s="771">
        <v>0</v>
      </c>
      <c r="CE91" s="814">
        <v>0</v>
      </c>
      <c r="CF91" s="808">
        <v>0</v>
      </c>
      <c r="CH91" s="771" t="s">
        <v>840</v>
      </c>
      <c r="CI91" s="771">
        <v>1</v>
      </c>
      <c r="CJ91" s="771" t="s">
        <v>67</v>
      </c>
      <c r="CK91" s="771">
        <v>0</v>
      </c>
      <c r="CL91" s="814">
        <v>0.25</v>
      </c>
      <c r="CM91" s="816">
        <v>0.25</v>
      </c>
      <c r="CO91" s="848">
        <v>0.1</v>
      </c>
      <c r="CP91" s="818">
        <v>2410</v>
      </c>
      <c r="CQ91" s="773">
        <v>0</v>
      </c>
      <c r="CR91" s="773">
        <v>-0.25</v>
      </c>
    </row>
    <row r="92" spans="1:96" ht="13.15" customHeight="1" outlineLevel="1">
      <c r="A92" s="800" t="s">
        <v>728</v>
      </c>
      <c r="B92" s="800" t="s">
        <v>605</v>
      </c>
      <c r="C92" s="800">
        <v>0</v>
      </c>
      <c r="D92" s="846">
        <v>0.14000000000000001</v>
      </c>
      <c r="E92" s="847">
        <v>0.04</v>
      </c>
      <c r="F92" s="777">
        <f t="shared" si="26"/>
        <v>0.8</v>
      </c>
      <c r="G92" s="777">
        <f t="shared" si="27"/>
        <v>1.9</v>
      </c>
      <c r="H92" s="777">
        <f t="shared" si="24"/>
        <v>1.05</v>
      </c>
      <c r="I92" s="777">
        <f t="shared" si="24"/>
        <v>4.1500000000000004</v>
      </c>
      <c r="J92" s="802">
        <f t="shared" si="15"/>
        <v>0</v>
      </c>
      <c r="K92" s="801">
        <f>IF('Modelo 1.0 - NS'!R91=1,'Modelo 2.0 - Cubação'!E92,IF((E92-'Modelo 1.0 - NS'!U91)&lt;=0,E92,'Modelo 1.0 - NS'!U91))</f>
        <v>0.04</v>
      </c>
      <c r="L92" s="777">
        <f>'Modelo 1.0 - NS'!Q92</f>
        <v>3.976</v>
      </c>
      <c r="M92" s="777">
        <f t="shared" si="19"/>
        <v>0</v>
      </c>
      <c r="N92" s="777">
        <f t="shared" si="21"/>
        <v>1.9</v>
      </c>
      <c r="O92" s="777">
        <f t="shared" si="13"/>
        <v>39.76</v>
      </c>
      <c r="P92" s="777">
        <f t="shared" si="25"/>
        <v>0</v>
      </c>
      <c r="Q92" s="777">
        <f t="shared" si="25"/>
        <v>4.1500000000000004</v>
      </c>
      <c r="R92" s="777">
        <f t="shared" si="25"/>
        <v>79.52</v>
      </c>
      <c r="T92" s="777">
        <v>2.3755999999999999</v>
      </c>
      <c r="U92" s="777">
        <v>23.76</v>
      </c>
      <c r="V92" s="777">
        <v>0</v>
      </c>
      <c r="W92" s="777">
        <v>0</v>
      </c>
      <c r="Y92" s="803">
        <v>0</v>
      </c>
      <c r="Z92" s="803">
        <v>0</v>
      </c>
      <c r="AA92" s="803">
        <v>0</v>
      </c>
      <c r="AB92" s="803">
        <v>0</v>
      </c>
      <c r="AD92" s="777">
        <v>0.8</v>
      </c>
      <c r="AE92" s="777">
        <v>0</v>
      </c>
      <c r="AF92" s="777">
        <v>2.4700000000000002</v>
      </c>
      <c r="AG92" s="804">
        <v>0.8</v>
      </c>
      <c r="AH92" s="804">
        <v>-1.6700000000000002</v>
      </c>
      <c r="AI92" s="777">
        <v>-1246.1100000000006</v>
      </c>
      <c r="AK92" s="805" t="s">
        <v>67</v>
      </c>
      <c r="AL92" s="806">
        <v>0</v>
      </c>
      <c r="AM92" s="805" t="s">
        <v>839</v>
      </c>
      <c r="AN92" s="806">
        <v>1</v>
      </c>
      <c r="AO92" s="807">
        <v>1.28</v>
      </c>
      <c r="AP92" s="808">
        <v>3.34</v>
      </c>
      <c r="AR92" s="809" t="s">
        <v>67</v>
      </c>
      <c r="AS92" s="809">
        <v>0</v>
      </c>
      <c r="AT92" s="810" t="s">
        <v>67</v>
      </c>
      <c r="AU92" s="809">
        <v>0</v>
      </c>
      <c r="AV92" s="811">
        <v>0</v>
      </c>
      <c r="AW92" s="811">
        <v>0</v>
      </c>
      <c r="AY92" s="768" t="s">
        <v>67</v>
      </c>
      <c r="AZ92" s="768">
        <v>0</v>
      </c>
      <c r="BA92" s="813" t="s">
        <v>67</v>
      </c>
      <c r="BB92" s="768">
        <v>0</v>
      </c>
      <c r="BC92" s="814">
        <v>0</v>
      </c>
      <c r="BD92" s="808">
        <v>0</v>
      </c>
      <c r="BF92" s="766" t="s">
        <v>67</v>
      </c>
      <c r="BG92" s="766">
        <v>0</v>
      </c>
      <c r="BH92" s="767" t="s">
        <v>67</v>
      </c>
      <c r="BI92" s="766">
        <v>0</v>
      </c>
      <c r="BJ92" s="814">
        <v>23.76</v>
      </c>
      <c r="BK92" s="808">
        <v>35.64</v>
      </c>
      <c r="BM92" s="766" t="s">
        <v>67</v>
      </c>
      <c r="BN92" s="766">
        <v>0</v>
      </c>
      <c r="BO92" s="767" t="s">
        <v>67</v>
      </c>
      <c r="BP92" s="768">
        <v>0</v>
      </c>
      <c r="BQ92" s="814">
        <v>0</v>
      </c>
      <c r="BR92" s="808">
        <v>0</v>
      </c>
      <c r="BT92" s="878" t="s">
        <v>67</v>
      </c>
      <c r="BU92" s="873">
        <v>0</v>
      </c>
      <c r="BV92" s="878" t="s">
        <v>67</v>
      </c>
      <c r="BW92" s="873">
        <v>0</v>
      </c>
      <c r="BX92" s="814">
        <v>0</v>
      </c>
      <c r="BY92" s="808">
        <v>0</v>
      </c>
      <c r="CA92" s="771" t="s">
        <v>67</v>
      </c>
      <c r="CB92" s="771">
        <v>0</v>
      </c>
      <c r="CC92" s="815" t="s">
        <v>67</v>
      </c>
      <c r="CD92" s="771">
        <v>0</v>
      </c>
      <c r="CE92" s="814">
        <v>0</v>
      </c>
      <c r="CF92" s="808">
        <v>0</v>
      </c>
      <c r="CH92" s="771" t="s">
        <v>67</v>
      </c>
      <c r="CI92" s="771">
        <v>0</v>
      </c>
      <c r="CJ92" s="771" t="s">
        <v>67</v>
      </c>
      <c r="CK92" s="771">
        <v>0</v>
      </c>
      <c r="CL92" s="814">
        <v>0.8</v>
      </c>
      <c r="CM92" s="816">
        <v>1.05</v>
      </c>
      <c r="CO92" s="848">
        <v>0.1</v>
      </c>
      <c r="CP92" s="818">
        <v>2420</v>
      </c>
      <c r="CQ92" s="773">
        <v>0</v>
      </c>
      <c r="CR92" s="773">
        <v>-0.8</v>
      </c>
    </row>
    <row r="93" spans="1:96" ht="13.15" customHeight="1" outlineLevel="1">
      <c r="A93" s="800" t="s">
        <v>728</v>
      </c>
      <c r="B93" s="800" t="s">
        <v>605</v>
      </c>
      <c r="C93" s="800">
        <v>10</v>
      </c>
      <c r="D93" s="846">
        <v>0.53</v>
      </c>
      <c r="E93" s="847">
        <v>0</v>
      </c>
      <c r="F93" s="777">
        <f t="shared" si="26"/>
        <v>3.35</v>
      </c>
      <c r="G93" s="777">
        <f t="shared" si="27"/>
        <v>0.2</v>
      </c>
      <c r="H93" s="777">
        <f t="shared" si="24"/>
        <v>4.4000000000000004</v>
      </c>
      <c r="I93" s="777">
        <f t="shared" si="24"/>
        <v>4.3500000000000005</v>
      </c>
      <c r="J93" s="802">
        <f t="shared" si="15"/>
        <v>0</v>
      </c>
      <c r="K93" s="801">
        <f>IF('Modelo 1.0 - NS'!R92=1,'Modelo 2.0 - Cubação'!E93,IF((E93-'Modelo 1.0 - NS'!U92)&lt;=0,E93,'Modelo 1.0 - NS'!U92))</f>
        <v>0</v>
      </c>
      <c r="L93" s="777">
        <f>'Modelo 1.0 - NS'!Q93</f>
        <v>3.976</v>
      </c>
      <c r="M93" s="777">
        <f t="shared" si="19"/>
        <v>0</v>
      </c>
      <c r="N93" s="777">
        <f t="shared" si="21"/>
        <v>0.2</v>
      </c>
      <c r="O93" s="777">
        <f t="shared" si="13"/>
        <v>39.76</v>
      </c>
      <c r="P93" s="777">
        <f t="shared" si="25"/>
        <v>0</v>
      </c>
      <c r="Q93" s="777">
        <f t="shared" si="25"/>
        <v>4.3500000000000005</v>
      </c>
      <c r="R93" s="777">
        <f t="shared" si="25"/>
        <v>119.28</v>
      </c>
      <c r="T93" s="777">
        <v>2.3755999999999999</v>
      </c>
      <c r="U93" s="777">
        <v>23.76</v>
      </c>
      <c r="V93" s="777">
        <v>0</v>
      </c>
      <c r="W93" s="777">
        <v>0</v>
      </c>
      <c r="Y93" s="803">
        <v>0</v>
      </c>
      <c r="Z93" s="803">
        <v>0</v>
      </c>
      <c r="AA93" s="803">
        <v>0</v>
      </c>
      <c r="AB93" s="803">
        <v>0</v>
      </c>
      <c r="AD93" s="777">
        <v>3.35</v>
      </c>
      <c r="AE93" s="777">
        <v>0</v>
      </c>
      <c r="AF93" s="777">
        <v>0.26</v>
      </c>
      <c r="AG93" s="804">
        <v>0.26</v>
      </c>
      <c r="AH93" s="804">
        <v>3.09</v>
      </c>
      <c r="AI93" s="777">
        <v>-1243.0200000000007</v>
      </c>
      <c r="AK93" s="805" t="s">
        <v>67</v>
      </c>
      <c r="AL93" s="806">
        <v>0</v>
      </c>
      <c r="AM93" s="805" t="s">
        <v>67</v>
      </c>
      <c r="AN93" s="806">
        <v>0</v>
      </c>
      <c r="AO93" s="807">
        <v>0</v>
      </c>
      <c r="AP93" s="808">
        <v>0</v>
      </c>
      <c r="AR93" s="809" t="s">
        <v>67</v>
      </c>
      <c r="AS93" s="809">
        <v>0</v>
      </c>
      <c r="AT93" s="810" t="s">
        <v>67</v>
      </c>
      <c r="AU93" s="809">
        <v>0</v>
      </c>
      <c r="AV93" s="811">
        <v>0</v>
      </c>
      <c r="AW93" s="811">
        <v>0</v>
      </c>
      <c r="AY93" s="768" t="s">
        <v>841</v>
      </c>
      <c r="AZ93" s="768">
        <v>1</v>
      </c>
      <c r="BA93" s="813" t="s">
        <v>67</v>
      </c>
      <c r="BB93" s="768">
        <v>0</v>
      </c>
      <c r="BC93" s="814">
        <v>3.09</v>
      </c>
      <c r="BD93" s="808">
        <v>3.09</v>
      </c>
      <c r="BF93" s="766" t="s">
        <v>67</v>
      </c>
      <c r="BG93" s="766">
        <v>0</v>
      </c>
      <c r="BH93" s="767" t="s">
        <v>67</v>
      </c>
      <c r="BI93" s="766">
        <v>0</v>
      </c>
      <c r="BJ93" s="814">
        <v>23.76</v>
      </c>
      <c r="BK93" s="808">
        <v>59.400000000000006</v>
      </c>
      <c r="BM93" s="766" t="s">
        <v>67</v>
      </c>
      <c r="BN93" s="766">
        <v>0</v>
      </c>
      <c r="BO93" s="767" t="s">
        <v>67</v>
      </c>
      <c r="BP93" s="768">
        <v>0</v>
      </c>
      <c r="BQ93" s="814">
        <v>0</v>
      </c>
      <c r="BR93" s="808">
        <v>0</v>
      </c>
      <c r="BT93" s="878" t="s">
        <v>67</v>
      </c>
      <c r="BU93" s="873">
        <v>0</v>
      </c>
      <c r="BV93" s="878" t="s">
        <v>67</v>
      </c>
      <c r="BW93" s="873">
        <v>0</v>
      </c>
      <c r="BX93" s="814">
        <v>0</v>
      </c>
      <c r="BY93" s="808">
        <v>0</v>
      </c>
      <c r="CA93" s="771" t="s">
        <v>67</v>
      </c>
      <c r="CB93" s="771">
        <v>0</v>
      </c>
      <c r="CC93" s="815" t="s">
        <v>67</v>
      </c>
      <c r="CD93" s="771">
        <v>0</v>
      </c>
      <c r="CE93" s="814">
        <v>0</v>
      </c>
      <c r="CF93" s="808">
        <v>0</v>
      </c>
      <c r="CH93" s="771" t="s">
        <v>67</v>
      </c>
      <c r="CI93" s="771">
        <v>0</v>
      </c>
      <c r="CJ93" s="771" t="s">
        <v>840</v>
      </c>
      <c r="CK93" s="771">
        <v>1</v>
      </c>
      <c r="CL93" s="814">
        <v>0.26</v>
      </c>
      <c r="CM93" s="816">
        <v>1.31</v>
      </c>
      <c r="CO93" s="848">
        <v>0.1</v>
      </c>
      <c r="CP93" s="818">
        <v>2430</v>
      </c>
      <c r="CQ93" s="773">
        <v>0.26</v>
      </c>
      <c r="CR93" s="773">
        <v>0</v>
      </c>
    </row>
    <row r="94" spans="1:96" ht="13.15" customHeight="1" outlineLevel="1">
      <c r="A94" s="800" t="s">
        <v>731</v>
      </c>
      <c r="B94" s="800" t="s">
        <v>605</v>
      </c>
      <c r="C94" s="800">
        <v>0</v>
      </c>
      <c r="D94" s="846">
        <v>0.6</v>
      </c>
      <c r="E94" s="847">
        <v>0</v>
      </c>
      <c r="F94" s="777">
        <f t="shared" si="26"/>
        <v>5.65</v>
      </c>
      <c r="G94" s="777">
        <f t="shared" si="27"/>
        <v>0</v>
      </c>
      <c r="H94" s="777">
        <f t="shared" si="24"/>
        <v>10.050000000000001</v>
      </c>
      <c r="I94" s="777">
        <f t="shared" si="24"/>
        <v>4.3500000000000005</v>
      </c>
      <c r="J94" s="802">
        <f t="shared" si="15"/>
        <v>0</v>
      </c>
      <c r="K94" s="801">
        <f>IF('Modelo 1.0 - NS'!R93=1,'Modelo 2.0 - Cubação'!E94,IF((E94-'Modelo 1.0 - NS'!U93)&lt;=0,E94,'Modelo 1.0 - NS'!U93))</f>
        <v>0</v>
      </c>
      <c r="L94" s="777">
        <f>'Modelo 1.0 - NS'!Q94</f>
        <v>3.976</v>
      </c>
      <c r="M94" s="777">
        <f t="shared" si="19"/>
        <v>0</v>
      </c>
      <c r="N94" s="777">
        <f t="shared" si="21"/>
        <v>0</v>
      </c>
      <c r="O94" s="777">
        <f t="shared" si="13"/>
        <v>39.76</v>
      </c>
      <c r="P94" s="777">
        <f t="shared" si="25"/>
        <v>0</v>
      </c>
      <c r="Q94" s="777">
        <f t="shared" si="25"/>
        <v>4.3500000000000005</v>
      </c>
      <c r="R94" s="777">
        <f t="shared" si="25"/>
        <v>159.04</v>
      </c>
      <c r="T94" s="777">
        <v>2.3758000000000004</v>
      </c>
      <c r="U94" s="777">
        <v>23.76</v>
      </c>
      <c r="V94" s="777">
        <v>0</v>
      </c>
      <c r="W94" s="777">
        <v>0</v>
      </c>
      <c r="Y94" s="803">
        <v>0</v>
      </c>
      <c r="Z94" s="803">
        <v>0</v>
      </c>
      <c r="AA94" s="803">
        <v>0</v>
      </c>
      <c r="AB94" s="803">
        <v>0</v>
      </c>
      <c r="AD94" s="777">
        <v>5.65</v>
      </c>
      <c r="AE94" s="777">
        <v>0</v>
      </c>
      <c r="AF94" s="777">
        <v>0</v>
      </c>
      <c r="AG94" s="804">
        <v>0</v>
      </c>
      <c r="AH94" s="804">
        <v>5.65</v>
      </c>
      <c r="AI94" s="777">
        <v>-1237.3700000000006</v>
      </c>
      <c r="AK94" s="805" t="s">
        <v>67</v>
      </c>
      <c r="AL94" s="806">
        <v>0</v>
      </c>
      <c r="AM94" s="805" t="s">
        <v>67</v>
      </c>
      <c r="AN94" s="806">
        <v>0</v>
      </c>
      <c r="AO94" s="807">
        <v>0</v>
      </c>
      <c r="AP94" s="808">
        <v>0</v>
      </c>
      <c r="AR94" s="809" t="s">
        <v>67</v>
      </c>
      <c r="AS94" s="809">
        <v>0</v>
      </c>
      <c r="AT94" s="810" t="s">
        <v>67</v>
      </c>
      <c r="AU94" s="809">
        <v>0</v>
      </c>
      <c r="AV94" s="811">
        <v>0</v>
      </c>
      <c r="AW94" s="811">
        <v>0</v>
      </c>
      <c r="AY94" s="768" t="s">
        <v>67</v>
      </c>
      <c r="AZ94" s="768">
        <v>0</v>
      </c>
      <c r="BA94" s="813" t="s">
        <v>67</v>
      </c>
      <c r="BB94" s="768">
        <v>0</v>
      </c>
      <c r="BC94" s="814">
        <v>5.65</v>
      </c>
      <c r="BD94" s="808">
        <v>8.74</v>
      </c>
      <c r="BF94" s="766" t="s">
        <v>67</v>
      </c>
      <c r="BG94" s="766">
        <v>0</v>
      </c>
      <c r="BH94" s="767" t="s">
        <v>67</v>
      </c>
      <c r="BI94" s="766">
        <v>0</v>
      </c>
      <c r="BJ94" s="814">
        <v>23.76</v>
      </c>
      <c r="BK94" s="808">
        <v>83.160000000000011</v>
      </c>
      <c r="BM94" s="766" t="s">
        <v>67</v>
      </c>
      <c r="BN94" s="766">
        <v>0</v>
      </c>
      <c r="BO94" s="767" t="s">
        <v>67</v>
      </c>
      <c r="BP94" s="768">
        <v>0</v>
      </c>
      <c r="BQ94" s="814">
        <v>0</v>
      </c>
      <c r="BR94" s="808">
        <v>0</v>
      </c>
      <c r="BT94" s="878" t="s">
        <v>67</v>
      </c>
      <c r="BU94" s="771">
        <v>0</v>
      </c>
      <c r="BV94" s="878" t="s">
        <v>67</v>
      </c>
      <c r="BW94" s="873">
        <v>0</v>
      </c>
      <c r="BX94" s="814">
        <v>0</v>
      </c>
      <c r="BY94" s="808">
        <v>0</v>
      </c>
      <c r="CA94" s="771" t="s">
        <v>67</v>
      </c>
      <c r="CB94" s="771">
        <v>0</v>
      </c>
      <c r="CC94" s="815" t="s">
        <v>67</v>
      </c>
      <c r="CD94" s="771">
        <v>0</v>
      </c>
      <c r="CE94" s="814">
        <v>0</v>
      </c>
      <c r="CF94" s="808">
        <v>0</v>
      </c>
      <c r="CH94" s="771" t="s">
        <v>67</v>
      </c>
      <c r="CI94" s="771">
        <v>0</v>
      </c>
      <c r="CJ94" s="771" t="s">
        <v>67</v>
      </c>
      <c r="CK94" s="771">
        <v>0</v>
      </c>
      <c r="CL94" s="814">
        <v>0</v>
      </c>
      <c r="CM94" s="816">
        <v>0</v>
      </c>
      <c r="CO94" s="848">
        <v>0.1</v>
      </c>
      <c r="CP94" s="818">
        <v>2440</v>
      </c>
      <c r="CQ94" s="773">
        <v>0</v>
      </c>
      <c r="CR94" s="773">
        <v>0</v>
      </c>
    </row>
    <row r="95" spans="1:96" ht="13.15" customHeight="1" outlineLevel="1">
      <c r="A95" s="800" t="s">
        <v>731</v>
      </c>
      <c r="B95" s="800" t="s">
        <v>605</v>
      </c>
      <c r="C95" s="800">
        <v>10</v>
      </c>
      <c r="D95" s="846">
        <v>0.49</v>
      </c>
      <c r="E95" s="847">
        <v>0</v>
      </c>
      <c r="F95" s="777">
        <f t="shared" si="26"/>
        <v>5.45</v>
      </c>
      <c r="G95" s="777">
        <f t="shared" si="27"/>
        <v>0</v>
      </c>
      <c r="H95" s="777">
        <f t="shared" si="24"/>
        <v>15.5</v>
      </c>
      <c r="I95" s="777">
        <f t="shared" si="24"/>
        <v>4.3500000000000005</v>
      </c>
      <c r="J95" s="802">
        <f t="shared" si="15"/>
        <v>0</v>
      </c>
      <c r="K95" s="801">
        <f>IF('Modelo 1.0 - NS'!R94=1,'Modelo 2.0 - Cubação'!E95,IF((E95-'Modelo 1.0 - NS'!U94)&lt;=0,E95,'Modelo 1.0 - NS'!U94))</f>
        <v>0</v>
      </c>
      <c r="L95" s="777">
        <f>'Modelo 1.0 - NS'!Q95</f>
        <v>3.976</v>
      </c>
      <c r="M95" s="777">
        <f t="shared" si="19"/>
        <v>0</v>
      </c>
      <c r="N95" s="777">
        <f t="shared" si="21"/>
        <v>0</v>
      </c>
      <c r="O95" s="777">
        <f t="shared" si="13"/>
        <v>39.76</v>
      </c>
      <c r="P95" s="777">
        <f t="shared" si="25"/>
        <v>0</v>
      </c>
      <c r="Q95" s="777">
        <f t="shared" si="25"/>
        <v>4.3500000000000005</v>
      </c>
      <c r="R95" s="777">
        <f t="shared" si="25"/>
        <v>198.79999999999998</v>
      </c>
      <c r="T95" s="777">
        <v>2.3758000000000004</v>
      </c>
      <c r="U95" s="777">
        <v>23.76</v>
      </c>
      <c r="V95" s="777">
        <v>0</v>
      </c>
      <c r="W95" s="777">
        <v>0</v>
      </c>
      <c r="Y95" s="803">
        <v>0</v>
      </c>
      <c r="Z95" s="803">
        <v>0</v>
      </c>
      <c r="AA95" s="803">
        <v>0</v>
      </c>
      <c r="AB95" s="803">
        <v>0</v>
      </c>
      <c r="AD95" s="777">
        <v>5.45</v>
      </c>
      <c r="AE95" s="777">
        <v>0</v>
      </c>
      <c r="AF95" s="777">
        <v>0</v>
      </c>
      <c r="AG95" s="804">
        <v>0</v>
      </c>
      <c r="AH95" s="804">
        <v>5.45</v>
      </c>
      <c r="AI95" s="777">
        <v>-1231.9200000000005</v>
      </c>
      <c r="AK95" s="805" t="s">
        <v>67</v>
      </c>
      <c r="AL95" s="806">
        <v>0</v>
      </c>
      <c r="AM95" s="805" t="s">
        <v>67</v>
      </c>
      <c r="AN95" s="806">
        <v>0</v>
      </c>
      <c r="AO95" s="807">
        <v>0</v>
      </c>
      <c r="AP95" s="808">
        <v>0</v>
      </c>
      <c r="AR95" s="809" t="s">
        <v>67</v>
      </c>
      <c r="AS95" s="809">
        <v>0</v>
      </c>
      <c r="AT95" s="810" t="s">
        <v>67</v>
      </c>
      <c r="AU95" s="809">
        <v>0</v>
      </c>
      <c r="AV95" s="811">
        <v>0</v>
      </c>
      <c r="AW95" s="811">
        <v>0</v>
      </c>
      <c r="AY95" s="768" t="s">
        <v>67</v>
      </c>
      <c r="AZ95" s="768">
        <v>0</v>
      </c>
      <c r="BA95" s="813" t="s">
        <v>67</v>
      </c>
      <c r="BB95" s="768">
        <v>0</v>
      </c>
      <c r="BC95" s="814">
        <v>5.45</v>
      </c>
      <c r="BD95" s="808">
        <v>14.190000000000001</v>
      </c>
      <c r="BF95" s="766" t="s">
        <v>67</v>
      </c>
      <c r="BG95" s="766">
        <v>0</v>
      </c>
      <c r="BH95" s="767" t="s">
        <v>67</v>
      </c>
      <c r="BI95" s="766">
        <v>0</v>
      </c>
      <c r="BJ95" s="814">
        <v>23.76</v>
      </c>
      <c r="BK95" s="808">
        <v>106.92000000000002</v>
      </c>
      <c r="BM95" s="766" t="s">
        <v>67</v>
      </c>
      <c r="BN95" s="766">
        <v>0</v>
      </c>
      <c r="BO95" s="767" t="s">
        <v>67</v>
      </c>
      <c r="BP95" s="768">
        <v>0</v>
      </c>
      <c r="BQ95" s="814">
        <v>0</v>
      </c>
      <c r="BR95" s="808">
        <v>0</v>
      </c>
      <c r="BT95" s="878" t="s">
        <v>67</v>
      </c>
      <c r="BU95" s="771">
        <v>0</v>
      </c>
      <c r="BV95" s="878" t="s">
        <v>67</v>
      </c>
      <c r="BW95" s="873">
        <v>0</v>
      </c>
      <c r="BX95" s="814">
        <v>0</v>
      </c>
      <c r="BY95" s="808">
        <v>0</v>
      </c>
      <c r="CA95" s="771" t="s">
        <v>67</v>
      </c>
      <c r="CB95" s="771">
        <v>0</v>
      </c>
      <c r="CC95" s="815" t="s">
        <v>67</v>
      </c>
      <c r="CD95" s="771">
        <v>0</v>
      </c>
      <c r="CE95" s="814">
        <v>0</v>
      </c>
      <c r="CF95" s="808">
        <v>0</v>
      </c>
      <c r="CH95" s="771" t="s">
        <v>67</v>
      </c>
      <c r="CI95" s="771">
        <v>0</v>
      </c>
      <c r="CJ95" s="771" t="s">
        <v>67</v>
      </c>
      <c r="CK95" s="771">
        <v>0</v>
      </c>
      <c r="CL95" s="814">
        <v>0</v>
      </c>
      <c r="CM95" s="816">
        <v>0</v>
      </c>
      <c r="CO95" s="848">
        <v>0.1</v>
      </c>
      <c r="CP95" s="818">
        <v>2450</v>
      </c>
      <c r="CQ95" s="773">
        <v>0</v>
      </c>
      <c r="CR95" s="773">
        <v>0</v>
      </c>
    </row>
    <row r="96" spans="1:96" ht="13.15" customHeight="1" outlineLevel="1">
      <c r="A96" s="800" t="s">
        <v>734</v>
      </c>
      <c r="B96" s="800" t="s">
        <v>605</v>
      </c>
      <c r="C96" s="800">
        <v>0</v>
      </c>
      <c r="D96" s="846">
        <v>0.41</v>
      </c>
      <c r="E96" s="847">
        <v>0.03</v>
      </c>
      <c r="F96" s="777">
        <f t="shared" si="26"/>
        <v>4.5</v>
      </c>
      <c r="G96" s="777">
        <f t="shared" si="27"/>
        <v>0.15</v>
      </c>
      <c r="H96" s="777">
        <f t="shared" si="24"/>
        <v>20</v>
      </c>
      <c r="I96" s="777">
        <f t="shared" si="24"/>
        <v>4.5000000000000009</v>
      </c>
      <c r="J96" s="802">
        <f t="shared" si="15"/>
        <v>0</v>
      </c>
      <c r="K96" s="801">
        <f>IF('Modelo 1.0 - NS'!R95=1,'Modelo 2.0 - Cubação'!E96,IF((E96-'Modelo 1.0 - NS'!U95)&lt;=0,E96,'Modelo 1.0 - NS'!U95))</f>
        <v>0.03</v>
      </c>
      <c r="L96" s="777">
        <f>'Modelo 1.0 - NS'!Q96</f>
        <v>3.976</v>
      </c>
      <c r="M96" s="777">
        <f t="shared" si="19"/>
        <v>0</v>
      </c>
      <c r="N96" s="777">
        <f t="shared" si="21"/>
        <v>0.15</v>
      </c>
      <c r="O96" s="777">
        <f t="shared" si="13"/>
        <v>39.76</v>
      </c>
      <c r="P96" s="777">
        <f t="shared" si="25"/>
        <v>0</v>
      </c>
      <c r="Q96" s="777">
        <f t="shared" si="25"/>
        <v>4.5000000000000009</v>
      </c>
      <c r="R96" s="777">
        <f t="shared" si="25"/>
        <v>238.55999999999997</v>
      </c>
      <c r="T96" s="777">
        <v>2.3758000000000004</v>
      </c>
      <c r="U96" s="777">
        <v>23.76</v>
      </c>
      <c r="V96" s="777">
        <v>0</v>
      </c>
      <c r="W96" s="777">
        <v>0</v>
      </c>
      <c r="Y96" s="803">
        <v>0</v>
      </c>
      <c r="Z96" s="803">
        <v>0</v>
      </c>
      <c r="AA96" s="803">
        <v>0</v>
      </c>
      <c r="AB96" s="803">
        <v>0</v>
      </c>
      <c r="AD96" s="777">
        <v>4.5</v>
      </c>
      <c r="AE96" s="777">
        <v>0</v>
      </c>
      <c r="AF96" s="777">
        <v>0.2</v>
      </c>
      <c r="AG96" s="804">
        <v>0.2</v>
      </c>
      <c r="AH96" s="804">
        <v>4.3</v>
      </c>
      <c r="AI96" s="777">
        <v>-1227.6200000000006</v>
      </c>
      <c r="AK96" s="805" t="s">
        <v>67</v>
      </c>
      <c r="AL96" s="806">
        <v>0</v>
      </c>
      <c r="AM96" s="805" t="s">
        <v>67</v>
      </c>
      <c r="AN96" s="806">
        <v>0</v>
      </c>
      <c r="AO96" s="807">
        <v>0</v>
      </c>
      <c r="AP96" s="808">
        <v>0</v>
      </c>
      <c r="AR96" s="809" t="s">
        <v>67</v>
      </c>
      <c r="AS96" s="809">
        <v>0</v>
      </c>
      <c r="AT96" s="810" t="s">
        <v>67</v>
      </c>
      <c r="AU96" s="809">
        <v>0</v>
      </c>
      <c r="AV96" s="811">
        <v>0</v>
      </c>
      <c r="AW96" s="811">
        <v>0</v>
      </c>
      <c r="AY96" s="768" t="s">
        <v>67</v>
      </c>
      <c r="AZ96" s="768">
        <v>0</v>
      </c>
      <c r="BA96" s="813" t="s">
        <v>67</v>
      </c>
      <c r="BB96" s="768">
        <v>0</v>
      </c>
      <c r="BC96" s="814">
        <v>4.3</v>
      </c>
      <c r="BD96" s="808">
        <v>18.490000000000002</v>
      </c>
      <c r="BF96" s="766" t="s">
        <v>67</v>
      </c>
      <c r="BG96" s="766">
        <v>0</v>
      </c>
      <c r="BH96" s="767" t="s">
        <v>67</v>
      </c>
      <c r="BI96" s="766">
        <v>0</v>
      </c>
      <c r="BJ96" s="814">
        <v>23.76</v>
      </c>
      <c r="BK96" s="808">
        <v>130.68</v>
      </c>
      <c r="BM96" s="766" t="s">
        <v>67</v>
      </c>
      <c r="BN96" s="766">
        <v>0</v>
      </c>
      <c r="BO96" s="767" t="s">
        <v>67</v>
      </c>
      <c r="BP96" s="768">
        <v>0</v>
      </c>
      <c r="BQ96" s="814">
        <v>0</v>
      </c>
      <c r="BR96" s="808">
        <v>0</v>
      </c>
      <c r="BT96" s="878" t="s">
        <v>67</v>
      </c>
      <c r="BU96" s="771">
        <v>0</v>
      </c>
      <c r="BV96" s="878" t="s">
        <v>67</v>
      </c>
      <c r="BW96" s="873">
        <v>0</v>
      </c>
      <c r="BX96" s="814">
        <v>0</v>
      </c>
      <c r="BY96" s="808">
        <v>0</v>
      </c>
      <c r="CA96" s="771" t="s">
        <v>67</v>
      </c>
      <c r="CB96" s="771">
        <v>0</v>
      </c>
      <c r="CC96" s="815" t="s">
        <v>67</v>
      </c>
      <c r="CD96" s="771">
        <v>0</v>
      </c>
      <c r="CE96" s="814">
        <v>0</v>
      </c>
      <c r="CF96" s="808">
        <v>0</v>
      </c>
      <c r="CH96" s="771" t="s">
        <v>842</v>
      </c>
      <c r="CI96" s="771">
        <v>1</v>
      </c>
      <c r="CJ96" s="771" t="s">
        <v>67</v>
      </c>
      <c r="CK96" s="771">
        <v>0</v>
      </c>
      <c r="CL96" s="814">
        <v>0.2</v>
      </c>
      <c r="CM96" s="816">
        <v>0.2</v>
      </c>
      <c r="CO96" s="848">
        <v>0.1</v>
      </c>
      <c r="CP96" s="818">
        <v>2460</v>
      </c>
      <c r="CQ96" s="773">
        <v>0.2</v>
      </c>
      <c r="CR96" s="773">
        <v>0</v>
      </c>
    </row>
    <row r="97" spans="1:96" ht="13.15" customHeight="1" outlineLevel="1">
      <c r="A97" s="800" t="s">
        <v>734</v>
      </c>
      <c r="B97" s="800" t="s">
        <v>605</v>
      </c>
      <c r="C97" s="800">
        <v>10</v>
      </c>
      <c r="D97" s="846">
        <v>0.43</v>
      </c>
      <c r="E97" s="847">
        <v>0.03</v>
      </c>
      <c r="F97" s="777">
        <f t="shared" si="26"/>
        <v>4.2</v>
      </c>
      <c r="G97" s="777">
        <f t="shared" si="27"/>
        <v>0.3</v>
      </c>
      <c r="H97" s="777">
        <f t="shared" si="24"/>
        <v>24.2</v>
      </c>
      <c r="I97" s="777">
        <f t="shared" si="24"/>
        <v>4.8000000000000007</v>
      </c>
      <c r="J97" s="802">
        <f t="shared" si="15"/>
        <v>0</v>
      </c>
      <c r="K97" s="801">
        <f>IF('Modelo 1.0 - NS'!R96=1,'Modelo 2.0 - Cubação'!E97,IF((E97-'Modelo 1.0 - NS'!U96)&lt;=0,E97,'Modelo 1.0 - NS'!U96))</f>
        <v>0.03</v>
      </c>
      <c r="L97" s="777">
        <f>'Modelo 1.0 - NS'!Q97</f>
        <v>3.976</v>
      </c>
      <c r="M97" s="777">
        <f t="shared" si="19"/>
        <v>0</v>
      </c>
      <c r="N97" s="777">
        <f t="shared" si="21"/>
        <v>0.3</v>
      </c>
      <c r="O97" s="777">
        <f t="shared" si="13"/>
        <v>39.76</v>
      </c>
      <c r="P97" s="777">
        <f t="shared" si="25"/>
        <v>0</v>
      </c>
      <c r="Q97" s="777">
        <f t="shared" si="25"/>
        <v>4.8000000000000007</v>
      </c>
      <c r="R97" s="777">
        <f t="shared" si="25"/>
        <v>278.32</v>
      </c>
      <c r="T97" s="777">
        <v>0</v>
      </c>
      <c r="U97" s="777">
        <v>11.88</v>
      </c>
      <c r="V97" s="777">
        <v>2.56</v>
      </c>
      <c r="W97" s="777">
        <v>12.8</v>
      </c>
      <c r="Y97" s="803">
        <v>0</v>
      </c>
      <c r="Z97" s="803">
        <v>0</v>
      </c>
      <c r="AA97" s="803">
        <v>0</v>
      </c>
      <c r="AB97" s="803">
        <v>0</v>
      </c>
      <c r="AD97" s="777">
        <v>4.2</v>
      </c>
      <c r="AE97" s="777">
        <v>0</v>
      </c>
      <c r="AF97" s="777">
        <v>0.39</v>
      </c>
      <c r="AG97" s="804">
        <v>0.39</v>
      </c>
      <c r="AH97" s="804">
        <v>3.81</v>
      </c>
      <c r="AI97" s="777">
        <v>-1223.8100000000006</v>
      </c>
      <c r="AK97" s="805" t="s">
        <v>67</v>
      </c>
      <c r="AL97" s="806">
        <v>0</v>
      </c>
      <c r="AM97" s="805" t="s">
        <v>67</v>
      </c>
      <c r="AN97" s="806">
        <v>0</v>
      </c>
      <c r="AO97" s="807">
        <v>0</v>
      </c>
      <c r="AP97" s="808">
        <v>0</v>
      </c>
      <c r="AR97" s="809" t="s">
        <v>67</v>
      </c>
      <c r="AS97" s="809">
        <v>0</v>
      </c>
      <c r="AT97" s="810" t="s">
        <v>67</v>
      </c>
      <c r="AU97" s="809">
        <v>0</v>
      </c>
      <c r="AV97" s="811">
        <v>0</v>
      </c>
      <c r="AW97" s="811">
        <v>0</v>
      </c>
      <c r="AY97" s="768" t="s">
        <v>67</v>
      </c>
      <c r="AZ97" s="768">
        <v>0</v>
      </c>
      <c r="BA97" s="813" t="s">
        <v>67</v>
      </c>
      <c r="BB97" s="768">
        <v>0</v>
      </c>
      <c r="BC97" s="814">
        <v>3.81</v>
      </c>
      <c r="BD97" s="808">
        <v>22.3</v>
      </c>
      <c r="BF97" s="766" t="s">
        <v>67</v>
      </c>
      <c r="BG97" s="766">
        <v>0</v>
      </c>
      <c r="BH97" s="767" t="s">
        <v>837</v>
      </c>
      <c r="BI97" s="766">
        <v>1</v>
      </c>
      <c r="BJ97" s="814">
        <v>11.88</v>
      </c>
      <c r="BK97" s="808">
        <v>142.56</v>
      </c>
      <c r="BM97" s="766" t="s">
        <v>67</v>
      </c>
      <c r="BN97" s="766">
        <v>0</v>
      </c>
      <c r="BO97" s="767" t="s">
        <v>67</v>
      </c>
      <c r="BP97" s="768">
        <v>0</v>
      </c>
      <c r="BQ97" s="814">
        <v>0</v>
      </c>
      <c r="BR97" s="808">
        <v>0</v>
      </c>
      <c r="BT97" s="878" t="s">
        <v>843</v>
      </c>
      <c r="BU97" s="771">
        <v>1</v>
      </c>
      <c r="BV97" s="878" t="s">
        <v>67</v>
      </c>
      <c r="BW97" s="771">
        <v>0</v>
      </c>
      <c r="BX97" s="814">
        <v>12.8</v>
      </c>
      <c r="BY97" s="808">
        <v>12.8</v>
      </c>
      <c r="CA97" s="771" t="s">
        <v>67</v>
      </c>
      <c r="CB97" s="771">
        <v>0</v>
      </c>
      <c r="CC97" s="815" t="s">
        <v>67</v>
      </c>
      <c r="CD97" s="771">
        <v>0</v>
      </c>
      <c r="CE97" s="814">
        <v>0</v>
      </c>
      <c r="CF97" s="808">
        <v>0</v>
      </c>
      <c r="CH97" s="771" t="s">
        <v>67</v>
      </c>
      <c r="CI97" s="771">
        <v>0</v>
      </c>
      <c r="CJ97" s="771" t="s">
        <v>67</v>
      </c>
      <c r="CK97" s="771">
        <v>0</v>
      </c>
      <c r="CL97" s="814">
        <v>0.39</v>
      </c>
      <c r="CM97" s="816">
        <v>0.59000000000000008</v>
      </c>
      <c r="CO97" s="848">
        <v>0.1</v>
      </c>
      <c r="CP97" s="818">
        <v>2470</v>
      </c>
      <c r="CQ97" s="773">
        <v>0.39</v>
      </c>
      <c r="CR97" s="773">
        <v>0</v>
      </c>
    </row>
    <row r="98" spans="1:96" ht="13.15" customHeight="1" outlineLevel="1">
      <c r="A98" s="800" t="s">
        <v>737</v>
      </c>
      <c r="B98" s="800" t="s">
        <v>605</v>
      </c>
      <c r="C98" s="800">
        <v>0</v>
      </c>
      <c r="D98" s="846">
        <v>0.27</v>
      </c>
      <c r="E98" s="847">
        <v>0.04</v>
      </c>
      <c r="F98" s="777">
        <f t="shared" si="26"/>
        <v>3.5</v>
      </c>
      <c r="G98" s="777">
        <f t="shared" si="27"/>
        <v>0.35</v>
      </c>
      <c r="H98" s="777">
        <f t="shared" si="24"/>
        <v>27.7</v>
      </c>
      <c r="I98" s="777">
        <f t="shared" si="24"/>
        <v>5.15</v>
      </c>
      <c r="J98" s="802">
        <f t="shared" si="15"/>
        <v>0</v>
      </c>
      <c r="K98" s="801">
        <f>IF('Modelo 1.0 - NS'!R97=1,'Modelo 2.0 - Cubação'!E98,IF((E98-'Modelo 1.0 - NS'!U97)&lt;=0,E98,'Modelo 1.0 - NS'!U97))</f>
        <v>0.04</v>
      </c>
      <c r="L98" s="777">
        <f>'Modelo 1.0 - NS'!Q98</f>
        <v>3.976</v>
      </c>
      <c r="M98" s="777">
        <f t="shared" si="19"/>
        <v>0</v>
      </c>
      <c r="N98" s="777">
        <f t="shared" si="21"/>
        <v>0.35000000000000003</v>
      </c>
      <c r="O98" s="777">
        <f t="shared" si="13"/>
        <v>39.76</v>
      </c>
      <c r="P98" s="777">
        <f t="shared" si="25"/>
        <v>0</v>
      </c>
      <c r="Q98" s="777">
        <f t="shared" si="25"/>
        <v>5.15</v>
      </c>
      <c r="R98" s="777">
        <f t="shared" si="25"/>
        <v>318.08</v>
      </c>
      <c r="T98" s="777">
        <v>0</v>
      </c>
      <c r="U98" s="777">
        <v>0</v>
      </c>
      <c r="V98" s="777">
        <v>2.56</v>
      </c>
      <c r="W98" s="777">
        <v>25.6</v>
      </c>
      <c r="Y98" s="803">
        <v>0</v>
      </c>
      <c r="Z98" s="803">
        <v>0</v>
      </c>
      <c r="AA98" s="803">
        <v>0</v>
      </c>
      <c r="AB98" s="803">
        <v>0</v>
      </c>
      <c r="AD98" s="777">
        <v>3.5</v>
      </c>
      <c r="AE98" s="777">
        <v>0</v>
      </c>
      <c r="AF98" s="777">
        <v>0.46</v>
      </c>
      <c r="AG98" s="804">
        <v>0.46</v>
      </c>
      <c r="AH98" s="804">
        <v>3.04</v>
      </c>
      <c r="AI98" s="777">
        <v>-1220.7700000000007</v>
      </c>
      <c r="AK98" s="805" t="s">
        <v>67</v>
      </c>
      <c r="AL98" s="806">
        <v>0</v>
      </c>
      <c r="AM98" s="805" t="s">
        <v>67</v>
      </c>
      <c r="AN98" s="806">
        <v>0</v>
      </c>
      <c r="AO98" s="807">
        <v>0</v>
      </c>
      <c r="AP98" s="808">
        <v>0</v>
      </c>
      <c r="AR98" s="809" t="s">
        <v>67</v>
      </c>
      <c r="AS98" s="809">
        <v>0</v>
      </c>
      <c r="AT98" s="810" t="s">
        <v>67</v>
      </c>
      <c r="AU98" s="809">
        <v>0</v>
      </c>
      <c r="AV98" s="811">
        <v>0</v>
      </c>
      <c r="AW98" s="811">
        <v>0</v>
      </c>
      <c r="AY98" s="768" t="s">
        <v>67</v>
      </c>
      <c r="AZ98" s="768">
        <v>0</v>
      </c>
      <c r="BA98" s="813" t="s">
        <v>67</v>
      </c>
      <c r="BB98" s="768">
        <v>0</v>
      </c>
      <c r="BC98" s="814">
        <v>3.04</v>
      </c>
      <c r="BD98" s="808">
        <v>25.34</v>
      </c>
      <c r="BF98" s="766" t="s">
        <v>67</v>
      </c>
      <c r="BG98" s="766">
        <v>0</v>
      </c>
      <c r="BH98" s="767" t="s">
        <v>67</v>
      </c>
      <c r="BI98" s="766">
        <v>0</v>
      </c>
      <c r="BJ98" s="814">
        <v>0</v>
      </c>
      <c r="BK98" s="808">
        <v>0</v>
      </c>
      <c r="BM98" s="766" t="s">
        <v>67</v>
      </c>
      <c r="BN98" s="766">
        <v>0</v>
      </c>
      <c r="BO98" s="767" t="s">
        <v>67</v>
      </c>
      <c r="BP98" s="768">
        <v>0</v>
      </c>
      <c r="BQ98" s="814">
        <v>0</v>
      </c>
      <c r="BR98" s="808">
        <v>0</v>
      </c>
      <c r="BT98" s="878" t="s">
        <v>67</v>
      </c>
      <c r="BU98" s="771">
        <v>0</v>
      </c>
      <c r="BV98" s="878" t="s">
        <v>67</v>
      </c>
      <c r="BW98" s="771">
        <v>0</v>
      </c>
      <c r="BX98" s="814">
        <v>25.6</v>
      </c>
      <c r="BY98" s="808">
        <v>38.400000000000006</v>
      </c>
      <c r="CA98" s="771" t="s">
        <v>67</v>
      </c>
      <c r="CB98" s="771">
        <v>0</v>
      </c>
      <c r="CC98" s="815" t="s">
        <v>67</v>
      </c>
      <c r="CD98" s="771">
        <v>0</v>
      </c>
      <c r="CE98" s="814">
        <v>0</v>
      </c>
      <c r="CF98" s="808">
        <v>0</v>
      </c>
      <c r="CH98" s="771" t="s">
        <v>67</v>
      </c>
      <c r="CI98" s="771">
        <v>0</v>
      </c>
      <c r="CJ98" s="771" t="s">
        <v>67</v>
      </c>
      <c r="CK98" s="771">
        <v>0</v>
      </c>
      <c r="CL98" s="814">
        <v>0.46</v>
      </c>
      <c r="CM98" s="816">
        <v>1.05</v>
      </c>
      <c r="CO98" s="848">
        <v>0.1</v>
      </c>
      <c r="CP98" s="818">
        <v>2480</v>
      </c>
      <c r="CQ98" s="773">
        <v>0.46</v>
      </c>
      <c r="CR98" s="773">
        <v>0</v>
      </c>
    </row>
    <row r="99" spans="1:96" ht="13.15" customHeight="1" outlineLevel="1">
      <c r="A99" s="800" t="s">
        <v>737</v>
      </c>
      <c r="B99" s="800" t="s">
        <v>605</v>
      </c>
      <c r="C99" s="800">
        <v>10</v>
      </c>
      <c r="D99" s="846">
        <v>0.05</v>
      </c>
      <c r="E99" s="847">
        <v>0.18</v>
      </c>
      <c r="F99" s="777">
        <f t="shared" si="26"/>
        <v>1.6</v>
      </c>
      <c r="G99" s="777">
        <f t="shared" si="27"/>
        <v>1.1000000000000001</v>
      </c>
      <c r="H99" s="777">
        <f t="shared" si="24"/>
        <v>29.3</v>
      </c>
      <c r="I99" s="777">
        <f t="shared" si="24"/>
        <v>6.25</v>
      </c>
      <c r="J99" s="802">
        <f t="shared" si="15"/>
        <v>0</v>
      </c>
      <c r="K99" s="801">
        <f>IF('Modelo 1.0 - NS'!R98=1,'Modelo 2.0 - Cubação'!E99,IF((E99-'Modelo 1.0 - NS'!U98)&lt;=0,E99,'Modelo 1.0 - NS'!U98))</f>
        <v>0.18</v>
      </c>
      <c r="L99" s="777">
        <f>'Modelo 1.0 - NS'!Q99</f>
        <v>3.976</v>
      </c>
      <c r="M99" s="777">
        <f t="shared" si="19"/>
        <v>0</v>
      </c>
      <c r="N99" s="777">
        <f t="shared" si="21"/>
        <v>1.1000000000000001</v>
      </c>
      <c r="O99" s="777">
        <f t="shared" si="13"/>
        <v>39.76</v>
      </c>
      <c r="P99" s="777">
        <f t="shared" si="25"/>
        <v>0</v>
      </c>
      <c r="Q99" s="777">
        <f t="shared" si="25"/>
        <v>6.25</v>
      </c>
      <c r="R99" s="777">
        <f t="shared" si="25"/>
        <v>357.84</v>
      </c>
      <c r="T99" s="777">
        <v>0</v>
      </c>
      <c r="U99" s="777">
        <v>0</v>
      </c>
      <c r="V99" s="777">
        <v>2.56</v>
      </c>
      <c r="W99" s="777">
        <v>25.6</v>
      </c>
      <c r="Y99" s="803">
        <v>0</v>
      </c>
      <c r="Z99" s="803">
        <v>0</v>
      </c>
      <c r="AA99" s="803">
        <v>0</v>
      </c>
      <c r="AB99" s="803">
        <v>0</v>
      </c>
      <c r="AD99" s="777">
        <v>1.6</v>
      </c>
      <c r="AE99" s="777">
        <v>0</v>
      </c>
      <c r="AF99" s="777">
        <v>1.43</v>
      </c>
      <c r="AG99" s="804">
        <v>1.43</v>
      </c>
      <c r="AH99" s="804">
        <v>0.17000000000000015</v>
      </c>
      <c r="AI99" s="777">
        <v>-1220.6000000000006</v>
      </c>
      <c r="AK99" s="805" t="s">
        <v>67</v>
      </c>
      <c r="AL99" s="806">
        <v>0</v>
      </c>
      <c r="AM99" s="805" t="s">
        <v>67</v>
      </c>
      <c r="AN99" s="806">
        <v>0</v>
      </c>
      <c r="AO99" s="807">
        <v>0</v>
      </c>
      <c r="AP99" s="808">
        <v>0</v>
      </c>
      <c r="AR99" s="809" t="s">
        <v>67</v>
      </c>
      <c r="AS99" s="809">
        <v>0</v>
      </c>
      <c r="AT99" s="810" t="s">
        <v>67</v>
      </c>
      <c r="AU99" s="809">
        <v>0</v>
      </c>
      <c r="AV99" s="811">
        <v>0</v>
      </c>
      <c r="AW99" s="811">
        <v>0</v>
      </c>
      <c r="AY99" s="768" t="s">
        <v>67</v>
      </c>
      <c r="AZ99" s="768">
        <v>0</v>
      </c>
      <c r="BA99" s="813" t="s">
        <v>841</v>
      </c>
      <c r="BB99" s="768">
        <v>1</v>
      </c>
      <c r="BC99" s="814">
        <v>0.17</v>
      </c>
      <c r="BD99" s="808">
        <v>25.51</v>
      </c>
      <c r="BF99" s="766" t="s">
        <v>67</v>
      </c>
      <c r="BG99" s="766">
        <v>0</v>
      </c>
      <c r="BH99" s="767" t="s">
        <v>67</v>
      </c>
      <c r="BI99" s="766">
        <v>0</v>
      </c>
      <c r="BJ99" s="814">
        <v>0</v>
      </c>
      <c r="BK99" s="808">
        <v>0</v>
      </c>
      <c r="BM99" s="766" t="s">
        <v>67</v>
      </c>
      <c r="BN99" s="766">
        <v>0</v>
      </c>
      <c r="BO99" s="767" t="s">
        <v>67</v>
      </c>
      <c r="BP99" s="768">
        <v>0</v>
      </c>
      <c r="BQ99" s="814">
        <v>0</v>
      </c>
      <c r="BR99" s="808">
        <v>0</v>
      </c>
      <c r="BT99" s="878" t="s">
        <v>67</v>
      </c>
      <c r="BU99" s="771">
        <v>0</v>
      </c>
      <c r="BV99" s="878" t="s">
        <v>67</v>
      </c>
      <c r="BW99" s="771">
        <v>0</v>
      </c>
      <c r="BX99" s="814">
        <v>25.6</v>
      </c>
      <c r="BY99" s="808">
        <v>64</v>
      </c>
      <c r="CA99" s="771" t="s">
        <v>67</v>
      </c>
      <c r="CB99" s="771">
        <v>0</v>
      </c>
      <c r="CC99" s="815" t="s">
        <v>67</v>
      </c>
      <c r="CD99" s="771">
        <v>0</v>
      </c>
      <c r="CE99" s="814">
        <v>0</v>
      </c>
      <c r="CF99" s="808">
        <v>0</v>
      </c>
      <c r="CH99" s="771" t="s">
        <v>67</v>
      </c>
      <c r="CI99" s="771">
        <v>0</v>
      </c>
      <c r="CJ99" s="771" t="s">
        <v>67</v>
      </c>
      <c r="CK99" s="771">
        <v>0</v>
      </c>
      <c r="CL99" s="814">
        <v>1.43</v>
      </c>
      <c r="CM99" s="816">
        <v>2.48</v>
      </c>
      <c r="CO99" s="848">
        <v>0.1</v>
      </c>
      <c r="CP99" s="818">
        <v>2490</v>
      </c>
      <c r="CQ99" s="773">
        <v>1.43</v>
      </c>
      <c r="CR99" s="773">
        <v>0</v>
      </c>
    </row>
    <row r="100" spans="1:96" ht="13.15" customHeight="1" outlineLevel="1">
      <c r="A100" s="800" t="s">
        <v>740</v>
      </c>
      <c r="B100" s="800" t="s">
        <v>605</v>
      </c>
      <c r="C100" s="800">
        <v>0</v>
      </c>
      <c r="D100" s="846">
        <v>0.04</v>
      </c>
      <c r="E100" s="847">
        <v>0.34</v>
      </c>
      <c r="F100" s="777">
        <f t="shared" si="26"/>
        <v>0.45</v>
      </c>
      <c r="G100" s="777">
        <f t="shared" si="27"/>
        <v>2.6</v>
      </c>
      <c r="H100" s="777">
        <f t="shared" si="24"/>
        <v>29.75</v>
      </c>
      <c r="I100" s="777">
        <f t="shared" si="24"/>
        <v>8.85</v>
      </c>
      <c r="J100" s="802">
        <f t="shared" si="15"/>
        <v>0</v>
      </c>
      <c r="K100" s="801">
        <f>IF('Modelo 1.0 - NS'!R99=1,'Modelo 2.0 - Cubação'!E100,IF((E100-'Modelo 1.0 - NS'!U99)&lt;=0,E100,'Modelo 1.0 - NS'!U99))</f>
        <v>0.34</v>
      </c>
      <c r="L100" s="777">
        <f>'Modelo 1.0 - NS'!Q100</f>
        <v>3.976</v>
      </c>
      <c r="M100" s="777">
        <f t="shared" si="19"/>
        <v>0</v>
      </c>
      <c r="N100" s="777">
        <f t="shared" si="21"/>
        <v>2.6</v>
      </c>
      <c r="O100" s="777">
        <f t="shared" si="13"/>
        <v>39.76</v>
      </c>
      <c r="P100" s="777">
        <f t="shared" si="25"/>
        <v>0</v>
      </c>
      <c r="Q100" s="777">
        <f t="shared" si="25"/>
        <v>8.85</v>
      </c>
      <c r="R100" s="777">
        <f t="shared" si="25"/>
        <v>397.59999999999997</v>
      </c>
      <c r="T100" s="777">
        <v>0</v>
      </c>
      <c r="U100" s="777">
        <v>0</v>
      </c>
      <c r="V100" s="777">
        <v>2.56</v>
      </c>
      <c r="W100" s="777">
        <v>25.6</v>
      </c>
      <c r="Y100" s="803">
        <v>0</v>
      </c>
      <c r="Z100" s="803">
        <v>0</v>
      </c>
      <c r="AA100" s="803">
        <v>0</v>
      </c>
      <c r="AB100" s="803">
        <v>0</v>
      </c>
      <c r="AD100" s="777">
        <v>0.45</v>
      </c>
      <c r="AE100" s="777">
        <v>0</v>
      </c>
      <c r="AF100" s="777">
        <v>3.38</v>
      </c>
      <c r="AG100" s="804">
        <v>0.45</v>
      </c>
      <c r="AH100" s="804">
        <v>-2.9299999999999997</v>
      </c>
      <c r="AI100" s="777">
        <v>-1223.5300000000007</v>
      </c>
      <c r="AK100" s="805" t="s">
        <v>844</v>
      </c>
      <c r="AL100" s="806">
        <v>1</v>
      </c>
      <c r="AM100" s="805" t="s">
        <v>67</v>
      </c>
      <c r="AN100" s="806">
        <v>0</v>
      </c>
      <c r="AO100" s="807">
        <v>2.25</v>
      </c>
      <c r="AP100" s="808">
        <v>2.25</v>
      </c>
      <c r="AR100" s="809" t="s">
        <v>67</v>
      </c>
      <c r="AS100" s="809">
        <v>0</v>
      </c>
      <c r="AT100" s="810" t="s">
        <v>67</v>
      </c>
      <c r="AU100" s="809">
        <v>0</v>
      </c>
      <c r="AV100" s="811">
        <v>0</v>
      </c>
      <c r="AW100" s="811">
        <v>0</v>
      </c>
      <c r="AY100" s="768" t="s">
        <v>67</v>
      </c>
      <c r="AZ100" s="768">
        <v>0</v>
      </c>
      <c r="BA100" s="813" t="s">
        <v>67</v>
      </c>
      <c r="BB100" s="768">
        <v>0</v>
      </c>
      <c r="BC100" s="814">
        <v>0</v>
      </c>
      <c r="BD100" s="808">
        <v>0</v>
      </c>
      <c r="BF100" s="766" t="s">
        <v>67</v>
      </c>
      <c r="BG100" s="766">
        <v>0</v>
      </c>
      <c r="BH100" s="767" t="s">
        <v>67</v>
      </c>
      <c r="BI100" s="766">
        <v>0</v>
      </c>
      <c r="BJ100" s="814">
        <v>0</v>
      </c>
      <c r="BK100" s="808">
        <v>0</v>
      </c>
      <c r="BM100" s="766" t="s">
        <v>67</v>
      </c>
      <c r="BN100" s="766">
        <v>0</v>
      </c>
      <c r="BO100" s="767" t="s">
        <v>67</v>
      </c>
      <c r="BP100" s="768">
        <v>0</v>
      </c>
      <c r="BQ100" s="814">
        <v>0</v>
      </c>
      <c r="BR100" s="808">
        <v>0</v>
      </c>
      <c r="BT100" s="878" t="s">
        <v>67</v>
      </c>
      <c r="BU100" s="771">
        <v>0</v>
      </c>
      <c r="BV100" s="878" t="s">
        <v>67</v>
      </c>
      <c r="BW100" s="771">
        <v>0</v>
      </c>
      <c r="BX100" s="814">
        <v>25.6</v>
      </c>
      <c r="BY100" s="808">
        <v>89.6</v>
      </c>
      <c r="CA100" s="771" t="s">
        <v>67</v>
      </c>
      <c r="CB100" s="771">
        <v>0</v>
      </c>
      <c r="CC100" s="815" t="s">
        <v>67</v>
      </c>
      <c r="CD100" s="771">
        <v>0</v>
      </c>
      <c r="CE100" s="814">
        <v>0</v>
      </c>
      <c r="CF100" s="808">
        <v>0</v>
      </c>
      <c r="CH100" s="771" t="s">
        <v>67</v>
      </c>
      <c r="CI100" s="771">
        <v>0</v>
      </c>
      <c r="CJ100" s="771" t="s">
        <v>67</v>
      </c>
      <c r="CK100" s="771">
        <v>0</v>
      </c>
      <c r="CL100" s="814">
        <v>0.45</v>
      </c>
      <c r="CM100" s="816">
        <v>2.93</v>
      </c>
      <c r="CO100" s="848">
        <v>0.1</v>
      </c>
      <c r="CP100" s="818">
        <v>2500</v>
      </c>
      <c r="CQ100" s="773">
        <v>0</v>
      </c>
      <c r="CR100" s="773">
        <v>-0.45</v>
      </c>
    </row>
    <row r="101" spans="1:96" ht="13.15" customHeight="1" outlineLevel="1">
      <c r="A101" s="800" t="s">
        <v>740</v>
      </c>
      <c r="B101" s="800" t="s">
        <v>605</v>
      </c>
      <c r="C101" s="800">
        <v>10</v>
      </c>
      <c r="D101" s="846">
        <v>0.01</v>
      </c>
      <c r="E101" s="847">
        <v>0.47</v>
      </c>
      <c r="F101" s="777">
        <f t="shared" si="26"/>
        <v>0.25</v>
      </c>
      <c r="G101" s="777">
        <f t="shared" si="27"/>
        <v>4.05</v>
      </c>
      <c r="H101" s="777">
        <f t="shared" si="24"/>
        <v>30</v>
      </c>
      <c r="I101" s="777">
        <f t="shared" si="24"/>
        <v>12.899999999999999</v>
      </c>
      <c r="J101" s="802">
        <f t="shared" si="15"/>
        <v>0</v>
      </c>
      <c r="K101" s="801">
        <f>IF('Modelo 1.0 - NS'!R100=1,'Modelo 2.0 - Cubação'!E101,IF((E101-'Modelo 1.0 - NS'!U100)&lt;=0,E101,'Modelo 1.0 - NS'!U100))</f>
        <v>0.47</v>
      </c>
      <c r="L101" s="777">
        <f>'Modelo 1.0 - NS'!Q101</f>
        <v>3.976</v>
      </c>
      <c r="M101" s="777">
        <f t="shared" si="19"/>
        <v>0</v>
      </c>
      <c r="N101" s="777">
        <f t="shared" si="21"/>
        <v>4.0500000000000007</v>
      </c>
      <c r="O101" s="777">
        <f t="shared" si="13"/>
        <v>39.76</v>
      </c>
      <c r="P101" s="777">
        <f t="shared" si="25"/>
        <v>0</v>
      </c>
      <c r="Q101" s="777">
        <f t="shared" si="25"/>
        <v>12.9</v>
      </c>
      <c r="R101" s="777">
        <f t="shared" si="25"/>
        <v>437.35999999999996</v>
      </c>
      <c r="T101" s="777">
        <v>0</v>
      </c>
      <c r="U101" s="777">
        <v>0</v>
      </c>
      <c r="V101" s="777">
        <v>2.56</v>
      </c>
      <c r="W101" s="777">
        <v>25.6</v>
      </c>
      <c r="Y101" s="803">
        <v>0</v>
      </c>
      <c r="Z101" s="803">
        <v>0</v>
      </c>
      <c r="AA101" s="803">
        <v>0</v>
      </c>
      <c r="AB101" s="803">
        <v>0</v>
      </c>
      <c r="AD101" s="777">
        <v>0.25</v>
      </c>
      <c r="AE101" s="777">
        <v>0</v>
      </c>
      <c r="AF101" s="777">
        <v>5.27</v>
      </c>
      <c r="AG101" s="804">
        <v>0.25</v>
      </c>
      <c r="AH101" s="804">
        <v>-5.0199999999999996</v>
      </c>
      <c r="AI101" s="777">
        <v>-1228.5500000000006</v>
      </c>
      <c r="AK101" s="805" t="s">
        <v>67</v>
      </c>
      <c r="AL101" s="806">
        <v>0</v>
      </c>
      <c r="AM101" s="805" t="s">
        <v>67</v>
      </c>
      <c r="AN101" s="806">
        <v>0</v>
      </c>
      <c r="AO101" s="807">
        <v>3.86</v>
      </c>
      <c r="AP101" s="808">
        <v>6.1099999999999994</v>
      </c>
      <c r="AR101" s="809" t="s">
        <v>67</v>
      </c>
      <c r="AS101" s="809">
        <v>0</v>
      </c>
      <c r="AT101" s="810" t="s">
        <v>67</v>
      </c>
      <c r="AU101" s="809">
        <v>0</v>
      </c>
      <c r="AV101" s="811">
        <v>0</v>
      </c>
      <c r="AW101" s="811">
        <v>0</v>
      </c>
      <c r="AY101" s="768" t="s">
        <v>67</v>
      </c>
      <c r="AZ101" s="768">
        <v>0</v>
      </c>
      <c r="BA101" s="813" t="s">
        <v>67</v>
      </c>
      <c r="BB101" s="768">
        <v>0</v>
      </c>
      <c r="BC101" s="814">
        <v>0</v>
      </c>
      <c r="BD101" s="808">
        <v>0</v>
      </c>
      <c r="BF101" s="766" t="s">
        <v>67</v>
      </c>
      <c r="BG101" s="766">
        <v>0</v>
      </c>
      <c r="BH101" s="767" t="s">
        <v>67</v>
      </c>
      <c r="BI101" s="766">
        <v>0</v>
      </c>
      <c r="BJ101" s="814">
        <v>0</v>
      </c>
      <c r="BK101" s="808">
        <v>0</v>
      </c>
      <c r="BM101" s="766" t="s">
        <v>67</v>
      </c>
      <c r="BN101" s="766">
        <v>0</v>
      </c>
      <c r="BO101" s="767" t="s">
        <v>67</v>
      </c>
      <c r="BP101" s="768">
        <v>0</v>
      </c>
      <c r="BQ101" s="814">
        <v>0</v>
      </c>
      <c r="BR101" s="808">
        <v>0</v>
      </c>
      <c r="BT101" s="878" t="s">
        <v>67</v>
      </c>
      <c r="BU101" s="771">
        <v>0</v>
      </c>
      <c r="BV101" s="878" t="s">
        <v>67</v>
      </c>
      <c r="BW101" s="771">
        <v>0</v>
      </c>
      <c r="BX101" s="814">
        <v>25.6</v>
      </c>
      <c r="BY101" s="808">
        <v>115.19999999999999</v>
      </c>
      <c r="CA101" s="771" t="s">
        <v>67</v>
      </c>
      <c r="CB101" s="771">
        <v>0</v>
      </c>
      <c r="CC101" s="815" t="s">
        <v>67</v>
      </c>
      <c r="CD101" s="771">
        <v>0</v>
      </c>
      <c r="CE101" s="814">
        <v>0</v>
      </c>
      <c r="CF101" s="808">
        <v>0</v>
      </c>
      <c r="CH101" s="771" t="s">
        <v>67</v>
      </c>
      <c r="CI101" s="771">
        <v>0</v>
      </c>
      <c r="CJ101" s="771" t="s">
        <v>67</v>
      </c>
      <c r="CK101" s="771">
        <v>0</v>
      </c>
      <c r="CL101" s="814">
        <v>0.25</v>
      </c>
      <c r="CM101" s="816">
        <v>3.18</v>
      </c>
      <c r="CO101" s="848">
        <v>0.1</v>
      </c>
      <c r="CP101" s="818">
        <v>2510</v>
      </c>
      <c r="CQ101" s="773">
        <v>0</v>
      </c>
      <c r="CR101" s="773">
        <v>-0.25</v>
      </c>
    </row>
    <row r="102" spans="1:96" ht="13.15" customHeight="1" outlineLevel="1">
      <c r="A102" s="800" t="s">
        <v>743</v>
      </c>
      <c r="B102" s="800" t="s">
        <v>605</v>
      </c>
      <c r="C102" s="800">
        <v>0</v>
      </c>
      <c r="D102" s="846">
        <v>0</v>
      </c>
      <c r="E102" s="847">
        <v>0.4</v>
      </c>
      <c r="F102" s="777">
        <f t="shared" si="26"/>
        <v>0.05</v>
      </c>
      <c r="G102" s="777">
        <f t="shared" si="27"/>
        <v>4.3499999999999996</v>
      </c>
      <c r="H102" s="777">
        <f t="shared" si="24"/>
        <v>30.05</v>
      </c>
      <c r="I102" s="777">
        <f t="shared" si="24"/>
        <v>17.25</v>
      </c>
      <c r="J102" s="802">
        <f t="shared" si="15"/>
        <v>0</v>
      </c>
      <c r="K102" s="801">
        <f>IF('Modelo 1.0 - NS'!R101=1,'Modelo 2.0 - Cubação'!E102,IF((E102-'Modelo 1.0 - NS'!U101)&lt;=0,E102,'Modelo 1.0 - NS'!U101))</f>
        <v>0.4</v>
      </c>
      <c r="L102" s="777">
        <f>'Modelo 1.0 - NS'!Q102</f>
        <v>3.976</v>
      </c>
      <c r="M102" s="777">
        <f t="shared" si="19"/>
        <v>0</v>
      </c>
      <c r="N102" s="777">
        <f t="shared" si="21"/>
        <v>4.3499999999999996</v>
      </c>
      <c r="O102" s="777">
        <f t="shared" si="13"/>
        <v>39.76</v>
      </c>
      <c r="P102" s="777">
        <f t="shared" si="25"/>
        <v>0</v>
      </c>
      <c r="Q102" s="777">
        <f t="shared" si="25"/>
        <v>17.25</v>
      </c>
      <c r="R102" s="777">
        <f t="shared" si="25"/>
        <v>477.11999999999995</v>
      </c>
      <c r="T102" s="777">
        <v>0</v>
      </c>
      <c r="U102" s="777">
        <v>0</v>
      </c>
      <c r="V102" s="777">
        <v>2.56</v>
      </c>
      <c r="W102" s="777">
        <v>25.6</v>
      </c>
      <c r="Y102" s="803">
        <v>0</v>
      </c>
      <c r="Z102" s="803">
        <v>0</v>
      </c>
      <c r="AA102" s="803">
        <v>0</v>
      </c>
      <c r="AB102" s="803">
        <v>0</v>
      </c>
      <c r="AD102" s="777">
        <v>0.05</v>
      </c>
      <c r="AE102" s="777">
        <v>0</v>
      </c>
      <c r="AF102" s="777">
        <v>5.66</v>
      </c>
      <c r="AG102" s="804">
        <v>0.05</v>
      </c>
      <c r="AH102" s="804">
        <v>-5.61</v>
      </c>
      <c r="AI102" s="777">
        <v>-1234.1600000000005</v>
      </c>
      <c r="AK102" s="805" t="s">
        <v>67</v>
      </c>
      <c r="AL102" s="806">
        <v>0</v>
      </c>
      <c r="AM102" s="805" t="s">
        <v>67</v>
      </c>
      <c r="AN102" s="806">
        <v>0</v>
      </c>
      <c r="AO102" s="807">
        <v>4.32</v>
      </c>
      <c r="AP102" s="808">
        <v>10.43</v>
      </c>
      <c r="AR102" s="809" t="s">
        <v>67</v>
      </c>
      <c r="AS102" s="809">
        <v>0</v>
      </c>
      <c r="AT102" s="810" t="s">
        <v>67</v>
      </c>
      <c r="AU102" s="809">
        <v>0</v>
      </c>
      <c r="AV102" s="811">
        <v>0</v>
      </c>
      <c r="AW102" s="811">
        <v>0</v>
      </c>
      <c r="AY102" s="768" t="s">
        <v>67</v>
      </c>
      <c r="AZ102" s="768">
        <v>0</v>
      </c>
      <c r="BA102" s="813" t="s">
        <v>67</v>
      </c>
      <c r="BB102" s="768">
        <v>0</v>
      </c>
      <c r="BC102" s="814">
        <v>0</v>
      </c>
      <c r="BD102" s="808">
        <v>0</v>
      </c>
      <c r="BF102" s="766" t="s">
        <v>845</v>
      </c>
      <c r="BG102" s="766">
        <v>0</v>
      </c>
      <c r="BH102" s="767" t="s">
        <v>67</v>
      </c>
      <c r="BI102" s="766">
        <v>0</v>
      </c>
      <c r="BJ102" s="814">
        <v>0</v>
      </c>
      <c r="BK102" s="808">
        <v>0</v>
      </c>
      <c r="BM102" s="766" t="s">
        <v>67</v>
      </c>
      <c r="BN102" s="766">
        <v>0</v>
      </c>
      <c r="BO102" s="767" t="s">
        <v>67</v>
      </c>
      <c r="BP102" s="768">
        <v>0</v>
      </c>
      <c r="BQ102" s="814">
        <v>0</v>
      </c>
      <c r="BR102" s="808">
        <v>0</v>
      </c>
      <c r="BT102" s="878" t="s">
        <v>67</v>
      </c>
      <c r="BU102" s="771">
        <v>0</v>
      </c>
      <c r="BV102" s="878" t="s">
        <v>67</v>
      </c>
      <c r="BW102" s="771">
        <v>0</v>
      </c>
      <c r="BX102" s="814">
        <v>25.6</v>
      </c>
      <c r="BY102" s="808">
        <v>140.79999999999998</v>
      </c>
      <c r="CA102" s="771" t="s">
        <v>67</v>
      </c>
      <c r="CB102" s="771">
        <v>0</v>
      </c>
      <c r="CC102" s="815" t="s">
        <v>67</v>
      </c>
      <c r="CD102" s="771">
        <v>0</v>
      </c>
      <c r="CE102" s="814">
        <v>0</v>
      </c>
      <c r="CF102" s="808">
        <v>0</v>
      </c>
      <c r="CH102" s="771" t="s">
        <v>67</v>
      </c>
      <c r="CI102" s="771">
        <v>0</v>
      </c>
      <c r="CJ102" s="771" t="s">
        <v>842</v>
      </c>
      <c r="CK102" s="771">
        <v>1</v>
      </c>
      <c r="CL102" s="814">
        <v>0.05</v>
      </c>
      <c r="CM102" s="816">
        <v>3.23</v>
      </c>
      <c r="CO102" s="848">
        <v>0.1</v>
      </c>
      <c r="CP102" s="818">
        <v>2520</v>
      </c>
      <c r="CQ102" s="773">
        <v>0</v>
      </c>
      <c r="CR102" s="773">
        <v>-0.05</v>
      </c>
    </row>
    <row r="103" spans="1:96" ht="13.15" customHeight="1" outlineLevel="1">
      <c r="A103" s="800" t="s">
        <v>743</v>
      </c>
      <c r="B103" s="800" t="s">
        <v>605</v>
      </c>
      <c r="C103" s="800">
        <v>10</v>
      </c>
      <c r="D103" s="846">
        <v>0</v>
      </c>
      <c r="E103" s="847">
        <v>1.8</v>
      </c>
      <c r="F103" s="777">
        <f t="shared" si="26"/>
        <v>0</v>
      </c>
      <c r="G103" s="777">
        <f t="shared" si="27"/>
        <v>11</v>
      </c>
      <c r="H103" s="777">
        <f t="shared" si="24"/>
        <v>30.05</v>
      </c>
      <c r="I103" s="777">
        <f t="shared" si="24"/>
        <v>28.25</v>
      </c>
      <c r="J103" s="802">
        <f t="shared" si="15"/>
        <v>0</v>
      </c>
      <c r="K103" s="801">
        <f>IF('Modelo 1.0 - NS'!R102=1,'Modelo 2.0 - Cubação'!E103,IF((E103-'Modelo 1.0 - NS'!U102)&lt;=0,E103,'Modelo 1.0 - NS'!U102))</f>
        <v>1.8</v>
      </c>
      <c r="L103" s="777">
        <f>'Modelo 1.0 - NS'!Q103</f>
        <v>3.976</v>
      </c>
      <c r="M103" s="777">
        <f t="shared" si="19"/>
        <v>0</v>
      </c>
      <c r="N103" s="777">
        <f t="shared" si="21"/>
        <v>11</v>
      </c>
      <c r="O103" s="777">
        <f t="shared" si="13"/>
        <v>39.76</v>
      </c>
      <c r="P103" s="777">
        <f t="shared" si="25"/>
        <v>0</v>
      </c>
      <c r="Q103" s="777">
        <f t="shared" si="25"/>
        <v>28.25</v>
      </c>
      <c r="R103" s="777">
        <f t="shared" si="25"/>
        <v>516.88</v>
      </c>
      <c r="T103" s="777">
        <v>2.3759999999999999</v>
      </c>
      <c r="U103" s="777">
        <v>11.88</v>
      </c>
      <c r="V103" s="777">
        <v>0</v>
      </c>
      <c r="W103" s="777">
        <v>12.8</v>
      </c>
      <c r="Y103" s="803">
        <v>0</v>
      </c>
      <c r="Z103" s="803">
        <v>0</v>
      </c>
      <c r="AA103" s="803">
        <v>0</v>
      </c>
      <c r="AB103" s="803">
        <v>0</v>
      </c>
      <c r="AD103" s="777">
        <v>0</v>
      </c>
      <c r="AE103" s="777">
        <v>0</v>
      </c>
      <c r="AF103" s="777">
        <v>14.3</v>
      </c>
      <c r="AG103" s="804">
        <v>0</v>
      </c>
      <c r="AH103" s="804">
        <v>-14.3</v>
      </c>
      <c r="AI103" s="777">
        <v>-1248.4600000000005</v>
      </c>
      <c r="AK103" s="805" t="s">
        <v>67</v>
      </c>
      <c r="AL103" s="806">
        <v>0</v>
      </c>
      <c r="AM103" s="805" t="s">
        <v>67</v>
      </c>
      <c r="AN103" s="806">
        <v>0</v>
      </c>
      <c r="AO103" s="807">
        <v>11</v>
      </c>
      <c r="AP103" s="808">
        <v>21.43</v>
      </c>
      <c r="AR103" s="809" t="s">
        <v>67</v>
      </c>
      <c r="AS103" s="809">
        <v>0</v>
      </c>
      <c r="AT103" s="810" t="s">
        <v>67</v>
      </c>
      <c r="AU103" s="809">
        <v>0</v>
      </c>
      <c r="AV103" s="811">
        <v>0</v>
      </c>
      <c r="AW103" s="811">
        <v>0</v>
      </c>
      <c r="AY103" s="768" t="s">
        <v>67</v>
      </c>
      <c r="AZ103" s="768">
        <v>0</v>
      </c>
      <c r="BA103" s="813" t="s">
        <v>67</v>
      </c>
      <c r="BB103" s="768">
        <v>0</v>
      </c>
      <c r="BC103" s="814">
        <v>0</v>
      </c>
      <c r="BD103" s="808">
        <v>0</v>
      </c>
      <c r="BF103" s="766" t="s">
        <v>67</v>
      </c>
      <c r="BG103" s="766">
        <v>1</v>
      </c>
      <c r="BH103" s="767" t="s">
        <v>67</v>
      </c>
      <c r="BI103" s="766">
        <v>0</v>
      </c>
      <c r="BJ103" s="814">
        <v>11.88</v>
      </c>
      <c r="BK103" s="808">
        <v>11.88</v>
      </c>
      <c r="BM103" s="766" t="s">
        <v>67</v>
      </c>
      <c r="BN103" s="766">
        <v>0</v>
      </c>
      <c r="BO103" s="767" t="s">
        <v>67</v>
      </c>
      <c r="BP103" s="768">
        <v>0</v>
      </c>
      <c r="BQ103" s="814">
        <v>0</v>
      </c>
      <c r="BR103" s="808">
        <v>0</v>
      </c>
      <c r="BT103" s="878" t="s">
        <v>67</v>
      </c>
      <c r="BU103" s="771">
        <v>0</v>
      </c>
      <c r="BV103" s="878" t="s">
        <v>67</v>
      </c>
      <c r="BW103" s="771">
        <v>0</v>
      </c>
      <c r="BX103" s="814">
        <v>12.8</v>
      </c>
      <c r="BY103" s="808">
        <v>153.6</v>
      </c>
      <c r="CA103" s="771" t="s">
        <v>67</v>
      </c>
      <c r="CB103" s="771">
        <v>0</v>
      </c>
      <c r="CC103" s="815" t="s">
        <v>67</v>
      </c>
      <c r="CD103" s="771">
        <v>0</v>
      </c>
      <c r="CE103" s="814">
        <v>0</v>
      </c>
      <c r="CF103" s="808">
        <v>0</v>
      </c>
      <c r="CH103" s="771" t="s">
        <v>67</v>
      </c>
      <c r="CI103" s="771">
        <v>0</v>
      </c>
      <c r="CJ103" s="771" t="s">
        <v>67</v>
      </c>
      <c r="CK103" s="771">
        <v>0</v>
      </c>
      <c r="CL103" s="814">
        <v>0</v>
      </c>
      <c r="CM103" s="816">
        <v>0</v>
      </c>
      <c r="CO103" s="848">
        <v>0.1</v>
      </c>
      <c r="CP103" s="818">
        <v>2530</v>
      </c>
      <c r="CQ103" s="773">
        <v>0</v>
      </c>
      <c r="CR103" s="773">
        <v>0</v>
      </c>
    </row>
    <row r="104" spans="1:96" ht="13.15" customHeight="1" outlineLevel="1">
      <c r="A104" s="800" t="s">
        <v>746</v>
      </c>
      <c r="B104" s="800" t="s">
        <v>605</v>
      </c>
      <c r="C104" s="800">
        <v>0</v>
      </c>
      <c r="D104" s="846">
        <v>0</v>
      </c>
      <c r="E104" s="847">
        <v>2.11</v>
      </c>
      <c r="F104" s="777">
        <f t="shared" si="26"/>
        <v>0</v>
      </c>
      <c r="G104" s="777">
        <f t="shared" si="27"/>
        <v>19.55</v>
      </c>
      <c r="H104" s="777">
        <f t="shared" ref="H104:I116" si="28">F104+H103</f>
        <v>30.05</v>
      </c>
      <c r="I104" s="777">
        <f t="shared" si="28"/>
        <v>47.8</v>
      </c>
      <c r="J104" s="802">
        <f t="shared" si="15"/>
        <v>0</v>
      </c>
      <c r="K104" s="801">
        <f>IF('Modelo 1.0 - NS'!R103=1,'Modelo 2.0 - Cubação'!E104,IF((E104-'Modelo 1.0 - NS'!U103)&lt;=0,E104,'Modelo 1.0 - NS'!U103))</f>
        <v>2.11</v>
      </c>
      <c r="L104" s="777">
        <f>'Modelo 1.0 - NS'!Q104</f>
        <v>3.976</v>
      </c>
      <c r="M104" s="777">
        <f t="shared" si="19"/>
        <v>0</v>
      </c>
      <c r="N104" s="777">
        <f t="shared" si="21"/>
        <v>19.55</v>
      </c>
      <c r="O104" s="777">
        <f t="shared" si="13"/>
        <v>39.76</v>
      </c>
      <c r="P104" s="777">
        <f t="shared" ref="P104:R116" si="29">M104+P103</f>
        <v>0</v>
      </c>
      <c r="Q104" s="777">
        <f t="shared" si="29"/>
        <v>47.8</v>
      </c>
      <c r="R104" s="777">
        <f t="shared" si="29"/>
        <v>556.64</v>
      </c>
      <c r="T104" s="777">
        <v>0</v>
      </c>
      <c r="U104" s="777">
        <v>11.88</v>
      </c>
      <c r="V104" s="777">
        <v>2.56</v>
      </c>
      <c r="W104" s="777">
        <v>12.8</v>
      </c>
      <c r="Y104" s="803">
        <v>0</v>
      </c>
      <c r="Z104" s="803">
        <v>0</v>
      </c>
      <c r="AA104" s="803">
        <v>0</v>
      </c>
      <c r="AB104" s="803">
        <v>0</v>
      </c>
      <c r="AD104" s="777">
        <v>0</v>
      </c>
      <c r="AE104" s="777">
        <v>0</v>
      </c>
      <c r="AF104" s="777">
        <v>25.42</v>
      </c>
      <c r="AG104" s="804">
        <v>0</v>
      </c>
      <c r="AH104" s="804">
        <v>-25.42</v>
      </c>
      <c r="AI104" s="777">
        <v>-1273.8800000000006</v>
      </c>
      <c r="AK104" s="805" t="s">
        <v>67</v>
      </c>
      <c r="AL104" s="806">
        <v>0</v>
      </c>
      <c r="AM104" s="805" t="s">
        <v>67</v>
      </c>
      <c r="AN104" s="806">
        <v>0</v>
      </c>
      <c r="AO104" s="807">
        <v>19.55</v>
      </c>
      <c r="AP104" s="808">
        <v>40.980000000000004</v>
      </c>
      <c r="AR104" s="809" t="s">
        <v>67</v>
      </c>
      <c r="AS104" s="809">
        <v>0</v>
      </c>
      <c r="AT104" s="810" t="s">
        <v>67</v>
      </c>
      <c r="AU104" s="809">
        <v>0</v>
      </c>
      <c r="AV104" s="811">
        <v>0</v>
      </c>
      <c r="AW104" s="811">
        <v>0</v>
      </c>
      <c r="AY104" s="768" t="s">
        <v>67</v>
      </c>
      <c r="AZ104" s="768">
        <v>0</v>
      </c>
      <c r="BA104" s="813" t="s">
        <v>67</v>
      </c>
      <c r="BB104" s="768">
        <v>0</v>
      </c>
      <c r="BC104" s="814">
        <v>0</v>
      </c>
      <c r="BD104" s="808">
        <v>0</v>
      </c>
      <c r="BF104" s="766" t="s">
        <v>67</v>
      </c>
      <c r="BG104" s="766">
        <v>0</v>
      </c>
      <c r="BH104" s="767" t="s">
        <v>67</v>
      </c>
      <c r="BI104" s="766">
        <v>0</v>
      </c>
      <c r="BJ104" s="814">
        <v>11.88</v>
      </c>
      <c r="BK104" s="808">
        <v>23.76</v>
      </c>
      <c r="BM104" s="766" t="s">
        <v>67</v>
      </c>
      <c r="BN104" s="766">
        <v>0</v>
      </c>
      <c r="BO104" s="767" t="s">
        <v>67</v>
      </c>
      <c r="BP104" s="768">
        <v>0</v>
      </c>
      <c r="BQ104" s="814">
        <v>0</v>
      </c>
      <c r="BR104" s="808">
        <v>0</v>
      </c>
      <c r="BT104" s="878" t="s">
        <v>67</v>
      </c>
      <c r="BU104" s="771">
        <v>0</v>
      </c>
      <c r="BV104" s="878" t="s">
        <v>67</v>
      </c>
      <c r="BW104" s="771">
        <v>0</v>
      </c>
      <c r="BX104" s="814">
        <v>12.8</v>
      </c>
      <c r="BY104" s="808">
        <v>166.4</v>
      </c>
      <c r="CA104" s="771" t="s">
        <v>67</v>
      </c>
      <c r="CB104" s="771">
        <v>0</v>
      </c>
      <c r="CC104" s="815" t="s">
        <v>67</v>
      </c>
      <c r="CD104" s="771">
        <v>0</v>
      </c>
      <c r="CE104" s="814">
        <v>0</v>
      </c>
      <c r="CF104" s="808">
        <v>0</v>
      </c>
      <c r="CH104" s="771" t="s">
        <v>67</v>
      </c>
      <c r="CI104" s="771">
        <v>0</v>
      </c>
      <c r="CJ104" s="771" t="s">
        <v>67</v>
      </c>
      <c r="CK104" s="771">
        <v>0</v>
      </c>
      <c r="CL104" s="814">
        <v>0</v>
      </c>
      <c r="CM104" s="816">
        <v>0</v>
      </c>
      <c r="CO104" s="848">
        <v>0.1</v>
      </c>
      <c r="CP104" s="818">
        <v>2540</v>
      </c>
      <c r="CQ104" s="773">
        <v>0</v>
      </c>
      <c r="CR104" s="773">
        <v>0</v>
      </c>
    </row>
    <row r="105" spans="1:96" ht="13.15" customHeight="1" outlineLevel="1">
      <c r="A105" s="800" t="s">
        <v>746</v>
      </c>
      <c r="B105" s="800" t="s">
        <v>605</v>
      </c>
      <c r="C105" s="800">
        <v>10</v>
      </c>
      <c r="D105" s="846">
        <v>0.98</v>
      </c>
      <c r="E105" s="847">
        <v>0.28999999999999998</v>
      </c>
      <c r="F105" s="777">
        <f t="shared" si="26"/>
        <v>4.9000000000000004</v>
      </c>
      <c r="G105" s="777">
        <f t="shared" si="27"/>
        <v>12</v>
      </c>
      <c r="H105" s="777">
        <f t="shared" si="28"/>
        <v>34.950000000000003</v>
      </c>
      <c r="I105" s="777">
        <f t="shared" si="28"/>
        <v>59.8</v>
      </c>
      <c r="J105" s="802">
        <f t="shared" si="15"/>
        <v>0</v>
      </c>
      <c r="K105" s="801">
        <f>IF('Modelo 1.0 - NS'!R104=1,'Modelo 2.0 - Cubação'!E105,IF((E105-'Modelo 1.0 - NS'!U104)&lt;=0,E105,'Modelo 1.0 - NS'!U104))</f>
        <v>0.28999999999999998</v>
      </c>
      <c r="L105" s="777">
        <f>'Modelo 1.0 - NS'!Q105</f>
        <v>3.976</v>
      </c>
      <c r="M105" s="777">
        <f t="shared" si="19"/>
        <v>0</v>
      </c>
      <c r="N105" s="777">
        <f t="shared" si="21"/>
        <v>12</v>
      </c>
      <c r="O105" s="777">
        <f t="shared" si="13"/>
        <v>39.76</v>
      </c>
      <c r="P105" s="777">
        <f t="shared" si="29"/>
        <v>0</v>
      </c>
      <c r="Q105" s="777">
        <f t="shared" si="29"/>
        <v>59.8</v>
      </c>
      <c r="R105" s="777">
        <f t="shared" si="29"/>
        <v>596.4</v>
      </c>
      <c r="T105" s="777">
        <v>2.3759999999999999</v>
      </c>
      <c r="U105" s="777">
        <v>11.88</v>
      </c>
      <c r="V105" s="777">
        <v>0</v>
      </c>
      <c r="W105" s="777">
        <v>12.8</v>
      </c>
      <c r="Y105" s="803">
        <v>0</v>
      </c>
      <c r="Z105" s="803">
        <v>0</v>
      </c>
      <c r="AA105" s="803">
        <v>0</v>
      </c>
      <c r="AB105" s="803">
        <v>0</v>
      </c>
      <c r="AD105" s="777">
        <v>4.9000000000000004</v>
      </c>
      <c r="AE105" s="777">
        <v>0</v>
      </c>
      <c r="AF105" s="777">
        <v>15.6</v>
      </c>
      <c r="AG105" s="804">
        <v>4.9000000000000004</v>
      </c>
      <c r="AH105" s="804">
        <v>-10.7</v>
      </c>
      <c r="AI105" s="777">
        <v>-1284.5800000000006</v>
      </c>
      <c r="AK105" s="805" t="s">
        <v>67</v>
      </c>
      <c r="AL105" s="806">
        <v>0</v>
      </c>
      <c r="AM105" s="805" t="s">
        <v>67</v>
      </c>
      <c r="AN105" s="806">
        <v>0</v>
      </c>
      <c r="AO105" s="807">
        <v>8.23</v>
      </c>
      <c r="AP105" s="808">
        <v>49.210000000000008</v>
      </c>
      <c r="AR105" s="809" t="s">
        <v>67</v>
      </c>
      <c r="AS105" s="809">
        <v>0</v>
      </c>
      <c r="AT105" s="810" t="s">
        <v>67</v>
      </c>
      <c r="AU105" s="809">
        <v>0</v>
      </c>
      <c r="AV105" s="811">
        <v>0</v>
      </c>
      <c r="AW105" s="811">
        <v>0</v>
      </c>
      <c r="AY105" s="768" t="s">
        <v>67</v>
      </c>
      <c r="AZ105" s="768">
        <v>0</v>
      </c>
      <c r="BA105" s="813" t="s">
        <v>67</v>
      </c>
      <c r="BB105" s="768">
        <v>0</v>
      </c>
      <c r="BC105" s="814">
        <v>0</v>
      </c>
      <c r="BD105" s="808">
        <v>0</v>
      </c>
      <c r="BF105" s="766" t="s">
        <v>67</v>
      </c>
      <c r="BG105" s="766">
        <v>0</v>
      </c>
      <c r="BH105" s="767" t="s">
        <v>67</v>
      </c>
      <c r="BI105" s="766">
        <v>0</v>
      </c>
      <c r="BJ105" s="814">
        <v>11.88</v>
      </c>
      <c r="BK105" s="808">
        <v>35.64</v>
      </c>
      <c r="BM105" s="766" t="s">
        <v>67</v>
      </c>
      <c r="BN105" s="766">
        <v>0</v>
      </c>
      <c r="BO105" s="767" t="s">
        <v>67</v>
      </c>
      <c r="BP105" s="768">
        <v>0</v>
      </c>
      <c r="BQ105" s="814">
        <v>0</v>
      </c>
      <c r="BR105" s="808">
        <v>0</v>
      </c>
      <c r="BT105" s="878" t="s">
        <v>67</v>
      </c>
      <c r="BU105" s="771">
        <v>0</v>
      </c>
      <c r="BV105" s="878" t="s">
        <v>843</v>
      </c>
      <c r="BW105" s="771">
        <v>1</v>
      </c>
      <c r="BX105" s="814">
        <v>12.8</v>
      </c>
      <c r="BY105" s="808">
        <v>179.20000000000002</v>
      </c>
      <c r="CA105" s="771" t="s">
        <v>67</v>
      </c>
      <c r="CB105" s="771">
        <v>0</v>
      </c>
      <c r="CC105" s="815" t="s">
        <v>67</v>
      </c>
      <c r="CD105" s="771">
        <v>0</v>
      </c>
      <c r="CE105" s="814">
        <v>0</v>
      </c>
      <c r="CF105" s="808">
        <v>0</v>
      </c>
      <c r="CH105" s="771" t="s">
        <v>846</v>
      </c>
      <c r="CI105" s="771">
        <v>1</v>
      </c>
      <c r="CJ105" s="771" t="s">
        <v>67</v>
      </c>
      <c r="CK105" s="771">
        <v>0</v>
      </c>
      <c r="CL105" s="814">
        <v>4.9000000000000004</v>
      </c>
      <c r="CM105" s="816">
        <v>4.9000000000000004</v>
      </c>
      <c r="CO105" s="848">
        <v>0.1</v>
      </c>
      <c r="CP105" s="818">
        <v>2550</v>
      </c>
      <c r="CQ105" s="773">
        <v>0</v>
      </c>
      <c r="CR105" s="773">
        <v>-4.9000000000000004</v>
      </c>
    </row>
    <row r="106" spans="1:96" ht="13.15" customHeight="1" outlineLevel="1">
      <c r="A106" s="800" t="s">
        <v>749</v>
      </c>
      <c r="B106" s="800" t="s">
        <v>605</v>
      </c>
      <c r="C106" s="800">
        <v>0</v>
      </c>
      <c r="D106" s="846">
        <v>0</v>
      </c>
      <c r="E106" s="847">
        <v>2.67</v>
      </c>
      <c r="F106" s="777">
        <f t="shared" si="26"/>
        <v>4.9000000000000004</v>
      </c>
      <c r="G106" s="777">
        <f t="shared" si="27"/>
        <v>14.8</v>
      </c>
      <c r="H106" s="777">
        <f t="shared" si="28"/>
        <v>39.85</v>
      </c>
      <c r="I106" s="777">
        <f t="shared" si="28"/>
        <v>74.599999999999994</v>
      </c>
      <c r="J106" s="802">
        <f t="shared" si="15"/>
        <v>0</v>
      </c>
      <c r="K106" s="801">
        <f>IF('Modelo 1.0 - NS'!R105=1,'Modelo 2.0 - Cubação'!E106,IF((E106-'Modelo 1.0 - NS'!U105)&lt;=0,E106,'Modelo 1.0 - NS'!U105))</f>
        <v>2.67</v>
      </c>
      <c r="L106" s="777">
        <f>'Modelo 1.0 - NS'!Q106</f>
        <v>3.976</v>
      </c>
      <c r="M106" s="777">
        <f t="shared" si="19"/>
        <v>0</v>
      </c>
      <c r="N106" s="777">
        <f t="shared" si="21"/>
        <v>14.8</v>
      </c>
      <c r="O106" s="777">
        <f t="shared" si="13"/>
        <v>39.76</v>
      </c>
      <c r="P106" s="777">
        <f t="shared" si="29"/>
        <v>0</v>
      </c>
      <c r="Q106" s="777">
        <f t="shared" si="29"/>
        <v>74.599999999999994</v>
      </c>
      <c r="R106" s="777">
        <f t="shared" si="29"/>
        <v>636.16</v>
      </c>
      <c r="T106" s="777">
        <v>0</v>
      </c>
      <c r="U106" s="777">
        <v>11.88</v>
      </c>
      <c r="V106" s="777">
        <v>0</v>
      </c>
      <c r="W106" s="777">
        <v>0</v>
      </c>
      <c r="Y106" s="803">
        <v>0</v>
      </c>
      <c r="Z106" s="803">
        <v>0</v>
      </c>
      <c r="AA106" s="803">
        <v>0</v>
      </c>
      <c r="AB106" s="803">
        <v>0</v>
      </c>
      <c r="AD106" s="777">
        <v>4.9000000000000004</v>
      </c>
      <c r="AE106" s="777">
        <v>0</v>
      </c>
      <c r="AF106" s="777">
        <v>19.239999999999998</v>
      </c>
      <c r="AG106" s="804">
        <v>4.9000000000000004</v>
      </c>
      <c r="AH106" s="804">
        <v>-14.339999999999998</v>
      </c>
      <c r="AI106" s="777">
        <v>-1298.9200000000005</v>
      </c>
      <c r="AK106" s="805" t="s">
        <v>67</v>
      </c>
      <c r="AL106" s="806">
        <v>0</v>
      </c>
      <c r="AM106" s="805" t="s">
        <v>67</v>
      </c>
      <c r="AN106" s="806">
        <v>0</v>
      </c>
      <c r="AO106" s="807">
        <v>11.03</v>
      </c>
      <c r="AP106" s="808">
        <v>60.240000000000009</v>
      </c>
      <c r="AR106" s="809" t="s">
        <v>67</v>
      </c>
      <c r="AS106" s="809">
        <v>0</v>
      </c>
      <c r="AT106" s="810" t="s">
        <v>67</v>
      </c>
      <c r="AU106" s="809">
        <v>0</v>
      </c>
      <c r="AV106" s="811">
        <v>0</v>
      </c>
      <c r="AW106" s="811">
        <v>0</v>
      </c>
      <c r="AY106" s="768" t="s">
        <v>67</v>
      </c>
      <c r="AZ106" s="768">
        <v>0</v>
      </c>
      <c r="BA106" s="813" t="s">
        <v>67</v>
      </c>
      <c r="BB106" s="768">
        <v>0</v>
      </c>
      <c r="BC106" s="814">
        <v>0</v>
      </c>
      <c r="BD106" s="808">
        <v>0</v>
      </c>
      <c r="BF106" s="766" t="s">
        <v>67</v>
      </c>
      <c r="BG106" s="766">
        <v>0</v>
      </c>
      <c r="BH106" s="767" t="s">
        <v>67</v>
      </c>
      <c r="BI106" s="766">
        <v>0</v>
      </c>
      <c r="BJ106" s="814">
        <v>11.88</v>
      </c>
      <c r="BK106" s="808">
        <v>47.52</v>
      </c>
      <c r="BM106" s="766" t="s">
        <v>67</v>
      </c>
      <c r="BN106" s="766">
        <v>0</v>
      </c>
      <c r="BO106" s="767" t="s">
        <v>67</v>
      </c>
      <c r="BP106" s="768">
        <v>0</v>
      </c>
      <c r="BQ106" s="814">
        <v>0</v>
      </c>
      <c r="BR106" s="808">
        <v>0</v>
      </c>
      <c r="BT106" s="878" t="s">
        <v>67</v>
      </c>
      <c r="BU106" s="771">
        <v>0</v>
      </c>
      <c r="BV106" s="878" t="s">
        <v>67</v>
      </c>
      <c r="BW106" s="771">
        <v>0</v>
      </c>
      <c r="BX106" s="814">
        <v>0</v>
      </c>
      <c r="BY106" s="808">
        <v>0</v>
      </c>
      <c r="CA106" s="771" t="s">
        <v>67</v>
      </c>
      <c r="CB106" s="771">
        <v>0</v>
      </c>
      <c r="CC106" s="815" t="s">
        <v>67</v>
      </c>
      <c r="CD106" s="771">
        <v>0</v>
      </c>
      <c r="CE106" s="814">
        <v>0</v>
      </c>
      <c r="CF106" s="808">
        <v>0</v>
      </c>
      <c r="CH106" s="771" t="s">
        <v>67</v>
      </c>
      <c r="CI106" s="771">
        <v>0</v>
      </c>
      <c r="CJ106" s="771" t="s">
        <v>67</v>
      </c>
      <c r="CK106" s="771">
        <v>0</v>
      </c>
      <c r="CL106" s="814">
        <v>4.9000000000000004</v>
      </c>
      <c r="CM106" s="816">
        <v>9.8000000000000007</v>
      </c>
      <c r="CO106" s="848">
        <v>0.1</v>
      </c>
      <c r="CP106" s="818">
        <v>2560</v>
      </c>
      <c r="CQ106" s="773">
        <v>0</v>
      </c>
      <c r="CR106" s="773">
        <v>-4.9000000000000004</v>
      </c>
    </row>
    <row r="107" spans="1:96" ht="13.15" customHeight="1" outlineLevel="1">
      <c r="A107" s="800" t="s">
        <v>749</v>
      </c>
      <c r="B107" s="800" t="s">
        <v>605</v>
      </c>
      <c r="C107" s="800">
        <v>10</v>
      </c>
      <c r="D107" s="846">
        <v>2.0099999999999998</v>
      </c>
      <c r="E107" s="847">
        <v>0.42</v>
      </c>
      <c r="F107" s="777">
        <f t="shared" si="26"/>
        <v>10.050000000000001</v>
      </c>
      <c r="G107" s="777">
        <f t="shared" si="27"/>
        <v>15.45</v>
      </c>
      <c r="H107" s="777">
        <f t="shared" si="28"/>
        <v>49.900000000000006</v>
      </c>
      <c r="I107" s="777">
        <f t="shared" si="28"/>
        <v>90.05</v>
      </c>
      <c r="J107" s="802">
        <f t="shared" si="15"/>
        <v>0</v>
      </c>
      <c r="K107" s="801">
        <f>IF('Modelo 1.0 - NS'!R106=1,'Modelo 2.0 - Cubação'!E107,IF((E107-'Modelo 1.0 - NS'!U106)&lt;=0,E107,'Modelo 1.0 - NS'!U106))</f>
        <v>0.42</v>
      </c>
      <c r="L107" s="777">
        <f>'Modelo 1.0 - NS'!Q107</f>
        <v>3.976</v>
      </c>
      <c r="M107" s="777">
        <f t="shared" si="19"/>
        <v>0</v>
      </c>
      <c r="N107" s="777">
        <f t="shared" si="21"/>
        <v>15.45</v>
      </c>
      <c r="O107" s="777">
        <f t="shared" si="13"/>
        <v>39.76</v>
      </c>
      <c r="P107" s="777">
        <f t="shared" si="29"/>
        <v>0</v>
      </c>
      <c r="Q107" s="777">
        <f t="shared" si="29"/>
        <v>90.05</v>
      </c>
      <c r="R107" s="777">
        <f t="shared" si="29"/>
        <v>675.92</v>
      </c>
      <c r="T107" s="777">
        <v>2.3759999999999999</v>
      </c>
      <c r="U107" s="777">
        <v>11.88</v>
      </c>
      <c r="V107" s="777">
        <v>0</v>
      </c>
      <c r="W107" s="777">
        <v>0</v>
      </c>
      <c r="Y107" s="803">
        <v>0</v>
      </c>
      <c r="Z107" s="803">
        <v>0</v>
      </c>
      <c r="AA107" s="803">
        <v>0</v>
      </c>
      <c r="AB107" s="803">
        <v>0</v>
      </c>
      <c r="AD107" s="777">
        <v>10.050000000000001</v>
      </c>
      <c r="AE107" s="777">
        <v>0</v>
      </c>
      <c r="AF107" s="777">
        <v>20.09</v>
      </c>
      <c r="AG107" s="804">
        <v>10.050000000000001</v>
      </c>
      <c r="AH107" s="804">
        <v>-10.039999999999999</v>
      </c>
      <c r="AI107" s="777">
        <v>-1308.9600000000005</v>
      </c>
      <c r="AK107" s="805" t="s">
        <v>67</v>
      </c>
      <c r="AL107" s="806">
        <v>0</v>
      </c>
      <c r="AM107" s="805" t="s">
        <v>844</v>
      </c>
      <c r="AN107" s="806">
        <v>1</v>
      </c>
      <c r="AO107" s="807">
        <v>7.72</v>
      </c>
      <c r="AP107" s="808">
        <v>67.960000000000008</v>
      </c>
      <c r="AR107" s="809" t="s">
        <v>67</v>
      </c>
      <c r="AS107" s="809">
        <v>0</v>
      </c>
      <c r="AT107" s="810" t="s">
        <v>67</v>
      </c>
      <c r="AU107" s="809">
        <v>0</v>
      </c>
      <c r="AV107" s="811">
        <v>0</v>
      </c>
      <c r="AW107" s="811">
        <v>0</v>
      </c>
      <c r="AY107" s="768" t="s">
        <v>67</v>
      </c>
      <c r="AZ107" s="768">
        <v>0</v>
      </c>
      <c r="BA107" s="813" t="s">
        <v>67</v>
      </c>
      <c r="BB107" s="768">
        <v>0</v>
      </c>
      <c r="BC107" s="814">
        <v>0</v>
      </c>
      <c r="BD107" s="808">
        <v>0</v>
      </c>
      <c r="BF107" s="766" t="s">
        <v>67</v>
      </c>
      <c r="BG107" s="766">
        <v>0</v>
      </c>
      <c r="BH107" s="767" t="s">
        <v>67</v>
      </c>
      <c r="BI107" s="766">
        <v>0</v>
      </c>
      <c r="BJ107" s="814">
        <v>11.88</v>
      </c>
      <c r="BK107" s="808">
        <v>59.400000000000006</v>
      </c>
      <c r="BM107" s="766" t="s">
        <v>67</v>
      </c>
      <c r="BN107" s="766">
        <v>0</v>
      </c>
      <c r="BO107" s="767" t="s">
        <v>67</v>
      </c>
      <c r="BP107" s="768">
        <v>0</v>
      </c>
      <c r="BQ107" s="814">
        <v>0</v>
      </c>
      <c r="BR107" s="808">
        <v>0</v>
      </c>
      <c r="BT107" s="878" t="s">
        <v>67</v>
      </c>
      <c r="BU107" s="771">
        <v>0</v>
      </c>
      <c r="BV107" s="878" t="s">
        <v>67</v>
      </c>
      <c r="BW107" s="771">
        <v>0</v>
      </c>
      <c r="BX107" s="814">
        <v>0</v>
      </c>
      <c r="BY107" s="808">
        <v>0</v>
      </c>
      <c r="CA107" s="771" t="s">
        <v>67</v>
      </c>
      <c r="CB107" s="771">
        <v>0</v>
      </c>
      <c r="CC107" s="815" t="s">
        <v>67</v>
      </c>
      <c r="CD107" s="771">
        <v>0</v>
      </c>
      <c r="CE107" s="814">
        <v>0</v>
      </c>
      <c r="CF107" s="808">
        <v>0</v>
      </c>
      <c r="CH107" s="771" t="s">
        <v>67</v>
      </c>
      <c r="CI107" s="771">
        <v>0</v>
      </c>
      <c r="CJ107" s="771" t="s">
        <v>67</v>
      </c>
      <c r="CK107" s="771">
        <v>0</v>
      </c>
      <c r="CL107" s="814">
        <v>10.050000000000001</v>
      </c>
      <c r="CM107" s="816">
        <v>19.850000000000001</v>
      </c>
      <c r="CO107" s="848">
        <v>0.1</v>
      </c>
      <c r="CP107" s="818">
        <v>2570</v>
      </c>
      <c r="CQ107" s="773">
        <v>0</v>
      </c>
      <c r="CR107" s="773">
        <v>-10.050000000000001</v>
      </c>
    </row>
    <row r="108" spans="1:96" ht="13.15" customHeight="1" outlineLevel="1">
      <c r="A108" s="800" t="s">
        <v>752</v>
      </c>
      <c r="B108" s="800" t="s">
        <v>605</v>
      </c>
      <c r="C108" s="800">
        <v>0</v>
      </c>
      <c r="D108" s="846">
        <v>1.49</v>
      </c>
      <c r="E108" s="847">
        <v>0</v>
      </c>
      <c r="F108" s="777">
        <f t="shared" si="26"/>
        <v>17.5</v>
      </c>
      <c r="G108" s="777">
        <f t="shared" si="27"/>
        <v>2.1</v>
      </c>
      <c r="H108" s="777">
        <f t="shared" si="28"/>
        <v>67.400000000000006</v>
      </c>
      <c r="I108" s="777">
        <f t="shared" si="28"/>
        <v>92.149999999999991</v>
      </c>
      <c r="J108" s="802">
        <f t="shared" si="15"/>
        <v>0</v>
      </c>
      <c r="K108" s="801">
        <f>IF('Modelo 1.0 - NS'!R107=1,'Modelo 2.0 - Cubação'!E108,IF((E108-'Modelo 1.0 - NS'!U107)&lt;=0,E108,'Modelo 1.0 - NS'!U107))</f>
        <v>0</v>
      </c>
      <c r="L108" s="777">
        <f>'Modelo 1.0 - NS'!Q108</f>
        <v>3.976</v>
      </c>
      <c r="M108" s="777">
        <f t="shared" si="19"/>
        <v>0</v>
      </c>
      <c r="N108" s="777">
        <f t="shared" si="21"/>
        <v>2.1</v>
      </c>
      <c r="O108" s="777">
        <f t="shared" si="13"/>
        <v>39.76</v>
      </c>
      <c r="P108" s="777">
        <f t="shared" si="29"/>
        <v>0</v>
      </c>
      <c r="Q108" s="777">
        <f t="shared" si="29"/>
        <v>92.149999999999991</v>
      </c>
      <c r="R108" s="777">
        <f t="shared" si="29"/>
        <v>715.68</v>
      </c>
      <c r="T108" s="777">
        <v>2.3759999999999999</v>
      </c>
      <c r="U108" s="777">
        <v>23.76</v>
      </c>
      <c r="V108" s="777">
        <v>0</v>
      </c>
      <c r="W108" s="777">
        <v>0</v>
      </c>
      <c r="Y108" s="803">
        <v>0</v>
      </c>
      <c r="Z108" s="803">
        <v>0</v>
      </c>
      <c r="AA108" s="803">
        <v>0</v>
      </c>
      <c r="AB108" s="803">
        <v>0</v>
      </c>
      <c r="AD108" s="777">
        <v>17.5</v>
      </c>
      <c r="AE108" s="777">
        <v>0</v>
      </c>
      <c r="AF108" s="777">
        <v>2.73</v>
      </c>
      <c r="AG108" s="804">
        <v>2.73</v>
      </c>
      <c r="AH108" s="804">
        <v>14.77</v>
      </c>
      <c r="AI108" s="777">
        <v>-1294.1900000000005</v>
      </c>
      <c r="AK108" s="805" t="s">
        <v>67</v>
      </c>
      <c r="AL108" s="806">
        <v>0</v>
      </c>
      <c r="AM108" s="805" t="s">
        <v>67</v>
      </c>
      <c r="AN108" s="806">
        <v>0</v>
      </c>
      <c r="AO108" s="807">
        <v>0</v>
      </c>
      <c r="AP108" s="808">
        <v>0</v>
      </c>
      <c r="AR108" s="809" t="s">
        <v>67</v>
      </c>
      <c r="AS108" s="809">
        <v>0</v>
      </c>
      <c r="AT108" s="810" t="s">
        <v>67</v>
      </c>
      <c r="AU108" s="809">
        <v>0</v>
      </c>
      <c r="AV108" s="811">
        <v>0</v>
      </c>
      <c r="AW108" s="811">
        <v>0</v>
      </c>
      <c r="AY108" s="768" t="s">
        <v>847</v>
      </c>
      <c r="AZ108" s="768">
        <v>1</v>
      </c>
      <c r="BA108" s="813" t="s">
        <v>67</v>
      </c>
      <c r="BB108" s="768">
        <v>0</v>
      </c>
      <c r="BC108" s="814">
        <v>14.77</v>
      </c>
      <c r="BD108" s="808">
        <v>14.77</v>
      </c>
      <c r="BF108" s="766" t="s">
        <v>67</v>
      </c>
      <c r="BG108" s="766">
        <v>0</v>
      </c>
      <c r="BH108" s="767" t="s">
        <v>67</v>
      </c>
      <c r="BI108" s="766">
        <v>0</v>
      </c>
      <c r="BJ108" s="814">
        <v>23.76</v>
      </c>
      <c r="BK108" s="808">
        <v>83.160000000000011</v>
      </c>
      <c r="BM108" s="766" t="s">
        <v>67</v>
      </c>
      <c r="BN108" s="766">
        <v>0</v>
      </c>
      <c r="BO108" s="767" t="s">
        <v>67</v>
      </c>
      <c r="BP108" s="768">
        <v>0</v>
      </c>
      <c r="BQ108" s="814">
        <v>0</v>
      </c>
      <c r="BR108" s="808">
        <v>0</v>
      </c>
      <c r="BT108" s="878" t="s">
        <v>67</v>
      </c>
      <c r="BU108" s="771">
        <v>0</v>
      </c>
      <c r="BV108" s="878" t="s">
        <v>67</v>
      </c>
      <c r="BW108" s="771">
        <v>0</v>
      </c>
      <c r="BX108" s="814">
        <v>0</v>
      </c>
      <c r="BY108" s="808">
        <v>0</v>
      </c>
      <c r="CA108" s="771" t="s">
        <v>67</v>
      </c>
      <c r="CB108" s="771">
        <v>0</v>
      </c>
      <c r="CC108" s="815" t="s">
        <v>67</v>
      </c>
      <c r="CD108" s="771">
        <v>0</v>
      </c>
      <c r="CE108" s="814">
        <v>0</v>
      </c>
      <c r="CF108" s="808">
        <v>0</v>
      </c>
      <c r="CH108" s="771" t="s">
        <v>67</v>
      </c>
      <c r="CI108" s="771">
        <v>0</v>
      </c>
      <c r="CJ108" s="771" t="s">
        <v>846</v>
      </c>
      <c r="CK108" s="771">
        <v>1</v>
      </c>
      <c r="CL108" s="814">
        <v>2.73</v>
      </c>
      <c r="CM108" s="816">
        <v>22.580000000000002</v>
      </c>
      <c r="CO108" s="848">
        <v>0.1</v>
      </c>
      <c r="CP108" s="818">
        <v>2580</v>
      </c>
      <c r="CQ108" s="773">
        <v>2.73</v>
      </c>
      <c r="CR108" s="773">
        <v>0</v>
      </c>
    </row>
    <row r="109" spans="1:96" ht="13.15" customHeight="1" outlineLevel="1">
      <c r="A109" s="800" t="s">
        <v>752</v>
      </c>
      <c r="B109" s="800" t="s">
        <v>605</v>
      </c>
      <c r="C109" s="800">
        <v>10</v>
      </c>
      <c r="D109" s="846">
        <v>1.21</v>
      </c>
      <c r="E109" s="847">
        <v>0</v>
      </c>
      <c r="F109" s="777">
        <f t="shared" si="26"/>
        <v>13.5</v>
      </c>
      <c r="G109" s="777">
        <f t="shared" si="27"/>
        <v>0</v>
      </c>
      <c r="H109" s="777">
        <f t="shared" si="28"/>
        <v>80.900000000000006</v>
      </c>
      <c r="I109" s="777">
        <f t="shared" si="28"/>
        <v>92.149999999999991</v>
      </c>
      <c r="J109" s="802">
        <f t="shared" si="15"/>
        <v>0</v>
      </c>
      <c r="K109" s="801">
        <f>IF('Modelo 1.0 - NS'!R108=1,'Modelo 2.0 - Cubação'!E109,IF((E109-'Modelo 1.0 - NS'!U108)&lt;=0,E109,'Modelo 1.0 - NS'!U108))</f>
        <v>0</v>
      </c>
      <c r="L109" s="777">
        <f>'Modelo 1.0 - NS'!Q109</f>
        <v>3.976</v>
      </c>
      <c r="M109" s="777">
        <f t="shared" si="19"/>
        <v>0</v>
      </c>
      <c r="N109" s="777">
        <f t="shared" si="21"/>
        <v>0</v>
      </c>
      <c r="O109" s="777">
        <f t="shared" si="13"/>
        <v>39.76</v>
      </c>
      <c r="P109" s="777">
        <f t="shared" si="29"/>
        <v>0</v>
      </c>
      <c r="Q109" s="777">
        <f t="shared" si="29"/>
        <v>92.149999999999991</v>
      </c>
      <c r="R109" s="777">
        <f t="shared" si="29"/>
        <v>755.43999999999994</v>
      </c>
      <c r="T109" s="777">
        <v>2.3759999999999999</v>
      </c>
      <c r="U109" s="777">
        <v>23.76</v>
      </c>
      <c r="V109" s="777">
        <v>0</v>
      </c>
      <c r="W109" s="777">
        <v>0</v>
      </c>
      <c r="Y109" s="803">
        <v>0</v>
      </c>
      <c r="Z109" s="803">
        <v>0</v>
      </c>
      <c r="AA109" s="803">
        <v>0</v>
      </c>
      <c r="AB109" s="803">
        <v>0</v>
      </c>
      <c r="AD109" s="777">
        <v>13.5</v>
      </c>
      <c r="AE109" s="777">
        <v>0</v>
      </c>
      <c r="AF109" s="777">
        <v>0</v>
      </c>
      <c r="AG109" s="804">
        <v>0</v>
      </c>
      <c r="AH109" s="804">
        <v>13.5</v>
      </c>
      <c r="AI109" s="777">
        <v>-1280.6900000000005</v>
      </c>
      <c r="AK109" s="805" t="s">
        <v>67</v>
      </c>
      <c r="AL109" s="806">
        <v>0</v>
      </c>
      <c r="AM109" s="805" t="s">
        <v>67</v>
      </c>
      <c r="AN109" s="806">
        <v>0</v>
      </c>
      <c r="AO109" s="807">
        <v>0</v>
      </c>
      <c r="AP109" s="808">
        <v>0</v>
      </c>
      <c r="AR109" s="809" t="s">
        <v>67</v>
      </c>
      <c r="AS109" s="809">
        <v>0</v>
      </c>
      <c r="AT109" s="810" t="s">
        <v>67</v>
      </c>
      <c r="AU109" s="809">
        <v>0</v>
      </c>
      <c r="AV109" s="811">
        <v>0</v>
      </c>
      <c r="AW109" s="811">
        <v>0</v>
      </c>
      <c r="AY109" s="768" t="s">
        <v>67</v>
      </c>
      <c r="AZ109" s="768">
        <v>0</v>
      </c>
      <c r="BA109" s="813" t="s">
        <v>67</v>
      </c>
      <c r="BB109" s="768">
        <v>0</v>
      </c>
      <c r="BC109" s="814">
        <v>13.5</v>
      </c>
      <c r="BD109" s="808">
        <v>28.27</v>
      </c>
      <c r="BF109" s="766" t="s">
        <v>67</v>
      </c>
      <c r="BG109" s="766">
        <v>0</v>
      </c>
      <c r="BH109" s="767" t="s">
        <v>67</v>
      </c>
      <c r="BI109" s="766">
        <v>0</v>
      </c>
      <c r="BJ109" s="814">
        <v>23.76</v>
      </c>
      <c r="BK109" s="808">
        <v>106.92000000000002</v>
      </c>
      <c r="BM109" s="766" t="s">
        <v>67</v>
      </c>
      <c r="BN109" s="766">
        <v>0</v>
      </c>
      <c r="BO109" s="767" t="s">
        <v>67</v>
      </c>
      <c r="BP109" s="768">
        <v>0</v>
      </c>
      <c r="BQ109" s="814">
        <v>0</v>
      </c>
      <c r="BR109" s="808">
        <v>0</v>
      </c>
      <c r="BT109" s="878" t="s">
        <v>67</v>
      </c>
      <c r="BU109" s="771">
        <v>0</v>
      </c>
      <c r="BV109" s="878" t="s">
        <v>67</v>
      </c>
      <c r="BW109" s="771">
        <v>0</v>
      </c>
      <c r="BX109" s="814">
        <v>0</v>
      </c>
      <c r="BY109" s="808">
        <v>0</v>
      </c>
      <c r="CA109" s="771" t="s">
        <v>67</v>
      </c>
      <c r="CB109" s="771">
        <v>0</v>
      </c>
      <c r="CC109" s="815" t="s">
        <v>67</v>
      </c>
      <c r="CD109" s="771">
        <v>0</v>
      </c>
      <c r="CE109" s="814">
        <v>0</v>
      </c>
      <c r="CF109" s="808">
        <v>0</v>
      </c>
      <c r="CH109" s="771" t="s">
        <v>67</v>
      </c>
      <c r="CI109" s="771">
        <v>0</v>
      </c>
      <c r="CJ109" s="771" t="s">
        <v>67</v>
      </c>
      <c r="CK109" s="771">
        <v>0</v>
      </c>
      <c r="CL109" s="814">
        <v>0</v>
      </c>
      <c r="CM109" s="816">
        <v>0</v>
      </c>
      <c r="CO109" s="848">
        <v>0.1</v>
      </c>
      <c r="CP109" s="818">
        <v>2590</v>
      </c>
      <c r="CQ109" s="773">
        <v>0</v>
      </c>
      <c r="CR109" s="773">
        <v>0</v>
      </c>
    </row>
    <row r="110" spans="1:96" ht="13.15" customHeight="1" outlineLevel="1">
      <c r="A110" s="800" t="s">
        <v>755</v>
      </c>
      <c r="B110" s="800" t="s">
        <v>605</v>
      </c>
      <c r="C110" s="800">
        <v>0</v>
      </c>
      <c r="D110" s="846">
        <v>2.11</v>
      </c>
      <c r="E110" s="847">
        <v>0</v>
      </c>
      <c r="F110" s="777">
        <f t="shared" si="26"/>
        <v>16.600000000000001</v>
      </c>
      <c r="G110" s="777">
        <f t="shared" si="27"/>
        <v>0</v>
      </c>
      <c r="H110" s="777">
        <f t="shared" si="28"/>
        <v>97.5</v>
      </c>
      <c r="I110" s="777">
        <f t="shared" si="28"/>
        <v>92.149999999999991</v>
      </c>
      <c r="J110" s="802">
        <f t="shared" si="15"/>
        <v>0</v>
      </c>
      <c r="K110" s="801">
        <f>IF('Modelo 1.0 - NS'!R109=1,'Modelo 2.0 - Cubação'!E110,IF((E110-'Modelo 1.0 - NS'!U109)&lt;=0,E110,'Modelo 1.0 - NS'!U109))</f>
        <v>0</v>
      </c>
      <c r="L110" s="777">
        <f>'Modelo 1.0 - NS'!Q110</f>
        <v>3.976</v>
      </c>
      <c r="M110" s="777">
        <f t="shared" si="19"/>
        <v>0</v>
      </c>
      <c r="N110" s="777">
        <f t="shared" si="21"/>
        <v>0</v>
      </c>
      <c r="O110" s="777">
        <f t="shared" si="13"/>
        <v>39.76</v>
      </c>
      <c r="P110" s="777">
        <f t="shared" si="29"/>
        <v>0</v>
      </c>
      <c r="Q110" s="777">
        <f t="shared" si="29"/>
        <v>92.149999999999991</v>
      </c>
      <c r="R110" s="777">
        <f t="shared" si="29"/>
        <v>795.19999999999993</v>
      </c>
      <c r="T110" s="777">
        <v>2.3759999999999999</v>
      </c>
      <c r="U110" s="777">
        <v>23.76</v>
      </c>
      <c r="V110" s="777">
        <v>0</v>
      </c>
      <c r="W110" s="777">
        <v>0</v>
      </c>
      <c r="Y110" s="803">
        <v>0</v>
      </c>
      <c r="Z110" s="803">
        <v>0</v>
      </c>
      <c r="AA110" s="803">
        <v>0</v>
      </c>
      <c r="AB110" s="803">
        <v>0</v>
      </c>
      <c r="AD110" s="777">
        <v>16.600000000000001</v>
      </c>
      <c r="AE110" s="777">
        <v>0</v>
      </c>
      <c r="AF110" s="777">
        <v>0</v>
      </c>
      <c r="AG110" s="804">
        <v>0</v>
      </c>
      <c r="AH110" s="804">
        <v>16.600000000000001</v>
      </c>
      <c r="AI110" s="777">
        <v>-1264.0900000000006</v>
      </c>
      <c r="AK110" s="805" t="s">
        <v>67</v>
      </c>
      <c r="AL110" s="806">
        <v>0</v>
      </c>
      <c r="AM110" s="805" t="s">
        <v>67</v>
      </c>
      <c r="AN110" s="806">
        <v>0</v>
      </c>
      <c r="AO110" s="807">
        <v>0</v>
      </c>
      <c r="AP110" s="808">
        <v>0</v>
      </c>
      <c r="AR110" s="809" t="s">
        <v>67</v>
      </c>
      <c r="AS110" s="809">
        <v>0</v>
      </c>
      <c r="AT110" s="810" t="s">
        <v>67</v>
      </c>
      <c r="AU110" s="809">
        <v>0</v>
      </c>
      <c r="AV110" s="811">
        <v>0</v>
      </c>
      <c r="AW110" s="811">
        <v>0</v>
      </c>
      <c r="AY110" s="768" t="s">
        <v>67</v>
      </c>
      <c r="AZ110" s="768">
        <v>0</v>
      </c>
      <c r="BA110" s="813" t="s">
        <v>67</v>
      </c>
      <c r="BB110" s="768">
        <v>0</v>
      </c>
      <c r="BC110" s="814">
        <v>16.600000000000001</v>
      </c>
      <c r="BD110" s="808">
        <v>44.870000000000005</v>
      </c>
      <c r="BF110" s="766" t="s">
        <v>67</v>
      </c>
      <c r="BG110" s="766">
        <v>0</v>
      </c>
      <c r="BH110" s="767" t="s">
        <v>67</v>
      </c>
      <c r="BI110" s="766">
        <v>0</v>
      </c>
      <c r="BJ110" s="814">
        <v>23.76</v>
      </c>
      <c r="BK110" s="808">
        <v>130.68</v>
      </c>
      <c r="BM110" s="766" t="s">
        <v>67</v>
      </c>
      <c r="BN110" s="766">
        <v>0</v>
      </c>
      <c r="BO110" s="767" t="s">
        <v>67</v>
      </c>
      <c r="BP110" s="768">
        <v>0</v>
      </c>
      <c r="BQ110" s="814">
        <v>0</v>
      </c>
      <c r="BR110" s="808">
        <v>0</v>
      </c>
      <c r="BT110" s="878" t="s">
        <v>67</v>
      </c>
      <c r="BU110" s="771">
        <v>0</v>
      </c>
      <c r="BV110" s="878" t="s">
        <v>67</v>
      </c>
      <c r="BW110" s="771">
        <v>0</v>
      </c>
      <c r="BX110" s="814">
        <v>0</v>
      </c>
      <c r="BY110" s="808">
        <v>0</v>
      </c>
      <c r="CA110" s="771" t="s">
        <v>67</v>
      </c>
      <c r="CB110" s="771">
        <v>0</v>
      </c>
      <c r="CC110" s="815" t="s">
        <v>67</v>
      </c>
      <c r="CD110" s="771">
        <v>0</v>
      </c>
      <c r="CE110" s="814">
        <v>0</v>
      </c>
      <c r="CF110" s="808">
        <v>0</v>
      </c>
      <c r="CH110" s="771" t="s">
        <v>67</v>
      </c>
      <c r="CI110" s="771">
        <v>0</v>
      </c>
      <c r="CJ110" s="771" t="s">
        <v>67</v>
      </c>
      <c r="CK110" s="771">
        <v>0</v>
      </c>
      <c r="CL110" s="814">
        <v>0</v>
      </c>
      <c r="CM110" s="816">
        <v>0</v>
      </c>
      <c r="CO110" s="848">
        <v>0.1</v>
      </c>
      <c r="CP110" s="818">
        <v>2600</v>
      </c>
      <c r="CQ110" s="773">
        <v>0</v>
      </c>
      <c r="CR110" s="773">
        <v>0</v>
      </c>
    </row>
    <row r="111" spans="1:96" ht="13.15" customHeight="1" outlineLevel="1">
      <c r="A111" s="800" t="s">
        <v>755</v>
      </c>
      <c r="B111" s="800" t="s">
        <v>605</v>
      </c>
      <c r="C111" s="800">
        <v>10</v>
      </c>
      <c r="D111" s="846">
        <v>2.4500000000000002</v>
      </c>
      <c r="E111" s="847">
        <v>0</v>
      </c>
      <c r="F111" s="777">
        <f t="shared" si="26"/>
        <v>22.8</v>
      </c>
      <c r="G111" s="777">
        <f t="shared" si="27"/>
        <v>0</v>
      </c>
      <c r="H111" s="777">
        <f t="shared" si="28"/>
        <v>120.3</v>
      </c>
      <c r="I111" s="777">
        <f t="shared" si="28"/>
        <v>92.149999999999991</v>
      </c>
      <c r="J111" s="802">
        <f t="shared" si="15"/>
        <v>0</v>
      </c>
      <c r="K111" s="801">
        <f>IF('Modelo 1.0 - NS'!R110=1,'Modelo 2.0 - Cubação'!E111,IF((E111-'Modelo 1.0 - NS'!U110)&lt;=0,E111,'Modelo 1.0 - NS'!U110))</f>
        <v>0</v>
      </c>
      <c r="L111" s="777">
        <f>'Modelo 1.0 - NS'!Q111</f>
        <v>3.976</v>
      </c>
      <c r="M111" s="777">
        <f t="shared" si="19"/>
        <v>0</v>
      </c>
      <c r="N111" s="777">
        <f t="shared" si="21"/>
        <v>0</v>
      </c>
      <c r="O111" s="777">
        <f t="shared" si="13"/>
        <v>39.76</v>
      </c>
      <c r="P111" s="777">
        <f t="shared" si="29"/>
        <v>0</v>
      </c>
      <c r="Q111" s="777">
        <f t="shared" si="29"/>
        <v>92.149999999999991</v>
      </c>
      <c r="R111" s="777">
        <f t="shared" si="29"/>
        <v>834.95999999999992</v>
      </c>
      <c r="T111" s="777">
        <v>2.3762000000000003</v>
      </c>
      <c r="U111" s="777">
        <v>23.76</v>
      </c>
      <c r="V111" s="777">
        <v>0</v>
      </c>
      <c r="W111" s="777">
        <v>0</v>
      </c>
      <c r="Y111" s="803">
        <v>0</v>
      </c>
      <c r="Z111" s="803">
        <v>0</v>
      </c>
      <c r="AA111" s="803">
        <v>0</v>
      </c>
      <c r="AB111" s="803">
        <v>0</v>
      </c>
      <c r="AD111" s="777">
        <v>22.8</v>
      </c>
      <c r="AE111" s="777">
        <v>0</v>
      </c>
      <c r="AF111" s="777">
        <v>0</v>
      </c>
      <c r="AG111" s="804">
        <v>0</v>
      </c>
      <c r="AH111" s="804">
        <v>22.8</v>
      </c>
      <c r="AI111" s="777">
        <v>-1241.2900000000006</v>
      </c>
      <c r="AK111" s="805" t="s">
        <v>67</v>
      </c>
      <c r="AL111" s="806">
        <v>0</v>
      </c>
      <c r="AM111" s="805" t="s">
        <v>67</v>
      </c>
      <c r="AN111" s="806">
        <v>0</v>
      </c>
      <c r="AO111" s="807">
        <v>0</v>
      </c>
      <c r="AP111" s="808">
        <v>0</v>
      </c>
      <c r="AR111" s="809" t="s">
        <v>67</v>
      </c>
      <c r="AS111" s="809">
        <v>0</v>
      </c>
      <c r="AT111" s="810" t="s">
        <v>67</v>
      </c>
      <c r="AU111" s="809">
        <v>0</v>
      </c>
      <c r="AV111" s="811">
        <v>0</v>
      </c>
      <c r="AW111" s="811">
        <v>0</v>
      </c>
      <c r="AY111" s="768" t="s">
        <v>67</v>
      </c>
      <c r="AZ111" s="768">
        <v>0</v>
      </c>
      <c r="BA111" s="813" t="s">
        <v>67</v>
      </c>
      <c r="BB111" s="768">
        <v>0</v>
      </c>
      <c r="BC111" s="814">
        <v>22.8</v>
      </c>
      <c r="BD111" s="808">
        <v>67.67</v>
      </c>
      <c r="BF111" s="766" t="s">
        <v>67</v>
      </c>
      <c r="BG111" s="766">
        <v>0</v>
      </c>
      <c r="BH111" s="767" t="s">
        <v>67</v>
      </c>
      <c r="BI111" s="766">
        <v>0</v>
      </c>
      <c r="BJ111" s="814">
        <v>23.76</v>
      </c>
      <c r="BK111" s="808">
        <v>154.44</v>
      </c>
      <c r="BM111" s="766" t="s">
        <v>67</v>
      </c>
      <c r="BN111" s="766">
        <v>0</v>
      </c>
      <c r="BO111" s="767" t="s">
        <v>67</v>
      </c>
      <c r="BP111" s="768">
        <v>0</v>
      </c>
      <c r="BQ111" s="814">
        <v>0</v>
      </c>
      <c r="BR111" s="808">
        <v>0</v>
      </c>
      <c r="BT111" s="878" t="s">
        <v>67</v>
      </c>
      <c r="BU111" s="771">
        <v>0</v>
      </c>
      <c r="BV111" s="878" t="s">
        <v>67</v>
      </c>
      <c r="BW111" s="771">
        <v>0</v>
      </c>
      <c r="BX111" s="814">
        <v>0</v>
      </c>
      <c r="BY111" s="808">
        <v>0</v>
      </c>
      <c r="CA111" s="771" t="s">
        <v>67</v>
      </c>
      <c r="CB111" s="771">
        <v>0</v>
      </c>
      <c r="CC111" s="815" t="s">
        <v>67</v>
      </c>
      <c r="CD111" s="771">
        <v>0</v>
      </c>
      <c r="CE111" s="814">
        <v>0</v>
      </c>
      <c r="CF111" s="808">
        <v>0</v>
      </c>
      <c r="CH111" s="771" t="s">
        <v>67</v>
      </c>
      <c r="CI111" s="771">
        <v>0</v>
      </c>
      <c r="CJ111" s="771" t="s">
        <v>67</v>
      </c>
      <c r="CK111" s="771">
        <v>0</v>
      </c>
      <c r="CL111" s="814">
        <v>0</v>
      </c>
      <c r="CM111" s="816">
        <v>0</v>
      </c>
      <c r="CO111" s="848">
        <v>0.1</v>
      </c>
      <c r="CP111" s="818">
        <v>2610</v>
      </c>
      <c r="CQ111" s="773">
        <v>0</v>
      </c>
      <c r="CR111" s="773">
        <v>0</v>
      </c>
    </row>
    <row r="112" spans="1:96" ht="13.15" customHeight="1" outlineLevel="1">
      <c r="A112" s="800" t="s">
        <v>758</v>
      </c>
      <c r="B112" s="800" t="s">
        <v>605</v>
      </c>
      <c r="C112" s="800">
        <v>0</v>
      </c>
      <c r="D112" s="846">
        <v>1.17</v>
      </c>
      <c r="E112" s="847">
        <v>0</v>
      </c>
      <c r="F112" s="777">
        <f t="shared" si="26"/>
        <v>18.100000000000001</v>
      </c>
      <c r="G112" s="777">
        <f t="shared" si="27"/>
        <v>0</v>
      </c>
      <c r="H112" s="777">
        <f t="shared" si="28"/>
        <v>138.4</v>
      </c>
      <c r="I112" s="777">
        <f t="shared" si="28"/>
        <v>92.149999999999991</v>
      </c>
      <c r="J112" s="802">
        <f t="shared" si="15"/>
        <v>0</v>
      </c>
      <c r="K112" s="801">
        <f>IF('Modelo 1.0 - NS'!R111=1,'Modelo 2.0 - Cubação'!E112,IF((E112-'Modelo 1.0 - NS'!U111)&lt;=0,E112,'Modelo 1.0 - NS'!U111))</f>
        <v>0</v>
      </c>
      <c r="L112" s="777">
        <f>'Modelo 1.0 - NS'!Q112</f>
        <v>3.976</v>
      </c>
      <c r="M112" s="777">
        <f t="shared" si="19"/>
        <v>0</v>
      </c>
      <c r="N112" s="777">
        <f t="shared" si="21"/>
        <v>0</v>
      </c>
      <c r="O112" s="777">
        <f t="shared" si="13"/>
        <v>39.76</v>
      </c>
      <c r="P112" s="777">
        <f t="shared" si="29"/>
        <v>0</v>
      </c>
      <c r="Q112" s="777">
        <f t="shared" si="29"/>
        <v>92.149999999999991</v>
      </c>
      <c r="R112" s="777">
        <f t="shared" si="29"/>
        <v>874.71999999999991</v>
      </c>
      <c r="T112" s="777">
        <v>0</v>
      </c>
      <c r="U112" s="777">
        <v>11.88</v>
      </c>
      <c r="V112" s="777">
        <v>2.56</v>
      </c>
      <c r="W112" s="777">
        <v>12.8</v>
      </c>
      <c r="Y112" s="803">
        <v>0</v>
      </c>
      <c r="Z112" s="803">
        <v>0</v>
      </c>
      <c r="AA112" s="803">
        <v>0</v>
      </c>
      <c r="AB112" s="803">
        <v>0</v>
      </c>
      <c r="AD112" s="777">
        <v>18.100000000000001</v>
      </c>
      <c r="AE112" s="777">
        <v>0</v>
      </c>
      <c r="AF112" s="777">
        <v>0</v>
      </c>
      <c r="AG112" s="804">
        <v>0</v>
      </c>
      <c r="AH112" s="804">
        <v>18.100000000000001</v>
      </c>
      <c r="AI112" s="777">
        <v>-1223.1900000000007</v>
      </c>
      <c r="AK112" s="805" t="s">
        <v>67</v>
      </c>
      <c r="AL112" s="806">
        <v>0</v>
      </c>
      <c r="AM112" s="805" t="s">
        <v>67</v>
      </c>
      <c r="AN112" s="806">
        <v>0</v>
      </c>
      <c r="AO112" s="807">
        <v>0</v>
      </c>
      <c r="AP112" s="808">
        <v>0</v>
      </c>
      <c r="AR112" s="809" t="s">
        <v>67</v>
      </c>
      <c r="AS112" s="809">
        <v>0</v>
      </c>
      <c r="AT112" s="810" t="s">
        <v>67</v>
      </c>
      <c r="AU112" s="809">
        <v>0</v>
      </c>
      <c r="AV112" s="811">
        <v>0</v>
      </c>
      <c r="AW112" s="811">
        <v>0</v>
      </c>
      <c r="AY112" s="768" t="s">
        <v>67</v>
      </c>
      <c r="AZ112" s="768">
        <v>0</v>
      </c>
      <c r="BA112" s="813" t="s">
        <v>67</v>
      </c>
      <c r="BB112" s="768">
        <v>0</v>
      </c>
      <c r="BC112" s="814">
        <v>18.100000000000001</v>
      </c>
      <c r="BD112" s="808">
        <v>85.77000000000001</v>
      </c>
      <c r="BF112" s="766" t="s">
        <v>67</v>
      </c>
      <c r="BG112" s="766">
        <v>0</v>
      </c>
      <c r="BH112" s="767" t="s">
        <v>845</v>
      </c>
      <c r="BI112" s="766">
        <v>1</v>
      </c>
      <c r="BJ112" s="814">
        <v>11.88</v>
      </c>
      <c r="BK112" s="808">
        <v>166.32</v>
      </c>
      <c r="BM112" s="766" t="s">
        <v>67</v>
      </c>
      <c r="BN112" s="766">
        <v>0</v>
      </c>
      <c r="BO112" s="767" t="s">
        <v>67</v>
      </c>
      <c r="BP112" s="768">
        <v>0</v>
      </c>
      <c r="BQ112" s="814">
        <v>0</v>
      </c>
      <c r="BR112" s="808">
        <v>0</v>
      </c>
      <c r="BT112" s="878" t="s">
        <v>848</v>
      </c>
      <c r="BU112" s="771">
        <v>1</v>
      </c>
      <c r="BV112" s="878" t="s">
        <v>67</v>
      </c>
      <c r="BW112" s="771">
        <v>0</v>
      </c>
      <c r="BX112" s="814">
        <v>12.8</v>
      </c>
      <c r="BY112" s="808">
        <v>12.8</v>
      </c>
      <c r="CA112" s="771" t="s">
        <v>67</v>
      </c>
      <c r="CB112" s="771">
        <v>0</v>
      </c>
      <c r="CC112" s="815" t="s">
        <v>67</v>
      </c>
      <c r="CD112" s="771">
        <v>0</v>
      </c>
      <c r="CE112" s="814">
        <v>0</v>
      </c>
      <c r="CF112" s="808">
        <v>0</v>
      </c>
      <c r="CH112" s="771" t="s">
        <v>67</v>
      </c>
      <c r="CI112" s="771">
        <v>0</v>
      </c>
      <c r="CJ112" s="771" t="s">
        <v>67</v>
      </c>
      <c r="CK112" s="771">
        <v>0</v>
      </c>
      <c r="CL112" s="814">
        <v>0</v>
      </c>
      <c r="CM112" s="816">
        <v>0</v>
      </c>
      <c r="CO112" s="848">
        <v>0.1</v>
      </c>
      <c r="CP112" s="818">
        <v>2620</v>
      </c>
      <c r="CQ112" s="773">
        <v>0</v>
      </c>
      <c r="CR112" s="773">
        <v>0</v>
      </c>
    </row>
    <row r="113" spans="1:96" ht="13.15" customHeight="1" outlineLevel="1">
      <c r="A113" s="800" t="s">
        <v>758</v>
      </c>
      <c r="B113" s="800" t="s">
        <v>605</v>
      </c>
      <c r="C113" s="800">
        <v>10</v>
      </c>
      <c r="D113" s="846">
        <v>0.27</v>
      </c>
      <c r="E113" s="847">
        <v>0.18</v>
      </c>
      <c r="F113" s="777">
        <f t="shared" si="26"/>
        <v>7.2</v>
      </c>
      <c r="G113" s="777">
        <f t="shared" si="27"/>
        <v>0.9</v>
      </c>
      <c r="H113" s="777">
        <f t="shared" si="28"/>
        <v>145.6</v>
      </c>
      <c r="I113" s="777">
        <f t="shared" si="28"/>
        <v>93.05</v>
      </c>
      <c r="J113" s="802">
        <f t="shared" si="15"/>
        <v>0</v>
      </c>
      <c r="K113" s="801">
        <f>IF('Modelo 1.0 - NS'!R112=1,'Modelo 2.0 - Cubação'!E113,IF((E113-'Modelo 1.0 - NS'!U112)&lt;=0,E113,'Modelo 1.0 - NS'!U112))</f>
        <v>0.18</v>
      </c>
      <c r="L113" s="777">
        <f>'Modelo 1.0 - NS'!Q113</f>
        <v>3.976</v>
      </c>
      <c r="M113" s="777">
        <f t="shared" si="19"/>
        <v>0</v>
      </c>
      <c r="N113" s="777">
        <f t="shared" si="21"/>
        <v>0.89999999999999991</v>
      </c>
      <c r="O113" s="777">
        <f t="shared" si="13"/>
        <v>39.76</v>
      </c>
      <c r="P113" s="777">
        <f t="shared" si="29"/>
        <v>0</v>
      </c>
      <c r="Q113" s="777">
        <f t="shared" si="29"/>
        <v>93.05</v>
      </c>
      <c r="R113" s="777">
        <f t="shared" si="29"/>
        <v>914.4799999999999</v>
      </c>
      <c r="T113" s="777">
        <v>0</v>
      </c>
      <c r="U113" s="777">
        <v>0</v>
      </c>
      <c r="V113" s="777">
        <v>2.56</v>
      </c>
      <c r="W113" s="777">
        <v>25.6</v>
      </c>
      <c r="Y113" s="803">
        <v>0</v>
      </c>
      <c r="Z113" s="803">
        <v>0</v>
      </c>
      <c r="AA113" s="803">
        <v>0</v>
      </c>
      <c r="AB113" s="803">
        <v>0</v>
      </c>
      <c r="AD113" s="777">
        <v>7.2</v>
      </c>
      <c r="AE113" s="777">
        <v>0</v>
      </c>
      <c r="AF113" s="777">
        <v>1.17</v>
      </c>
      <c r="AG113" s="804">
        <v>1.17</v>
      </c>
      <c r="AH113" s="804">
        <v>6.03</v>
      </c>
      <c r="AI113" s="777">
        <v>-1217.1600000000008</v>
      </c>
      <c r="AK113" s="805" t="s">
        <v>67</v>
      </c>
      <c r="AL113" s="806">
        <v>0</v>
      </c>
      <c r="AM113" s="805" t="s">
        <v>67</v>
      </c>
      <c r="AN113" s="806">
        <v>0</v>
      </c>
      <c r="AO113" s="807">
        <v>0</v>
      </c>
      <c r="AP113" s="808">
        <v>0</v>
      </c>
      <c r="AR113" s="809" t="s">
        <v>67</v>
      </c>
      <c r="AS113" s="809">
        <v>0</v>
      </c>
      <c r="AT113" s="810" t="s">
        <v>67</v>
      </c>
      <c r="AU113" s="809">
        <v>0</v>
      </c>
      <c r="AV113" s="811">
        <v>0</v>
      </c>
      <c r="AW113" s="811">
        <v>0</v>
      </c>
      <c r="AY113" s="768" t="s">
        <v>67</v>
      </c>
      <c r="AZ113" s="768">
        <v>0</v>
      </c>
      <c r="BA113" s="813" t="s">
        <v>847</v>
      </c>
      <c r="BB113" s="768">
        <v>1</v>
      </c>
      <c r="BC113" s="814">
        <v>6.03</v>
      </c>
      <c r="BD113" s="808">
        <v>91.800000000000011</v>
      </c>
      <c r="BF113" s="766" t="s">
        <v>67</v>
      </c>
      <c r="BG113" s="766">
        <v>0</v>
      </c>
      <c r="BH113" s="767" t="s">
        <v>67</v>
      </c>
      <c r="BI113" s="766">
        <v>0</v>
      </c>
      <c r="BJ113" s="814">
        <v>0</v>
      </c>
      <c r="BK113" s="808">
        <v>0</v>
      </c>
      <c r="BM113" s="766" t="s">
        <v>67</v>
      </c>
      <c r="BN113" s="766">
        <v>0</v>
      </c>
      <c r="BO113" s="767" t="s">
        <v>67</v>
      </c>
      <c r="BP113" s="768">
        <v>0</v>
      </c>
      <c r="BQ113" s="814">
        <v>0</v>
      </c>
      <c r="BR113" s="808">
        <v>0</v>
      </c>
      <c r="BT113" s="878" t="s">
        <v>67</v>
      </c>
      <c r="BU113" s="771">
        <v>0</v>
      </c>
      <c r="BV113" s="878" t="s">
        <v>67</v>
      </c>
      <c r="BW113" s="771">
        <v>0</v>
      </c>
      <c r="BX113" s="814">
        <v>25.6</v>
      </c>
      <c r="BY113" s="808">
        <v>38.400000000000006</v>
      </c>
      <c r="CA113" s="771" t="s">
        <v>67</v>
      </c>
      <c r="CB113" s="771">
        <v>0</v>
      </c>
      <c r="CC113" s="815" t="s">
        <v>67</v>
      </c>
      <c r="CD113" s="771">
        <v>0</v>
      </c>
      <c r="CE113" s="814">
        <v>0</v>
      </c>
      <c r="CF113" s="808">
        <v>0</v>
      </c>
      <c r="CH113" s="771" t="s">
        <v>849</v>
      </c>
      <c r="CI113" s="771">
        <v>1</v>
      </c>
      <c r="CJ113" s="771" t="s">
        <v>67</v>
      </c>
      <c r="CK113" s="771">
        <v>0</v>
      </c>
      <c r="CL113" s="814">
        <v>1.17</v>
      </c>
      <c r="CM113" s="816">
        <v>1.17</v>
      </c>
      <c r="CO113" s="848">
        <v>0.1</v>
      </c>
      <c r="CP113" s="818">
        <v>2630</v>
      </c>
      <c r="CQ113" s="773">
        <v>1.17</v>
      </c>
      <c r="CR113" s="773">
        <v>0</v>
      </c>
    </row>
    <row r="114" spans="1:96" ht="13.15" customHeight="1" outlineLevel="1">
      <c r="A114" s="800" t="s">
        <v>761</v>
      </c>
      <c r="B114" s="800" t="s">
        <v>605</v>
      </c>
      <c r="C114" s="800">
        <v>0</v>
      </c>
      <c r="D114" s="846">
        <v>0</v>
      </c>
      <c r="E114" s="847">
        <v>0.44</v>
      </c>
      <c r="F114" s="777">
        <f t="shared" si="26"/>
        <v>1.35</v>
      </c>
      <c r="G114" s="777">
        <f t="shared" si="27"/>
        <v>3.1</v>
      </c>
      <c r="H114" s="777">
        <f t="shared" si="28"/>
        <v>146.94999999999999</v>
      </c>
      <c r="I114" s="777">
        <f t="shared" si="28"/>
        <v>96.149999999999991</v>
      </c>
      <c r="J114" s="802">
        <f t="shared" si="15"/>
        <v>0</v>
      </c>
      <c r="K114" s="801">
        <f>IF('Modelo 1.0 - NS'!R113=1,'Modelo 2.0 - Cubação'!E114,IF((E114-'Modelo 1.0 - NS'!U113)&lt;=0,E114,'Modelo 1.0 - NS'!U113))</f>
        <v>0.44</v>
      </c>
      <c r="L114" s="777">
        <f>'Modelo 1.0 - NS'!Q114</f>
        <v>3.976</v>
      </c>
      <c r="M114" s="777">
        <f t="shared" si="19"/>
        <v>0</v>
      </c>
      <c r="N114" s="777">
        <f t="shared" si="21"/>
        <v>3.1</v>
      </c>
      <c r="O114" s="777">
        <f t="shared" si="13"/>
        <v>39.76</v>
      </c>
      <c r="P114" s="777">
        <f t="shared" si="29"/>
        <v>0</v>
      </c>
      <c r="Q114" s="777">
        <f t="shared" si="29"/>
        <v>96.149999999999991</v>
      </c>
      <c r="R114" s="777">
        <f t="shared" si="29"/>
        <v>954.2399999999999</v>
      </c>
      <c r="T114" s="777">
        <v>0</v>
      </c>
      <c r="U114" s="777">
        <v>0</v>
      </c>
      <c r="V114" s="777">
        <v>2.56</v>
      </c>
      <c r="W114" s="777">
        <v>25.6</v>
      </c>
      <c r="Y114" s="803">
        <v>0</v>
      </c>
      <c r="Z114" s="803">
        <v>0</v>
      </c>
      <c r="AA114" s="803">
        <v>0</v>
      </c>
      <c r="AB114" s="803">
        <v>0</v>
      </c>
      <c r="AD114" s="777">
        <v>1.35</v>
      </c>
      <c r="AE114" s="777">
        <v>0</v>
      </c>
      <c r="AF114" s="777">
        <v>4.03</v>
      </c>
      <c r="AG114" s="804">
        <v>1.35</v>
      </c>
      <c r="AH114" s="804">
        <v>-2.68</v>
      </c>
      <c r="AI114" s="777">
        <v>-1219.8400000000008</v>
      </c>
      <c r="AK114" s="805" t="s">
        <v>850</v>
      </c>
      <c r="AL114" s="806">
        <v>1</v>
      </c>
      <c r="AM114" s="805" t="s">
        <v>67</v>
      </c>
      <c r="AN114" s="806">
        <v>0</v>
      </c>
      <c r="AO114" s="807">
        <v>2.06</v>
      </c>
      <c r="AP114" s="808">
        <v>2.06</v>
      </c>
      <c r="AR114" s="809" t="s">
        <v>67</v>
      </c>
      <c r="AS114" s="809">
        <v>0</v>
      </c>
      <c r="AT114" s="810" t="s">
        <v>67</v>
      </c>
      <c r="AU114" s="809">
        <v>0</v>
      </c>
      <c r="AV114" s="811">
        <v>0</v>
      </c>
      <c r="AW114" s="811">
        <v>0</v>
      </c>
      <c r="AY114" s="768" t="s">
        <v>67</v>
      </c>
      <c r="AZ114" s="768">
        <v>0</v>
      </c>
      <c r="BA114" s="813" t="s">
        <v>67</v>
      </c>
      <c r="BB114" s="768">
        <v>0</v>
      </c>
      <c r="BC114" s="814">
        <v>0</v>
      </c>
      <c r="BD114" s="808">
        <v>0</v>
      </c>
      <c r="BF114" s="766" t="s">
        <v>67</v>
      </c>
      <c r="BG114" s="766">
        <v>0</v>
      </c>
      <c r="BH114" s="767" t="s">
        <v>67</v>
      </c>
      <c r="BI114" s="766">
        <v>0</v>
      </c>
      <c r="BJ114" s="814">
        <v>0</v>
      </c>
      <c r="BK114" s="808">
        <v>0</v>
      </c>
      <c r="BM114" s="766" t="s">
        <v>67</v>
      </c>
      <c r="BN114" s="766">
        <v>0</v>
      </c>
      <c r="BO114" s="767" t="s">
        <v>67</v>
      </c>
      <c r="BP114" s="768">
        <v>0</v>
      </c>
      <c r="BQ114" s="814">
        <v>0</v>
      </c>
      <c r="BR114" s="808">
        <v>0</v>
      </c>
      <c r="BT114" s="878" t="s">
        <v>67</v>
      </c>
      <c r="BU114" s="771">
        <v>0</v>
      </c>
      <c r="BV114" s="878" t="s">
        <v>67</v>
      </c>
      <c r="BW114" s="771">
        <v>0</v>
      </c>
      <c r="BX114" s="814">
        <v>25.6</v>
      </c>
      <c r="BY114" s="808">
        <v>64</v>
      </c>
      <c r="CA114" s="771" t="s">
        <v>67</v>
      </c>
      <c r="CB114" s="771">
        <v>0</v>
      </c>
      <c r="CC114" s="815" t="s">
        <v>67</v>
      </c>
      <c r="CD114" s="771">
        <v>0</v>
      </c>
      <c r="CE114" s="814">
        <v>0</v>
      </c>
      <c r="CF114" s="808">
        <v>0</v>
      </c>
      <c r="CH114" s="771" t="s">
        <v>67</v>
      </c>
      <c r="CI114" s="771">
        <v>0</v>
      </c>
      <c r="CJ114" s="771" t="s">
        <v>849</v>
      </c>
      <c r="CK114" s="771">
        <v>1</v>
      </c>
      <c r="CL114" s="814">
        <v>1.35</v>
      </c>
      <c r="CM114" s="816">
        <v>2.52</v>
      </c>
      <c r="CO114" s="848">
        <v>0.1</v>
      </c>
      <c r="CP114" s="818">
        <v>2640</v>
      </c>
      <c r="CQ114" s="773">
        <v>0</v>
      </c>
      <c r="CR114" s="773">
        <v>-1.35</v>
      </c>
    </row>
    <row r="115" spans="1:96" ht="13.15" customHeight="1" outlineLevel="1">
      <c r="A115" s="800" t="s">
        <v>761</v>
      </c>
      <c r="B115" s="800" t="s">
        <v>605</v>
      </c>
      <c r="C115" s="800">
        <v>10</v>
      </c>
      <c r="D115" s="846">
        <v>0</v>
      </c>
      <c r="E115" s="847">
        <v>0.27</v>
      </c>
      <c r="F115" s="777">
        <f t="shared" si="26"/>
        <v>0</v>
      </c>
      <c r="G115" s="777">
        <f t="shared" si="27"/>
        <v>3.55</v>
      </c>
      <c r="H115" s="777">
        <f t="shared" si="28"/>
        <v>146.94999999999999</v>
      </c>
      <c r="I115" s="777">
        <f t="shared" si="28"/>
        <v>99.699999999999989</v>
      </c>
      <c r="J115" s="802">
        <f t="shared" si="15"/>
        <v>0</v>
      </c>
      <c r="K115" s="801">
        <f>IF('Modelo 1.0 - NS'!R114=1,'Modelo 2.0 - Cubação'!E115,IF((E115-'Modelo 1.0 - NS'!U114)&lt;=0,E115,'Modelo 1.0 - NS'!U114))</f>
        <v>0.27</v>
      </c>
      <c r="L115" s="777">
        <f>'Modelo 1.0 - NS'!Q115</f>
        <v>3.976</v>
      </c>
      <c r="M115" s="777">
        <f t="shared" si="19"/>
        <v>0</v>
      </c>
      <c r="N115" s="777">
        <f t="shared" si="21"/>
        <v>3.55</v>
      </c>
      <c r="O115" s="777">
        <f t="shared" si="13"/>
        <v>39.76</v>
      </c>
      <c r="P115" s="777">
        <f t="shared" si="29"/>
        <v>0</v>
      </c>
      <c r="Q115" s="777">
        <f t="shared" si="29"/>
        <v>99.699999999999989</v>
      </c>
      <c r="R115" s="777">
        <f t="shared" si="29"/>
        <v>993.99999999999989</v>
      </c>
      <c r="T115" s="777">
        <v>0</v>
      </c>
      <c r="U115" s="777">
        <v>0</v>
      </c>
      <c r="V115" s="777">
        <v>0</v>
      </c>
      <c r="W115" s="777">
        <v>12.8</v>
      </c>
      <c r="Y115" s="803">
        <v>0</v>
      </c>
      <c r="Z115" s="803">
        <v>0</v>
      </c>
      <c r="AA115" s="803">
        <v>0</v>
      </c>
      <c r="AB115" s="803">
        <v>0</v>
      </c>
      <c r="AD115" s="777">
        <v>0</v>
      </c>
      <c r="AE115" s="777">
        <v>0</v>
      </c>
      <c r="AF115" s="777">
        <v>4.62</v>
      </c>
      <c r="AG115" s="804">
        <v>0</v>
      </c>
      <c r="AH115" s="804">
        <v>-4.62</v>
      </c>
      <c r="AI115" s="777">
        <v>-1224.4600000000007</v>
      </c>
      <c r="AK115" s="805" t="s">
        <v>67</v>
      </c>
      <c r="AL115" s="806">
        <v>0</v>
      </c>
      <c r="AM115" s="805" t="s">
        <v>67</v>
      </c>
      <c r="AN115" s="806">
        <v>0</v>
      </c>
      <c r="AO115" s="807">
        <v>3.55</v>
      </c>
      <c r="AP115" s="808">
        <v>5.6099999999999994</v>
      </c>
      <c r="AR115" s="809" t="s">
        <v>67</v>
      </c>
      <c r="AS115" s="809">
        <v>0</v>
      </c>
      <c r="AT115" s="810" t="s">
        <v>67</v>
      </c>
      <c r="AU115" s="809">
        <v>0</v>
      </c>
      <c r="AV115" s="811">
        <v>0</v>
      </c>
      <c r="AW115" s="811">
        <v>0</v>
      </c>
      <c r="AY115" s="768" t="s">
        <v>67</v>
      </c>
      <c r="AZ115" s="768">
        <v>0</v>
      </c>
      <c r="BA115" s="813" t="s">
        <v>67</v>
      </c>
      <c r="BB115" s="768">
        <v>0</v>
      </c>
      <c r="BC115" s="814">
        <v>0</v>
      </c>
      <c r="BD115" s="808">
        <v>0</v>
      </c>
      <c r="BF115" s="766" t="s">
        <v>67</v>
      </c>
      <c r="BG115" s="766">
        <v>0</v>
      </c>
      <c r="BH115" s="767" t="s">
        <v>67</v>
      </c>
      <c r="BI115" s="766">
        <v>0</v>
      </c>
      <c r="BJ115" s="814">
        <v>0</v>
      </c>
      <c r="BK115" s="808">
        <v>0</v>
      </c>
      <c r="BM115" s="766" t="s">
        <v>67</v>
      </c>
      <c r="BN115" s="766">
        <v>0</v>
      </c>
      <c r="BO115" s="767" t="s">
        <v>67</v>
      </c>
      <c r="BP115" s="768">
        <v>0</v>
      </c>
      <c r="BQ115" s="814">
        <v>0</v>
      </c>
      <c r="BR115" s="808">
        <v>0</v>
      </c>
      <c r="BT115" s="878" t="s">
        <v>67</v>
      </c>
      <c r="BU115" s="771">
        <v>0</v>
      </c>
      <c r="BV115" s="878" t="s">
        <v>848</v>
      </c>
      <c r="BW115" s="771">
        <v>1</v>
      </c>
      <c r="BX115" s="814">
        <v>12.8</v>
      </c>
      <c r="BY115" s="808">
        <v>76.8</v>
      </c>
      <c r="CA115" s="771" t="s">
        <v>67</v>
      </c>
      <c r="CB115" s="771">
        <v>0</v>
      </c>
      <c r="CC115" s="815" t="s">
        <v>67</v>
      </c>
      <c r="CD115" s="771">
        <v>0</v>
      </c>
      <c r="CE115" s="814">
        <v>0</v>
      </c>
      <c r="CF115" s="808">
        <v>0</v>
      </c>
      <c r="CH115" s="771" t="s">
        <v>67</v>
      </c>
      <c r="CI115" s="771">
        <v>0</v>
      </c>
      <c r="CJ115" s="771" t="s">
        <v>67</v>
      </c>
      <c r="CK115" s="771">
        <v>0</v>
      </c>
      <c r="CL115" s="814">
        <v>0</v>
      </c>
      <c r="CM115" s="816">
        <v>0</v>
      </c>
      <c r="CO115" s="848">
        <v>0.1</v>
      </c>
      <c r="CP115" s="818">
        <v>2650</v>
      </c>
      <c r="CQ115" s="773">
        <v>0</v>
      </c>
      <c r="CR115" s="773">
        <v>0</v>
      </c>
    </row>
    <row r="116" spans="1:96" s="880" customFormat="1" ht="13.15" customHeight="1" outlineLevel="1">
      <c r="A116" s="800" t="s">
        <v>761</v>
      </c>
      <c r="B116" s="800" t="s">
        <v>605</v>
      </c>
      <c r="C116" s="800">
        <v>12.124000000000001</v>
      </c>
      <c r="D116" s="846">
        <v>0</v>
      </c>
      <c r="E116" s="847">
        <v>0.21</v>
      </c>
      <c r="F116" s="777">
        <f t="shared" si="26"/>
        <v>0</v>
      </c>
      <c r="G116" s="777">
        <f t="shared" si="27"/>
        <v>0.51</v>
      </c>
      <c r="H116" s="777">
        <f t="shared" si="28"/>
        <v>146.94999999999999</v>
      </c>
      <c r="I116" s="777">
        <f t="shared" si="28"/>
        <v>100.21</v>
      </c>
      <c r="J116" s="802">
        <f>IF(E116-K116&lt;0,0,E116-K116)</f>
        <v>0</v>
      </c>
      <c r="K116" s="801">
        <f>IF('Modelo 1.0 - NS'!R115=1,'Modelo 2.0 - Cubação'!E116,IF((E116-'Modelo 1.0 - NS'!U115)&lt;=0,E116,'Modelo 1.0 - NS'!U115))</f>
        <v>0.21</v>
      </c>
      <c r="L116" s="777">
        <f>'Modelo 1.0 - NS'!Q116</f>
        <v>0</v>
      </c>
      <c r="M116" s="777">
        <f>IFERROR(((A116*20+C116)-(A115*20+C115))/2*(J115+J116),0)</f>
        <v>0</v>
      </c>
      <c r="N116" s="777">
        <f t="shared" si="21"/>
        <v>0.50975999999995114</v>
      </c>
      <c r="O116" s="777">
        <f t="shared" si="13"/>
        <v>4.222511999999595</v>
      </c>
      <c r="P116" s="777">
        <f t="shared" si="29"/>
        <v>0</v>
      </c>
      <c r="Q116" s="777">
        <f t="shared" si="29"/>
        <v>100.20975999999995</v>
      </c>
      <c r="R116" s="777">
        <f t="shared" si="29"/>
        <v>998.22251199999948</v>
      </c>
      <c r="S116" s="720"/>
      <c r="T116" s="777">
        <v>0</v>
      </c>
      <c r="U116" s="777">
        <v>0</v>
      </c>
      <c r="V116" s="777">
        <v>0</v>
      </c>
      <c r="W116" s="777">
        <v>0</v>
      </c>
      <c r="X116" s="720"/>
      <c r="Y116" s="803">
        <v>0</v>
      </c>
      <c r="Z116" s="803">
        <v>0</v>
      </c>
      <c r="AA116" s="803">
        <v>0</v>
      </c>
      <c r="AB116" s="803">
        <v>0</v>
      </c>
      <c r="AC116" s="720"/>
      <c r="AD116" s="777">
        <v>0</v>
      </c>
      <c r="AE116" s="777">
        <v>0</v>
      </c>
      <c r="AF116" s="777">
        <v>0.66</v>
      </c>
      <c r="AG116" s="804">
        <v>0</v>
      </c>
      <c r="AH116" s="804">
        <v>-0.66</v>
      </c>
      <c r="AI116" s="777">
        <v>-1225.1200000000008</v>
      </c>
      <c r="AJ116" s="720"/>
      <c r="AK116" s="805" t="s">
        <v>67</v>
      </c>
      <c r="AL116" s="806">
        <v>0</v>
      </c>
      <c r="AM116" s="805" t="s">
        <v>850</v>
      </c>
      <c r="AN116" s="806">
        <v>1</v>
      </c>
      <c r="AO116" s="807">
        <v>0.51</v>
      </c>
      <c r="AP116" s="808">
        <v>6.1199999999999992</v>
      </c>
      <c r="AQ116" s="743"/>
      <c r="AR116" s="809" t="s">
        <v>67</v>
      </c>
      <c r="AS116" s="809">
        <v>0</v>
      </c>
      <c r="AT116" s="810" t="s">
        <v>67</v>
      </c>
      <c r="AU116" s="809">
        <v>0</v>
      </c>
      <c r="AV116" s="811">
        <v>0</v>
      </c>
      <c r="AW116" s="811">
        <v>0</v>
      </c>
      <c r="AX116" s="743"/>
      <c r="AY116" s="768" t="s">
        <v>67</v>
      </c>
      <c r="AZ116" s="768">
        <v>0</v>
      </c>
      <c r="BA116" s="813" t="s">
        <v>67</v>
      </c>
      <c r="BB116" s="768">
        <v>0</v>
      </c>
      <c r="BC116" s="814">
        <v>0</v>
      </c>
      <c r="BD116" s="808">
        <v>0</v>
      </c>
      <c r="BE116" s="743"/>
      <c r="BF116" s="766" t="s">
        <v>67</v>
      </c>
      <c r="BG116" s="766">
        <v>0</v>
      </c>
      <c r="BH116" s="767" t="s">
        <v>67</v>
      </c>
      <c r="BI116" s="766">
        <v>0</v>
      </c>
      <c r="BJ116" s="814">
        <v>0</v>
      </c>
      <c r="BK116" s="808">
        <v>0</v>
      </c>
      <c r="BL116" s="743"/>
      <c r="BM116" s="766" t="s">
        <v>67</v>
      </c>
      <c r="BN116" s="766">
        <v>0</v>
      </c>
      <c r="BO116" s="767" t="s">
        <v>67</v>
      </c>
      <c r="BP116" s="768">
        <v>0</v>
      </c>
      <c r="BQ116" s="814">
        <v>0</v>
      </c>
      <c r="BR116" s="808">
        <v>0</v>
      </c>
      <c r="BS116" s="743"/>
      <c r="BT116" s="878" t="s">
        <v>67</v>
      </c>
      <c r="BU116" s="771">
        <v>0</v>
      </c>
      <c r="BV116" s="878" t="s">
        <v>67</v>
      </c>
      <c r="BW116" s="771">
        <v>0</v>
      </c>
      <c r="BX116" s="814">
        <v>0</v>
      </c>
      <c r="BY116" s="808">
        <v>0</v>
      </c>
      <c r="BZ116" s="743"/>
      <c r="CA116" s="771" t="s">
        <v>67</v>
      </c>
      <c r="CB116" s="771">
        <v>0</v>
      </c>
      <c r="CC116" s="815" t="s">
        <v>67</v>
      </c>
      <c r="CD116" s="771">
        <v>0</v>
      </c>
      <c r="CE116" s="814">
        <v>0</v>
      </c>
      <c r="CF116" s="808">
        <v>0</v>
      </c>
      <c r="CG116" s="743"/>
      <c r="CH116" s="771" t="s">
        <v>67</v>
      </c>
      <c r="CI116" s="771">
        <v>0</v>
      </c>
      <c r="CJ116" s="771" t="s">
        <v>67</v>
      </c>
      <c r="CK116" s="771">
        <v>0</v>
      </c>
      <c r="CL116" s="814">
        <v>0</v>
      </c>
      <c r="CM116" s="816">
        <v>0</v>
      </c>
      <c r="CN116" s="720"/>
      <c r="CO116" s="848">
        <v>0</v>
      </c>
      <c r="CP116" s="818">
        <v>2652.1239999999998</v>
      </c>
      <c r="CQ116" s="773">
        <v>0</v>
      </c>
      <c r="CR116" s="773">
        <v>0</v>
      </c>
    </row>
    <row r="117" spans="1:96" s="880" customFormat="1" ht="13.15" customHeight="1" outlineLevel="1">
      <c r="A117" s="881"/>
      <c r="B117" s="881"/>
      <c r="C117" s="881"/>
      <c r="D117" s="882"/>
      <c r="E117" s="883"/>
      <c r="F117" s="883"/>
      <c r="G117" s="883"/>
      <c r="H117" s="883"/>
      <c r="I117" s="883"/>
      <c r="J117" s="884"/>
      <c r="K117" s="882"/>
      <c r="L117" s="883"/>
      <c r="M117" s="883"/>
      <c r="N117" s="883"/>
      <c r="O117" s="883"/>
      <c r="P117" s="883"/>
      <c r="Q117" s="883"/>
      <c r="R117" s="883"/>
      <c r="T117" s="883"/>
      <c r="U117" s="883"/>
      <c r="V117" s="883"/>
      <c r="W117" s="883"/>
      <c r="Y117" s="885"/>
      <c r="Z117" s="885"/>
      <c r="AA117" s="885"/>
      <c r="AB117" s="885"/>
      <c r="AD117" s="883"/>
      <c r="AE117" s="883"/>
      <c r="AF117" s="883"/>
      <c r="AG117" s="886"/>
      <c r="AH117" s="886"/>
      <c r="AI117" s="883"/>
      <c r="AK117" s="887"/>
      <c r="AL117" s="888"/>
      <c r="AM117" s="887"/>
      <c r="AN117" s="888"/>
      <c r="AO117" s="889"/>
      <c r="AP117" s="890"/>
      <c r="AQ117" s="891"/>
      <c r="AR117" s="892"/>
      <c r="AS117" s="892"/>
      <c r="AT117" s="893"/>
      <c r="AU117" s="892"/>
      <c r="AV117" s="894"/>
      <c r="AW117" s="894"/>
      <c r="AX117" s="891"/>
      <c r="AY117" s="895"/>
      <c r="AZ117" s="895"/>
      <c r="BA117" s="896"/>
      <c r="BB117" s="895"/>
      <c r="BC117" s="897"/>
      <c r="BD117" s="890"/>
      <c r="BE117" s="891"/>
      <c r="BF117" s="898" t="s">
        <v>67</v>
      </c>
      <c r="BG117" s="898">
        <v>0</v>
      </c>
      <c r="BH117" s="899" t="s">
        <v>67</v>
      </c>
      <c r="BI117" s="898">
        <v>0</v>
      </c>
      <c r="BJ117" s="897">
        <v>0</v>
      </c>
      <c r="BK117" s="890">
        <v>0</v>
      </c>
      <c r="BL117" s="891"/>
      <c r="BM117" s="898"/>
      <c r="BN117" s="900"/>
      <c r="BO117" s="899"/>
      <c r="BP117" s="898"/>
      <c r="BQ117" s="897"/>
      <c r="BR117" s="890"/>
      <c r="BS117" s="891"/>
      <c r="BT117" s="901" t="s">
        <v>67</v>
      </c>
      <c r="BU117" s="900">
        <v>0</v>
      </c>
      <c r="BV117" s="878" t="s">
        <v>67</v>
      </c>
      <c r="BW117" s="900">
        <v>0</v>
      </c>
      <c r="BX117" s="897">
        <v>0</v>
      </c>
      <c r="BY117" s="890">
        <v>0</v>
      </c>
      <c r="BZ117" s="891"/>
      <c r="CA117" s="900"/>
      <c r="CB117" s="900"/>
      <c r="CC117" s="902"/>
      <c r="CD117" s="900"/>
      <c r="CE117" s="897">
        <v>0</v>
      </c>
      <c r="CF117" s="890"/>
      <c r="CG117" s="891"/>
      <c r="CH117" s="900"/>
      <c r="CI117" s="900"/>
      <c r="CJ117" s="900"/>
      <c r="CK117" s="900"/>
      <c r="CL117" s="897"/>
      <c r="CM117" s="903"/>
      <c r="CO117" s="904"/>
      <c r="CP117" s="905"/>
      <c r="CQ117" s="904"/>
    </row>
    <row r="118" spans="1:96" ht="13.15" customHeight="1" outlineLevel="1">
      <c r="A118" s="800"/>
      <c r="B118" s="800"/>
      <c r="C118" s="800"/>
      <c r="D118" s="846"/>
      <c r="E118" s="847"/>
      <c r="F118" s="777"/>
      <c r="G118" s="777"/>
      <c r="H118" s="777"/>
      <c r="I118" s="777"/>
      <c r="J118" s="802"/>
      <c r="K118" s="801"/>
      <c r="L118" s="777"/>
      <c r="M118" s="777"/>
      <c r="N118" s="777"/>
      <c r="O118" s="777"/>
      <c r="P118" s="777"/>
      <c r="Q118" s="777"/>
      <c r="R118" s="777"/>
      <c r="T118" s="777"/>
      <c r="U118" s="777"/>
      <c r="V118" s="777"/>
      <c r="W118" s="777"/>
      <c r="Y118" s="803"/>
      <c r="Z118" s="803"/>
      <c r="AA118" s="803"/>
      <c r="AB118" s="803"/>
      <c r="AD118" s="777"/>
      <c r="AE118" s="777"/>
      <c r="AF118" s="777"/>
      <c r="AG118" s="804"/>
      <c r="AH118" s="804"/>
      <c r="AI118" s="777"/>
      <c r="AK118" s="805"/>
      <c r="AL118" s="806"/>
      <c r="AM118" s="805"/>
      <c r="AN118" s="806"/>
      <c r="AO118" s="807"/>
      <c r="AP118" s="808"/>
      <c r="AR118" s="809"/>
      <c r="AS118" s="809"/>
      <c r="AT118" s="810"/>
      <c r="AU118" s="809"/>
      <c r="AV118" s="811"/>
      <c r="AW118" s="811"/>
      <c r="AY118" s="768"/>
      <c r="AZ118" s="768"/>
      <c r="BA118" s="813"/>
      <c r="BB118" s="768"/>
      <c r="BC118" s="814"/>
      <c r="BD118" s="808"/>
      <c r="BF118" s="766" t="s">
        <v>67</v>
      </c>
      <c r="BG118" s="766">
        <v>0</v>
      </c>
      <c r="BH118" s="767" t="s">
        <v>67</v>
      </c>
      <c r="BI118" s="766">
        <v>0</v>
      </c>
      <c r="BJ118" s="814">
        <v>0</v>
      </c>
      <c r="BK118" s="808">
        <v>0</v>
      </c>
      <c r="BM118" s="766"/>
      <c r="BN118" s="771"/>
      <c r="BO118" s="767"/>
      <c r="BP118" s="766"/>
      <c r="BQ118" s="814"/>
      <c r="BR118" s="808"/>
      <c r="BT118" s="878" t="s">
        <v>67</v>
      </c>
      <c r="BU118" s="771">
        <v>0</v>
      </c>
      <c r="BV118" s="878" t="s">
        <v>67</v>
      </c>
      <c r="BW118" s="771">
        <v>0</v>
      </c>
      <c r="BX118" s="814">
        <v>0</v>
      </c>
      <c r="BY118" s="808">
        <v>0</v>
      </c>
      <c r="CA118" s="771"/>
      <c r="CB118" s="771"/>
      <c r="CC118" s="815"/>
      <c r="CD118" s="771"/>
      <c r="CE118" s="814">
        <v>0</v>
      </c>
      <c r="CF118" s="808"/>
      <c r="CH118" s="771"/>
      <c r="CI118" s="771"/>
      <c r="CJ118" s="771"/>
      <c r="CK118" s="771"/>
      <c r="CL118" s="814"/>
      <c r="CM118" s="816"/>
      <c r="CO118" s="819"/>
      <c r="CP118" s="818"/>
      <c r="CQ118" s="819"/>
    </row>
    <row r="119" spans="1:96" ht="13.15" customHeight="1" outlineLevel="1">
      <c r="A119" s="800"/>
      <c r="B119" s="800"/>
      <c r="C119" s="800"/>
      <c r="D119" s="846"/>
      <c r="E119" s="847"/>
      <c r="F119" s="777"/>
      <c r="G119" s="777"/>
      <c r="H119" s="777"/>
      <c r="I119" s="777"/>
      <c r="J119" s="802"/>
      <c r="K119" s="801"/>
      <c r="L119" s="777"/>
      <c r="M119" s="777"/>
      <c r="N119" s="777"/>
      <c r="O119" s="777"/>
      <c r="P119" s="777"/>
      <c r="Q119" s="777"/>
      <c r="R119" s="777"/>
      <c r="T119" s="777"/>
      <c r="U119" s="777"/>
      <c r="V119" s="777"/>
      <c r="W119" s="777"/>
      <c r="Y119" s="803"/>
      <c r="Z119" s="803"/>
      <c r="AA119" s="803"/>
      <c r="AB119" s="803"/>
      <c r="AD119" s="777"/>
      <c r="AE119" s="777"/>
      <c r="AF119" s="777"/>
      <c r="AG119" s="804"/>
      <c r="AH119" s="804"/>
      <c r="AI119" s="777"/>
      <c r="AK119" s="805"/>
      <c r="AL119" s="806"/>
      <c r="AM119" s="805"/>
      <c r="AN119" s="806"/>
      <c r="AO119" s="807"/>
      <c r="AP119" s="808"/>
      <c r="AR119" s="809"/>
      <c r="AS119" s="809"/>
      <c r="AT119" s="810"/>
      <c r="AU119" s="809"/>
      <c r="AV119" s="811"/>
      <c r="AW119" s="811"/>
      <c r="AY119" s="768"/>
      <c r="AZ119" s="768"/>
      <c r="BA119" s="813"/>
      <c r="BB119" s="768"/>
      <c r="BC119" s="814"/>
      <c r="BD119" s="808"/>
      <c r="BF119" s="766" t="s">
        <v>67</v>
      </c>
      <c r="BG119" s="766">
        <v>0</v>
      </c>
      <c r="BH119" s="767" t="s">
        <v>67</v>
      </c>
      <c r="BI119" s="766">
        <v>0</v>
      </c>
      <c r="BJ119" s="814">
        <v>0</v>
      </c>
      <c r="BK119" s="808">
        <v>0</v>
      </c>
      <c r="BM119" s="766"/>
      <c r="BN119" s="771"/>
      <c r="BO119" s="767"/>
      <c r="BP119" s="766"/>
      <c r="BQ119" s="814"/>
      <c r="BR119" s="808"/>
      <c r="BT119" s="878" t="s">
        <v>67</v>
      </c>
      <c r="BU119" s="771">
        <v>0</v>
      </c>
      <c r="BV119" s="878" t="s">
        <v>67</v>
      </c>
      <c r="BW119" s="771">
        <v>0</v>
      </c>
      <c r="BX119" s="814">
        <v>0</v>
      </c>
      <c r="BY119" s="808">
        <v>0</v>
      </c>
      <c r="CA119" s="771"/>
      <c r="CB119" s="771"/>
      <c r="CC119" s="815"/>
      <c r="CD119" s="771"/>
      <c r="CE119" s="814">
        <v>0</v>
      </c>
      <c r="CF119" s="808"/>
      <c r="CH119" s="771"/>
      <c r="CI119" s="771"/>
      <c r="CJ119" s="771"/>
      <c r="CK119" s="771"/>
      <c r="CL119" s="814"/>
      <c r="CM119" s="816"/>
      <c r="CO119" s="819"/>
      <c r="CP119" s="818"/>
      <c r="CQ119" s="819"/>
    </row>
    <row r="120" spans="1:96">
      <c r="A120" s="800"/>
      <c r="B120" s="800"/>
      <c r="C120" s="800"/>
      <c r="D120" s="906"/>
      <c r="E120" s="906"/>
      <c r="F120" s="906"/>
      <c r="G120" s="801"/>
      <c r="H120" s="777"/>
      <c r="I120" s="777"/>
      <c r="J120" s="907"/>
      <c r="K120" s="906"/>
      <c r="L120" s="801"/>
      <c r="M120" s="777"/>
      <c r="N120" s="777"/>
      <c r="O120" s="777"/>
      <c r="P120" s="777"/>
      <c r="Q120" s="777"/>
      <c r="R120" s="777"/>
      <c r="T120" s="819"/>
      <c r="U120" s="777"/>
      <c r="V120" s="819"/>
      <c r="W120" s="777"/>
      <c r="Y120" s="908"/>
      <c r="Z120" s="803"/>
      <c r="AA120" s="908"/>
      <c r="AB120" s="803"/>
      <c r="AD120" s="777"/>
      <c r="AE120" s="777"/>
      <c r="AF120" s="777"/>
      <c r="AG120" s="819"/>
      <c r="AH120" s="819"/>
      <c r="AI120" s="819"/>
      <c r="AK120" s="909"/>
      <c r="AL120" s="910"/>
      <c r="AM120" s="909"/>
      <c r="AN120" s="910"/>
      <c r="AO120" s="911"/>
      <c r="AP120" s="912"/>
      <c r="AR120" s="913"/>
      <c r="AS120" s="913"/>
      <c r="AT120" s="914"/>
      <c r="AU120" s="913"/>
      <c r="AV120" s="915"/>
      <c r="AW120" s="915"/>
      <c r="AY120" s="913"/>
      <c r="AZ120" s="913"/>
      <c r="BA120" s="916"/>
      <c r="BB120" s="913"/>
      <c r="BC120" s="911"/>
      <c r="BD120" s="912"/>
      <c r="BF120" s="917"/>
      <c r="BG120" s="918"/>
      <c r="BH120" s="919"/>
      <c r="BI120" s="917"/>
      <c r="BJ120" s="911"/>
      <c r="BK120" s="912"/>
      <c r="BM120" s="917"/>
      <c r="BN120" s="918"/>
      <c r="BO120" s="919"/>
      <c r="BP120" s="917"/>
      <c r="BQ120" s="911"/>
      <c r="BR120" s="912"/>
      <c r="BT120" s="918"/>
      <c r="BU120" s="918"/>
      <c r="BV120" s="920"/>
      <c r="BW120" s="918"/>
      <c r="BX120" s="911"/>
      <c r="BY120" s="912"/>
      <c r="CA120" s="918"/>
      <c r="CB120" s="918"/>
      <c r="CC120" s="920"/>
      <c r="CD120" s="918"/>
      <c r="CE120" s="911"/>
      <c r="CF120" s="912"/>
      <c r="CH120" s="918"/>
      <c r="CI120" s="918"/>
      <c r="CJ120" s="918"/>
      <c r="CK120" s="918"/>
      <c r="CL120" s="911"/>
      <c r="CM120" s="912"/>
      <c r="CO120" s="819"/>
    </row>
    <row r="121" spans="1:96" ht="15" customHeight="1">
      <c r="A121" s="800"/>
      <c r="B121" s="800"/>
      <c r="C121" s="800"/>
      <c r="D121" s="921"/>
      <c r="E121" s="921"/>
      <c r="F121" s="922">
        <f>SUM(F7:F119)</f>
        <v>488.32000000000005</v>
      </c>
      <c r="G121" s="922">
        <f>SUM(G7:G119)</f>
        <v>1317.8799999999997</v>
      </c>
      <c r="H121" s="922"/>
      <c r="I121" s="922"/>
      <c r="J121" s="1939" t="s">
        <v>422</v>
      </c>
      <c r="K121" s="1940"/>
      <c r="L121" s="1941"/>
      <c r="M121" s="922">
        <f>SUM(M7:M119)</f>
        <v>0</v>
      </c>
      <c r="N121" s="922">
        <f>SUM(N7:N119)</f>
        <v>1317.8682749999996</v>
      </c>
      <c r="O121" s="922">
        <f>SUM(O7:O119)</f>
        <v>4251.4823220000089</v>
      </c>
      <c r="P121" s="922">
        <f t="array" ref="P121">LOOKUP(2,1/(P5:P119&lt;&gt;""),P5:P119)</f>
        <v>0</v>
      </c>
      <c r="Q121" s="922">
        <f t="array" ref="Q121">LOOKUP(2,1/(Q5:Q119&lt;&gt;""),Q5:Q119)</f>
        <v>100.20975999999995</v>
      </c>
      <c r="R121" s="922">
        <f t="array" ref="R121">LOOKUP(2,1/(R5:R119&lt;&gt;""),R5:R119)</f>
        <v>998.22251199999948</v>
      </c>
      <c r="U121" s="922">
        <v>1141.8700000000001</v>
      </c>
      <c r="W121" s="922">
        <v>5936.3700000000053</v>
      </c>
      <c r="Z121" s="924" t="e">
        <v>#REF!</v>
      </c>
      <c r="AB121" s="924">
        <v>0</v>
      </c>
      <c r="AD121" s="922">
        <v>488.32000000000005</v>
      </c>
      <c r="AE121" s="922">
        <v>0</v>
      </c>
      <c r="AF121" s="922">
        <v>1713.440000000001</v>
      </c>
      <c r="AG121" s="922">
        <v>237.22999999999996</v>
      </c>
      <c r="CO121" s="819"/>
    </row>
    <row r="122" spans="1:96" ht="15" customHeight="1">
      <c r="I122" s="926"/>
      <c r="J122" s="926"/>
      <c r="K122" s="926"/>
      <c r="AO122" s="819">
        <v>1135.5099999999995</v>
      </c>
      <c r="AV122" s="908">
        <v>0</v>
      </c>
      <c r="BC122" s="819">
        <v>251.09</v>
      </c>
      <c r="BJ122" s="720">
        <v>1141.8699999999999</v>
      </c>
      <c r="BQ122" s="720">
        <v>0</v>
      </c>
      <c r="BX122" s="720">
        <v>5936.37</v>
      </c>
      <c r="CE122" s="720">
        <v>0</v>
      </c>
      <c r="CL122" s="819">
        <v>237.22999999999996</v>
      </c>
      <c r="CO122" s="819"/>
      <c r="CQ122" s="819">
        <v>100.53000000000002</v>
      </c>
      <c r="CR122" s="819">
        <v>136.69999999999999</v>
      </c>
    </row>
    <row r="123" spans="1:96" ht="18" customHeight="1">
      <c r="G123" s="819">
        <f>G121-1339.6</f>
        <v>-21.720000000000255</v>
      </c>
      <c r="H123" s="925">
        <f>+H121+U121+W121</f>
        <v>7078.2400000000052</v>
      </c>
      <c r="I123" s="925">
        <f>ROUND(I121*(1+AE2),2)</f>
        <v>0</v>
      </c>
      <c r="AF123" s="819"/>
      <c r="AO123" s="819"/>
      <c r="AR123" s="908">
        <v>1135.5099999999995</v>
      </c>
    </row>
    <row r="124" spans="1:96" ht="13.15" customHeight="1">
      <c r="H124" s="925" t="e">
        <v>#VALUE!</v>
      </c>
      <c r="I124" s="819">
        <f>ROUND(I121*(1+AE2),2)-AE121-AF121</f>
        <v>-1713.440000000001</v>
      </c>
      <c r="R124" s="819"/>
      <c r="T124" s="819"/>
      <c r="Y124" s="908"/>
      <c r="AO124" s="819"/>
      <c r="AR124" s="908">
        <v>-577.93000000000143</v>
      </c>
    </row>
    <row r="125" spans="1:96" ht="13.15" customHeight="1">
      <c r="I125" s="925">
        <f>ROUND(I121*(1+AE2),2)-AO122-AV122-CQ122-CR122</f>
        <v>-1372.7399999999996</v>
      </c>
      <c r="R125" s="819"/>
      <c r="AO125" s="819">
        <v>1225.0729999999996</v>
      </c>
    </row>
    <row r="126" spans="1:96" ht="13.15" customHeight="1">
      <c r="G126" s="819"/>
      <c r="I126" s="925" t="e">
        <v>#VALUE!</v>
      </c>
      <c r="AS126" s="908"/>
      <c r="AT126" s="908"/>
      <c r="AU126" s="908"/>
      <c r="BC126" s="819">
        <v>488.31999999999994</v>
      </c>
    </row>
    <row r="127" spans="1:96" ht="13.15" customHeight="1">
      <c r="G127" s="819">
        <f>G121*1.3</f>
        <v>1713.2439999999997</v>
      </c>
      <c r="AV127" s="908">
        <v>884.4199999999995</v>
      </c>
    </row>
    <row r="128" spans="1:96" ht="13.15" customHeight="1">
      <c r="G128" s="819">
        <f>G127-F121</f>
        <v>1224.9239999999995</v>
      </c>
      <c r="BA128" s="720">
        <v>987.84299999999951</v>
      </c>
    </row>
    <row r="129" spans="7:53">
      <c r="G129" s="819"/>
      <c r="K129" s="720">
        <f>G121*1.3</f>
        <v>1713.2439999999997</v>
      </c>
    </row>
    <row r="130" spans="7:53">
      <c r="K130" s="819">
        <f>K129-F121</f>
        <v>1224.9239999999995</v>
      </c>
      <c r="BA130" s="819"/>
    </row>
    <row r="133" spans="7:53">
      <c r="G133" s="720">
        <f>G121*1.3-CL122</f>
        <v>1476.0139999999997</v>
      </c>
    </row>
  </sheetData>
  <mergeCells count="39">
    <mergeCell ref="T2:U2"/>
    <mergeCell ref="V2:W2"/>
    <mergeCell ref="CO1:CO3"/>
    <mergeCell ref="CQ1:CR3"/>
    <mergeCell ref="A2:C2"/>
    <mergeCell ref="D2:E2"/>
    <mergeCell ref="F2:G2"/>
    <mergeCell ref="H2:I2"/>
    <mergeCell ref="J2:K2"/>
    <mergeCell ref="L2:L3"/>
    <mergeCell ref="M2:N2"/>
    <mergeCell ref="O2:O3"/>
    <mergeCell ref="A1:R1"/>
    <mergeCell ref="T1:W1"/>
    <mergeCell ref="Y1:AB1"/>
    <mergeCell ref="AD1:AI1"/>
    <mergeCell ref="AK1:CM2"/>
    <mergeCell ref="CN1:CN3"/>
    <mergeCell ref="Y2:Z2"/>
    <mergeCell ref="AA2:AB2"/>
    <mergeCell ref="AD2:AD3"/>
    <mergeCell ref="AE2:AF2"/>
    <mergeCell ref="AG2:AH2"/>
    <mergeCell ref="J121:L121"/>
    <mergeCell ref="CA3:CF3"/>
    <mergeCell ref="CH3:CM3"/>
    <mergeCell ref="A4:R4"/>
    <mergeCell ref="T4:W4"/>
    <mergeCell ref="Y4:AB4"/>
    <mergeCell ref="AD4:AI4"/>
    <mergeCell ref="AK3:AP3"/>
    <mergeCell ref="AR3:AW3"/>
    <mergeCell ref="AY3:BD3"/>
    <mergeCell ref="BF3:BK3"/>
    <mergeCell ref="BM3:BR3"/>
    <mergeCell ref="BT3:BY3"/>
    <mergeCell ref="AI2:AI3"/>
    <mergeCell ref="P2:Q2"/>
    <mergeCell ref="R2:R3"/>
  </mergeCells>
  <conditionalFormatting sqref="T6:W120">
    <cfRule type="cellIs" dxfId="144" priority="2" operator="lessThan">
      <formula>0</formula>
    </cfRule>
  </conditionalFormatting>
  <conditionalFormatting sqref="Y6:AB120">
    <cfRule type="cellIs" dxfId="143" priority="1" operator="lessThan">
      <formula>0</formula>
    </cfRule>
  </conditionalFormatting>
  <pageMargins left="0.25" right="0.25" top="0.75" bottom="0.75" header="0.3" footer="0.3"/>
  <pageSetup paperSize="9" scale="86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B901B-26B9-4034-9169-CFEDF362F204}">
  <sheetPr codeName="Planilha5">
    <tabColor theme="7" tint="0.79998168889431442"/>
    <pageSetUpPr fitToPage="1"/>
  </sheetPr>
  <dimension ref="A1:AL65"/>
  <sheetViews>
    <sheetView topLeftCell="A4" workbookViewId="0">
      <selection activeCell="O32" sqref="O32:O33"/>
    </sheetView>
  </sheetViews>
  <sheetFormatPr defaultColWidth="11.7109375" defaultRowHeight="15" customHeight="1"/>
  <cols>
    <col min="1" max="1" width="28.7109375" style="656" bestFit="1" customWidth="1"/>
    <col min="2" max="2" width="12.7109375" style="656" customWidth="1"/>
    <col min="3" max="3" width="2.140625" style="656" bestFit="1" customWidth="1"/>
    <col min="4" max="5" width="12.7109375" style="656" customWidth="1"/>
    <col min="6" max="6" width="2.140625" style="656" bestFit="1" customWidth="1"/>
    <col min="7" max="7" width="12.7109375" style="656" customWidth="1"/>
    <col min="8" max="8" width="15.140625" style="656" bestFit="1" customWidth="1"/>
    <col min="9" max="9" width="15.5703125" style="656" bestFit="1" customWidth="1"/>
    <col min="10" max="10" width="8.140625" style="656" customWidth="1"/>
    <col min="11" max="11" width="8.5703125" style="656" customWidth="1"/>
    <col min="12" max="12" width="7.7109375" style="656" customWidth="1"/>
    <col min="13" max="15" width="11" style="656" bestFit="1" customWidth="1"/>
    <col min="16" max="16" width="9.7109375" style="656" customWidth="1"/>
    <col min="17" max="17" width="1.7109375" style="656" bestFit="1" customWidth="1"/>
    <col min="18" max="18" width="12.7109375" style="656" bestFit="1" customWidth="1"/>
    <col min="19" max="19" width="12.7109375" style="656" customWidth="1"/>
    <col min="20" max="20" width="2.140625" style="656" bestFit="1" customWidth="1"/>
    <col min="21" max="21" width="12.7109375" style="656" customWidth="1"/>
    <col min="22" max="22" width="12" style="656" bestFit="1" customWidth="1"/>
    <col min="23" max="23" width="2.140625" style="656" bestFit="1" customWidth="1"/>
    <col min="24" max="24" width="10.28515625" style="656" bestFit="1" customWidth="1"/>
    <col min="25" max="25" width="11.7109375" style="656" customWidth="1"/>
    <col min="26" max="27" width="8.7109375" style="656" customWidth="1"/>
    <col min="28" max="16384" width="11.7109375" style="656"/>
  </cols>
  <sheetData>
    <row r="1" spans="1:35" ht="15" customHeight="1">
      <c r="A1" s="2020" t="s">
        <v>851</v>
      </c>
      <c r="B1" s="2020"/>
      <c r="C1" s="2020"/>
      <c r="D1" s="2020"/>
      <c r="E1" s="2020"/>
      <c r="F1" s="2020"/>
      <c r="G1" s="2020"/>
      <c r="H1" s="2020"/>
      <c r="I1" s="2020"/>
      <c r="J1" s="2020"/>
      <c r="K1" s="2020"/>
      <c r="L1" s="2020"/>
      <c r="M1" s="2020"/>
      <c r="N1" s="2020"/>
      <c r="O1" s="2020"/>
      <c r="P1" s="2020"/>
      <c r="Q1" s="656" t="s">
        <v>559</v>
      </c>
      <c r="AB1" s="2010" t="s">
        <v>852</v>
      </c>
      <c r="AC1" s="2010"/>
      <c r="AD1" s="2010"/>
      <c r="AE1" s="2010"/>
      <c r="AF1" s="2010"/>
      <c r="AG1" s="2010"/>
      <c r="AH1" s="2010"/>
      <c r="AI1" s="2010"/>
    </row>
    <row r="2" spans="1:35" ht="15" customHeight="1">
      <c r="A2" s="2021" t="s">
        <v>853</v>
      </c>
      <c r="B2" s="2020" t="s">
        <v>773</v>
      </c>
      <c r="C2" s="2020"/>
      <c r="D2" s="2020"/>
      <c r="E2" s="2020"/>
      <c r="F2" s="2020"/>
      <c r="G2" s="2020"/>
      <c r="H2" s="2023" t="s">
        <v>854</v>
      </c>
      <c r="I2" s="2023" t="s">
        <v>855</v>
      </c>
      <c r="J2" s="2020" t="s">
        <v>856</v>
      </c>
      <c r="K2" s="2020"/>
      <c r="L2" s="2020"/>
      <c r="M2" s="2031" t="s">
        <v>857</v>
      </c>
      <c r="N2" s="2020" t="s">
        <v>858</v>
      </c>
      <c r="O2" s="2020"/>
      <c r="P2" s="2020"/>
      <c r="AB2" s="927" t="s">
        <v>551</v>
      </c>
      <c r="AC2" s="927" t="s">
        <v>859</v>
      </c>
      <c r="AD2" s="2029" t="s">
        <v>860</v>
      </c>
      <c r="AE2" s="2030"/>
      <c r="AF2" s="2029" t="s">
        <v>861</v>
      </c>
      <c r="AG2" s="2030"/>
      <c r="AH2" s="2029" t="s">
        <v>862</v>
      </c>
      <c r="AI2" s="2030"/>
    </row>
    <row r="3" spans="1:35" ht="15" customHeight="1">
      <c r="A3" s="2022"/>
      <c r="B3" s="2020" t="s">
        <v>863</v>
      </c>
      <c r="C3" s="2020"/>
      <c r="D3" s="2020"/>
      <c r="E3" s="2020" t="s">
        <v>864</v>
      </c>
      <c r="F3" s="2020"/>
      <c r="G3" s="2020"/>
      <c r="H3" s="2024"/>
      <c r="I3" s="2024"/>
      <c r="J3" s="928" t="s">
        <v>860</v>
      </c>
      <c r="K3" s="928" t="s">
        <v>861</v>
      </c>
      <c r="L3" s="928" t="s">
        <v>862</v>
      </c>
      <c r="M3" s="2032"/>
      <c r="N3" s="928" t="s">
        <v>860</v>
      </c>
      <c r="O3" s="928" t="s">
        <v>861</v>
      </c>
      <c r="P3" s="928" t="s">
        <v>862</v>
      </c>
      <c r="AB3" s="929" t="s">
        <v>865</v>
      </c>
      <c r="AC3" s="930">
        <v>266.89980453142869</v>
      </c>
      <c r="AD3" s="930">
        <v>71.863</v>
      </c>
      <c r="AE3" s="931">
        <v>0.27394121907521063</v>
      </c>
      <c r="AF3" s="930">
        <f>AC3-AD3</f>
        <v>195.03680453142869</v>
      </c>
      <c r="AG3" s="931">
        <v>0.72605878092478937</v>
      </c>
      <c r="AH3" s="930">
        <v>0</v>
      </c>
      <c r="AI3" s="931">
        <f>+IFERROR(AH3/$AC3,)</f>
        <v>0</v>
      </c>
    </row>
    <row r="4" spans="1:35" ht="15" customHeight="1">
      <c r="A4" s="932" t="s">
        <v>815</v>
      </c>
      <c r="B4" s="933" t="s">
        <v>641</v>
      </c>
      <c r="C4" s="933" t="s">
        <v>605</v>
      </c>
      <c r="D4" s="933">
        <v>0</v>
      </c>
      <c r="E4" s="933" t="s">
        <v>654</v>
      </c>
      <c r="F4" s="933" t="s">
        <v>605</v>
      </c>
      <c r="G4" s="933">
        <v>0</v>
      </c>
      <c r="H4" s="663" t="s">
        <v>866</v>
      </c>
      <c r="I4" s="934">
        <v>40.11</v>
      </c>
      <c r="J4" s="929">
        <v>1</v>
      </c>
      <c r="K4" s="929">
        <v>0</v>
      </c>
      <c r="L4" s="929">
        <v>0</v>
      </c>
      <c r="M4" s="929">
        <v>1</v>
      </c>
      <c r="N4" s="934">
        <v>40.11</v>
      </c>
      <c r="O4" s="934">
        <v>0</v>
      </c>
      <c r="P4" s="934">
        <v>0</v>
      </c>
      <c r="AB4" s="929" t="s">
        <v>867</v>
      </c>
      <c r="AC4" s="930">
        <v>82.760000000000019</v>
      </c>
      <c r="AD4" s="930">
        <v>81.343000000000004</v>
      </c>
      <c r="AE4" s="931">
        <v>1</v>
      </c>
      <c r="AF4" s="930">
        <f t="shared" ref="AF4:AF8" si="0">AC4-AD4</f>
        <v>1.4170000000000158</v>
      </c>
      <c r="AG4" s="931">
        <v>0</v>
      </c>
      <c r="AH4" s="930">
        <v>0</v>
      </c>
      <c r="AI4" s="931">
        <f t="shared" ref="AI4:AI8" si="1">+IFERROR(AH4/$AC4,)</f>
        <v>0</v>
      </c>
    </row>
    <row r="5" spans="1:35" ht="15" customHeight="1">
      <c r="A5" s="932" t="s">
        <v>819</v>
      </c>
      <c r="B5" s="933" t="s">
        <v>668</v>
      </c>
      <c r="C5" s="933" t="s">
        <v>605</v>
      </c>
      <c r="D5" s="933">
        <v>10</v>
      </c>
      <c r="E5" s="933" t="s">
        <v>672</v>
      </c>
      <c r="F5" s="933" t="s">
        <v>605</v>
      </c>
      <c r="G5" s="933">
        <v>10</v>
      </c>
      <c r="H5" s="663" t="s">
        <v>866</v>
      </c>
      <c r="I5" s="934">
        <v>15.350000000000001</v>
      </c>
      <c r="J5" s="929">
        <v>1</v>
      </c>
      <c r="K5" s="929">
        <v>0</v>
      </c>
      <c r="L5" s="929">
        <v>0</v>
      </c>
      <c r="M5" s="929">
        <v>1</v>
      </c>
      <c r="N5" s="934">
        <v>15.350000000000001</v>
      </c>
      <c r="O5" s="934">
        <v>0</v>
      </c>
      <c r="P5" s="934">
        <v>0</v>
      </c>
      <c r="AB5" s="929" t="s">
        <v>868</v>
      </c>
      <c r="AC5" s="930">
        <v>131.40895762388897</v>
      </c>
      <c r="AD5" s="930">
        <v>54.973999999999997</v>
      </c>
      <c r="AE5" s="931">
        <v>0.42563042451551963</v>
      </c>
      <c r="AF5" s="930">
        <f t="shared" si="0"/>
        <v>76.434957623888977</v>
      </c>
      <c r="AG5" s="931">
        <v>0.57436957548448042</v>
      </c>
      <c r="AH5" s="930">
        <v>0</v>
      </c>
      <c r="AI5" s="931">
        <f t="shared" si="1"/>
        <v>0</v>
      </c>
    </row>
    <row r="6" spans="1:35" ht="15" customHeight="1">
      <c r="A6" s="932" t="s">
        <v>836</v>
      </c>
      <c r="B6" s="933" t="s">
        <v>716</v>
      </c>
      <c r="C6" s="933" t="s">
        <v>605</v>
      </c>
      <c r="D6" s="933">
        <v>0</v>
      </c>
      <c r="E6" s="933" t="s">
        <v>722</v>
      </c>
      <c r="F6" s="933" t="s">
        <v>605</v>
      </c>
      <c r="G6" s="933">
        <v>0</v>
      </c>
      <c r="H6" s="663" t="s">
        <v>866</v>
      </c>
      <c r="I6" s="934">
        <v>78.319999999999993</v>
      </c>
      <c r="J6" s="929">
        <v>1</v>
      </c>
      <c r="K6" s="929">
        <v>0</v>
      </c>
      <c r="L6" s="929">
        <v>0</v>
      </c>
      <c r="M6" s="929">
        <v>1</v>
      </c>
      <c r="N6" s="934">
        <v>78.319999999999993</v>
      </c>
      <c r="O6" s="934">
        <v>0</v>
      </c>
      <c r="P6" s="934">
        <v>0</v>
      </c>
      <c r="AB6" s="929" t="s">
        <v>869</v>
      </c>
      <c r="AC6" s="930">
        <v>548.48199795925905</v>
      </c>
      <c r="AD6" s="930">
        <v>168.452</v>
      </c>
      <c r="AE6" s="931">
        <v>0.31247414629441039</v>
      </c>
      <c r="AF6" s="930">
        <f t="shared" si="0"/>
        <v>380.02999795925905</v>
      </c>
      <c r="AG6" s="931">
        <v>0.68752585370558961</v>
      </c>
      <c r="AH6" s="930">
        <v>0</v>
      </c>
      <c r="AI6" s="931">
        <f t="shared" si="1"/>
        <v>0</v>
      </c>
    </row>
    <row r="7" spans="1:35" ht="15" customHeight="1">
      <c r="A7" s="932" t="s">
        <v>841</v>
      </c>
      <c r="B7" s="933" t="s">
        <v>728</v>
      </c>
      <c r="C7" s="933" t="s">
        <v>605</v>
      </c>
      <c r="D7" s="933">
        <v>10</v>
      </c>
      <c r="E7" s="933" t="s">
        <v>737</v>
      </c>
      <c r="F7" s="933" t="s">
        <v>605</v>
      </c>
      <c r="G7" s="933">
        <v>10</v>
      </c>
      <c r="H7" s="663" t="s">
        <v>866</v>
      </c>
      <c r="I7" s="934">
        <v>25.51</v>
      </c>
      <c r="J7" s="929">
        <v>1</v>
      </c>
      <c r="K7" s="929">
        <v>0</v>
      </c>
      <c r="L7" s="929">
        <v>0</v>
      </c>
      <c r="M7" s="929">
        <v>1</v>
      </c>
      <c r="N7" s="934">
        <v>25.51</v>
      </c>
      <c r="O7" s="934">
        <v>0</v>
      </c>
      <c r="P7" s="934">
        <v>0</v>
      </c>
      <c r="AB7" s="929" t="s">
        <v>870</v>
      </c>
      <c r="AC7" s="930">
        <v>563.89692929938656</v>
      </c>
      <c r="AD7" s="930">
        <v>229.84700000000001</v>
      </c>
      <c r="AE7" s="931">
        <v>0.41470512880655025</v>
      </c>
      <c r="AF7" s="930">
        <f t="shared" si="0"/>
        <v>334.04992929938658</v>
      </c>
      <c r="AG7" s="931">
        <v>0.58529487119344981</v>
      </c>
      <c r="AH7" s="930">
        <v>0</v>
      </c>
      <c r="AI7" s="931">
        <f t="shared" si="1"/>
        <v>0</v>
      </c>
    </row>
    <row r="8" spans="1:35" ht="15" customHeight="1">
      <c r="A8" s="932" t="s">
        <v>847</v>
      </c>
      <c r="B8" s="933" t="s">
        <v>752</v>
      </c>
      <c r="C8" s="933" t="s">
        <v>605</v>
      </c>
      <c r="D8" s="933">
        <v>10</v>
      </c>
      <c r="E8" s="933" t="s">
        <v>758</v>
      </c>
      <c r="F8" s="933" t="s">
        <v>605</v>
      </c>
      <c r="G8" s="933">
        <v>10</v>
      </c>
      <c r="H8" s="663" t="s">
        <v>866</v>
      </c>
      <c r="I8" s="934">
        <v>91.800000000000011</v>
      </c>
      <c r="J8" s="929">
        <v>1</v>
      </c>
      <c r="K8" s="929">
        <v>0</v>
      </c>
      <c r="L8" s="929">
        <v>0</v>
      </c>
      <c r="M8" s="929">
        <v>1</v>
      </c>
      <c r="N8" s="934">
        <v>91.800000000000011</v>
      </c>
      <c r="O8" s="934">
        <v>0</v>
      </c>
      <c r="P8" s="934">
        <v>0</v>
      </c>
      <c r="AB8" s="929" t="s">
        <v>871</v>
      </c>
      <c r="AC8" s="930">
        <v>235.89799786091001</v>
      </c>
      <c r="AD8" s="930">
        <v>59.719000000000001</v>
      </c>
      <c r="AE8" s="931">
        <v>0.25756602072811491</v>
      </c>
      <c r="AF8" s="930">
        <f t="shared" si="0"/>
        <v>176.17899786091002</v>
      </c>
      <c r="AG8" s="931">
        <v>0.74243397927188515</v>
      </c>
      <c r="AH8" s="930">
        <v>0</v>
      </c>
      <c r="AI8" s="931">
        <f t="shared" si="1"/>
        <v>0</v>
      </c>
    </row>
    <row r="9" spans="1:35" ht="15" customHeight="1">
      <c r="A9" s="932"/>
      <c r="B9" s="933" t="str">
        <f>IFERROR(INDEX('Modelo 2.0 - Cubação'!$A$7:$A$119,MATCH($A9,'Modelo 2.0 - Cubação'!$AY$7:$AY$119,0)),"")</f>
        <v/>
      </c>
      <c r="C9" s="933" t="s">
        <v>605</v>
      </c>
      <c r="D9" s="933" t="str">
        <f>IFERROR(INDEX('Modelo 2.0 - Cubação'!$C$7:$C$119,MATCH($A9,'Modelo 2.0 - Cubação'!$BA$7:$BA$119,0)),"")</f>
        <v/>
      </c>
      <c r="E9" s="933" t="str">
        <f>IFERROR(INDEX('Modelo 2.0 - Cubação'!$A$7:$A$119,MATCH($A9,'Modelo 2.0 - Cubação'!$BA$7:$BA$119,0)),"")</f>
        <v/>
      </c>
      <c r="F9" s="933" t="s">
        <v>605</v>
      </c>
      <c r="G9" s="933" t="str">
        <f>IFERROR(INDEX('Modelo 2.0 - Cubação'!$C$7:$C$119,MATCH($A9,'Modelo 2.0 - Cubação'!$BA$7:$BA$119,0)),"")</f>
        <v/>
      </c>
      <c r="H9" s="663"/>
      <c r="I9" s="934"/>
      <c r="J9" s="929"/>
      <c r="K9" s="929"/>
      <c r="L9" s="929"/>
      <c r="M9" s="929"/>
      <c r="N9" s="934"/>
      <c r="O9" s="934"/>
      <c r="P9" s="934"/>
      <c r="AB9" s="935" t="s">
        <v>872</v>
      </c>
      <c r="AC9" s="936"/>
      <c r="AD9" s="936"/>
      <c r="AE9" s="937">
        <f>+AVERAGE(AE3:AE8)</f>
        <v>0.44738615656996766</v>
      </c>
      <c r="AF9" s="936"/>
      <c r="AG9" s="937">
        <f>+AVERAGE(AG3:AG8)</f>
        <v>0.55261384343003239</v>
      </c>
      <c r="AH9" s="936"/>
      <c r="AI9" s="937"/>
    </row>
    <row r="10" spans="1:35" ht="15" customHeight="1">
      <c r="A10" s="932"/>
      <c r="B10" s="933" t="str">
        <f>IFERROR(INDEX('Modelo 2.0 - Cubação'!$A$7:$A$119,MATCH($A10,'Modelo 2.0 - Cubação'!$AY$7:$AY$119,0)),"")</f>
        <v/>
      </c>
      <c r="C10" s="933" t="s">
        <v>605</v>
      </c>
      <c r="D10" s="933" t="str">
        <f>IFERROR(INDEX('Modelo 2.0 - Cubação'!$C$7:$C$119,MATCH($A10,'Modelo 2.0 - Cubação'!$BA$7:$BA$119,0)),"")</f>
        <v/>
      </c>
      <c r="E10" s="933" t="str">
        <f>IFERROR(INDEX('Modelo 2.0 - Cubação'!$A$7:$A$119,MATCH($A10,'Modelo 2.0 - Cubação'!$BA$7:$BA$119,0)),"")</f>
        <v/>
      </c>
      <c r="F10" s="933" t="s">
        <v>605</v>
      </c>
      <c r="G10" s="933" t="str">
        <f>IFERROR(INDEX('Modelo 2.0 - Cubação'!$C$7:$C$119,MATCH($A10,'Modelo 2.0 - Cubação'!$BA$7:$BA$119,0)),"")</f>
        <v/>
      </c>
      <c r="H10" s="663"/>
      <c r="I10" s="934"/>
      <c r="J10" s="929"/>
      <c r="K10" s="929"/>
      <c r="L10" s="929"/>
      <c r="M10" s="929"/>
      <c r="N10" s="934"/>
      <c r="O10" s="934"/>
      <c r="P10" s="934"/>
    </row>
    <row r="11" spans="1:35" ht="15" customHeight="1">
      <c r="A11" s="2026" t="s">
        <v>281</v>
      </c>
      <c r="B11" s="2026"/>
      <c r="C11" s="2026"/>
      <c r="D11" s="2026"/>
      <c r="E11" s="2026"/>
      <c r="F11" s="2026"/>
      <c r="G11" s="2026"/>
      <c r="H11" s="2026"/>
      <c r="I11" s="2026"/>
      <c r="J11" s="2026"/>
      <c r="K11" s="2026"/>
      <c r="L11" s="2027"/>
      <c r="M11" s="938" t="s">
        <v>873</v>
      </c>
      <c r="N11" s="939">
        <f>SUM(N4:N10)</f>
        <v>251.09</v>
      </c>
      <c r="O11" s="939">
        <f ca="1">SUM(O4:O19)</f>
        <v>0</v>
      </c>
      <c r="P11" s="939">
        <f ca="1">SUM(P4:P19)</f>
        <v>0</v>
      </c>
      <c r="AB11" s="2010" t="s">
        <v>874</v>
      </c>
      <c r="AC11" s="2010"/>
      <c r="AD11" s="2010"/>
      <c r="AE11" s="2010"/>
      <c r="AF11" s="2010"/>
      <c r="AG11" s="2010"/>
      <c r="AH11" s="2010"/>
      <c r="AI11" s="2010"/>
    </row>
    <row r="12" spans="1:35" ht="15" customHeight="1">
      <c r="A12" s="2028" t="s">
        <v>875</v>
      </c>
      <c r="B12" s="2028"/>
      <c r="C12" s="2028"/>
      <c r="D12" s="2028"/>
      <c r="E12" s="2028"/>
      <c r="F12" s="2028"/>
      <c r="G12" s="2028"/>
      <c r="H12" s="2028"/>
      <c r="I12" s="2028"/>
      <c r="J12" s="2028"/>
      <c r="K12" s="2028"/>
      <c r="L12" s="2028"/>
      <c r="M12" s="2028"/>
      <c r="N12" s="2028"/>
      <c r="O12" s="2028"/>
      <c r="P12" s="2028"/>
      <c r="AB12" s="927" t="s">
        <v>551</v>
      </c>
      <c r="AC12" s="927" t="s">
        <v>876</v>
      </c>
      <c r="AD12" s="2029" t="s">
        <v>860</v>
      </c>
      <c r="AE12" s="2030"/>
      <c r="AF12" s="2029" t="s">
        <v>861</v>
      </c>
      <c r="AG12" s="2030"/>
      <c r="AH12" s="2029" t="s">
        <v>862</v>
      </c>
      <c r="AI12" s="2030"/>
    </row>
    <row r="13" spans="1:35" ht="15" customHeight="1">
      <c r="A13" s="2028"/>
      <c r="B13" s="2028"/>
      <c r="C13" s="2028"/>
      <c r="D13" s="2028"/>
      <c r="E13" s="2028"/>
      <c r="F13" s="2028"/>
      <c r="G13" s="2028"/>
      <c r="H13" s="2028"/>
      <c r="I13" s="2028"/>
      <c r="J13" s="2028"/>
      <c r="K13" s="2028"/>
      <c r="L13" s="2028"/>
      <c r="M13" s="2028"/>
      <c r="N13" s="2028"/>
      <c r="O13" s="2028"/>
      <c r="P13" s="2028"/>
      <c r="AB13" s="929" t="s">
        <v>877</v>
      </c>
      <c r="AC13" s="930">
        <v>61.32295932040865</v>
      </c>
      <c r="AD13" s="930">
        <v>37.607999999999997</v>
      </c>
      <c r="AE13" s="931">
        <v>0.62396097755213764</v>
      </c>
      <c r="AF13" s="930">
        <f t="shared" ref="AF13:AF14" si="2">AC13-AD13</f>
        <v>23.714959320408653</v>
      </c>
      <c r="AG13" s="931">
        <v>0.3760390224478623</v>
      </c>
      <c r="AH13" s="930">
        <v>0</v>
      </c>
      <c r="AI13" s="931">
        <v>0</v>
      </c>
    </row>
    <row r="14" spans="1:35" ht="15" customHeight="1">
      <c r="A14" s="2028"/>
      <c r="B14" s="2028"/>
      <c r="C14" s="2028"/>
      <c r="D14" s="2028"/>
      <c r="E14" s="2028"/>
      <c r="F14" s="2028"/>
      <c r="G14" s="2028"/>
      <c r="H14" s="2028"/>
      <c r="I14" s="2028"/>
      <c r="J14" s="2028"/>
      <c r="K14" s="2028"/>
      <c r="L14" s="2028"/>
      <c r="M14" s="2028"/>
      <c r="N14" s="2028"/>
      <c r="O14" s="2028"/>
      <c r="P14" s="2028"/>
      <c r="AB14" s="929" t="s">
        <v>878</v>
      </c>
      <c r="AC14" s="930">
        <v>233.6617085674244</v>
      </c>
      <c r="AD14" s="930">
        <v>139.637</v>
      </c>
      <c r="AE14" s="931">
        <v>0.60801355040690408</v>
      </c>
      <c r="AF14" s="930">
        <f t="shared" si="2"/>
        <v>94.024708567424398</v>
      </c>
      <c r="AG14" s="931">
        <v>0.39198644959309592</v>
      </c>
      <c r="AH14" s="930">
        <v>0</v>
      </c>
      <c r="AI14" s="931">
        <v>0</v>
      </c>
    </row>
    <row r="15" spans="1:35" ht="15" customHeight="1">
      <c r="AB15" s="935" t="s">
        <v>872</v>
      </c>
      <c r="AC15" s="940"/>
      <c r="AD15" s="940"/>
      <c r="AE15" s="937">
        <f>+AVERAGE(AE13:AE14)</f>
        <v>0.61598726397952086</v>
      </c>
      <c r="AF15" s="936"/>
      <c r="AG15" s="937">
        <f>+AVERAGE(AG13:AG14)</f>
        <v>0.38401273602047914</v>
      </c>
      <c r="AH15" s="940"/>
      <c r="AI15" s="940"/>
    </row>
    <row r="17" spans="28:38" ht="15" hidden="1" customHeight="1">
      <c r="AB17" s="2007" t="s">
        <v>879</v>
      </c>
      <c r="AC17" s="2008"/>
      <c r="AD17" s="2008"/>
      <c r="AE17" s="2008"/>
      <c r="AF17" s="2009"/>
      <c r="AH17" s="2010" t="s">
        <v>880</v>
      </c>
      <c r="AI17" s="2010"/>
      <c r="AJ17" s="2010"/>
      <c r="AK17" s="2010"/>
      <c r="AL17" s="2010"/>
    </row>
    <row r="18" spans="28:38" ht="15" hidden="1" customHeight="1">
      <c r="AB18" s="941"/>
      <c r="AC18" s="2013"/>
      <c r="AD18" s="2014"/>
      <c r="AE18" s="2014"/>
      <c r="AF18" s="2015"/>
      <c r="AH18" s="2019"/>
      <c r="AI18" s="2019"/>
      <c r="AJ18" s="2019"/>
      <c r="AK18" s="2019"/>
      <c r="AL18" s="2019"/>
    </row>
    <row r="19" spans="28:38" ht="15" hidden="1" customHeight="1">
      <c r="AB19" s="941"/>
      <c r="AC19" s="2016"/>
      <c r="AD19" s="2017"/>
      <c r="AE19" s="2017"/>
      <c r="AF19" s="2018"/>
      <c r="AH19" s="2019"/>
      <c r="AI19" s="2019"/>
      <c r="AJ19" s="2019"/>
      <c r="AK19" s="2019"/>
      <c r="AL19" s="2019"/>
    </row>
    <row r="20" spans="28:38" ht="15" hidden="1" customHeight="1">
      <c r="AB20" s="941"/>
      <c r="AC20" s="2016"/>
      <c r="AD20" s="2017"/>
      <c r="AE20" s="2017"/>
      <c r="AF20" s="2018"/>
      <c r="AH20" s="2019"/>
      <c r="AI20" s="2019"/>
      <c r="AJ20" s="2019"/>
      <c r="AK20" s="2019"/>
      <c r="AL20" s="2019"/>
    </row>
    <row r="21" spans="28:38" ht="15" hidden="1" customHeight="1">
      <c r="AB21" s="941"/>
      <c r="AC21" s="2016"/>
      <c r="AD21" s="2017"/>
      <c r="AE21" s="2017"/>
      <c r="AF21" s="2018"/>
      <c r="AH21" s="2019"/>
      <c r="AI21" s="2019"/>
      <c r="AJ21" s="2019"/>
      <c r="AK21" s="2019"/>
      <c r="AL21" s="2019"/>
    </row>
    <row r="22" spans="28:38" ht="15" hidden="1" customHeight="1">
      <c r="AB22" s="941"/>
      <c r="AC22" s="2016"/>
      <c r="AD22" s="2017"/>
      <c r="AE22" s="2017"/>
      <c r="AF22" s="2018"/>
      <c r="AH22" s="2019"/>
      <c r="AI22" s="2019"/>
      <c r="AJ22" s="2019"/>
      <c r="AK22" s="2019"/>
      <c r="AL22" s="2019"/>
    </row>
    <row r="23" spans="28:38" ht="15" hidden="1" customHeight="1">
      <c r="AB23" s="941"/>
      <c r="AC23" s="2016"/>
      <c r="AD23" s="2017"/>
      <c r="AE23" s="2017"/>
      <c r="AF23" s="2018"/>
      <c r="AH23" s="2019"/>
      <c r="AI23" s="2019"/>
      <c r="AJ23" s="2019"/>
      <c r="AK23" s="2019"/>
      <c r="AL23" s="2019"/>
    </row>
    <row r="24" spans="28:38" ht="15" hidden="1" customHeight="1">
      <c r="AB24" s="941"/>
      <c r="AC24" s="2016"/>
      <c r="AD24" s="2017"/>
      <c r="AE24" s="2017"/>
      <c r="AF24" s="2018"/>
      <c r="AH24" s="2019"/>
      <c r="AI24" s="2019"/>
      <c r="AJ24" s="2019"/>
      <c r="AK24" s="2019"/>
      <c r="AL24" s="2019"/>
    </row>
    <row r="25" spans="28:38" ht="15" hidden="1" customHeight="1">
      <c r="AB25" s="941"/>
      <c r="AC25" s="2016"/>
      <c r="AD25" s="2017"/>
      <c r="AE25" s="2017"/>
      <c r="AF25" s="2018"/>
      <c r="AH25" s="2019"/>
      <c r="AI25" s="2019"/>
      <c r="AJ25" s="2019"/>
      <c r="AK25" s="2019"/>
      <c r="AL25" s="2019"/>
    </row>
    <row r="26" spans="28:38" ht="15" hidden="1" customHeight="1">
      <c r="AB26" s="941"/>
      <c r="AC26" s="2016"/>
      <c r="AD26" s="2017"/>
      <c r="AE26" s="2017"/>
      <c r="AF26" s="2018"/>
      <c r="AH26" s="2019"/>
      <c r="AI26" s="2019"/>
      <c r="AJ26" s="2019"/>
      <c r="AK26" s="2019"/>
      <c r="AL26" s="2019"/>
    </row>
    <row r="27" spans="28:38" ht="15" hidden="1" customHeight="1">
      <c r="AB27" s="941"/>
      <c r="AC27" s="2016"/>
      <c r="AD27" s="2017"/>
      <c r="AE27" s="2017"/>
      <c r="AF27" s="2018"/>
      <c r="AH27" s="2019"/>
      <c r="AI27" s="2019"/>
      <c r="AJ27" s="2019"/>
      <c r="AK27" s="2019"/>
      <c r="AL27" s="2019"/>
    </row>
    <row r="28" spans="28:38" ht="15" hidden="1" customHeight="1">
      <c r="AB28" s="941"/>
      <c r="AC28" s="2016"/>
      <c r="AD28" s="2017"/>
      <c r="AE28" s="2017"/>
      <c r="AF28" s="2018"/>
      <c r="AH28" s="2019"/>
      <c r="AI28" s="2019"/>
      <c r="AJ28" s="2019"/>
      <c r="AK28" s="2019"/>
      <c r="AL28" s="2019"/>
    </row>
    <row r="29" spans="28:38" ht="15" hidden="1" customHeight="1">
      <c r="AB29" s="941"/>
      <c r="AC29" s="2016"/>
      <c r="AD29" s="2017"/>
      <c r="AE29" s="2017"/>
      <c r="AF29" s="2018"/>
      <c r="AH29" s="2019"/>
      <c r="AI29" s="2019"/>
      <c r="AJ29" s="2019"/>
      <c r="AK29" s="2019"/>
      <c r="AL29" s="2019"/>
    </row>
    <row r="30" spans="28:38" ht="15" hidden="1" customHeight="1">
      <c r="AB30" s="941"/>
      <c r="AC30" s="2016"/>
      <c r="AD30" s="2017"/>
      <c r="AE30" s="2017"/>
      <c r="AF30" s="2018"/>
      <c r="AH30" s="2019"/>
      <c r="AI30" s="2019"/>
      <c r="AJ30" s="2019"/>
      <c r="AK30" s="2019"/>
      <c r="AL30" s="2019"/>
    </row>
    <row r="31" spans="28:38" ht="15" hidden="1" customHeight="1">
      <c r="AB31" s="941"/>
      <c r="AC31" s="2016"/>
      <c r="AD31" s="2017"/>
      <c r="AE31" s="2017"/>
      <c r="AF31" s="2018"/>
      <c r="AH31" s="2019"/>
      <c r="AI31" s="2019"/>
      <c r="AJ31" s="2019"/>
      <c r="AK31" s="2019"/>
      <c r="AL31" s="2019"/>
    </row>
    <row r="32" spans="28:38" ht="15" hidden="1" customHeight="1">
      <c r="AB32" s="941"/>
      <c r="AC32" s="2016"/>
      <c r="AD32" s="2017"/>
      <c r="AE32" s="2017"/>
      <c r="AF32" s="2018"/>
      <c r="AH32" s="2019"/>
      <c r="AI32" s="2019"/>
      <c r="AJ32" s="2019"/>
      <c r="AK32" s="2019"/>
      <c r="AL32" s="2019"/>
    </row>
    <row r="33" spans="1:38" ht="15" hidden="1" customHeight="1">
      <c r="AB33" s="941"/>
      <c r="AC33" s="2016"/>
      <c r="AD33" s="2017"/>
      <c r="AE33" s="2017"/>
      <c r="AF33" s="2018"/>
      <c r="AH33" s="2019"/>
      <c r="AI33" s="2019"/>
      <c r="AJ33" s="2019"/>
      <c r="AK33" s="2019"/>
      <c r="AL33" s="2019"/>
    </row>
    <row r="34" spans="1:38" ht="15" hidden="1" customHeight="1">
      <c r="AB34" s="941"/>
      <c r="AC34" s="2016"/>
      <c r="AD34" s="2017"/>
      <c r="AE34" s="2017"/>
      <c r="AF34" s="2018"/>
      <c r="AH34" s="2019"/>
      <c r="AI34" s="2019"/>
      <c r="AJ34" s="2019"/>
      <c r="AK34" s="2019"/>
      <c r="AL34" s="2019"/>
    </row>
    <row r="35" spans="1:38" ht="15" hidden="1" customHeight="1">
      <c r="AB35" s="941"/>
      <c r="AC35" s="2016"/>
      <c r="AD35" s="2017"/>
      <c r="AE35" s="2017"/>
      <c r="AF35" s="2018"/>
      <c r="AH35" s="2019"/>
      <c r="AI35" s="2019"/>
      <c r="AJ35" s="2019"/>
      <c r="AK35" s="2019"/>
      <c r="AL35" s="2019"/>
    </row>
    <row r="36" spans="1:38" ht="15" hidden="1" customHeight="1">
      <c r="AB36" s="941"/>
      <c r="AC36" s="2016"/>
      <c r="AD36" s="2017"/>
      <c r="AE36" s="2017"/>
      <c r="AF36" s="2018"/>
      <c r="AH36" s="2019"/>
      <c r="AI36" s="2019"/>
      <c r="AJ36" s="2019"/>
      <c r="AK36" s="2019"/>
      <c r="AL36" s="2019"/>
    </row>
    <row r="37" spans="1:38" ht="15" hidden="1" customHeight="1">
      <c r="AB37" s="941"/>
      <c r="AC37" s="2016"/>
      <c r="AD37" s="2017"/>
      <c r="AE37" s="2017"/>
      <c r="AF37" s="2018"/>
      <c r="AH37" s="2019"/>
      <c r="AI37" s="2019"/>
      <c r="AJ37" s="2019"/>
      <c r="AK37" s="2019"/>
      <c r="AL37" s="2019"/>
    </row>
    <row r="38" spans="1:38" ht="15" hidden="1" customHeight="1">
      <c r="AB38" s="941"/>
      <c r="AC38" s="2016"/>
      <c r="AD38" s="2017"/>
      <c r="AE38" s="2017"/>
      <c r="AF38" s="2018"/>
      <c r="AH38" s="2019"/>
      <c r="AI38" s="2019"/>
      <c r="AJ38" s="2019"/>
      <c r="AK38" s="2019"/>
      <c r="AL38" s="2019"/>
    </row>
    <row r="39" spans="1:38" ht="15" hidden="1" customHeight="1">
      <c r="AB39" s="941"/>
      <c r="AC39" s="2016"/>
      <c r="AD39" s="2017"/>
      <c r="AE39" s="2017"/>
      <c r="AF39" s="2018"/>
      <c r="AH39" s="2019"/>
      <c r="AI39" s="2019"/>
      <c r="AJ39" s="2019"/>
      <c r="AK39" s="2019"/>
      <c r="AL39" s="2019"/>
    </row>
    <row r="40" spans="1:38" ht="15" hidden="1" customHeight="1">
      <c r="AB40" s="941"/>
      <c r="AC40" s="2016"/>
      <c r="AD40" s="2017"/>
      <c r="AE40" s="2017"/>
      <c r="AF40" s="2018"/>
    </row>
    <row r="41" spans="1:38" ht="15" hidden="1" customHeight="1">
      <c r="AB41" s="941"/>
      <c r="AC41" s="2016"/>
      <c r="AD41" s="2017"/>
      <c r="AE41" s="2017"/>
      <c r="AF41" s="2018"/>
    </row>
    <row r="42" spans="1:38" ht="15" hidden="1" customHeight="1">
      <c r="AB42" s="941"/>
      <c r="AC42" s="2016"/>
      <c r="AD42" s="2017"/>
      <c r="AE42" s="2017"/>
      <c r="AF42" s="2018"/>
    </row>
    <row r="43" spans="1:38" ht="15" hidden="1" customHeight="1">
      <c r="AB43" s="941"/>
      <c r="AC43" s="2016"/>
      <c r="AD43" s="2017"/>
      <c r="AE43" s="2017"/>
      <c r="AF43" s="2018"/>
    </row>
    <row r="44" spans="1:38" ht="15" hidden="1" customHeight="1">
      <c r="AB44" s="941"/>
      <c r="AC44" s="2016"/>
      <c r="AD44" s="2017"/>
      <c r="AE44" s="2017"/>
      <c r="AF44" s="2018"/>
    </row>
    <row r="45" spans="1:38" ht="15" customHeight="1">
      <c r="AB45" s="941"/>
      <c r="AC45" s="2016"/>
      <c r="AD45" s="2017"/>
      <c r="AE45" s="2017"/>
      <c r="AF45" s="2018"/>
    </row>
    <row r="46" spans="1:38" ht="15" customHeight="1">
      <c r="A46" s="2020" t="s">
        <v>881</v>
      </c>
      <c r="B46" s="2020"/>
      <c r="C46" s="2020"/>
      <c r="D46" s="2020"/>
      <c r="E46" s="2020"/>
      <c r="F46" s="2020"/>
      <c r="G46" s="2020"/>
      <c r="H46" s="2020"/>
      <c r="AB46" s="941"/>
      <c r="AC46" s="2016"/>
      <c r="AD46" s="2017"/>
      <c r="AE46" s="2017"/>
      <c r="AF46" s="2018"/>
    </row>
    <row r="47" spans="1:38" ht="15" customHeight="1">
      <c r="A47" s="2021" t="s">
        <v>853</v>
      </c>
      <c r="B47" s="2020" t="s">
        <v>551</v>
      </c>
      <c r="C47" s="2020"/>
      <c r="D47" s="2020"/>
      <c r="E47" s="2020"/>
      <c r="F47" s="2020"/>
      <c r="G47" s="2020"/>
      <c r="H47" s="2023" t="s">
        <v>855</v>
      </c>
      <c r="AB47" s="941"/>
      <c r="AC47" s="2016"/>
      <c r="AD47" s="2017"/>
      <c r="AE47" s="2017"/>
      <c r="AF47" s="2018"/>
    </row>
    <row r="48" spans="1:38" ht="15" customHeight="1">
      <c r="A48" s="2022"/>
      <c r="B48" s="2020" t="s">
        <v>863</v>
      </c>
      <c r="C48" s="2020"/>
      <c r="D48" s="2020"/>
      <c r="E48" s="2025" t="s">
        <v>863</v>
      </c>
      <c r="F48" s="2025"/>
      <c r="G48" s="2025"/>
      <c r="H48" s="2024"/>
      <c r="AB48" s="941"/>
      <c r="AC48" s="2016"/>
      <c r="AD48" s="2017"/>
      <c r="AE48" s="2017"/>
      <c r="AF48" s="2018"/>
    </row>
    <row r="49" spans="1:32" ht="15" customHeight="1">
      <c r="A49" s="932" t="s">
        <v>811</v>
      </c>
      <c r="B49" s="933" t="s">
        <v>608</v>
      </c>
      <c r="C49" s="933" t="s">
        <v>605</v>
      </c>
      <c r="D49" s="933">
        <v>0</v>
      </c>
      <c r="E49" s="933" t="s">
        <v>608</v>
      </c>
      <c r="F49" s="933" t="s">
        <v>605</v>
      </c>
      <c r="G49" s="933">
        <v>0</v>
      </c>
      <c r="H49" s="934">
        <v>1.85</v>
      </c>
      <c r="AB49" s="941"/>
      <c r="AC49" s="2016"/>
      <c r="AD49" s="2017"/>
      <c r="AE49" s="2017"/>
      <c r="AF49" s="2018"/>
    </row>
    <row r="50" spans="1:32" ht="15" customHeight="1">
      <c r="A50" s="932" t="s">
        <v>812</v>
      </c>
      <c r="B50" s="933" t="s">
        <v>621</v>
      </c>
      <c r="C50" s="933" t="s">
        <v>605</v>
      </c>
      <c r="D50" s="933">
        <v>0</v>
      </c>
      <c r="E50" s="933" t="s">
        <v>621</v>
      </c>
      <c r="F50" s="933" t="s">
        <v>605</v>
      </c>
      <c r="G50" s="933">
        <v>10</v>
      </c>
      <c r="H50" s="934">
        <v>0.2</v>
      </c>
      <c r="AB50" s="941"/>
      <c r="AC50" s="2016"/>
      <c r="AD50" s="2017"/>
      <c r="AE50" s="2017"/>
      <c r="AF50" s="2018"/>
    </row>
    <row r="51" spans="1:32" ht="15" customHeight="1">
      <c r="A51" s="932" t="s">
        <v>814</v>
      </c>
      <c r="B51" s="933" t="s">
        <v>627</v>
      </c>
      <c r="C51" s="933" t="s">
        <v>605</v>
      </c>
      <c r="D51" s="933">
        <v>0</v>
      </c>
      <c r="E51" s="933" t="s">
        <v>672</v>
      </c>
      <c r="F51" s="933" t="s">
        <v>605</v>
      </c>
      <c r="G51" s="933">
        <v>10</v>
      </c>
      <c r="H51" s="934">
        <v>161.01000000000002</v>
      </c>
      <c r="N51" s="942"/>
      <c r="AB51" s="941"/>
      <c r="AC51" s="2016"/>
      <c r="AD51" s="2017"/>
      <c r="AE51" s="2017"/>
      <c r="AF51" s="2018"/>
    </row>
    <row r="52" spans="1:32" ht="15" customHeight="1">
      <c r="A52" s="932" t="s">
        <v>823</v>
      </c>
      <c r="B52" s="933" t="s">
        <v>675</v>
      </c>
      <c r="C52" s="933" t="s">
        <v>605</v>
      </c>
      <c r="D52" s="933">
        <v>10</v>
      </c>
      <c r="E52" s="933" t="s">
        <v>675</v>
      </c>
      <c r="F52" s="933" t="s">
        <v>605</v>
      </c>
      <c r="G52" s="933">
        <v>10</v>
      </c>
      <c r="H52" s="934">
        <v>0.15</v>
      </c>
      <c r="AB52" s="941"/>
      <c r="AC52" s="2016"/>
      <c r="AD52" s="2017"/>
      <c r="AE52" s="2017"/>
      <c r="AF52" s="2018"/>
    </row>
    <row r="53" spans="1:32" ht="15" customHeight="1">
      <c r="A53" s="932" t="s">
        <v>825</v>
      </c>
      <c r="B53" s="933" t="s">
        <v>680</v>
      </c>
      <c r="C53" s="933" t="s">
        <v>605</v>
      </c>
      <c r="D53" s="933">
        <v>10</v>
      </c>
      <c r="E53" s="933" t="s">
        <v>683</v>
      </c>
      <c r="F53" s="933" t="s">
        <v>605</v>
      </c>
      <c r="G53" s="933">
        <v>10</v>
      </c>
      <c r="H53" s="934">
        <v>0.8</v>
      </c>
      <c r="AB53" s="941"/>
      <c r="AC53" s="2016"/>
      <c r="AD53" s="2017"/>
      <c r="AE53" s="2017"/>
      <c r="AF53" s="2018"/>
    </row>
    <row r="54" spans="1:32" ht="15" customHeight="1">
      <c r="A54" s="932" t="s">
        <v>827</v>
      </c>
      <c r="B54" s="933" t="s">
        <v>689</v>
      </c>
      <c r="C54" s="933" t="s">
        <v>605</v>
      </c>
      <c r="D54" s="933">
        <v>10</v>
      </c>
      <c r="E54" s="933" t="s">
        <v>692</v>
      </c>
      <c r="F54" s="933" t="s">
        <v>605</v>
      </c>
      <c r="G54" s="933">
        <v>0</v>
      </c>
      <c r="H54" s="934">
        <v>0.2</v>
      </c>
      <c r="AB54" s="941"/>
      <c r="AC54" s="2016"/>
      <c r="AD54" s="2017"/>
      <c r="AE54" s="2017"/>
      <c r="AF54" s="2018"/>
    </row>
    <row r="55" spans="1:32" ht="15" customHeight="1">
      <c r="A55" s="932" t="s">
        <v>829</v>
      </c>
      <c r="B55" s="933" t="s">
        <v>695</v>
      </c>
      <c r="C55" s="933" t="s">
        <v>605</v>
      </c>
      <c r="D55" s="933">
        <v>0</v>
      </c>
      <c r="E55" s="933" t="s">
        <v>695</v>
      </c>
      <c r="F55" s="933" t="s">
        <v>605</v>
      </c>
      <c r="G55" s="933">
        <v>10</v>
      </c>
      <c r="H55" s="934">
        <v>0.4</v>
      </c>
      <c r="AB55" s="941"/>
      <c r="AC55" s="2016"/>
      <c r="AD55" s="2017"/>
      <c r="AE55" s="2017"/>
      <c r="AF55" s="2018"/>
    </row>
    <row r="56" spans="1:32" ht="15" customHeight="1">
      <c r="A56" s="932" t="s">
        <v>831</v>
      </c>
      <c r="B56" s="933" t="s">
        <v>701</v>
      </c>
      <c r="C56" s="933" t="s">
        <v>605</v>
      </c>
      <c r="D56" s="933">
        <v>10</v>
      </c>
      <c r="E56" s="933" t="s">
        <v>701</v>
      </c>
      <c r="F56" s="933" t="s">
        <v>605</v>
      </c>
      <c r="G56" s="933">
        <v>10</v>
      </c>
      <c r="H56" s="934">
        <v>5.6</v>
      </c>
      <c r="AB56" s="941"/>
      <c r="AC56" s="2016"/>
      <c r="AD56" s="2017"/>
      <c r="AE56" s="2017"/>
      <c r="AF56" s="2018"/>
    </row>
    <row r="57" spans="1:32" ht="15" customHeight="1">
      <c r="A57" s="932" t="s">
        <v>834</v>
      </c>
      <c r="B57" s="933" t="s">
        <v>704</v>
      </c>
      <c r="C57" s="933" t="s">
        <v>605</v>
      </c>
      <c r="D57" s="933">
        <v>10</v>
      </c>
      <c r="E57" s="933" t="s">
        <v>722</v>
      </c>
      <c r="F57" s="933" t="s">
        <v>605</v>
      </c>
      <c r="G57" s="933">
        <v>0</v>
      </c>
      <c r="H57" s="934">
        <v>37.38000000000001</v>
      </c>
      <c r="AB57" s="941"/>
      <c r="AC57" s="2016"/>
      <c r="AD57" s="2017"/>
      <c r="AE57" s="2017"/>
      <c r="AF57" s="2018"/>
    </row>
    <row r="58" spans="1:32" ht="15" customHeight="1">
      <c r="A58" s="932" t="s">
        <v>840</v>
      </c>
      <c r="B58" s="933" t="s">
        <v>724</v>
      </c>
      <c r="C58" s="933" t="s">
        <v>605</v>
      </c>
      <c r="D58" s="933">
        <v>10</v>
      </c>
      <c r="E58" s="933" t="s">
        <v>728</v>
      </c>
      <c r="F58" s="933" t="s">
        <v>605</v>
      </c>
      <c r="G58" s="933">
        <v>10</v>
      </c>
      <c r="H58" s="934">
        <v>1.31</v>
      </c>
      <c r="AB58" s="941"/>
      <c r="AC58" s="2016"/>
      <c r="AD58" s="2017"/>
      <c r="AE58" s="2017"/>
      <c r="AF58" s="2018"/>
    </row>
    <row r="59" spans="1:32" ht="15" customHeight="1">
      <c r="A59" s="932" t="s">
        <v>842</v>
      </c>
      <c r="B59" s="933" t="s">
        <v>734</v>
      </c>
      <c r="C59" s="933" t="s">
        <v>605</v>
      </c>
      <c r="D59" s="933">
        <v>0</v>
      </c>
      <c r="E59" s="933" t="s">
        <v>743</v>
      </c>
      <c r="F59" s="933" t="s">
        <v>605</v>
      </c>
      <c r="G59" s="933">
        <v>0</v>
      </c>
      <c r="H59" s="934">
        <v>3.23</v>
      </c>
      <c r="AB59" s="941"/>
      <c r="AC59" s="2016"/>
      <c r="AD59" s="2017"/>
      <c r="AE59" s="2017"/>
      <c r="AF59" s="2018"/>
    </row>
    <row r="60" spans="1:32" ht="15" customHeight="1">
      <c r="A60" s="932" t="s">
        <v>846</v>
      </c>
      <c r="B60" s="933" t="s">
        <v>746</v>
      </c>
      <c r="C60" s="933" t="s">
        <v>605</v>
      </c>
      <c r="D60" s="933">
        <v>10</v>
      </c>
      <c r="E60" s="933" t="s">
        <v>752</v>
      </c>
      <c r="F60" s="933" t="s">
        <v>605</v>
      </c>
      <c r="G60" s="933">
        <v>0</v>
      </c>
      <c r="H60" s="934">
        <v>22.580000000000002</v>
      </c>
      <c r="AB60" s="941"/>
      <c r="AC60" s="2016"/>
      <c r="AD60" s="2017"/>
      <c r="AE60" s="2017"/>
      <c r="AF60" s="2018"/>
    </row>
    <row r="61" spans="1:32" ht="15" customHeight="1">
      <c r="A61" s="932" t="s">
        <v>849</v>
      </c>
      <c r="B61" s="933" t="s">
        <v>758</v>
      </c>
      <c r="C61" s="933" t="s">
        <v>605</v>
      </c>
      <c r="D61" s="933">
        <v>10</v>
      </c>
      <c r="E61" s="933" t="s">
        <v>761</v>
      </c>
      <c r="F61" s="933" t="s">
        <v>605</v>
      </c>
      <c r="G61" s="933">
        <v>0</v>
      </c>
      <c r="H61" s="934">
        <v>2.52</v>
      </c>
      <c r="AB61" s="941"/>
      <c r="AC61" s="2016"/>
      <c r="AD61" s="2017"/>
      <c r="AE61" s="2017"/>
      <c r="AF61" s="2018"/>
    </row>
    <row r="62" spans="1:32" ht="15" customHeight="1">
      <c r="A62" s="932" t="s">
        <v>882</v>
      </c>
      <c r="B62" s="933" t="str">
        <f>IFERROR(INDEX('Modelo 2.0 - Cubação'!$A$7:$A$119,MATCH($A62,'Modelo 2.0 - Cubação'!$CH$7:$CH$119,0)),"")</f>
        <v/>
      </c>
      <c r="C62" s="933" t="s">
        <v>605</v>
      </c>
      <c r="D62" s="933" t="str">
        <f>IFERROR(INDEX('Modelo 2.0 - Cubação'!$C$7:$C$119,MATCH($A62,'Modelo 2.0 - Cubação'!$CH$7:$CH$119,0)),"")</f>
        <v/>
      </c>
      <c r="E62" s="933" t="str">
        <f>IFERROR(INDEX('Modelo 2.0 - Cubação'!$A$7:$A$119,MATCH($A62,'Modelo 2.0 - Cubação'!$CJ$7:$CJ$119,0)),"")</f>
        <v/>
      </c>
      <c r="F62" s="933" t="s">
        <v>605</v>
      </c>
      <c r="G62" s="933" t="str">
        <f>IFERROR(INDEX('Modelo 2.0 - Cubação'!$C$7:$C$119,MATCH($A62,'Modelo 2.0 - Cubação'!$CJ$7:$CJ$119,0)),"")</f>
        <v/>
      </c>
      <c r="H62" s="934" t="str">
        <f>IFERROR(INDEX('Modelo 2.0 - Cubação'!$CM$7:$CM$119,MATCH($A62,'Modelo 2.0 - Cubação'!$CJ$7:$CJ$119,0)),"")</f>
        <v/>
      </c>
      <c r="AB62" s="941"/>
      <c r="AC62" s="2016"/>
      <c r="AD62" s="2017"/>
      <c r="AE62" s="2017"/>
      <c r="AF62" s="2018"/>
    </row>
    <row r="63" spans="1:32" ht="15" customHeight="1">
      <c r="A63" s="932"/>
      <c r="B63" s="933" t="str">
        <f>IFERROR(INDEX('Modelo 2.0 - Cubação'!$A$7:$A$119,MATCH($A63,'Modelo 2.0 - Cubação'!$CH$7:$CH$119,0)),"")</f>
        <v/>
      </c>
      <c r="C63" s="933" t="s">
        <v>605</v>
      </c>
      <c r="D63" s="933" t="str">
        <f>IFERROR(INDEX('Modelo 2.0 - Cubação'!$C$7:$C$119,MATCH($A63,'Modelo 2.0 - Cubação'!$CH$7:$CH$119,0)),"")</f>
        <v/>
      </c>
      <c r="E63" s="933" t="str">
        <f>IFERROR(INDEX('Modelo 2.0 - Cubação'!$A$7:$A$119,MATCH($A63,'Modelo 2.0 - Cubação'!$CJ$7:$CJ$119,0)),"")</f>
        <v/>
      </c>
      <c r="F63" s="933"/>
      <c r="G63" s="933" t="str">
        <f>IFERROR(INDEX('Modelo 2.0 - Cubação'!$C$7:$C$119,MATCH($A63,'Modelo 2.0 - Cubação'!$CJ$7:$CJ$119,0)),"")</f>
        <v/>
      </c>
      <c r="H63" s="934" t="str">
        <f>IFERROR(INDEX('Modelo 2.0 - Cubação'!$CM$7:$CM$119,MATCH($A63,'Modelo 2.0 - Cubação'!$CJ$7:$CJ$119,0)),"")</f>
        <v/>
      </c>
    </row>
    <row r="64" spans="1:32" ht="15" customHeight="1">
      <c r="A64" s="932"/>
      <c r="B64" s="933" t="str">
        <f>IFERROR(INDEX('Modelo 2.0 - Cubação'!$A$7:$A$119,MATCH($A64,'Modelo 2.0 - Cubação'!$CH$7:$CH$119,0)),"")</f>
        <v/>
      </c>
      <c r="C64" s="933" t="s">
        <v>605</v>
      </c>
      <c r="D64" s="933" t="str">
        <f>IFERROR(INDEX('Modelo 2.0 - Cubação'!$C$7:$C$119,MATCH($A64,'Modelo 2.0 - Cubação'!$CH$7:$CH$119,0)),"")</f>
        <v/>
      </c>
      <c r="E64" s="933" t="str">
        <f>IFERROR(INDEX('Modelo 2.0 - Cubação'!$A$7:$A$119,MATCH($A64,'Modelo 2.0 - Cubação'!$CJ$7:$CJ$119,0)),"")</f>
        <v/>
      </c>
      <c r="F64" s="933"/>
      <c r="G64" s="933" t="str">
        <f>IFERROR(INDEX('Modelo 2.0 - Cubação'!$C$7:$C$119,MATCH($A64,'Modelo 2.0 - Cubação'!$CJ$7:$CJ$119,0)),"")</f>
        <v/>
      </c>
      <c r="H64" s="934" t="str">
        <f>IFERROR(INDEX('Modelo 2.0 - Cubação'!$CM$7:$CM$119,MATCH($A64,'Modelo 2.0 - Cubação'!$CJ$7:$CJ$119,0)),"")</f>
        <v/>
      </c>
    </row>
    <row r="65" spans="1:8" ht="15" customHeight="1">
      <c r="A65" s="2011" t="s">
        <v>873</v>
      </c>
      <c r="B65" s="2012"/>
      <c r="C65" s="2012"/>
      <c r="D65" s="2012"/>
      <c r="E65" s="2012"/>
      <c r="F65" s="2012"/>
      <c r="G65" s="2012"/>
      <c r="H65" s="939">
        <f>SUM(H49:H64)</f>
        <v>237.23000000000005</v>
      </c>
    </row>
  </sheetData>
  <mergeCells count="31">
    <mergeCell ref="A1:P1"/>
    <mergeCell ref="AB1:AI1"/>
    <mergeCell ref="A2:A3"/>
    <mergeCell ref="B2:G2"/>
    <mergeCell ref="H2:H3"/>
    <mergeCell ref="I2:I3"/>
    <mergeCell ref="J2:L2"/>
    <mergeCell ref="M2:M3"/>
    <mergeCell ref="N2:P2"/>
    <mergeCell ref="AD2:AE2"/>
    <mergeCell ref="AF2:AG2"/>
    <mergeCell ref="AH2:AI2"/>
    <mergeCell ref="B3:D3"/>
    <mergeCell ref="E3:G3"/>
    <mergeCell ref="A11:L11"/>
    <mergeCell ref="AB11:AI11"/>
    <mergeCell ref="A12:P14"/>
    <mergeCell ref="AD12:AE12"/>
    <mergeCell ref="AF12:AG12"/>
    <mergeCell ref="AH12:AI12"/>
    <mergeCell ref="AB17:AF17"/>
    <mergeCell ref="AH17:AL17"/>
    <mergeCell ref="A65:G65"/>
    <mergeCell ref="AC18:AF62"/>
    <mergeCell ref="AH18:AL39"/>
    <mergeCell ref="A46:H46"/>
    <mergeCell ref="A47:A48"/>
    <mergeCell ref="B47:G47"/>
    <mergeCell ref="H47:H48"/>
    <mergeCell ref="B48:D48"/>
    <mergeCell ref="E48:G48"/>
  </mergeCells>
  <pageMargins left="0.25" right="0.25" top="0.75" bottom="0.75" header="0.3" footer="0.3"/>
  <pageSetup paperSize="9" fitToHeight="0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96F3-2502-4662-A183-29139CC387CC}">
  <sheetPr codeName="Planilha8">
    <tabColor theme="7" tint="0.79998168889431442"/>
    <pageSetUpPr fitToPage="1"/>
  </sheetPr>
  <dimension ref="A1:KP198"/>
  <sheetViews>
    <sheetView showGridLines="0" topLeftCell="A40" zoomScale="85" zoomScaleNormal="85" zoomScaleSheetLayoutView="85" workbookViewId="0">
      <selection activeCell="O32" sqref="O32:O33"/>
    </sheetView>
  </sheetViews>
  <sheetFormatPr defaultColWidth="11.7109375" defaultRowHeight="12.75"/>
  <cols>
    <col min="1" max="1" width="11.7109375" style="955" customWidth="1"/>
    <col min="2" max="2" width="11.7109375" style="943" hidden="1" customWidth="1"/>
    <col min="3" max="3" width="10.5703125" style="955" customWidth="1"/>
    <col min="4" max="4" width="3.140625" style="955" customWidth="1"/>
    <col min="5" max="5" width="10.5703125" style="1043" customWidth="1"/>
    <col min="6" max="6" width="10.5703125" style="955" customWidth="1"/>
    <col min="7" max="7" width="7.42578125" style="955" customWidth="1"/>
    <col min="8" max="8" width="8" style="1043" customWidth="1"/>
    <col min="9" max="9" width="15.42578125" style="955" bestFit="1" customWidth="1"/>
    <col min="10" max="10" width="16.5703125" style="943" hidden="1" customWidth="1"/>
    <col min="11" max="11" width="13.140625" style="955" customWidth="1"/>
    <col min="12" max="12" width="12.42578125" style="955" customWidth="1"/>
    <col min="13" max="14" width="10.5703125" style="955" customWidth="1"/>
    <col min="15" max="15" width="12.85546875" style="955" hidden="1" customWidth="1"/>
    <col min="16" max="17" width="15.5703125" style="955" customWidth="1"/>
    <col min="18" max="18" width="10.5703125" style="955" customWidth="1"/>
    <col min="19" max="19" width="3.140625" style="955" customWidth="1"/>
    <col min="20" max="21" width="10.5703125" style="955" customWidth="1"/>
    <col min="22" max="22" width="3.140625" style="955" customWidth="1"/>
    <col min="23" max="23" width="10.5703125" style="955" customWidth="1"/>
    <col min="24" max="24" width="18.140625" style="955" bestFit="1" customWidth="1"/>
    <col min="25" max="25" width="11.28515625" style="955" bestFit="1" customWidth="1"/>
    <col min="26" max="26" width="8.140625" style="955" bestFit="1" customWidth="1"/>
    <col min="27" max="29" width="15.5703125" style="955" customWidth="1"/>
    <col min="30" max="30" width="7.140625" style="955" customWidth="1"/>
    <col min="31" max="31" width="9.85546875" style="955" customWidth="1"/>
    <col min="32" max="32" width="9" style="955" customWidth="1"/>
    <col min="33" max="33" width="6.7109375" style="955" customWidth="1"/>
    <col min="34" max="41" width="11.7109375" style="956" customWidth="1"/>
    <col min="42" max="42" width="9.85546875" style="955" bestFit="1" customWidth="1"/>
    <col min="43" max="70" width="11.7109375" style="956" customWidth="1"/>
    <col min="71" max="71" width="9" style="956" bestFit="1" customWidth="1"/>
    <col min="72" max="72" width="8.85546875" style="956" customWidth="1"/>
    <col min="73" max="92" width="11.7109375" style="956" customWidth="1"/>
    <col min="93" max="93" width="8.85546875" style="955" customWidth="1"/>
    <col min="94" max="94" width="9.140625" style="955" bestFit="1" customWidth="1"/>
    <col min="95" max="96" width="19.28515625" style="955" bestFit="1" customWidth="1"/>
    <col min="97" max="101" width="9.28515625" style="955" bestFit="1" customWidth="1"/>
    <col min="102" max="107" width="9.140625" style="955" bestFit="1" customWidth="1"/>
    <col min="108" max="108" width="9" style="955" customWidth="1"/>
    <col min="109" max="109" width="9.140625" style="955" bestFit="1" customWidth="1"/>
    <col min="110" max="115" width="9.28515625" style="955" bestFit="1" customWidth="1"/>
    <col min="116" max="122" width="9.140625" style="955" bestFit="1" customWidth="1"/>
    <col min="123" max="123" width="9" style="955" customWidth="1"/>
    <col min="124" max="124" width="9.140625" style="955" bestFit="1" customWidth="1"/>
    <col min="125" max="125" width="9.28515625" style="955" bestFit="1" customWidth="1"/>
    <col min="126" max="126" width="10.28515625" style="955" bestFit="1" customWidth="1"/>
    <col min="127" max="130" width="9.28515625" style="955" bestFit="1" customWidth="1"/>
    <col min="131" max="137" width="9.140625" style="955" bestFit="1" customWidth="1"/>
    <col min="138" max="138" width="9" style="955" customWidth="1"/>
    <col min="139" max="139" width="9.140625" style="955" bestFit="1" customWidth="1"/>
    <col min="140" max="141" width="9.28515625" style="955" bestFit="1" customWidth="1"/>
    <col min="142" max="152" width="9.140625" style="955" bestFit="1" customWidth="1"/>
    <col min="153" max="153" width="9" style="955" customWidth="1"/>
    <col min="154" max="167" width="9.140625" style="955" bestFit="1" customWidth="1"/>
    <col min="168" max="168" width="9" style="955" customWidth="1"/>
    <col min="169" max="169" width="9.140625" style="955" customWidth="1"/>
    <col min="170" max="170" width="9.28515625" style="955" bestFit="1" customWidth="1"/>
    <col min="171" max="182" width="9.140625" style="955" bestFit="1" customWidth="1"/>
    <col min="183" max="183" width="9" style="955" customWidth="1"/>
    <col min="184" max="197" width="9.140625" style="955" bestFit="1" customWidth="1"/>
    <col min="198" max="198" width="9" style="955" customWidth="1"/>
    <col min="199" max="212" width="9.140625" style="955" bestFit="1" customWidth="1"/>
    <col min="213" max="213" width="9" style="955" customWidth="1"/>
    <col min="214" max="227" width="9.140625" style="955" bestFit="1" customWidth="1"/>
    <col min="228" max="228" width="9" style="955" customWidth="1"/>
    <col min="229" max="242" width="9.140625" style="955" bestFit="1" customWidth="1"/>
    <col min="243" max="243" width="9" style="955" customWidth="1"/>
    <col min="244" max="16384" width="11.7109375" style="956"/>
  </cols>
  <sheetData>
    <row r="1" spans="2:302" ht="18" customHeight="1">
      <c r="C1" s="944"/>
      <c r="D1" s="945"/>
      <c r="E1" s="946"/>
      <c r="F1" s="947"/>
      <c r="G1" s="947"/>
      <c r="H1" s="948"/>
      <c r="I1" s="947"/>
      <c r="J1" s="949"/>
      <c r="K1" s="947"/>
      <c r="L1" s="950"/>
      <c r="M1" s="950"/>
      <c r="N1" s="950"/>
      <c r="O1" s="950"/>
      <c r="P1" s="951"/>
      <c r="Q1" s="952"/>
      <c r="R1" s="953"/>
      <c r="S1" s="950"/>
      <c r="T1" s="950"/>
      <c r="U1" s="954"/>
      <c r="V1" s="954"/>
      <c r="W1" s="954"/>
      <c r="X1" s="954"/>
      <c r="Y1" s="951"/>
      <c r="Z1" s="951"/>
      <c r="AA1" s="951"/>
      <c r="AB1" s="950"/>
      <c r="AC1" s="953"/>
      <c r="AD1" s="953"/>
      <c r="AE1" s="953"/>
    </row>
    <row r="2" spans="2:302" ht="18" customHeight="1">
      <c r="C2" s="2092" t="s">
        <v>883</v>
      </c>
      <c r="D2" s="2093"/>
      <c r="E2" s="2093"/>
      <c r="F2" s="2093"/>
      <c r="G2" s="2093"/>
      <c r="H2" s="2093"/>
      <c r="I2" s="2093"/>
      <c r="J2" s="2093"/>
      <c r="K2" s="2093"/>
      <c r="L2" s="2093"/>
      <c r="M2" s="2093"/>
      <c r="N2" s="2093"/>
      <c r="O2" s="2093"/>
      <c r="P2" s="2093"/>
      <c r="Q2" s="2093"/>
      <c r="R2" s="2093"/>
      <c r="S2" s="2093"/>
      <c r="T2" s="2093"/>
      <c r="U2" s="2093"/>
      <c r="V2" s="2093"/>
      <c r="W2" s="2093"/>
      <c r="X2" s="2093"/>
      <c r="Y2" s="2093"/>
      <c r="Z2" s="2093"/>
      <c r="AA2" s="2093"/>
      <c r="AB2" s="2093"/>
      <c r="AC2" s="2094"/>
      <c r="AD2" s="953"/>
      <c r="AE2" s="953"/>
      <c r="AH2" s="955"/>
      <c r="AI2" s="955"/>
      <c r="AJ2" s="955"/>
      <c r="AK2" s="955"/>
      <c r="AL2" s="955"/>
      <c r="AM2" s="955"/>
      <c r="AN2" s="955"/>
      <c r="AO2" s="955"/>
      <c r="AQ2" s="2091"/>
      <c r="AR2" s="2091"/>
      <c r="AS2" s="2091"/>
      <c r="AT2" s="2091"/>
      <c r="AU2" s="2091"/>
      <c r="AV2" s="2091"/>
      <c r="AW2" s="2091"/>
      <c r="AX2" s="2091"/>
      <c r="AY2" s="2091"/>
      <c r="AZ2" s="2091"/>
      <c r="BA2" s="2091"/>
      <c r="BB2" s="2091"/>
      <c r="BC2" s="2091"/>
      <c r="BD2" s="2091"/>
      <c r="BF2" s="2091"/>
      <c r="BG2" s="2091"/>
      <c r="BH2" s="2091"/>
      <c r="BI2" s="2091"/>
      <c r="BJ2" s="2091"/>
      <c r="BK2" s="2091"/>
      <c r="BL2" s="2091"/>
      <c r="BM2" s="2091"/>
      <c r="BN2" s="2091"/>
      <c r="BO2" s="2091"/>
      <c r="BP2" s="2091"/>
      <c r="BQ2" s="2091"/>
      <c r="BR2" s="2091"/>
      <c r="BU2" s="2091"/>
      <c r="BV2" s="2091"/>
      <c r="BW2" s="2091"/>
      <c r="BX2" s="2091"/>
      <c r="BY2" s="2091"/>
      <c r="BZ2" s="2091"/>
      <c r="CA2" s="2091"/>
      <c r="CB2" s="2091"/>
      <c r="CC2" s="957"/>
      <c r="CD2" s="957"/>
      <c r="CE2" s="957"/>
      <c r="CF2" s="957"/>
      <c r="CG2" s="957"/>
      <c r="CH2" s="2091"/>
      <c r="CI2" s="2091"/>
      <c r="CJ2" s="2091"/>
      <c r="CK2" s="2091"/>
      <c r="CL2" s="2091"/>
      <c r="CM2" s="2091"/>
      <c r="CN2" s="2091"/>
      <c r="IJ2" s="2091"/>
      <c r="IK2" s="2091"/>
      <c r="IL2" s="2091"/>
      <c r="IM2" s="2091"/>
      <c r="IN2" s="2091"/>
      <c r="IO2" s="2091"/>
      <c r="IP2" s="2091"/>
      <c r="IQ2" s="2091"/>
      <c r="IR2" s="2091"/>
      <c r="IS2" s="2091"/>
      <c r="IT2" s="2091"/>
      <c r="IU2" s="2091"/>
      <c r="IV2" s="2091"/>
      <c r="IW2" s="2091"/>
      <c r="IY2" s="957"/>
      <c r="JN2" s="957"/>
      <c r="KC2" s="957"/>
    </row>
    <row r="3" spans="2:302" ht="18" customHeight="1">
      <c r="C3" s="2081" t="s">
        <v>884</v>
      </c>
      <c r="D3" s="2082"/>
      <c r="E3" s="2082"/>
      <c r="F3" s="2082"/>
      <c r="G3" s="2082"/>
      <c r="H3" s="2082"/>
      <c r="I3" s="2082"/>
      <c r="J3" s="2082"/>
      <c r="K3" s="2082"/>
      <c r="L3" s="2082"/>
      <c r="M3" s="2082"/>
      <c r="N3" s="2082"/>
      <c r="O3" s="2082"/>
      <c r="P3" s="2082"/>
      <c r="Q3" s="2083"/>
      <c r="R3" s="2087" t="s">
        <v>885</v>
      </c>
      <c r="S3" s="2082"/>
      <c r="T3" s="2082"/>
      <c r="U3" s="2082"/>
      <c r="V3" s="2082"/>
      <c r="W3" s="2082"/>
      <c r="X3" s="2082"/>
      <c r="Y3" s="2082"/>
      <c r="Z3" s="2082"/>
      <c r="AA3" s="2082"/>
      <c r="AB3" s="2082"/>
      <c r="AC3" s="2088"/>
      <c r="AD3" s="953"/>
      <c r="AE3" s="953"/>
      <c r="AH3" s="957"/>
      <c r="AI3" s="957"/>
      <c r="AJ3" s="957"/>
      <c r="AK3" s="957"/>
      <c r="AL3" s="957"/>
      <c r="AM3" s="957"/>
      <c r="AN3" s="957"/>
      <c r="AO3" s="957"/>
      <c r="AQ3" s="957"/>
      <c r="AR3" s="957"/>
      <c r="AS3" s="957"/>
      <c r="AT3" s="957"/>
      <c r="AU3" s="957"/>
      <c r="AV3" s="957"/>
      <c r="AW3" s="957"/>
      <c r="AX3" s="957"/>
      <c r="AY3" s="957"/>
      <c r="AZ3" s="957"/>
      <c r="BA3" s="957"/>
      <c r="BB3" s="957"/>
      <c r="BC3" s="957"/>
      <c r="BD3" s="957"/>
      <c r="BF3" s="957"/>
      <c r="BG3" s="957"/>
      <c r="BH3" s="957"/>
      <c r="BI3" s="957"/>
      <c r="BJ3" s="957"/>
      <c r="BK3" s="957"/>
      <c r="BL3" s="957"/>
      <c r="BM3" s="957"/>
      <c r="BN3" s="957"/>
      <c r="BO3" s="957"/>
      <c r="BP3" s="957"/>
      <c r="BQ3" s="957"/>
      <c r="BR3" s="957"/>
      <c r="BU3" s="957"/>
      <c r="BV3" s="957"/>
      <c r="BW3" s="957"/>
      <c r="BX3" s="957"/>
      <c r="BY3" s="957"/>
      <c r="BZ3" s="957"/>
      <c r="CA3" s="957"/>
      <c r="CB3" s="957"/>
      <c r="CC3" s="957"/>
      <c r="CD3" s="957"/>
      <c r="CE3" s="957"/>
      <c r="CF3" s="957"/>
      <c r="CG3" s="957"/>
      <c r="CH3" s="957"/>
      <c r="CI3" s="957"/>
      <c r="CJ3" s="957"/>
      <c r="CK3" s="957"/>
      <c r="CL3" s="957"/>
      <c r="CM3" s="957"/>
      <c r="CN3" s="957"/>
      <c r="IJ3" s="957"/>
      <c r="IK3" s="957"/>
      <c r="IL3" s="957"/>
      <c r="IM3" s="957"/>
      <c r="IN3" s="957"/>
      <c r="IO3" s="957"/>
      <c r="IP3" s="957"/>
      <c r="IQ3" s="957"/>
      <c r="IR3" s="957"/>
      <c r="IS3" s="957"/>
      <c r="IT3" s="957"/>
      <c r="IU3" s="957"/>
      <c r="IV3" s="957"/>
      <c r="IW3" s="957"/>
      <c r="IY3" s="957"/>
      <c r="JN3" s="957"/>
      <c r="KC3" s="957"/>
    </row>
    <row r="4" spans="2:302" ht="18" customHeight="1">
      <c r="C4" s="2084"/>
      <c r="D4" s="2085"/>
      <c r="E4" s="2085"/>
      <c r="F4" s="2085"/>
      <c r="G4" s="2085"/>
      <c r="H4" s="2085"/>
      <c r="I4" s="2085"/>
      <c r="J4" s="2085"/>
      <c r="K4" s="2085"/>
      <c r="L4" s="2085"/>
      <c r="M4" s="2085"/>
      <c r="N4" s="2085"/>
      <c r="O4" s="2085"/>
      <c r="P4" s="2085"/>
      <c r="Q4" s="2086"/>
      <c r="R4" s="2089"/>
      <c r="S4" s="2085"/>
      <c r="T4" s="2085"/>
      <c r="U4" s="2085"/>
      <c r="V4" s="2085"/>
      <c r="W4" s="2085"/>
      <c r="X4" s="2085"/>
      <c r="Y4" s="2085"/>
      <c r="Z4" s="2085"/>
      <c r="AA4" s="2085"/>
      <c r="AB4" s="2085"/>
      <c r="AC4" s="2090"/>
      <c r="AD4" s="953"/>
      <c r="AE4" s="953"/>
      <c r="AH4" s="2041" t="s">
        <v>886</v>
      </c>
      <c r="AI4" s="2041"/>
      <c r="AJ4" s="2041"/>
      <c r="AK4" s="2041"/>
      <c r="AL4" s="2041"/>
      <c r="AM4" s="2041"/>
      <c r="AN4" s="2041"/>
      <c r="AO4" s="2041"/>
      <c r="AQ4" s="2041" t="s">
        <v>887</v>
      </c>
      <c r="AR4" s="2041"/>
      <c r="AS4" s="2041"/>
      <c r="AT4" s="2041"/>
      <c r="AU4" s="2041"/>
      <c r="AV4" s="2041"/>
      <c r="AW4" s="2041"/>
      <c r="AX4" s="2041"/>
      <c r="AY4" s="2041"/>
      <c r="AZ4" s="2041"/>
      <c r="BA4" s="2041"/>
      <c r="BB4" s="2041"/>
      <c r="BC4" s="2041"/>
      <c r="BD4" s="2041"/>
      <c r="BF4" s="2042" t="s">
        <v>888</v>
      </c>
      <c r="BG4" s="2043"/>
      <c r="BH4" s="2043"/>
      <c r="BI4" s="2043"/>
      <c r="BJ4" s="2043"/>
      <c r="BK4" s="2043"/>
      <c r="BL4" s="2043"/>
      <c r="BM4" s="2043"/>
      <c r="BN4" s="2043"/>
      <c r="BO4" s="2043"/>
      <c r="BP4" s="2043"/>
      <c r="BQ4" s="2043"/>
      <c r="BR4" s="2043"/>
      <c r="BS4" s="2043"/>
      <c r="BT4" s="958"/>
      <c r="BU4" s="2042" t="s">
        <v>889</v>
      </c>
      <c r="BV4" s="2043"/>
      <c r="BW4" s="2043"/>
      <c r="BX4" s="2043"/>
      <c r="BY4" s="2043"/>
      <c r="BZ4" s="2043"/>
      <c r="CA4" s="2043"/>
      <c r="CB4" s="2043"/>
      <c r="CC4" s="2043"/>
      <c r="CD4" s="2043"/>
      <c r="CE4" s="2043"/>
      <c r="CF4" s="2043"/>
      <c r="CG4" s="959"/>
      <c r="CH4" s="2044" t="s">
        <v>890</v>
      </c>
      <c r="CI4" s="2045"/>
      <c r="CJ4" s="2045"/>
      <c r="CK4" s="2045"/>
      <c r="CL4" s="2045"/>
      <c r="CM4" s="2045"/>
      <c r="CN4" s="2046"/>
      <c r="CP4" s="2041" t="s">
        <v>891</v>
      </c>
      <c r="CQ4" s="2041"/>
      <c r="CR4" s="2041"/>
      <c r="CS4" s="2041"/>
      <c r="CT4" s="2041"/>
      <c r="CU4" s="2041"/>
      <c r="CV4" s="2041"/>
      <c r="CW4" s="2041"/>
      <c r="CX4" s="2041"/>
      <c r="CY4" s="2041"/>
      <c r="CZ4" s="2041"/>
      <c r="DA4" s="2041"/>
      <c r="DB4" s="2041"/>
      <c r="DC4" s="2041"/>
      <c r="DE4" s="2041" t="s">
        <v>892</v>
      </c>
      <c r="DF4" s="2041"/>
      <c r="DG4" s="2041"/>
      <c r="DH4" s="2041"/>
      <c r="DI4" s="2041"/>
      <c r="DJ4" s="2041"/>
      <c r="DK4" s="2041"/>
      <c r="DL4" s="2041"/>
      <c r="DM4" s="2041"/>
      <c r="DN4" s="2041"/>
      <c r="DO4" s="2041"/>
      <c r="DP4" s="2041"/>
      <c r="DQ4" s="2041"/>
      <c r="DR4" s="2041"/>
      <c r="DT4" s="2041" t="s">
        <v>893</v>
      </c>
      <c r="DU4" s="2041"/>
      <c r="DV4" s="2041"/>
      <c r="DW4" s="2041"/>
      <c r="DX4" s="2041"/>
      <c r="DY4" s="2041"/>
      <c r="DZ4" s="2041"/>
      <c r="EA4" s="2041"/>
      <c r="EB4" s="2041"/>
      <c r="EC4" s="2041"/>
      <c r="ED4" s="2041"/>
      <c r="EE4" s="2041"/>
      <c r="EF4" s="2041"/>
      <c r="EG4" s="2041"/>
      <c r="EI4" s="2041" t="s">
        <v>894</v>
      </c>
      <c r="EJ4" s="2041"/>
      <c r="EK4" s="2041"/>
      <c r="EL4" s="2041"/>
      <c r="EM4" s="2041"/>
      <c r="EN4" s="2041"/>
      <c r="EO4" s="2041"/>
      <c r="EP4" s="2041"/>
      <c r="EQ4" s="2041"/>
      <c r="ER4" s="2041"/>
      <c r="ES4" s="2041"/>
      <c r="ET4" s="2041"/>
      <c r="EU4" s="2041"/>
      <c r="EV4" s="2041"/>
      <c r="EX4" s="2041" t="s">
        <v>895</v>
      </c>
      <c r="EY4" s="2041"/>
      <c r="EZ4" s="2041"/>
      <c r="FA4" s="2041"/>
      <c r="FB4" s="2041"/>
      <c r="FC4" s="2041"/>
      <c r="FD4" s="2041"/>
      <c r="FE4" s="2041"/>
      <c r="FF4" s="2041"/>
      <c r="FG4" s="2041"/>
      <c r="FH4" s="2041"/>
      <c r="FI4" s="2041"/>
      <c r="FJ4" s="2041"/>
      <c r="FK4" s="2041"/>
      <c r="FM4" s="2041" t="s">
        <v>896</v>
      </c>
      <c r="FN4" s="2041"/>
      <c r="FO4" s="2041"/>
      <c r="FP4" s="2041"/>
      <c r="FQ4" s="2041"/>
      <c r="FR4" s="2041"/>
      <c r="FS4" s="2041"/>
      <c r="FT4" s="2041"/>
      <c r="FU4" s="2041"/>
      <c r="FV4" s="2041"/>
      <c r="FW4" s="2041"/>
      <c r="FX4" s="2041"/>
      <c r="FY4" s="2041"/>
      <c r="FZ4" s="2041"/>
      <c r="GB4" s="2041" t="s">
        <v>897</v>
      </c>
      <c r="GC4" s="2041"/>
      <c r="GD4" s="2041"/>
      <c r="GE4" s="2041"/>
      <c r="GF4" s="2041"/>
      <c r="GG4" s="2041"/>
      <c r="GH4" s="2041"/>
      <c r="GI4" s="2041"/>
      <c r="GJ4" s="2041"/>
      <c r="GK4" s="2041"/>
      <c r="GL4" s="2041"/>
      <c r="GM4" s="2041"/>
      <c r="GN4" s="2041"/>
      <c r="GO4" s="2041"/>
      <c r="GQ4" s="2041" t="s">
        <v>898</v>
      </c>
      <c r="GR4" s="2041"/>
      <c r="GS4" s="2041"/>
      <c r="GT4" s="2041"/>
      <c r="GU4" s="2041"/>
      <c r="GV4" s="2041"/>
      <c r="GW4" s="2041"/>
      <c r="GX4" s="2041"/>
      <c r="GY4" s="2041"/>
      <c r="GZ4" s="2041"/>
      <c r="HA4" s="2041"/>
      <c r="HB4" s="2041"/>
      <c r="HC4" s="2041"/>
      <c r="HD4" s="2041"/>
      <c r="HF4" s="2041" t="s">
        <v>899</v>
      </c>
      <c r="HG4" s="2041"/>
      <c r="HH4" s="2041"/>
      <c r="HI4" s="2041"/>
      <c r="HJ4" s="2041"/>
      <c r="HK4" s="2041"/>
      <c r="HL4" s="2041"/>
      <c r="HM4" s="2041"/>
      <c r="HN4" s="2041"/>
      <c r="HO4" s="2041"/>
      <c r="HP4" s="2041"/>
      <c r="HQ4" s="2041"/>
      <c r="HR4" s="2041"/>
      <c r="HS4" s="2041"/>
      <c r="HU4" s="2041" t="s">
        <v>900</v>
      </c>
      <c r="HV4" s="2041"/>
      <c r="HW4" s="2041"/>
      <c r="HX4" s="2041"/>
      <c r="HY4" s="2041"/>
      <c r="HZ4" s="2041"/>
      <c r="IA4" s="2041"/>
      <c r="IB4" s="2041"/>
      <c r="IC4" s="2041"/>
      <c r="ID4" s="2041"/>
      <c r="IE4" s="2041"/>
      <c r="IF4" s="2041"/>
      <c r="IG4" s="2041"/>
      <c r="IH4" s="2041"/>
      <c r="IJ4" s="2036" t="s">
        <v>887</v>
      </c>
      <c r="IK4" s="2036"/>
      <c r="IL4" s="2036"/>
      <c r="IM4" s="2036"/>
      <c r="IN4" s="2036"/>
      <c r="IO4" s="2036"/>
      <c r="IP4" s="2036"/>
      <c r="IQ4" s="2036"/>
      <c r="IR4" s="2036"/>
      <c r="IS4" s="2036"/>
      <c r="IT4" s="2036"/>
      <c r="IU4" s="2036"/>
      <c r="IV4" s="2036"/>
      <c r="IW4" s="2036"/>
      <c r="IY4" s="2036" t="s">
        <v>888</v>
      </c>
      <c r="IZ4" s="2036"/>
      <c r="JA4" s="2036"/>
      <c r="JB4" s="2036"/>
      <c r="JC4" s="2036"/>
      <c r="JD4" s="2036"/>
      <c r="JE4" s="2036"/>
      <c r="JF4" s="2036"/>
      <c r="JG4" s="2036"/>
      <c r="JH4" s="2036"/>
      <c r="JI4" s="2036"/>
      <c r="JJ4" s="2036"/>
      <c r="JK4" s="2036"/>
      <c r="JL4" s="2036"/>
      <c r="JN4" s="2036" t="s">
        <v>889</v>
      </c>
      <c r="JO4" s="2036"/>
      <c r="JP4" s="2036"/>
      <c r="JQ4" s="2036"/>
      <c r="JR4" s="2036"/>
      <c r="JS4" s="2036"/>
      <c r="JT4" s="2036"/>
      <c r="JU4" s="2036"/>
      <c r="JV4" s="2036"/>
      <c r="JW4" s="2036"/>
      <c r="JX4" s="2036"/>
      <c r="JY4" s="2036"/>
      <c r="JZ4" s="2036"/>
      <c r="KA4" s="2036"/>
      <c r="KC4" s="2036" t="s">
        <v>890</v>
      </c>
      <c r="KD4" s="2036"/>
      <c r="KE4" s="2036"/>
      <c r="KF4" s="2036"/>
      <c r="KG4" s="2036"/>
      <c r="KH4" s="2036"/>
      <c r="KI4" s="2036"/>
      <c r="KJ4" s="2036"/>
      <c r="KK4" s="2036"/>
      <c r="KL4" s="2036"/>
      <c r="KM4" s="2036"/>
      <c r="KN4" s="2036"/>
      <c r="KO4" s="2036"/>
      <c r="KP4" s="2036"/>
    </row>
    <row r="5" spans="2:302" ht="13.5" customHeight="1">
      <c r="C5" s="2063" t="s">
        <v>901</v>
      </c>
      <c r="D5" s="2055"/>
      <c r="E5" s="2056"/>
      <c r="F5" s="2063" t="s">
        <v>902</v>
      </c>
      <c r="G5" s="2055"/>
      <c r="H5" s="2056"/>
      <c r="I5" s="2049" t="s">
        <v>853</v>
      </c>
      <c r="J5" s="960" t="s">
        <v>903</v>
      </c>
      <c r="K5" s="2069" t="s">
        <v>904</v>
      </c>
      <c r="L5" s="2070"/>
      <c r="M5" s="2070"/>
      <c r="N5" s="2071"/>
      <c r="O5" s="2049" t="s">
        <v>905</v>
      </c>
      <c r="P5" s="2075" t="s">
        <v>906</v>
      </c>
      <c r="Q5" s="2078" t="s">
        <v>907</v>
      </c>
      <c r="R5" s="2054" t="s">
        <v>901</v>
      </c>
      <c r="S5" s="2055"/>
      <c r="T5" s="2056"/>
      <c r="U5" s="2063" t="s">
        <v>902</v>
      </c>
      <c r="V5" s="2055"/>
      <c r="W5" s="2056"/>
      <c r="X5" s="2066" t="s">
        <v>789</v>
      </c>
      <c r="Y5" s="2066" t="s">
        <v>908</v>
      </c>
      <c r="Z5" s="2049" t="s">
        <v>909</v>
      </c>
      <c r="AA5" s="2049" t="s">
        <v>910</v>
      </c>
      <c r="AB5" s="2049" t="s">
        <v>911</v>
      </c>
      <c r="AC5" s="2049" t="s">
        <v>47</v>
      </c>
      <c r="AD5" s="953"/>
      <c r="AE5" s="953"/>
      <c r="AH5" s="2047" t="s">
        <v>912</v>
      </c>
      <c r="AI5" s="2047" t="s">
        <v>912</v>
      </c>
      <c r="AJ5" s="2047" t="s">
        <v>912</v>
      </c>
      <c r="AK5" s="2047" t="s">
        <v>912</v>
      </c>
      <c r="AL5" s="2047" t="s">
        <v>912</v>
      </c>
      <c r="AM5" s="2047" t="s">
        <v>912</v>
      </c>
      <c r="AN5" s="2047" t="s">
        <v>912</v>
      </c>
      <c r="AO5" s="2047" t="s">
        <v>912</v>
      </c>
      <c r="AQ5" s="2047" t="s">
        <v>912</v>
      </c>
      <c r="AR5" s="2047" t="s">
        <v>912</v>
      </c>
      <c r="AS5" s="2047" t="s">
        <v>912</v>
      </c>
      <c r="AT5" s="2047" t="s">
        <v>912</v>
      </c>
      <c r="AU5" s="2047" t="s">
        <v>912</v>
      </c>
      <c r="AV5" s="2047" t="s">
        <v>912</v>
      </c>
      <c r="AW5" s="2047" t="s">
        <v>912</v>
      </c>
      <c r="AX5" s="2047" t="s">
        <v>912</v>
      </c>
      <c r="AY5" s="2047" t="s">
        <v>912</v>
      </c>
      <c r="AZ5" s="2047" t="s">
        <v>912</v>
      </c>
      <c r="BA5" s="2047" t="s">
        <v>912</v>
      </c>
      <c r="BB5" s="2047" t="s">
        <v>912</v>
      </c>
      <c r="BC5" s="2047" t="s">
        <v>912</v>
      </c>
      <c r="BD5" s="2047" t="s">
        <v>912</v>
      </c>
      <c r="BF5" s="2047" t="s">
        <v>912</v>
      </c>
      <c r="BG5" s="2047" t="s">
        <v>912</v>
      </c>
      <c r="BH5" s="2047" t="s">
        <v>912</v>
      </c>
      <c r="BI5" s="2047" t="s">
        <v>912</v>
      </c>
      <c r="BJ5" s="2047" t="s">
        <v>912</v>
      </c>
      <c r="BK5" s="2047" t="s">
        <v>912</v>
      </c>
      <c r="BL5" s="2047" t="s">
        <v>912</v>
      </c>
      <c r="BM5" s="2047" t="s">
        <v>912</v>
      </c>
      <c r="BN5" s="2047" t="s">
        <v>912</v>
      </c>
      <c r="BO5" s="2047" t="s">
        <v>912</v>
      </c>
      <c r="BP5" s="2047" t="s">
        <v>912</v>
      </c>
      <c r="BQ5" s="2047" t="s">
        <v>912</v>
      </c>
      <c r="BR5" s="2047" t="s">
        <v>912</v>
      </c>
      <c r="BS5" s="2047" t="s">
        <v>912</v>
      </c>
      <c r="BU5" s="2047" t="s">
        <v>912</v>
      </c>
      <c r="BV5" s="2047" t="s">
        <v>912</v>
      </c>
      <c r="BW5" s="2047" t="s">
        <v>912</v>
      </c>
      <c r="BX5" s="2047" t="s">
        <v>912</v>
      </c>
      <c r="BY5" s="2047" t="s">
        <v>912</v>
      </c>
      <c r="BZ5" s="2047" t="s">
        <v>912</v>
      </c>
      <c r="CA5" s="2047" t="s">
        <v>912</v>
      </c>
      <c r="CB5" s="2047" t="s">
        <v>912</v>
      </c>
      <c r="CC5" s="2047" t="s">
        <v>912</v>
      </c>
      <c r="CD5" s="2047" t="s">
        <v>912</v>
      </c>
      <c r="CE5" s="2047" t="s">
        <v>912</v>
      </c>
      <c r="CF5" s="2047" t="s">
        <v>912</v>
      </c>
      <c r="CG5" s="961"/>
      <c r="CH5" s="2047" t="s">
        <v>912</v>
      </c>
      <c r="CI5" s="2047" t="s">
        <v>912</v>
      </c>
      <c r="CJ5" s="2047" t="s">
        <v>912</v>
      </c>
      <c r="CK5" s="2047" t="s">
        <v>912</v>
      </c>
      <c r="CL5" s="2047" t="s">
        <v>912</v>
      </c>
      <c r="CM5" s="2047" t="s">
        <v>912</v>
      </c>
      <c r="CN5" s="2047" t="s">
        <v>912</v>
      </c>
      <c r="CP5" s="2047" t="s">
        <v>912</v>
      </c>
      <c r="CQ5" s="2047" t="s">
        <v>912</v>
      </c>
      <c r="CR5" s="2047" t="s">
        <v>912</v>
      </c>
      <c r="CS5" s="2047" t="s">
        <v>912</v>
      </c>
      <c r="CT5" s="2047" t="s">
        <v>912</v>
      </c>
      <c r="CU5" s="2047" t="s">
        <v>912</v>
      </c>
      <c r="CV5" s="2047" t="s">
        <v>912</v>
      </c>
      <c r="CW5" s="2047" t="s">
        <v>912</v>
      </c>
      <c r="CX5" s="2047" t="s">
        <v>912</v>
      </c>
      <c r="CY5" s="2047" t="s">
        <v>912</v>
      </c>
      <c r="CZ5" s="2047" t="s">
        <v>912</v>
      </c>
      <c r="DA5" s="2047" t="s">
        <v>912</v>
      </c>
      <c r="DB5" s="2047" t="s">
        <v>912</v>
      </c>
      <c r="DC5" s="2047" t="s">
        <v>912</v>
      </c>
      <c r="DE5" s="2047" t="s">
        <v>912</v>
      </c>
      <c r="DF5" s="2047" t="s">
        <v>912</v>
      </c>
      <c r="DG5" s="2047" t="s">
        <v>912</v>
      </c>
      <c r="DH5" s="2047" t="s">
        <v>912</v>
      </c>
      <c r="DI5" s="2047" t="s">
        <v>912</v>
      </c>
      <c r="DJ5" s="2047" t="s">
        <v>912</v>
      </c>
      <c r="DK5" s="2047" t="s">
        <v>912</v>
      </c>
      <c r="DL5" s="2047" t="s">
        <v>912</v>
      </c>
      <c r="DM5" s="2047" t="s">
        <v>912</v>
      </c>
      <c r="DN5" s="2047" t="s">
        <v>912</v>
      </c>
      <c r="DO5" s="2047" t="s">
        <v>912</v>
      </c>
      <c r="DP5" s="2047" t="s">
        <v>912</v>
      </c>
      <c r="DQ5" s="2047" t="s">
        <v>912</v>
      </c>
      <c r="DR5" s="2047" t="s">
        <v>912</v>
      </c>
      <c r="DT5" s="2047" t="s">
        <v>912</v>
      </c>
      <c r="DU5" s="2047" t="s">
        <v>912</v>
      </c>
      <c r="DV5" s="2047" t="s">
        <v>912</v>
      </c>
      <c r="DW5" s="2047" t="s">
        <v>912</v>
      </c>
      <c r="DX5" s="2047" t="s">
        <v>912</v>
      </c>
      <c r="DY5" s="2047" t="s">
        <v>912</v>
      </c>
      <c r="DZ5" s="2047" t="s">
        <v>912</v>
      </c>
      <c r="EA5" s="2047" t="s">
        <v>912</v>
      </c>
      <c r="EB5" s="2047" t="s">
        <v>912</v>
      </c>
      <c r="EC5" s="2047" t="s">
        <v>912</v>
      </c>
      <c r="ED5" s="2047" t="s">
        <v>912</v>
      </c>
      <c r="EE5" s="2047" t="s">
        <v>912</v>
      </c>
      <c r="EF5" s="2047" t="s">
        <v>912</v>
      </c>
      <c r="EG5" s="2047" t="s">
        <v>912</v>
      </c>
      <c r="EI5" s="2047" t="s">
        <v>912</v>
      </c>
      <c r="EJ5" s="2047" t="s">
        <v>912</v>
      </c>
      <c r="EK5" s="2047" t="s">
        <v>912</v>
      </c>
      <c r="EL5" s="2047" t="s">
        <v>912</v>
      </c>
      <c r="EM5" s="2047" t="s">
        <v>912</v>
      </c>
      <c r="EN5" s="2047" t="s">
        <v>912</v>
      </c>
      <c r="EO5" s="2047" t="s">
        <v>912</v>
      </c>
      <c r="EP5" s="2047" t="s">
        <v>912</v>
      </c>
      <c r="EQ5" s="2047" t="s">
        <v>912</v>
      </c>
      <c r="ER5" s="2047" t="s">
        <v>912</v>
      </c>
      <c r="ES5" s="2047" t="s">
        <v>912</v>
      </c>
      <c r="ET5" s="2047" t="s">
        <v>912</v>
      </c>
      <c r="EU5" s="2047" t="s">
        <v>912</v>
      </c>
      <c r="EV5" s="2047" t="s">
        <v>912</v>
      </c>
      <c r="EX5" s="2047" t="s">
        <v>912</v>
      </c>
      <c r="EY5" s="2047" t="s">
        <v>912</v>
      </c>
      <c r="EZ5" s="2047" t="s">
        <v>912</v>
      </c>
      <c r="FA5" s="2047" t="s">
        <v>912</v>
      </c>
      <c r="FB5" s="2047" t="s">
        <v>912</v>
      </c>
      <c r="FC5" s="2047" t="s">
        <v>912</v>
      </c>
      <c r="FD5" s="2047" t="s">
        <v>912</v>
      </c>
      <c r="FE5" s="2047" t="s">
        <v>912</v>
      </c>
      <c r="FF5" s="2047" t="s">
        <v>912</v>
      </c>
      <c r="FG5" s="2047" t="s">
        <v>912</v>
      </c>
      <c r="FH5" s="2047" t="s">
        <v>912</v>
      </c>
      <c r="FI5" s="2047" t="s">
        <v>912</v>
      </c>
      <c r="FJ5" s="2047" t="s">
        <v>912</v>
      </c>
      <c r="FK5" s="2047" t="s">
        <v>912</v>
      </c>
      <c r="FM5" s="2047" t="s">
        <v>912</v>
      </c>
      <c r="FN5" s="2047" t="s">
        <v>912</v>
      </c>
      <c r="FO5" s="2047" t="s">
        <v>912</v>
      </c>
      <c r="FP5" s="2047" t="s">
        <v>912</v>
      </c>
      <c r="FQ5" s="2047" t="s">
        <v>912</v>
      </c>
      <c r="FR5" s="2047" t="s">
        <v>912</v>
      </c>
      <c r="FS5" s="2047" t="s">
        <v>912</v>
      </c>
      <c r="FT5" s="2047" t="s">
        <v>912</v>
      </c>
      <c r="FU5" s="2047" t="s">
        <v>912</v>
      </c>
      <c r="FV5" s="2047" t="s">
        <v>912</v>
      </c>
      <c r="FW5" s="2047" t="s">
        <v>912</v>
      </c>
      <c r="FX5" s="2047" t="s">
        <v>912</v>
      </c>
      <c r="FY5" s="2047" t="s">
        <v>912</v>
      </c>
      <c r="FZ5" s="2047" t="s">
        <v>912</v>
      </c>
      <c r="GB5" s="2047" t="s">
        <v>912</v>
      </c>
      <c r="GC5" s="2047" t="s">
        <v>912</v>
      </c>
      <c r="GD5" s="2047" t="s">
        <v>912</v>
      </c>
      <c r="GE5" s="2047" t="s">
        <v>912</v>
      </c>
      <c r="GF5" s="2047" t="s">
        <v>912</v>
      </c>
      <c r="GG5" s="2047" t="s">
        <v>912</v>
      </c>
      <c r="GH5" s="2047" t="s">
        <v>912</v>
      </c>
      <c r="GI5" s="2047" t="s">
        <v>912</v>
      </c>
      <c r="GJ5" s="2047" t="s">
        <v>912</v>
      </c>
      <c r="GK5" s="2047" t="s">
        <v>912</v>
      </c>
      <c r="GL5" s="2047" t="s">
        <v>912</v>
      </c>
      <c r="GM5" s="2047" t="s">
        <v>912</v>
      </c>
      <c r="GN5" s="2047" t="s">
        <v>912</v>
      </c>
      <c r="GO5" s="2047" t="s">
        <v>912</v>
      </c>
      <c r="GQ5" s="2047" t="s">
        <v>912</v>
      </c>
      <c r="GR5" s="2047" t="s">
        <v>912</v>
      </c>
      <c r="GS5" s="2047" t="s">
        <v>912</v>
      </c>
      <c r="GT5" s="2047" t="s">
        <v>912</v>
      </c>
      <c r="GU5" s="2047" t="s">
        <v>912</v>
      </c>
      <c r="GV5" s="2047" t="s">
        <v>912</v>
      </c>
      <c r="GW5" s="2047" t="s">
        <v>912</v>
      </c>
      <c r="GX5" s="2047" t="s">
        <v>912</v>
      </c>
      <c r="GY5" s="2047" t="s">
        <v>912</v>
      </c>
      <c r="GZ5" s="2047" t="s">
        <v>912</v>
      </c>
      <c r="HA5" s="2047" t="s">
        <v>912</v>
      </c>
      <c r="HB5" s="2047" t="s">
        <v>912</v>
      </c>
      <c r="HC5" s="2047" t="s">
        <v>912</v>
      </c>
      <c r="HD5" s="2047" t="s">
        <v>912</v>
      </c>
      <c r="HF5" s="2047" t="s">
        <v>912</v>
      </c>
      <c r="HG5" s="2047" t="s">
        <v>912</v>
      </c>
      <c r="HH5" s="2047" t="s">
        <v>912</v>
      </c>
      <c r="HI5" s="2047" t="s">
        <v>912</v>
      </c>
      <c r="HJ5" s="2047" t="s">
        <v>912</v>
      </c>
      <c r="HK5" s="2047" t="s">
        <v>912</v>
      </c>
      <c r="HL5" s="2047" t="s">
        <v>912</v>
      </c>
      <c r="HM5" s="2047" t="s">
        <v>912</v>
      </c>
      <c r="HN5" s="2047" t="s">
        <v>912</v>
      </c>
      <c r="HO5" s="2047" t="s">
        <v>912</v>
      </c>
      <c r="HP5" s="2047" t="s">
        <v>912</v>
      </c>
      <c r="HQ5" s="2047" t="s">
        <v>912</v>
      </c>
      <c r="HR5" s="2047" t="s">
        <v>912</v>
      </c>
      <c r="HS5" s="2047" t="s">
        <v>912</v>
      </c>
      <c r="HU5" s="2047" t="s">
        <v>912</v>
      </c>
      <c r="HV5" s="2047" t="s">
        <v>912</v>
      </c>
      <c r="HW5" s="2047" t="s">
        <v>912</v>
      </c>
      <c r="HX5" s="2047" t="s">
        <v>912</v>
      </c>
      <c r="HY5" s="2047" t="s">
        <v>912</v>
      </c>
      <c r="HZ5" s="2047" t="s">
        <v>912</v>
      </c>
      <c r="IA5" s="2047" t="s">
        <v>912</v>
      </c>
      <c r="IB5" s="2047" t="s">
        <v>912</v>
      </c>
      <c r="IC5" s="2047" t="s">
        <v>912</v>
      </c>
      <c r="ID5" s="2047" t="s">
        <v>912</v>
      </c>
      <c r="IE5" s="2047" t="s">
        <v>912</v>
      </c>
      <c r="IF5" s="2047" t="s">
        <v>912</v>
      </c>
      <c r="IG5" s="2047" t="s">
        <v>912</v>
      </c>
      <c r="IH5" s="2047" t="s">
        <v>912</v>
      </c>
      <c r="IJ5" s="2047" t="s">
        <v>912</v>
      </c>
      <c r="IK5" s="2047" t="s">
        <v>912</v>
      </c>
      <c r="IL5" s="2047" t="s">
        <v>912</v>
      </c>
      <c r="IM5" s="2047" t="s">
        <v>912</v>
      </c>
      <c r="IN5" s="2047" t="s">
        <v>912</v>
      </c>
      <c r="IO5" s="2047" t="s">
        <v>912</v>
      </c>
      <c r="IP5" s="2047" t="s">
        <v>912</v>
      </c>
      <c r="IQ5" s="2047" t="s">
        <v>912</v>
      </c>
      <c r="IR5" s="2047" t="s">
        <v>912</v>
      </c>
      <c r="IS5" s="2047" t="s">
        <v>912</v>
      </c>
      <c r="IT5" s="2047" t="s">
        <v>912</v>
      </c>
      <c r="IU5" s="2047" t="s">
        <v>912</v>
      </c>
      <c r="IV5" s="2047" t="s">
        <v>912</v>
      </c>
      <c r="IW5" s="2047" t="s">
        <v>912</v>
      </c>
      <c r="IY5" s="2047" t="s">
        <v>912</v>
      </c>
      <c r="IZ5" s="2047" t="s">
        <v>912</v>
      </c>
      <c r="JA5" s="2047" t="s">
        <v>912</v>
      </c>
      <c r="JB5" s="2047" t="s">
        <v>912</v>
      </c>
      <c r="JC5" s="2047" t="s">
        <v>912</v>
      </c>
      <c r="JD5" s="2047" t="s">
        <v>912</v>
      </c>
      <c r="JE5" s="2047" t="s">
        <v>912</v>
      </c>
      <c r="JF5" s="2047" t="s">
        <v>912</v>
      </c>
      <c r="JG5" s="2047" t="s">
        <v>912</v>
      </c>
      <c r="JH5" s="2047" t="s">
        <v>912</v>
      </c>
      <c r="JI5" s="2047" t="s">
        <v>912</v>
      </c>
      <c r="JJ5" s="2047" t="s">
        <v>912</v>
      </c>
      <c r="JK5" s="2047" t="s">
        <v>912</v>
      </c>
      <c r="JL5" s="2047" t="s">
        <v>912</v>
      </c>
      <c r="JN5" s="2047" t="s">
        <v>912</v>
      </c>
      <c r="JO5" s="2047" t="s">
        <v>912</v>
      </c>
      <c r="JP5" s="2047" t="s">
        <v>912</v>
      </c>
      <c r="JQ5" s="2047" t="s">
        <v>912</v>
      </c>
      <c r="JR5" s="2047" t="s">
        <v>912</v>
      </c>
      <c r="JS5" s="2047" t="s">
        <v>912</v>
      </c>
      <c r="JT5" s="2047" t="s">
        <v>912</v>
      </c>
      <c r="JU5" s="2047" t="s">
        <v>912</v>
      </c>
      <c r="JV5" s="2047" t="s">
        <v>912</v>
      </c>
      <c r="JW5" s="2047" t="s">
        <v>912</v>
      </c>
      <c r="JX5" s="2047" t="s">
        <v>912</v>
      </c>
      <c r="JY5" s="2047" t="s">
        <v>912</v>
      </c>
      <c r="JZ5" s="2047" t="s">
        <v>912</v>
      </c>
      <c r="KA5" s="2047" t="s">
        <v>912</v>
      </c>
      <c r="KC5" s="2047" t="s">
        <v>912</v>
      </c>
      <c r="KD5" s="2047" t="s">
        <v>912</v>
      </c>
      <c r="KE5" s="2047" t="s">
        <v>912</v>
      </c>
      <c r="KF5" s="2047" t="s">
        <v>912</v>
      </c>
      <c r="KG5" s="2047" t="s">
        <v>912</v>
      </c>
      <c r="KH5" s="2047" t="s">
        <v>912</v>
      </c>
      <c r="KI5" s="2047" t="s">
        <v>912</v>
      </c>
      <c r="KJ5" s="2047" t="s">
        <v>912</v>
      </c>
      <c r="KK5" s="2047" t="s">
        <v>912</v>
      </c>
      <c r="KL5" s="2047" t="s">
        <v>912</v>
      </c>
      <c r="KM5" s="2047" t="s">
        <v>912</v>
      </c>
      <c r="KN5" s="2047" t="s">
        <v>912</v>
      </c>
      <c r="KO5" s="2047" t="s">
        <v>912</v>
      </c>
      <c r="KP5" s="2047" t="s">
        <v>912</v>
      </c>
    </row>
    <row r="6" spans="2:302">
      <c r="C6" s="2064"/>
      <c r="D6" s="2058"/>
      <c r="E6" s="2059"/>
      <c r="F6" s="2064"/>
      <c r="G6" s="2058"/>
      <c r="H6" s="2059"/>
      <c r="I6" s="2053"/>
      <c r="J6" s="962">
        <f>'Modelo 10.0 - Resumo e Quant.'!R32</f>
        <v>0</v>
      </c>
      <c r="K6" s="2072"/>
      <c r="L6" s="2073"/>
      <c r="M6" s="2073"/>
      <c r="N6" s="2074"/>
      <c r="O6" s="2053"/>
      <c r="P6" s="2076"/>
      <c r="Q6" s="2079"/>
      <c r="R6" s="2057"/>
      <c r="S6" s="2058"/>
      <c r="T6" s="2059"/>
      <c r="U6" s="2064"/>
      <c r="V6" s="2058"/>
      <c r="W6" s="2059"/>
      <c r="X6" s="2067"/>
      <c r="Y6" s="2067"/>
      <c r="Z6" s="2053"/>
      <c r="AA6" s="2053"/>
      <c r="AB6" s="2053"/>
      <c r="AC6" s="2053"/>
      <c r="AD6" s="953"/>
      <c r="AE6" s="953"/>
      <c r="AH6" s="2048"/>
      <c r="AI6" s="2048"/>
      <c r="AJ6" s="2048"/>
      <c r="AK6" s="2048"/>
      <c r="AL6" s="2048"/>
      <c r="AM6" s="2048"/>
      <c r="AN6" s="2048"/>
      <c r="AO6" s="2048"/>
      <c r="AQ6" s="2048"/>
      <c r="AR6" s="2048"/>
      <c r="AS6" s="2048"/>
      <c r="AT6" s="2048"/>
      <c r="AU6" s="2048"/>
      <c r="AV6" s="2048"/>
      <c r="AW6" s="2048"/>
      <c r="AX6" s="2048"/>
      <c r="AY6" s="2048"/>
      <c r="AZ6" s="2048"/>
      <c r="BA6" s="2048"/>
      <c r="BB6" s="2048"/>
      <c r="BC6" s="2048"/>
      <c r="BD6" s="2048"/>
      <c r="BF6" s="2048"/>
      <c r="BG6" s="2048"/>
      <c r="BH6" s="2048"/>
      <c r="BI6" s="2048"/>
      <c r="BJ6" s="2048"/>
      <c r="BK6" s="2048"/>
      <c r="BL6" s="2048"/>
      <c r="BM6" s="2048"/>
      <c r="BN6" s="2048"/>
      <c r="BO6" s="2048"/>
      <c r="BP6" s="2048"/>
      <c r="BQ6" s="2048"/>
      <c r="BR6" s="2048"/>
      <c r="BS6" s="2048"/>
      <c r="BU6" s="2048"/>
      <c r="BV6" s="2048"/>
      <c r="BW6" s="2048"/>
      <c r="BX6" s="2048"/>
      <c r="BY6" s="2048"/>
      <c r="BZ6" s="2048"/>
      <c r="CA6" s="2048"/>
      <c r="CB6" s="2048"/>
      <c r="CC6" s="2048"/>
      <c r="CD6" s="2048"/>
      <c r="CE6" s="2048"/>
      <c r="CF6" s="2048"/>
      <c r="CG6" s="961"/>
      <c r="CH6" s="2048"/>
      <c r="CI6" s="2048"/>
      <c r="CJ6" s="2048"/>
      <c r="CK6" s="2048"/>
      <c r="CL6" s="2048"/>
      <c r="CM6" s="2048"/>
      <c r="CN6" s="2048"/>
      <c r="CP6" s="2048"/>
      <c r="CQ6" s="2048"/>
      <c r="CR6" s="2048"/>
      <c r="CS6" s="2048"/>
      <c r="CT6" s="2048"/>
      <c r="CU6" s="2048"/>
      <c r="CV6" s="2048"/>
      <c r="CW6" s="2048"/>
      <c r="CX6" s="2048"/>
      <c r="CY6" s="2048"/>
      <c r="CZ6" s="2048"/>
      <c r="DA6" s="2048"/>
      <c r="DB6" s="2048"/>
      <c r="DC6" s="2048"/>
      <c r="DE6" s="2048"/>
      <c r="DF6" s="2048"/>
      <c r="DG6" s="2048"/>
      <c r="DH6" s="2048"/>
      <c r="DI6" s="2048"/>
      <c r="DJ6" s="2048"/>
      <c r="DK6" s="2048"/>
      <c r="DL6" s="2048"/>
      <c r="DM6" s="2048"/>
      <c r="DN6" s="2048"/>
      <c r="DO6" s="2048"/>
      <c r="DP6" s="2048"/>
      <c r="DQ6" s="2048"/>
      <c r="DR6" s="2048"/>
      <c r="DT6" s="2048"/>
      <c r="DU6" s="2048"/>
      <c r="DV6" s="2048"/>
      <c r="DW6" s="2048"/>
      <c r="DX6" s="2048"/>
      <c r="DY6" s="2048"/>
      <c r="DZ6" s="2048"/>
      <c r="EA6" s="2048"/>
      <c r="EB6" s="2048"/>
      <c r="EC6" s="2048"/>
      <c r="ED6" s="2048"/>
      <c r="EE6" s="2048"/>
      <c r="EF6" s="2048"/>
      <c r="EG6" s="2048"/>
      <c r="EI6" s="2048"/>
      <c r="EJ6" s="2048"/>
      <c r="EK6" s="2048"/>
      <c r="EL6" s="2048"/>
      <c r="EM6" s="2048"/>
      <c r="EN6" s="2048"/>
      <c r="EO6" s="2048"/>
      <c r="EP6" s="2048"/>
      <c r="EQ6" s="2048"/>
      <c r="ER6" s="2048"/>
      <c r="ES6" s="2048"/>
      <c r="ET6" s="2048"/>
      <c r="EU6" s="2048"/>
      <c r="EV6" s="2048"/>
      <c r="EX6" s="2048"/>
      <c r="EY6" s="2048"/>
      <c r="EZ6" s="2048"/>
      <c r="FA6" s="2048"/>
      <c r="FB6" s="2048"/>
      <c r="FC6" s="2048"/>
      <c r="FD6" s="2048"/>
      <c r="FE6" s="2048"/>
      <c r="FF6" s="2048"/>
      <c r="FG6" s="2048"/>
      <c r="FH6" s="2048"/>
      <c r="FI6" s="2048"/>
      <c r="FJ6" s="2048"/>
      <c r="FK6" s="2048"/>
      <c r="FM6" s="2048"/>
      <c r="FN6" s="2048"/>
      <c r="FO6" s="2048"/>
      <c r="FP6" s="2048"/>
      <c r="FQ6" s="2048"/>
      <c r="FR6" s="2048"/>
      <c r="FS6" s="2048"/>
      <c r="FT6" s="2048"/>
      <c r="FU6" s="2048"/>
      <c r="FV6" s="2048"/>
      <c r="FW6" s="2048"/>
      <c r="FX6" s="2048"/>
      <c r="FY6" s="2048"/>
      <c r="FZ6" s="2048"/>
      <c r="GB6" s="2048"/>
      <c r="GC6" s="2048"/>
      <c r="GD6" s="2048"/>
      <c r="GE6" s="2048"/>
      <c r="GF6" s="2048"/>
      <c r="GG6" s="2048"/>
      <c r="GH6" s="2048"/>
      <c r="GI6" s="2048"/>
      <c r="GJ6" s="2048"/>
      <c r="GK6" s="2048"/>
      <c r="GL6" s="2048"/>
      <c r="GM6" s="2048"/>
      <c r="GN6" s="2048"/>
      <c r="GO6" s="2048"/>
      <c r="GQ6" s="2048"/>
      <c r="GR6" s="2048"/>
      <c r="GS6" s="2048"/>
      <c r="GT6" s="2048"/>
      <c r="GU6" s="2048"/>
      <c r="GV6" s="2048"/>
      <c r="GW6" s="2048"/>
      <c r="GX6" s="2048"/>
      <c r="GY6" s="2048"/>
      <c r="GZ6" s="2048"/>
      <c r="HA6" s="2048"/>
      <c r="HB6" s="2048"/>
      <c r="HC6" s="2048"/>
      <c r="HD6" s="2048"/>
      <c r="HF6" s="2048"/>
      <c r="HG6" s="2048"/>
      <c r="HH6" s="2048"/>
      <c r="HI6" s="2048"/>
      <c r="HJ6" s="2048"/>
      <c r="HK6" s="2048"/>
      <c r="HL6" s="2048"/>
      <c r="HM6" s="2048"/>
      <c r="HN6" s="2048"/>
      <c r="HO6" s="2048"/>
      <c r="HP6" s="2048"/>
      <c r="HQ6" s="2048"/>
      <c r="HR6" s="2048"/>
      <c r="HS6" s="2048"/>
      <c r="HU6" s="2048"/>
      <c r="HV6" s="2048"/>
      <c r="HW6" s="2048"/>
      <c r="HX6" s="2048"/>
      <c r="HY6" s="2048"/>
      <c r="HZ6" s="2048"/>
      <c r="IA6" s="2048"/>
      <c r="IB6" s="2048"/>
      <c r="IC6" s="2048"/>
      <c r="ID6" s="2048"/>
      <c r="IE6" s="2048"/>
      <c r="IF6" s="2048"/>
      <c r="IG6" s="2048"/>
      <c r="IH6" s="2048"/>
      <c r="IJ6" s="2048"/>
      <c r="IK6" s="2048"/>
      <c r="IL6" s="2048"/>
      <c r="IM6" s="2048"/>
      <c r="IN6" s="2048"/>
      <c r="IO6" s="2048"/>
      <c r="IP6" s="2048"/>
      <c r="IQ6" s="2048"/>
      <c r="IR6" s="2048"/>
      <c r="IS6" s="2048"/>
      <c r="IT6" s="2048"/>
      <c r="IU6" s="2048"/>
      <c r="IV6" s="2048"/>
      <c r="IW6" s="2048"/>
      <c r="IY6" s="2048"/>
      <c r="IZ6" s="2048"/>
      <c r="JA6" s="2048"/>
      <c r="JB6" s="2048"/>
      <c r="JC6" s="2048"/>
      <c r="JD6" s="2048"/>
      <c r="JE6" s="2048"/>
      <c r="JF6" s="2048"/>
      <c r="JG6" s="2048"/>
      <c r="JH6" s="2048"/>
      <c r="JI6" s="2048"/>
      <c r="JJ6" s="2048"/>
      <c r="JK6" s="2048"/>
      <c r="JL6" s="2048"/>
      <c r="JN6" s="2048"/>
      <c r="JO6" s="2048"/>
      <c r="JP6" s="2048"/>
      <c r="JQ6" s="2048"/>
      <c r="JR6" s="2048"/>
      <c r="JS6" s="2048"/>
      <c r="JT6" s="2048"/>
      <c r="JU6" s="2048"/>
      <c r="JV6" s="2048"/>
      <c r="JW6" s="2048"/>
      <c r="JX6" s="2048"/>
      <c r="JY6" s="2048"/>
      <c r="JZ6" s="2048"/>
      <c r="KA6" s="2048"/>
      <c r="KC6" s="2048"/>
      <c r="KD6" s="2048"/>
      <c r="KE6" s="2048"/>
      <c r="KF6" s="2048"/>
      <c r="KG6" s="2048"/>
      <c r="KH6" s="2048"/>
      <c r="KI6" s="2048"/>
      <c r="KJ6" s="2048"/>
      <c r="KK6" s="2048"/>
      <c r="KL6" s="2048"/>
      <c r="KM6" s="2048"/>
      <c r="KN6" s="2048"/>
      <c r="KO6" s="2048"/>
      <c r="KP6" s="2048"/>
    </row>
    <row r="7" spans="2:302" ht="18" customHeight="1">
      <c r="C7" s="2064"/>
      <c r="D7" s="2058"/>
      <c r="E7" s="2059"/>
      <c r="F7" s="2064"/>
      <c r="G7" s="2058"/>
      <c r="H7" s="2059"/>
      <c r="I7" s="2053"/>
      <c r="J7" s="2049" t="s">
        <v>913</v>
      </c>
      <c r="K7" s="2051" t="s">
        <v>914</v>
      </c>
      <c r="L7" s="2051" t="s">
        <v>915</v>
      </c>
      <c r="M7" s="2051" t="s">
        <v>916</v>
      </c>
      <c r="N7" s="2051" t="s">
        <v>917</v>
      </c>
      <c r="O7" s="2053"/>
      <c r="P7" s="2076"/>
      <c r="Q7" s="2079"/>
      <c r="R7" s="2057"/>
      <c r="S7" s="2058"/>
      <c r="T7" s="2059"/>
      <c r="U7" s="2064"/>
      <c r="V7" s="2058"/>
      <c r="W7" s="2059"/>
      <c r="X7" s="2067"/>
      <c r="Y7" s="2067"/>
      <c r="Z7" s="2053"/>
      <c r="AA7" s="2053"/>
      <c r="AB7" s="2053"/>
      <c r="AC7" s="2053"/>
      <c r="AD7" s="953"/>
      <c r="AE7" s="953"/>
      <c r="AF7" s="963"/>
      <c r="AG7" s="963"/>
      <c r="AH7" s="964" t="s">
        <v>918</v>
      </c>
      <c r="AI7" s="964" t="s">
        <v>919</v>
      </c>
      <c r="AJ7" s="964" t="s">
        <v>920</v>
      </c>
      <c r="AK7" s="964" t="s">
        <v>921</v>
      </c>
      <c r="AL7" s="964" t="s">
        <v>922</v>
      </c>
      <c r="AM7" s="964" t="s">
        <v>923</v>
      </c>
      <c r="AN7" s="964" t="s">
        <v>924</v>
      </c>
      <c r="AO7" s="964" t="s">
        <v>925</v>
      </c>
      <c r="AP7" s="963"/>
      <c r="AQ7" s="964" t="s">
        <v>918</v>
      </c>
      <c r="AR7" s="964" t="s">
        <v>919</v>
      </c>
      <c r="AS7" s="964" t="s">
        <v>920</v>
      </c>
      <c r="AT7" s="964" t="s">
        <v>921</v>
      </c>
      <c r="AU7" s="964" t="s">
        <v>922</v>
      </c>
      <c r="AV7" s="964" t="s">
        <v>923</v>
      </c>
      <c r="AW7" s="964" t="s">
        <v>924</v>
      </c>
      <c r="AX7" s="964" t="s">
        <v>925</v>
      </c>
      <c r="AY7" s="964" t="s">
        <v>926</v>
      </c>
      <c r="AZ7" s="964" t="s">
        <v>927</v>
      </c>
      <c r="BA7" s="964" t="s">
        <v>928</v>
      </c>
      <c r="BB7" s="964" t="s">
        <v>929</v>
      </c>
      <c r="BC7" s="964" t="s">
        <v>930</v>
      </c>
      <c r="BD7" s="964" t="s">
        <v>931</v>
      </c>
      <c r="BF7" s="964" t="s">
        <v>918</v>
      </c>
      <c r="BG7" s="964" t="s">
        <v>919</v>
      </c>
      <c r="BH7" s="964" t="s">
        <v>920</v>
      </c>
      <c r="BI7" s="964" t="s">
        <v>921</v>
      </c>
      <c r="BJ7" s="964" t="s">
        <v>922</v>
      </c>
      <c r="BK7" s="964" t="s">
        <v>923</v>
      </c>
      <c r="BL7" s="964" t="s">
        <v>924</v>
      </c>
      <c r="BM7" s="964" t="s">
        <v>925</v>
      </c>
      <c r="BN7" s="964" t="s">
        <v>926</v>
      </c>
      <c r="BO7" s="964" t="s">
        <v>927</v>
      </c>
      <c r="BP7" s="964" t="s">
        <v>928</v>
      </c>
      <c r="BQ7" s="964" t="s">
        <v>929</v>
      </c>
      <c r="BR7" s="964" t="s">
        <v>930</v>
      </c>
      <c r="BS7" s="965" t="s">
        <v>932</v>
      </c>
      <c r="BU7" s="964" t="s">
        <v>918</v>
      </c>
      <c r="BV7" s="964" t="s">
        <v>919</v>
      </c>
      <c r="BW7" s="964" t="s">
        <v>920</v>
      </c>
      <c r="BX7" s="964" t="s">
        <v>921</v>
      </c>
      <c r="BY7" s="964" t="s">
        <v>922</v>
      </c>
      <c r="BZ7" s="964" t="s">
        <v>923</v>
      </c>
      <c r="CA7" s="964" t="s">
        <v>924</v>
      </c>
      <c r="CB7" s="964" t="s">
        <v>933</v>
      </c>
      <c r="CC7" s="966" t="s">
        <v>934</v>
      </c>
      <c r="CD7" s="966" t="s">
        <v>927</v>
      </c>
      <c r="CE7" s="966" t="s">
        <v>935</v>
      </c>
      <c r="CF7" s="966" t="s">
        <v>936</v>
      </c>
      <c r="CG7" s="966"/>
      <c r="CH7" s="964" t="s">
        <v>918</v>
      </c>
      <c r="CI7" s="964" t="s">
        <v>919</v>
      </c>
      <c r="CJ7" s="964" t="s">
        <v>920</v>
      </c>
      <c r="CK7" s="964" t="s">
        <v>921</v>
      </c>
      <c r="CL7" s="964" t="s">
        <v>922</v>
      </c>
      <c r="CM7" s="964" t="s">
        <v>923</v>
      </c>
      <c r="CN7" s="964" t="s">
        <v>937</v>
      </c>
      <c r="CP7" s="964" t="s">
        <v>918</v>
      </c>
      <c r="CQ7" s="964" t="s">
        <v>919</v>
      </c>
      <c r="CR7" s="964" t="s">
        <v>920</v>
      </c>
      <c r="CS7" s="964" t="s">
        <v>921</v>
      </c>
      <c r="CT7" s="964" t="s">
        <v>922</v>
      </c>
      <c r="CU7" s="964" t="s">
        <v>923</v>
      </c>
      <c r="CV7" s="964" t="s">
        <v>924</v>
      </c>
      <c r="CW7" s="964" t="s">
        <v>925</v>
      </c>
      <c r="CX7" s="964" t="s">
        <v>926</v>
      </c>
      <c r="CY7" s="964" t="s">
        <v>927</v>
      </c>
      <c r="CZ7" s="964" t="s">
        <v>928</v>
      </c>
      <c r="DA7" s="964" t="s">
        <v>929</v>
      </c>
      <c r="DB7" s="964" t="s">
        <v>930</v>
      </c>
      <c r="DC7" s="964" t="s">
        <v>931</v>
      </c>
      <c r="DE7" s="964" t="s">
        <v>918</v>
      </c>
      <c r="DF7" s="964" t="s">
        <v>919</v>
      </c>
      <c r="DG7" s="964" t="s">
        <v>920</v>
      </c>
      <c r="DH7" s="964" t="s">
        <v>921</v>
      </c>
      <c r="DI7" s="964" t="s">
        <v>922</v>
      </c>
      <c r="DJ7" s="964" t="s">
        <v>923</v>
      </c>
      <c r="DK7" s="964" t="s">
        <v>924</v>
      </c>
      <c r="DL7" s="964" t="s">
        <v>925</v>
      </c>
      <c r="DM7" s="964" t="s">
        <v>926</v>
      </c>
      <c r="DN7" s="964" t="s">
        <v>927</v>
      </c>
      <c r="DO7" s="964" t="s">
        <v>928</v>
      </c>
      <c r="DP7" s="964" t="s">
        <v>929</v>
      </c>
      <c r="DQ7" s="964" t="s">
        <v>930</v>
      </c>
      <c r="DR7" s="964" t="s">
        <v>931</v>
      </c>
      <c r="DT7" s="964" t="s">
        <v>918</v>
      </c>
      <c r="DU7" s="964" t="s">
        <v>919</v>
      </c>
      <c r="DV7" s="964" t="s">
        <v>920</v>
      </c>
      <c r="DW7" s="964" t="s">
        <v>921</v>
      </c>
      <c r="DX7" s="964" t="s">
        <v>922</v>
      </c>
      <c r="DY7" s="964" t="s">
        <v>923</v>
      </c>
      <c r="DZ7" s="964" t="s">
        <v>924</v>
      </c>
      <c r="EA7" s="964" t="s">
        <v>925</v>
      </c>
      <c r="EB7" s="964" t="s">
        <v>926</v>
      </c>
      <c r="EC7" s="964" t="s">
        <v>927</v>
      </c>
      <c r="ED7" s="964" t="s">
        <v>928</v>
      </c>
      <c r="EE7" s="964" t="s">
        <v>929</v>
      </c>
      <c r="EF7" s="964" t="s">
        <v>930</v>
      </c>
      <c r="EG7" s="964" t="s">
        <v>931</v>
      </c>
      <c r="EI7" s="964" t="s">
        <v>918</v>
      </c>
      <c r="EJ7" s="964" t="s">
        <v>919</v>
      </c>
      <c r="EK7" s="964" t="s">
        <v>920</v>
      </c>
      <c r="EL7" s="964" t="s">
        <v>921</v>
      </c>
      <c r="EM7" s="964" t="s">
        <v>922</v>
      </c>
      <c r="EN7" s="964" t="s">
        <v>923</v>
      </c>
      <c r="EO7" s="964" t="s">
        <v>924</v>
      </c>
      <c r="EP7" s="964" t="s">
        <v>925</v>
      </c>
      <c r="EQ7" s="964" t="s">
        <v>926</v>
      </c>
      <c r="ER7" s="964" t="s">
        <v>927</v>
      </c>
      <c r="ES7" s="964" t="s">
        <v>928</v>
      </c>
      <c r="ET7" s="964" t="s">
        <v>929</v>
      </c>
      <c r="EU7" s="964" t="s">
        <v>930</v>
      </c>
      <c r="EV7" s="964" t="s">
        <v>931</v>
      </c>
      <c r="EX7" s="964" t="s">
        <v>918</v>
      </c>
      <c r="EY7" s="964" t="s">
        <v>919</v>
      </c>
      <c r="EZ7" s="964" t="s">
        <v>920</v>
      </c>
      <c r="FA7" s="964" t="s">
        <v>921</v>
      </c>
      <c r="FB7" s="964" t="s">
        <v>922</v>
      </c>
      <c r="FC7" s="964" t="s">
        <v>923</v>
      </c>
      <c r="FD7" s="964" t="s">
        <v>924</v>
      </c>
      <c r="FE7" s="964" t="s">
        <v>925</v>
      </c>
      <c r="FF7" s="964" t="s">
        <v>926</v>
      </c>
      <c r="FG7" s="964" t="s">
        <v>927</v>
      </c>
      <c r="FH7" s="964" t="s">
        <v>928</v>
      </c>
      <c r="FI7" s="964" t="s">
        <v>929</v>
      </c>
      <c r="FJ7" s="964" t="s">
        <v>930</v>
      </c>
      <c r="FK7" s="964" t="s">
        <v>931</v>
      </c>
      <c r="FM7" s="964" t="s">
        <v>918</v>
      </c>
      <c r="FN7" s="964" t="s">
        <v>919</v>
      </c>
      <c r="FO7" s="964" t="s">
        <v>920</v>
      </c>
      <c r="FP7" s="964" t="s">
        <v>921</v>
      </c>
      <c r="FQ7" s="964" t="s">
        <v>922</v>
      </c>
      <c r="FR7" s="964" t="s">
        <v>923</v>
      </c>
      <c r="FS7" s="964" t="s">
        <v>924</v>
      </c>
      <c r="FT7" s="964" t="s">
        <v>925</v>
      </c>
      <c r="FU7" s="964" t="s">
        <v>926</v>
      </c>
      <c r="FV7" s="964" t="s">
        <v>927</v>
      </c>
      <c r="FW7" s="964" t="s">
        <v>928</v>
      </c>
      <c r="FX7" s="964" t="s">
        <v>929</v>
      </c>
      <c r="FY7" s="964" t="s">
        <v>930</v>
      </c>
      <c r="FZ7" s="964" t="s">
        <v>931</v>
      </c>
      <c r="GB7" s="964" t="s">
        <v>918</v>
      </c>
      <c r="GC7" s="964" t="s">
        <v>919</v>
      </c>
      <c r="GD7" s="964" t="s">
        <v>920</v>
      </c>
      <c r="GE7" s="964" t="s">
        <v>921</v>
      </c>
      <c r="GF7" s="964" t="s">
        <v>922</v>
      </c>
      <c r="GG7" s="964" t="s">
        <v>923</v>
      </c>
      <c r="GH7" s="964" t="s">
        <v>924</v>
      </c>
      <c r="GI7" s="964" t="s">
        <v>925</v>
      </c>
      <c r="GJ7" s="964" t="s">
        <v>926</v>
      </c>
      <c r="GK7" s="964" t="s">
        <v>927</v>
      </c>
      <c r="GL7" s="964" t="s">
        <v>928</v>
      </c>
      <c r="GM7" s="964" t="s">
        <v>929</v>
      </c>
      <c r="GN7" s="964" t="s">
        <v>930</v>
      </c>
      <c r="GO7" s="964" t="s">
        <v>931</v>
      </c>
      <c r="GQ7" s="964" t="s">
        <v>918</v>
      </c>
      <c r="GR7" s="964" t="s">
        <v>919</v>
      </c>
      <c r="GS7" s="964" t="s">
        <v>920</v>
      </c>
      <c r="GT7" s="964" t="s">
        <v>921</v>
      </c>
      <c r="GU7" s="964" t="s">
        <v>922</v>
      </c>
      <c r="GV7" s="964" t="s">
        <v>923</v>
      </c>
      <c r="GW7" s="964" t="s">
        <v>924</v>
      </c>
      <c r="GX7" s="964" t="s">
        <v>925</v>
      </c>
      <c r="GY7" s="964" t="s">
        <v>926</v>
      </c>
      <c r="GZ7" s="964" t="s">
        <v>927</v>
      </c>
      <c r="HA7" s="964" t="s">
        <v>928</v>
      </c>
      <c r="HB7" s="964" t="s">
        <v>929</v>
      </c>
      <c r="HC7" s="964" t="s">
        <v>930</v>
      </c>
      <c r="HD7" s="964" t="s">
        <v>931</v>
      </c>
      <c r="HF7" s="964" t="s">
        <v>918</v>
      </c>
      <c r="HG7" s="964" t="s">
        <v>919</v>
      </c>
      <c r="HH7" s="964" t="s">
        <v>920</v>
      </c>
      <c r="HI7" s="964" t="s">
        <v>921</v>
      </c>
      <c r="HJ7" s="964" t="s">
        <v>922</v>
      </c>
      <c r="HK7" s="964" t="s">
        <v>923</v>
      </c>
      <c r="HL7" s="964" t="s">
        <v>924</v>
      </c>
      <c r="HM7" s="964" t="s">
        <v>925</v>
      </c>
      <c r="HN7" s="964" t="s">
        <v>926</v>
      </c>
      <c r="HO7" s="964" t="s">
        <v>927</v>
      </c>
      <c r="HP7" s="964" t="s">
        <v>928</v>
      </c>
      <c r="HQ7" s="964" t="s">
        <v>929</v>
      </c>
      <c r="HR7" s="964" t="s">
        <v>930</v>
      </c>
      <c r="HS7" s="964" t="s">
        <v>931</v>
      </c>
      <c r="HU7" s="964" t="s">
        <v>918</v>
      </c>
      <c r="HV7" s="964" t="s">
        <v>919</v>
      </c>
      <c r="HW7" s="964" t="s">
        <v>920</v>
      </c>
      <c r="HX7" s="964" t="s">
        <v>921</v>
      </c>
      <c r="HY7" s="964" t="s">
        <v>922</v>
      </c>
      <c r="HZ7" s="964" t="s">
        <v>923</v>
      </c>
      <c r="IA7" s="964" t="s">
        <v>924</v>
      </c>
      <c r="IB7" s="964" t="s">
        <v>925</v>
      </c>
      <c r="IC7" s="964" t="s">
        <v>926</v>
      </c>
      <c r="ID7" s="964" t="s">
        <v>927</v>
      </c>
      <c r="IE7" s="964" t="s">
        <v>928</v>
      </c>
      <c r="IF7" s="964" t="s">
        <v>929</v>
      </c>
      <c r="IG7" s="964" t="s">
        <v>930</v>
      </c>
      <c r="IH7" s="964" t="s">
        <v>931</v>
      </c>
      <c r="IJ7" s="964" t="s">
        <v>918</v>
      </c>
      <c r="IK7" s="964" t="s">
        <v>919</v>
      </c>
      <c r="IL7" s="964" t="s">
        <v>920</v>
      </c>
      <c r="IM7" s="964" t="s">
        <v>921</v>
      </c>
      <c r="IN7" s="964" t="s">
        <v>922</v>
      </c>
      <c r="IO7" s="964" t="s">
        <v>923</v>
      </c>
      <c r="IP7" s="964" t="s">
        <v>924</v>
      </c>
      <c r="IQ7" s="964" t="s">
        <v>925</v>
      </c>
      <c r="IR7" s="964" t="s">
        <v>926</v>
      </c>
      <c r="IS7" s="964" t="s">
        <v>927</v>
      </c>
      <c r="IT7" s="964" t="s">
        <v>928</v>
      </c>
      <c r="IU7" s="964" t="s">
        <v>929</v>
      </c>
      <c r="IV7" s="964" t="s">
        <v>930</v>
      </c>
      <c r="IW7" s="964" t="s">
        <v>931</v>
      </c>
      <c r="IY7" s="964" t="s">
        <v>918</v>
      </c>
      <c r="IZ7" s="964" t="s">
        <v>919</v>
      </c>
      <c r="JA7" s="964" t="s">
        <v>920</v>
      </c>
      <c r="JB7" s="964" t="s">
        <v>921</v>
      </c>
      <c r="JC7" s="964" t="s">
        <v>922</v>
      </c>
      <c r="JD7" s="964" t="s">
        <v>923</v>
      </c>
      <c r="JE7" s="964" t="s">
        <v>924</v>
      </c>
      <c r="JF7" s="964" t="s">
        <v>925</v>
      </c>
      <c r="JG7" s="964" t="s">
        <v>926</v>
      </c>
      <c r="JH7" s="964" t="s">
        <v>927</v>
      </c>
      <c r="JI7" s="964" t="s">
        <v>928</v>
      </c>
      <c r="JJ7" s="964" t="s">
        <v>929</v>
      </c>
      <c r="JK7" s="964" t="s">
        <v>930</v>
      </c>
      <c r="JL7" s="964" t="s">
        <v>931</v>
      </c>
      <c r="JN7" s="964" t="s">
        <v>918</v>
      </c>
      <c r="JO7" s="964" t="s">
        <v>919</v>
      </c>
      <c r="JP7" s="964" t="s">
        <v>920</v>
      </c>
      <c r="JQ7" s="964" t="s">
        <v>921</v>
      </c>
      <c r="JR7" s="964" t="s">
        <v>922</v>
      </c>
      <c r="JS7" s="964" t="s">
        <v>923</v>
      </c>
      <c r="JT7" s="964" t="s">
        <v>924</v>
      </c>
      <c r="JU7" s="964" t="s">
        <v>925</v>
      </c>
      <c r="JV7" s="964" t="s">
        <v>926</v>
      </c>
      <c r="JW7" s="964" t="s">
        <v>927</v>
      </c>
      <c r="JX7" s="964" t="s">
        <v>928</v>
      </c>
      <c r="JY7" s="964" t="s">
        <v>929</v>
      </c>
      <c r="JZ7" s="964" t="s">
        <v>930</v>
      </c>
      <c r="KA7" s="964" t="s">
        <v>931</v>
      </c>
      <c r="KC7" s="964" t="s">
        <v>918</v>
      </c>
      <c r="KD7" s="964" t="s">
        <v>919</v>
      </c>
      <c r="KE7" s="964" t="s">
        <v>920</v>
      </c>
      <c r="KF7" s="964" t="s">
        <v>921</v>
      </c>
      <c r="KG7" s="964" t="s">
        <v>922</v>
      </c>
      <c r="KH7" s="964" t="s">
        <v>923</v>
      </c>
      <c r="KI7" s="964" t="s">
        <v>924</v>
      </c>
      <c r="KJ7" s="964" t="s">
        <v>925</v>
      </c>
      <c r="KK7" s="964" t="s">
        <v>926</v>
      </c>
      <c r="KL7" s="964" t="s">
        <v>927</v>
      </c>
      <c r="KM7" s="964" t="s">
        <v>928</v>
      </c>
      <c r="KN7" s="964" t="s">
        <v>929</v>
      </c>
      <c r="KO7" s="964" t="s">
        <v>930</v>
      </c>
      <c r="KP7" s="964" t="s">
        <v>931</v>
      </c>
    </row>
    <row r="8" spans="2:302" ht="18" customHeight="1">
      <c r="C8" s="2065"/>
      <c r="D8" s="2061"/>
      <c r="E8" s="2062"/>
      <c r="F8" s="2065"/>
      <c r="G8" s="2061"/>
      <c r="H8" s="2062"/>
      <c r="I8" s="2050"/>
      <c r="J8" s="2050"/>
      <c r="K8" s="2052"/>
      <c r="L8" s="2052"/>
      <c r="M8" s="2052"/>
      <c r="N8" s="2052"/>
      <c r="O8" s="2050"/>
      <c r="P8" s="2077"/>
      <c r="Q8" s="2080"/>
      <c r="R8" s="2060"/>
      <c r="S8" s="2061"/>
      <c r="T8" s="2062"/>
      <c r="U8" s="2065"/>
      <c r="V8" s="2061"/>
      <c r="W8" s="2062"/>
      <c r="X8" s="2068"/>
      <c r="Y8" s="2068"/>
      <c r="Z8" s="2050"/>
      <c r="AA8" s="2050"/>
      <c r="AB8" s="2050"/>
      <c r="AC8" s="2050"/>
      <c r="AD8" s="953"/>
      <c r="AE8" s="953"/>
      <c r="AF8" s="963"/>
      <c r="AG8" s="963"/>
      <c r="AH8" s="967">
        <v>0.05</v>
      </c>
      <c r="AI8" s="967">
        <v>0.2</v>
      </c>
      <c r="AJ8" s="967">
        <v>0.4</v>
      </c>
      <c r="AK8" s="967">
        <v>0.6</v>
      </c>
      <c r="AL8" s="967">
        <v>0.8</v>
      </c>
      <c r="AM8" s="967">
        <v>1</v>
      </c>
      <c r="AN8" s="967">
        <v>1.2</v>
      </c>
      <c r="AO8" s="967">
        <v>1.4</v>
      </c>
      <c r="AP8" s="963"/>
      <c r="AQ8" s="967">
        <v>0.05</v>
      </c>
      <c r="AR8" s="967">
        <v>0.2</v>
      </c>
      <c r="AS8" s="967">
        <v>0.4</v>
      </c>
      <c r="AT8" s="967">
        <v>0.6</v>
      </c>
      <c r="AU8" s="967">
        <v>0.8</v>
      </c>
      <c r="AV8" s="967">
        <v>1</v>
      </c>
      <c r="AW8" s="967">
        <v>1.2</v>
      </c>
      <c r="AX8" s="967">
        <v>1.4</v>
      </c>
      <c r="AY8" s="967">
        <v>1.6</v>
      </c>
      <c r="AZ8" s="967">
        <v>1.8</v>
      </c>
      <c r="BA8" s="967">
        <v>2</v>
      </c>
      <c r="BB8" s="967">
        <v>3</v>
      </c>
      <c r="BC8" s="967">
        <v>5</v>
      </c>
      <c r="BD8" s="967">
        <v>10</v>
      </c>
      <c r="BE8" s="968"/>
      <c r="BF8" s="967">
        <v>0.05</v>
      </c>
      <c r="BG8" s="967">
        <v>0.2</v>
      </c>
      <c r="BH8" s="967">
        <v>0.4</v>
      </c>
      <c r="BI8" s="967">
        <v>0.6</v>
      </c>
      <c r="BJ8" s="967">
        <v>0.8</v>
      </c>
      <c r="BK8" s="967">
        <v>1</v>
      </c>
      <c r="BL8" s="967">
        <v>1.2</v>
      </c>
      <c r="BM8" s="967">
        <v>1.4</v>
      </c>
      <c r="BN8" s="967">
        <v>1.6</v>
      </c>
      <c r="BO8" s="967">
        <v>1.8</v>
      </c>
      <c r="BP8" s="967">
        <v>2</v>
      </c>
      <c r="BQ8" s="967">
        <v>3</v>
      </c>
      <c r="BR8" s="967">
        <v>5</v>
      </c>
      <c r="BS8" s="967">
        <v>10</v>
      </c>
      <c r="BU8" s="969">
        <v>0.05</v>
      </c>
      <c r="BV8" s="966">
        <v>0.2</v>
      </c>
      <c r="BW8" s="966">
        <v>0.4</v>
      </c>
      <c r="BX8" s="966">
        <v>0.6</v>
      </c>
      <c r="BY8" s="966">
        <v>0.8</v>
      </c>
      <c r="BZ8" s="966">
        <v>1</v>
      </c>
      <c r="CA8" s="966">
        <v>1.2</v>
      </c>
      <c r="CB8" s="970">
        <v>1.4</v>
      </c>
      <c r="CC8" s="966">
        <v>1.6</v>
      </c>
      <c r="CD8" s="966">
        <v>1.8</v>
      </c>
      <c r="CE8" s="966">
        <v>2</v>
      </c>
      <c r="CF8" s="966">
        <v>2.0009999999999999</v>
      </c>
      <c r="CG8" s="966"/>
      <c r="CH8" s="969">
        <v>0.05</v>
      </c>
      <c r="CI8" s="966">
        <v>0.2</v>
      </c>
      <c r="CJ8" s="966">
        <v>0.4</v>
      </c>
      <c r="CK8" s="966">
        <v>0.6</v>
      </c>
      <c r="CL8" s="966">
        <v>0.8</v>
      </c>
      <c r="CM8" s="966">
        <v>1</v>
      </c>
      <c r="CN8" s="970">
        <v>10</v>
      </c>
      <c r="CP8" s="967">
        <v>0.05</v>
      </c>
      <c r="CQ8" s="967">
        <v>0.2</v>
      </c>
      <c r="CR8" s="967">
        <v>0.4</v>
      </c>
      <c r="CS8" s="967">
        <v>0.6</v>
      </c>
      <c r="CT8" s="967">
        <v>0.8</v>
      </c>
      <c r="CU8" s="967">
        <v>1</v>
      </c>
      <c r="CV8" s="967">
        <v>1.2</v>
      </c>
      <c r="CW8" s="967">
        <v>1.4</v>
      </c>
      <c r="CX8" s="967">
        <v>1.6</v>
      </c>
      <c r="CY8" s="967">
        <v>1.8</v>
      </c>
      <c r="CZ8" s="967">
        <v>2</v>
      </c>
      <c r="DA8" s="967">
        <v>3</v>
      </c>
      <c r="DB8" s="967">
        <v>5</v>
      </c>
      <c r="DC8" s="967">
        <v>10</v>
      </c>
      <c r="DE8" s="967">
        <v>0.05</v>
      </c>
      <c r="DF8" s="967">
        <v>0.2</v>
      </c>
      <c r="DG8" s="967">
        <v>0.4</v>
      </c>
      <c r="DH8" s="967">
        <v>0.6</v>
      </c>
      <c r="DI8" s="967">
        <v>0.8</v>
      </c>
      <c r="DJ8" s="967">
        <v>1</v>
      </c>
      <c r="DK8" s="967">
        <v>1.2</v>
      </c>
      <c r="DL8" s="967">
        <v>1.4</v>
      </c>
      <c r="DM8" s="967">
        <v>1.6</v>
      </c>
      <c r="DN8" s="967">
        <v>1.8</v>
      </c>
      <c r="DO8" s="967">
        <v>2</v>
      </c>
      <c r="DP8" s="967">
        <v>3</v>
      </c>
      <c r="DQ8" s="967">
        <v>5</v>
      </c>
      <c r="DR8" s="967">
        <v>10</v>
      </c>
      <c r="DT8" s="967">
        <v>0.05</v>
      </c>
      <c r="DU8" s="967">
        <v>0.2</v>
      </c>
      <c r="DV8" s="967">
        <v>0.4</v>
      </c>
      <c r="DW8" s="967">
        <v>0.6</v>
      </c>
      <c r="DX8" s="967">
        <v>0.8</v>
      </c>
      <c r="DY8" s="967">
        <v>1</v>
      </c>
      <c r="DZ8" s="967">
        <v>1.2</v>
      </c>
      <c r="EA8" s="967">
        <v>1.4</v>
      </c>
      <c r="EB8" s="967">
        <v>1.6</v>
      </c>
      <c r="EC8" s="967">
        <v>1.8</v>
      </c>
      <c r="ED8" s="967">
        <v>2</v>
      </c>
      <c r="EE8" s="967">
        <v>3</v>
      </c>
      <c r="EF8" s="967">
        <v>5</v>
      </c>
      <c r="EG8" s="967">
        <v>10</v>
      </c>
      <c r="EI8" s="967">
        <v>0.05</v>
      </c>
      <c r="EJ8" s="967">
        <v>0.2</v>
      </c>
      <c r="EK8" s="967">
        <v>0.4</v>
      </c>
      <c r="EL8" s="967">
        <v>0.6</v>
      </c>
      <c r="EM8" s="967">
        <v>0.8</v>
      </c>
      <c r="EN8" s="967">
        <v>1</v>
      </c>
      <c r="EO8" s="967">
        <v>1.2</v>
      </c>
      <c r="EP8" s="967">
        <v>1.4</v>
      </c>
      <c r="EQ8" s="967">
        <v>1.6</v>
      </c>
      <c r="ER8" s="967">
        <v>1.8</v>
      </c>
      <c r="ES8" s="967">
        <v>2</v>
      </c>
      <c r="ET8" s="967">
        <v>3</v>
      </c>
      <c r="EU8" s="967">
        <v>5</v>
      </c>
      <c r="EV8" s="967">
        <v>10</v>
      </c>
      <c r="EX8" s="967">
        <v>0.05</v>
      </c>
      <c r="EY8" s="967">
        <v>0.2</v>
      </c>
      <c r="EZ8" s="967">
        <v>0.4</v>
      </c>
      <c r="FA8" s="967">
        <v>0.6</v>
      </c>
      <c r="FB8" s="967">
        <v>0.8</v>
      </c>
      <c r="FC8" s="967">
        <v>1</v>
      </c>
      <c r="FD8" s="967">
        <v>1.2</v>
      </c>
      <c r="FE8" s="967">
        <v>1.4</v>
      </c>
      <c r="FF8" s="967">
        <v>1.6</v>
      </c>
      <c r="FG8" s="967">
        <v>1.8</v>
      </c>
      <c r="FH8" s="967">
        <v>2</v>
      </c>
      <c r="FI8" s="967">
        <v>3</v>
      </c>
      <c r="FJ8" s="967">
        <v>5</v>
      </c>
      <c r="FK8" s="967">
        <v>10</v>
      </c>
      <c r="FM8" s="967">
        <v>0.05</v>
      </c>
      <c r="FN8" s="967">
        <v>0.2</v>
      </c>
      <c r="FO8" s="967">
        <v>0.4</v>
      </c>
      <c r="FP8" s="967">
        <v>0.6</v>
      </c>
      <c r="FQ8" s="967">
        <v>0.8</v>
      </c>
      <c r="FR8" s="967">
        <v>1</v>
      </c>
      <c r="FS8" s="967">
        <v>1.2</v>
      </c>
      <c r="FT8" s="967">
        <v>1.4</v>
      </c>
      <c r="FU8" s="967">
        <v>1.6</v>
      </c>
      <c r="FV8" s="967">
        <v>1.8</v>
      </c>
      <c r="FW8" s="967">
        <v>2</v>
      </c>
      <c r="FX8" s="967">
        <v>3</v>
      </c>
      <c r="FY8" s="967">
        <v>5</v>
      </c>
      <c r="FZ8" s="967">
        <v>10</v>
      </c>
      <c r="GB8" s="967">
        <v>0.05</v>
      </c>
      <c r="GC8" s="967">
        <v>0.2</v>
      </c>
      <c r="GD8" s="967">
        <v>0.4</v>
      </c>
      <c r="GE8" s="967">
        <v>0.6</v>
      </c>
      <c r="GF8" s="967">
        <v>0.8</v>
      </c>
      <c r="GG8" s="967">
        <v>1</v>
      </c>
      <c r="GH8" s="967">
        <v>1.2</v>
      </c>
      <c r="GI8" s="967">
        <v>1.4</v>
      </c>
      <c r="GJ8" s="967">
        <v>1.6</v>
      </c>
      <c r="GK8" s="967">
        <v>1.8</v>
      </c>
      <c r="GL8" s="967">
        <v>2</v>
      </c>
      <c r="GM8" s="967">
        <v>3</v>
      </c>
      <c r="GN8" s="967">
        <v>5</v>
      </c>
      <c r="GO8" s="967">
        <v>10</v>
      </c>
      <c r="GQ8" s="967">
        <v>0.05</v>
      </c>
      <c r="GR8" s="967">
        <v>0.2</v>
      </c>
      <c r="GS8" s="967">
        <v>0.4</v>
      </c>
      <c r="GT8" s="967">
        <v>0.6</v>
      </c>
      <c r="GU8" s="967">
        <v>0.8</v>
      </c>
      <c r="GV8" s="967">
        <v>1</v>
      </c>
      <c r="GW8" s="967">
        <v>1.2</v>
      </c>
      <c r="GX8" s="967">
        <v>1.4</v>
      </c>
      <c r="GY8" s="967">
        <v>1.6</v>
      </c>
      <c r="GZ8" s="967">
        <v>1.8</v>
      </c>
      <c r="HA8" s="967">
        <v>2</v>
      </c>
      <c r="HB8" s="967">
        <v>3</v>
      </c>
      <c r="HC8" s="967">
        <v>5</v>
      </c>
      <c r="HD8" s="967">
        <v>10</v>
      </c>
      <c r="HF8" s="967">
        <v>0.05</v>
      </c>
      <c r="HG8" s="967">
        <v>0.2</v>
      </c>
      <c r="HH8" s="967">
        <v>0.4</v>
      </c>
      <c r="HI8" s="967">
        <v>0.6</v>
      </c>
      <c r="HJ8" s="967">
        <v>0.8</v>
      </c>
      <c r="HK8" s="967">
        <v>1</v>
      </c>
      <c r="HL8" s="967">
        <v>1.2</v>
      </c>
      <c r="HM8" s="967">
        <v>1.4</v>
      </c>
      <c r="HN8" s="967">
        <v>1.6</v>
      </c>
      <c r="HO8" s="967">
        <v>1.8</v>
      </c>
      <c r="HP8" s="967">
        <v>2</v>
      </c>
      <c r="HQ8" s="967">
        <v>3</v>
      </c>
      <c r="HR8" s="967">
        <v>5</v>
      </c>
      <c r="HS8" s="967">
        <v>10</v>
      </c>
      <c r="HU8" s="967">
        <v>0.05</v>
      </c>
      <c r="HV8" s="967">
        <v>0.2</v>
      </c>
      <c r="HW8" s="967">
        <v>0.4</v>
      </c>
      <c r="HX8" s="967">
        <v>0.6</v>
      </c>
      <c r="HY8" s="967">
        <v>0.8</v>
      </c>
      <c r="HZ8" s="967">
        <v>1</v>
      </c>
      <c r="IA8" s="967">
        <v>1.2</v>
      </c>
      <c r="IB8" s="967">
        <v>1.4</v>
      </c>
      <c r="IC8" s="967">
        <v>1.6</v>
      </c>
      <c r="ID8" s="967">
        <v>1.8</v>
      </c>
      <c r="IE8" s="967">
        <v>2</v>
      </c>
      <c r="IF8" s="967">
        <v>3</v>
      </c>
      <c r="IG8" s="967">
        <v>5</v>
      </c>
      <c r="IH8" s="967">
        <v>10</v>
      </c>
      <c r="II8" s="955">
        <v>0</v>
      </c>
      <c r="IJ8" s="967">
        <v>0.05</v>
      </c>
      <c r="IK8" s="967">
        <v>0.2</v>
      </c>
      <c r="IL8" s="967">
        <v>0.4</v>
      </c>
      <c r="IM8" s="967">
        <v>0.6</v>
      </c>
      <c r="IN8" s="967">
        <v>0.8</v>
      </c>
      <c r="IO8" s="967">
        <v>1</v>
      </c>
      <c r="IP8" s="967">
        <v>1.2</v>
      </c>
      <c r="IQ8" s="967">
        <v>1.4</v>
      </c>
      <c r="IR8" s="967">
        <v>1.6</v>
      </c>
      <c r="IS8" s="967">
        <v>1.8</v>
      </c>
      <c r="IT8" s="967">
        <v>2</v>
      </c>
      <c r="IU8" s="967">
        <v>3</v>
      </c>
      <c r="IV8" s="967">
        <v>5</v>
      </c>
      <c r="IW8" s="967">
        <v>10</v>
      </c>
      <c r="IX8" s="968">
        <v>0</v>
      </c>
      <c r="IY8" s="967">
        <v>0.05</v>
      </c>
      <c r="IZ8" s="967">
        <v>0.2</v>
      </c>
      <c r="JA8" s="967">
        <v>0.4</v>
      </c>
      <c r="JB8" s="967">
        <v>0.6</v>
      </c>
      <c r="JC8" s="967">
        <v>0.8</v>
      </c>
      <c r="JD8" s="967">
        <v>1</v>
      </c>
      <c r="JE8" s="967">
        <v>1.2</v>
      </c>
      <c r="JF8" s="967">
        <v>1.4</v>
      </c>
      <c r="JG8" s="967">
        <v>1.6</v>
      </c>
      <c r="JH8" s="967">
        <v>1.8</v>
      </c>
      <c r="JI8" s="967">
        <v>2</v>
      </c>
      <c r="JJ8" s="967">
        <v>3</v>
      </c>
      <c r="JK8" s="967">
        <v>5</v>
      </c>
      <c r="JL8" s="967">
        <v>10</v>
      </c>
      <c r="JM8" s="968">
        <v>0</v>
      </c>
      <c r="JN8" s="967">
        <v>0.05</v>
      </c>
      <c r="JO8" s="967">
        <v>0.2</v>
      </c>
      <c r="JP8" s="967">
        <v>0.4</v>
      </c>
      <c r="JQ8" s="967">
        <v>0.6</v>
      </c>
      <c r="JR8" s="967">
        <v>0.8</v>
      </c>
      <c r="JS8" s="967">
        <v>1</v>
      </c>
      <c r="JT8" s="967">
        <v>1.2</v>
      </c>
      <c r="JU8" s="967">
        <v>1.4</v>
      </c>
      <c r="JV8" s="967">
        <v>1.6</v>
      </c>
      <c r="JW8" s="967">
        <v>1.8</v>
      </c>
      <c r="JX8" s="967">
        <v>2</v>
      </c>
      <c r="JY8" s="967">
        <v>3</v>
      </c>
      <c r="JZ8" s="967">
        <v>5</v>
      </c>
      <c r="KA8" s="967">
        <v>10</v>
      </c>
      <c r="KB8" s="968">
        <v>0</v>
      </c>
      <c r="KC8" s="967">
        <v>0.05</v>
      </c>
      <c r="KD8" s="967">
        <v>0.2</v>
      </c>
      <c r="KE8" s="967">
        <v>0.4</v>
      </c>
      <c r="KF8" s="967">
        <v>0.6</v>
      </c>
      <c r="KG8" s="967">
        <v>0.8</v>
      </c>
      <c r="KH8" s="967">
        <v>1</v>
      </c>
      <c r="KI8" s="967">
        <v>1.2</v>
      </c>
      <c r="KJ8" s="967">
        <v>1.4</v>
      </c>
      <c r="KK8" s="967">
        <v>1.6</v>
      </c>
      <c r="KL8" s="967">
        <v>1.8</v>
      </c>
      <c r="KM8" s="967">
        <v>2</v>
      </c>
      <c r="KN8" s="967">
        <v>3</v>
      </c>
      <c r="KO8" s="967">
        <v>5</v>
      </c>
      <c r="KP8" s="967">
        <v>10</v>
      </c>
    </row>
    <row r="9" spans="2:302" ht="15.75">
      <c r="C9" s="971" t="s">
        <v>938</v>
      </c>
      <c r="D9" s="972"/>
      <c r="E9" s="972"/>
      <c r="F9" s="973"/>
      <c r="G9" s="972"/>
      <c r="H9" s="972"/>
      <c r="I9" s="972"/>
      <c r="J9" s="972"/>
      <c r="K9" s="972"/>
      <c r="L9" s="972"/>
      <c r="M9" s="972"/>
      <c r="N9" s="972"/>
      <c r="O9" s="972"/>
      <c r="P9" s="972"/>
      <c r="Q9" s="972"/>
      <c r="R9" s="974"/>
      <c r="S9" s="975"/>
      <c r="T9" s="975"/>
      <c r="U9" s="975"/>
      <c r="V9" s="975"/>
      <c r="W9" s="975"/>
      <c r="X9" s="972"/>
      <c r="Y9" s="972"/>
      <c r="Z9" s="972"/>
      <c r="AA9" s="972"/>
      <c r="AB9" s="972"/>
      <c r="AC9" s="976"/>
      <c r="AD9" s="953"/>
      <c r="AE9" s="953"/>
      <c r="AF9" s="963"/>
      <c r="AG9" s="963"/>
      <c r="AH9" s="977"/>
      <c r="AI9" s="977"/>
      <c r="AJ9" s="977"/>
      <c r="AK9" s="977"/>
      <c r="AL9" s="977"/>
      <c r="AM9" s="977"/>
      <c r="AN9" s="977"/>
      <c r="AO9" s="977"/>
      <c r="AP9" s="963"/>
      <c r="AQ9" s="977"/>
      <c r="AR9" s="977"/>
      <c r="AS9" s="977"/>
      <c r="AT9" s="977"/>
      <c r="AU9" s="977"/>
      <c r="AV9" s="977"/>
      <c r="AW9" s="977"/>
      <c r="AX9" s="977"/>
      <c r="AY9" s="977"/>
      <c r="AZ9" s="977"/>
      <c r="BA9" s="977"/>
      <c r="BB9" s="977"/>
      <c r="BC9" s="977"/>
      <c r="BD9" s="977"/>
      <c r="BE9" s="977"/>
      <c r="BF9" s="977" t="s">
        <v>67</v>
      </c>
      <c r="BG9" s="977" t="s">
        <v>67</v>
      </c>
      <c r="BH9" s="977" t="s">
        <v>67</v>
      </c>
      <c r="BI9" s="977" t="s">
        <v>67</v>
      </c>
      <c r="BJ9" s="977" t="s">
        <v>67</v>
      </c>
      <c r="BK9" s="977" t="s">
        <v>67</v>
      </c>
      <c r="BL9" s="977" t="s">
        <v>67</v>
      </c>
      <c r="BM9" s="977" t="s">
        <v>67</v>
      </c>
      <c r="BN9" s="977" t="s">
        <v>67</v>
      </c>
      <c r="BO9" s="977" t="s">
        <v>67</v>
      </c>
      <c r="BP9" s="977" t="s">
        <v>67</v>
      </c>
      <c r="BQ9" s="977" t="s">
        <v>67</v>
      </c>
      <c r="BR9" s="977" t="s">
        <v>67</v>
      </c>
      <c r="BS9" s="977"/>
      <c r="BU9" s="977" t="s">
        <v>67</v>
      </c>
      <c r="BV9" s="977" t="s">
        <v>67</v>
      </c>
      <c r="BW9" s="977" t="s">
        <v>67</v>
      </c>
      <c r="BX9" s="977" t="s">
        <v>67</v>
      </c>
      <c r="BY9" s="977" t="s">
        <v>67</v>
      </c>
      <c r="BZ9" s="977" t="s">
        <v>67</v>
      </c>
      <c r="CA9" s="977" t="s">
        <v>67</v>
      </c>
      <c r="CB9" s="977" t="s">
        <v>67</v>
      </c>
      <c r="CC9" s="977"/>
      <c r="CD9" s="977"/>
      <c r="CE9" s="977"/>
      <c r="CF9" s="977"/>
      <c r="CG9" s="977"/>
      <c r="CH9" s="977" t="s">
        <v>67</v>
      </c>
      <c r="CI9" s="977"/>
      <c r="CJ9" s="977" t="s">
        <v>67</v>
      </c>
      <c r="CK9" s="977" t="s">
        <v>67</v>
      </c>
      <c r="CL9" s="977" t="s">
        <v>67</v>
      </c>
      <c r="CM9" s="977" t="s">
        <v>67</v>
      </c>
      <c r="CN9" s="977" t="s">
        <v>67</v>
      </c>
      <c r="CO9" s="963"/>
      <c r="CP9" s="963"/>
      <c r="CQ9" s="963"/>
      <c r="CR9" s="963"/>
      <c r="CS9" s="963"/>
      <c r="CT9" s="963"/>
      <c r="CU9" s="963"/>
      <c r="CV9" s="963"/>
      <c r="CW9" s="963"/>
      <c r="CX9" s="963"/>
      <c r="CY9" s="963"/>
      <c r="CZ9" s="963"/>
      <c r="DA9" s="963"/>
      <c r="DB9" s="963"/>
      <c r="DC9" s="963"/>
      <c r="DE9" s="963"/>
      <c r="DF9" s="963"/>
      <c r="DG9" s="963"/>
      <c r="DH9" s="963"/>
      <c r="DI9" s="963"/>
      <c r="DJ9" s="963"/>
      <c r="DK9" s="963"/>
      <c r="DL9" s="963"/>
      <c r="DM9" s="963"/>
      <c r="DN9" s="963"/>
      <c r="DO9" s="963"/>
      <c r="DP9" s="963"/>
      <c r="DQ9" s="963"/>
      <c r="DR9" s="963"/>
      <c r="DT9" s="963"/>
      <c r="DU9" s="963"/>
      <c r="DV9" s="963"/>
      <c r="DW9" s="963"/>
      <c r="DX9" s="963"/>
      <c r="DY9" s="963"/>
      <c r="DZ9" s="963"/>
      <c r="EA9" s="963"/>
      <c r="EB9" s="963"/>
      <c r="EC9" s="963"/>
      <c r="ED9" s="963"/>
      <c r="EE9" s="963"/>
      <c r="EF9" s="963"/>
      <c r="EG9" s="963"/>
      <c r="EI9" s="963"/>
      <c r="EJ9" s="963"/>
      <c r="EK9" s="963"/>
      <c r="EL9" s="963"/>
      <c r="EM9" s="963"/>
      <c r="EN9" s="963"/>
      <c r="EO9" s="963"/>
      <c r="EP9" s="963"/>
      <c r="EQ9" s="963"/>
      <c r="ER9" s="963"/>
      <c r="ES9" s="963"/>
      <c r="ET9" s="963"/>
      <c r="EU9" s="963"/>
      <c r="EV9" s="963"/>
      <c r="EX9" s="963"/>
      <c r="EY9" s="963"/>
      <c r="EZ9" s="963"/>
      <c r="FA9" s="963"/>
      <c r="FB9" s="963"/>
      <c r="FC9" s="963"/>
      <c r="FD9" s="963"/>
      <c r="FE9" s="963"/>
      <c r="FF9" s="963"/>
      <c r="FG9" s="963"/>
      <c r="FH9" s="963"/>
      <c r="FI9" s="963"/>
      <c r="FJ9" s="963"/>
      <c r="FK9" s="963"/>
      <c r="FM9" s="963"/>
      <c r="FN9" s="963"/>
      <c r="FO9" s="963"/>
      <c r="FP9" s="963"/>
      <c r="FQ9" s="963"/>
      <c r="FR9" s="963"/>
      <c r="FS9" s="963"/>
      <c r="FT9" s="963"/>
      <c r="FU9" s="963"/>
      <c r="FV9" s="963"/>
      <c r="FW9" s="963"/>
      <c r="FX9" s="963"/>
      <c r="FY9" s="963"/>
      <c r="FZ9" s="963"/>
      <c r="GB9" s="963"/>
      <c r="GC9" s="963"/>
      <c r="GD9" s="963"/>
      <c r="GE9" s="963"/>
      <c r="GF9" s="963"/>
      <c r="GG9" s="963"/>
      <c r="GH9" s="963"/>
      <c r="GI9" s="963"/>
      <c r="GJ9" s="963"/>
      <c r="GK9" s="963"/>
      <c r="GL9" s="963"/>
      <c r="GM9" s="963"/>
      <c r="GN9" s="963"/>
      <c r="GO9" s="963"/>
      <c r="GQ9" s="963"/>
      <c r="GR9" s="963"/>
      <c r="GS9" s="963"/>
      <c r="GT9" s="963"/>
      <c r="GU9" s="963"/>
      <c r="GV9" s="963"/>
      <c r="GW9" s="963"/>
      <c r="GX9" s="963"/>
      <c r="GY9" s="963"/>
      <c r="GZ9" s="963"/>
      <c r="HA9" s="963"/>
      <c r="HB9" s="963"/>
      <c r="HC9" s="963"/>
      <c r="HD9" s="963"/>
      <c r="HF9" s="963"/>
      <c r="HG9" s="963"/>
      <c r="HH9" s="963"/>
      <c r="HI9" s="963"/>
      <c r="HJ9" s="963"/>
      <c r="HK9" s="963"/>
      <c r="HL9" s="963"/>
      <c r="HM9" s="963"/>
      <c r="HN9" s="963"/>
      <c r="HO9" s="963"/>
      <c r="HP9" s="963"/>
      <c r="HQ9" s="963"/>
      <c r="HR9" s="963"/>
      <c r="HS9" s="963"/>
      <c r="HU9" s="963"/>
      <c r="HV9" s="963"/>
      <c r="HW9" s="963"/>
      <c r="HX9" s="963"/>
      <c r="HY9" s="963"/>
      <c r="HZ9" s="963"/>
      <c r="IA9" s="963"/>
      <c r="IB9" s="963"/>
      <c r="IC9" s="963"/>
      <c r="ID9" s="963"/>
      <c r="IE9" s="963"/>
      <c r="IF9" s="963"/>
      <c r="IG9" s="963"/>
      <c r="IH9" s="963"/>
      <c r="IJ9" s="977"/>
      <c r="IK9" s="977"/>
      <c r="IL9" s="977"/>
      <c r="IM9" s="977"/>
      <c r="IN9" s="977"/>
      <c r="IO9" s="977"/>
      <c r="IP9" s="977"/>
      <c r="IQ9" s="977"/>
      <c r="IR9" s="977"/>
      <c r="IS9" s="977"/>
      <c r="IT9" s="977"/>
      <c r="IU9" s="977"/>
      <c r="IV9" s="977"/>
      <c r="IW9" s="977"/>
      <c r="IX9" s="977"/>
      <c r="IY9" s="977" t="s">
        <v>67</v>
      </c>
      <c r="JM9" s="977"/>
      <c r="JN9" s="977" t="s">
        <v>67</v>
      </c>
      <c r="KB9" s="977"/>
      <c r="KC9" s="977" t="s">
        <v>67</v>
      </c>
    </row>
    <row r="10" spans="2:302" ht="18" customHeight="1">
      <c r="B10" s="978">
        <f t="shared" ref="B10:B51" si="0">(C10+F10)/2</f>
        <v>0</v>
      </c>
      <c r="C10" s="979" t="s">
        <v>675</v>
      </c>
      <c r="D10" s="979" t="s">
        <v>605</v>
      </c>
      <c r="E10" s="980">
        <v>10</v>
      </c>
      <c r="F10" s="979" t="s">
        <v>675</v>
      </c>
      <c r="G10" s="979" t="s">
        <v>605</v>
      </c>
      <c r="H10" s="980">
        <v>10</v>
      </c>
      <c r="I10" s="979" t="s">
        <v>823</v>
      </c>
      <c r="J10" s="979"/>
      <c r="K10" s="980">
        <v>0.15</v>
      </c>
      <c r="L10" s="980"/>
      <c r="M10" s="980"/>
      <c r="N10" s="980"/>
      <c r="O10" s="980"/>
      <c r="P10" s="981">
        <v>0.02</v>
      </c>
      <c r="Q10" s="981">
        <f t="shared" ref="Q10:Q55" si="1">SUM(K10:N10)*P10</f>
        <v>3.0000000000000001E-3</v>
      </c>
      <c r="R10" s="979" t="s">
        <v>675</v>
      </c>
      <c r="S10" s="979" t="s">
        <v>605</v>
      </c>
      <c r="T10" s="980">
        <v>10</v>
      </c>
      <c r="U10" s="979" t="s">
        <v>675</v>
      </c>
      <c r="V10" s="979" t="s">
        <v>605</v>
      </c>
      <c r="W10" s="980">
        <v>10</v>
      </c>
      <c r="X10" s="979" t="s">
        <v>823</v>
      </c>
      <c r="Y10" s="979"/>
      <c r="Z10" s="979"/>
      <c r="AA10" s="980">
        <v>1.3</v>
      </c>
      <c r="AB10" s="980">
        <f t="shared" ref="AB10:AB55" si="2">IFERROR(SUM(K10:N10)/AA10,0)</f>
        <v>0.11538461538461538</v>
      </c>
      <c r="AC10" s="982" t="s">
        <v>939</v>
      </c>
      <c r="AD10" s="953"/>
      <c r="AE10" s="983" t="str">
        <f t="shared" ref="AE10:AE55" si="3">IF(LEFT(X10,1)="A","A",LEFT(Y10,3))</f>
        <v/>
      </c>
      <c r="AF10" s="984" t="str">
        <f t="shared" ref="AF10:AF55" si="4">IFERROR(LEFT(I10,SEARCH("-",I10,1)-1),"")</f>
        <v>CL</v>
      </c>
      <c r="AG10" s="963"/>
      <c r="AH10" s="985">
        <f t="shared" ref="AH10:AO19" si="5">IF(AND($I10&lt;&gt;"",$AF10="CL"),IF(AND($P10&gt;AG$8,$P10&lt;=AH$8),$K10,""),"")</f>
        <v>0.15</v>
      </c>
      <c r="AI10" s="985" t="str">
        <f t="shared" si="5"/>
        <v/>
      </c>
      <c r="AJ10" s="985" t="str">
        <f t="shared" si="5"/>
        <v/>
      </c>
      <c r="AK10" s="985" t="str">
        <f t="shared" si="5"/>
        <v/>
      </c>
      <c r="AL10" s="985" t="str">
        <f t="shared" si="5"/>
        <v/>
      </c>
      <c r="AM10" s="985" t="str">
        <f t="shared" si="5"/>
        <v/>
      </c>
      <c r="AN10" s="985" t="str">
        <f t="shared" si="5"/>
        <v/>
      </c>
      <c r="AO10" s="985" t="str">
        <f t="shared" si="5"/>
        <v/>
      </c>
      <c r="AP10" s="986"/>
      <c r="AQ10" s="985" t="str">
        <f t="shared" ref="AQ10:BD10" si="6">IF(AND($I10&lt;&gt;"",$AF10="C"),IF(AND($P10&gt;AP$8,$P10&lt;=AQ$8),$K10,""),"")</f>
        <v/>
      </c>
      <c r="AR10" s="985" t="str">
        <f t="shared" si="6"/>
        <v/>
      </c>
      <c r="AS10" s="985" t="str">
        <f t="shared" si="6"/>
        <v/>
      </c>
      <c r="AT10" s="985" t="str">
        <f t="shared" si="6"/>
        <v/>
      </c>
      <c r="AU10" s="985" t="str">
        <f t="shared" si="6"/>
        <v/>
      </c>
      <c r="AV10" s="985" t="str">
        <f t="shared" si="6"/>
        <v/>
      </c>
      <c r="AW10" s="985" t="str">
        <f t="shared" si="6"/>
        <v/>
      </c>
      <c r="AX10" s="985" t="str">
        <f t="shared" si="6"/>
        <v/>
      </c>
      <c r="AY10" s="985" t="str">
        <f t="shared" si="6"/>
        <v/>
      </c>
      <c r="AZ10" s="985" t="str">
        <f t="shared" si="6"/>
        <v/>
      </c>
      <c r="BA10" s="985" t="str">
        <f t="shared" si="6"/>
        <v/>
      </c>
      <c r="BB10" s="985" t="str">
        <f t="shared" si="6"/>
        <v/>
      </c>
      <c r="BC10" s="985" t="str">
        <f t="shared" si="6"/>
        <v/>
      </c>
      <c r="BD10" s="985" t="str">
        <f t="shared" si="6"/>
        <v/>
      </c>
      <c r="BE10" s="987"/>
      <c r="BF10" s="985" t="str">
        <f t="shared" ref="BF10:BS10" si="7">IF(AND($I10&lt;&gt;"",$AF10="C"),IF(AND($P10&gt;BE$8,$P10&lt;=BF$8),$L10,""),"")</f>
        <v/>
      </c>
      <c r="BG10" s="985" t="str">
        <f t="shared" si="7"/>
        <v/>
      </c>
      <c r="BH10" s="985" t="str">
        <f t="shared" si="7"/>
        <v/>
      </c>
      <c r="BI10" s="985" t="str">
        <f t="shared" si="7"/>
        <v/>
      </c>
      <c r="BJ10" s="985" t="str">
        <f t="shared" si="7"/>
        <v/>
      </c>
      <c r="BK10" s="985" t="str">
        <f t="shared" si="7"/>
        <v/>
      </c>
      <c r="BL10" s="985" t="str">
        <f t="shared" si="7"/>
        <v/>
      </c>
      <c r="BM10" s="985" t="str">
        <f t="shared" si="7"/>
        <v/>
      </c>
      <c r="BN10" s="985" t="str">
        <f t="shared" si="7"/>
        <v/>
      </c>
      <c r="BO10" s="985" t="str">
        <f t="shared" si="7"/>
        <v/>
      </c>
      <c r="BP10" s="985" t="str">
        <f t="shared" si="7"/>
        <v/>
      </c>
      <c r="BQ10" s="985" t="str">
        <f t="shared" si="7"/>
        <v/>
      </c>
      <c r="BR10" s="985" t="str">
        <f t="shared" si="7"/>
        <v/>
      </c>
      <c r="BS10" s="985" t="str">
        <f t="shared" si="7"/>
        <v/>
      </c>
      <c r="BU10" s="985" t="str">
        <f t="shared" ref="BU10:CF10" si="8">IF(AND($I10&lt;&gt;"",$AF10="C"),IF(AND($P10&gt;BT$8,$P10&lt;=BU$8),$M10,""),"")</f>
        <v/>
      </c>
      <c r="BV10" s="985" t="str">
        <f t="shared" si="8"/>
        <v/>
      </c>
      <c r="BW10" s="985" t="str">
        <f t="shared" si="8"/>
        <v/>
      </c>
      <c r="BX10" s="985" t="str">
        <f t="shared" si="8"/>
        <v/>
      </c>
      <c r="BY10" s="985" t="str">
        <f t="shared" si="8"/>
        <v/>
      </c>
      <c r="BZ10" s="985" t="str">
        <f t="shared" si="8"/>
        <v/>
      </c>
      <c r="CA10" s="985" t="str">
        <f t="shared" si="8"/>
        <v/>
      </c>
      <c r="CB10" s="985" t="str">
        <f t="shared" si="8"/>
        <v/>
      </c>
      <c r="CC10" s="985" t="str">
        <f t="shared" si="8"/>
        <v/>
      </c>
      <c r="CD10" s="985" t="str">
        <f t="shared" si="8"/>
        <v/>
      </c>
      <c r="CE10" s="985" t="str">
        <f t="shared" si="8"/>
        <v/>
      </c>
      <c r="CF10" s="985" t="str">
        <f t="shared" si="8"/>
        <v/>
      </c>
      <c r="CG10" s="987"/>
      <c r="CH10" s="985" t="str">
        <f t="shared" ref="CH10:CN19" si="9">IF(AND($I10&lt;&gt;"",$AF10="SM"),IF(AND($P10&gt;CG$8,$P10&lt;=CH$8),$N10,""),"")</f>
        <v/>
      </c>
      <c r="CI10" s="985" t="str">
        <f t="shared" si="9"/>
        <v/>
      </c>
      <c r="CJ10" s="985" t="str">
        <f t="shared" si="9"/>
        <v/>
      </c>
      <c r="CK10" s="985" t="str">
        <f t="shared" si="9"/>
        <v/>
      </c>
      <c r="CL10" s="985" t="str">
        <f t="shared" si="9"/>
        <v/>
      </c>
      <c r="CM10" s="985" t="str">
        <f t="shared" si="9"/>
        <v/>
      </c>
      <c r="CN10" s="985" t="str">
        <f t="shared" si="9"/>
        <v/>
      </c>
      <c r="CP10" s="988" t="str">
        <f t="shared" ref="CP10:DC10" si="10">IF(AND($I10&lt;&gt;"",OR($AF10="ELE",$AF10="ELD",$AF10="CX")),IF(AND($P10&gt;CO$8,$P10&lt;=CP$8),$K10,""),"")</f>
        <v/>
      </c>
      <c r="CQ10" s="988" t="str">
        <f t="shared" si="10"/>
        <v/>
      </c>
      <c r="CR10" s="988" t="str">
        <f t="shared" si="10"/>
        <v/>
      </c>
      <c r="CS10" s="988" t="str">
        <f t="shared" si="10"/>
        <v/>
      </c>
      <c r="CT10" s="988" t="str">
        <f t="shared" si="10"/>
        <v/>
      </c>
      <c r="CU10" s="988" t="str">
        <f t="shared" si="10"/>
        <v/>
      </c>
      <c r="CV10" s="988" t="str">
        <f t="shared" si="10"/>
        <v/>
      </c>
      <c r="CW10" s="988" t="str">
        <f t="shared" si="10"/>
        <v/>
      </c>
      <c r="CX10" s="988" t="str">
        <f t="shared" si="10"/>
        <v/>
      </c>
      <c r="CY10" s="988" t="str">
        <f t="shared" si="10"/>
        <v/>
      </c>
      <c r="CZ10" s="988" t="str">
        <f t="shared" si="10"/>
        <v/>
      </c>
      <c r="DA10" s="988" t="str">
        <f t="shared" si="10"/>
        <v/>
      </c>
      <c r="DB10" s="988" t="str">
        <f t="shared" si="10"/>
        <v/>
      </c>
      <c r="DC10" s="988" t="str">
        <f t="shared" si="10"/>
        <v/>
      </c>
      <c r="DE10" s="988">
        <f t="shared" ref="DE10:DR10" si="11">IF(AND($X10&lt;&gt;"",$AC10="CF"),IF(AND($P10&gt;DD$8,$P10&lt;=DE$8),$AB10,""),"")</f>
        <v>0.11538461538461538</v>
      </c>
      <c r="DF10" s="988" t="str">
        <f t="shared" si="11"/>
        <v/>
      </c>
      <c r="DG10" s="988" t="str">
        <f t="shared" si="11"/>
        <v/>
      </c>
      <c r="DH10" s="988" t="str">
        <f t="shared" si="11"/>
        <v/>
      </c>
      <c r="DI10" s="988" t="str">
        <f t="shared" si="11"/>
        <v/>
      </c>
      <c r="DJ10" s="988" t="str">
        <f t="shared" si="11"/>
        <v/>
      </c>
      <c r="DK10" s="988" t="str">
        <f t="shared" si="11"/>
        <v/>
      </c>
      <c r="DL10" s="988" t="str">
        <f t="shared" si="11"/>
        <v/>
      </c>
      <c r="DM10" s="988" t="str">
        <f t="shared" si="11"/>
        <v/>
      </c>
      <c r="DN10" s="988" t="str">
        <f t="shared" si="11"/>
        <v/>
      </c>
      <c r="DO10" s="988" t="str">
        <f t="shared" si="11"/>
        <v/>
      </c>
      <c r="DP10" s="988" t="str">
        <f t="shared" si="11"/>
        <v/>
      </c>
      <c r="DQ10" s="988" t="str">
        <f t="shared" si="11"/>
        <v/>
      </c>
      <c r="DR10" s="988" t="str">
        <f t="shared" si="11"/>
        <v/>
      </c>
      <c r="DT10" s="988" t="str">
        <f t="shared" ref="DT10:EG10" si="12">IF(AND($X10&lt;&gt;"",$AC10="CA"),IF(AND($P10&gt;DS$8,$P10&lt;=DT$8),$AB10,""),"")</f>
        <v/>
      </c>
      <c r="DU10" s="988" t="str">
        <f t="shared" si="12"/>
        <v/>
      </c>
      <c r="DV10" s="988" t="str">
        <f t="shared" si="12"/>
        <v/>
      </c>
      <c r="DW10" s="988" t="str">
        <f t="shared" si="12"/>
        <v/>
      </c>
      <c r="DX10" s="988" t="str">
        <f t="shared" si="12"/>
        <v/>
      </c>
      <c r="DY10" s="988" t="str">
        <f t="shared" si="12"/>
        <v/>
      </c>
      <c r="DZ10" s="988" t="str">
        <f t="shared" si="12"/>
        <v/>
      </c>
      <c r="EA10" s="988" t="str">
        <f t="shared" si="12"/>
        <v/>
      </c>
      <c r="EB10" s="988" t="str">
        <f t="shared" si="12"/>
        <v/>
      </c>
      <c r="EC10" s="988" t="str">
        <f t="shared" si="12"/>
        <v/>
      </c>
      <c r="ED10" s="988" t="str">
        <f t="shared" si="12"/>
        <v/>
      </c>
      <c r="EE10" s="988" t="str">
        <f t="shared" si="12"/>
        <v/>
      </c>
      <c r="EF10" s="988" t="str">
        <f t="shared" si="12"/>
        <v/>
      </c>
      <c r="EG10" s="988" t="str">
        <f t="shared" si="12"/>
        <v/>
      </c>
      <c r="EI10" s="988" t="str">
        <f t="shared" ref="EI10:EV10" si="13">IF($AE10="BFC",IF(AND($P10&gt;EH$8,$P10&lt;=EI$8),$AB10,""),"")</f>
        <v/>
      </c>
      <c r="EJ10" s="988" t="str">
        <f t="shared" si="13"/>
        <v/>
      </c>
      <c r="EK10" s="988" t="str">
        <f t="shared" si="13"/>
        <v/>
      </c>
      <c r="EL10" s="988" t="str">
        <f t="shared" si="13"/>
        <v/>
      </c>
      <c r="EM10" s="988" t="str">
        <f t="shared" si="13"/>
        <v/>
      </c>
      <c r="EN10" s="988" t="str">
        <f t="shared" si="13"/>
        <v/>
      </c>
      <c r="EO10" s="988" t="str">
        <f t="shared" si="13"/>
        <v/>
      </c>
      <c r="EP10" s="988" t="str">
        <f t="shared" si="13"/>
        <v/>
      </c>
      <c r="EQ10" s="988" t="str">
        <f t="shared" si="13"/>
        <v/>
      </c>
      <c r="ER10" s="988" t="str">
        <f t="shared" si="13"/>
        <v/>
      </c>
      <c r="ES10" s="988" t="str">
        <f t="shared" si="13"/>
        <v/>
      </c>
      <c r="ET10" s="988" t="str">
        <f t="shared" si="13"/>
        <v/>
      </c>
      <c r="EU10" s="988" t="str">
        <f t="shared" si="13"/>
        <v/>
      </c>
      <c r="EV10" s="988" t="str">
        <f t="shared" si="13"/>
        <v/>
      </c>
      <c r="EX10" s="988" t="str">
        <f t="shared" ref="EX10:FK10" si="14">IF($AE10="BFN",IF(AND($P10&gt;EW$8,$P10&lt;=EX$8),$AB10,""),"")</f>
        <v/>
      </c>
      <c r="EY10" s="988" t="str">
        <f t="shared" si="14"/>
        <v/>
      </c>
      <c r="EZ10" s="988" t="str">
        <f t="shared" si="14"/>
        <v/>
      </c>
      <c r="FA10" s="988" t="str">
        <f t="shared" si="14"/>
        <v/>
      </c>
      <c r="FB10" s="988" t="str">
        <f t="shared" si="14"/>
        <v/>
      </c>
      <c r="FC10" s="988" t="str">
        <f t="shared" si="14"/>
        <v/>
      </c>
      <c r="FD10" s="988" t="str">
        <f t="shared" si="14"/>
        <v/>
      </c>
      <c r="FE10" s="988" t="str">
        <f t="shared" si="14"/>
        <v/>
      </c>
      <c r="FF10" s="988" t="str">
        <f t="shared" si="14"/>
        <v/>
      </c>
      <c r="FG10" s="988" t="str">
        <f t="shared" si="14"/>
        <v/>
      </c>
      <c r="FH10" s="988" t="str">
        <f t="shared" si="14"/>
        <v/>
      </c>
      <c r="FI10" s="988" t="str">
        <f t="shared" si="14"/>
        <v/>
      </c>
      <c r="FJ10" s="988" t="str">
        <f t="shared" si="14"/>
        <v/>
      </c>
      <c r="FK10" s="988" t="str">
        <f t="shared" si="14"/>
        <v/>
      </c>
      <c r="FM10" s="988" t="str">
        <f t="shared" ref="FM10:FZ10" si="15">IF(AND($I10&lt;&gt;"",$AF10="RCS"),IF(AND($P10&gt;FL$8,$P10&lt;=FM$8),SUM($K10:$M10),""),"")</f>
        <v/>
      </c>
      <c r="FN10" s="988" t="str">
        <f t="shared" si="15"/>
        <v/>
      </c>
      <c r="FO10" s="988" t="str">
        <f t="shared" si="15"/>
        <v/>
      </c>
      <c r="FP10" s="988" t="str">
        <f t="shared" si="15"/>
        <v/>
      </c>
      <c r="FQ10" s="988" t="str">
        <f t="shared" si="15"/>
        <v/>
      </c>
      <c r="FR10" s="988" t="str">
        <f t="shared" si="15"/>
        <v/>
      </c>
      <c r="FS10" s="988" t="str">
        <f t="shared" si="15"/>
        <v/>
      </c>
      <c r="FT10" s="988" t="str">
        <f t="shared" si="15"/>
        <v/>
      </c>
      <c r="FU10" s="988" t="str">
        <f t="shared" si="15"/>
        <v/>
      </c>
      <c r="FV10" s="988" t="str">
        <f t="shared" si="15"/>
        <v/>
      </c>
      <c r="FW10" s="988" t="str">
        <f t="shared" si="15"/>
        <v/>
      </c>
      <c r="FX10" s="988" t="str">
        <f t="shared" si="15"/>
        <v/>
      </c>
      <c r="FY10" s="988" t="str">
        <f t="shared" si="15"/>
        <v/>
      </c>
      <c r="FZ10" s="988" t="str">
        <f t="shared" si="15"/>
        <v/>
      </c>
      <c r="GB10" s="988" t="str">
        <f t="shared" ref="GB10:GO10" si="16">IF(AND($I10&lt;&gt;"",$AF10="REC"),IF(AND($P10&gt;GA$8,$P10&lt;=GB$8),SUM($K10:$M10),""),"")</f>
        <v/>
      </c>
      <c r="GC10" s="988" t="str">
        <f t="shared" si="16"/>
        <v/>
      </c>
      <c r="GD10" s="988" t="str">
        <f t="shared" si="16"/>
        <v/>
      </c>
      <c r="GE10" s="988" t="str">
        <f t="shared" si="16"/>
        <v/>
      </c>
      <c r="GF10" s="988" t="str">
        <f t="shared" si="16"/>
        <v/>
      </c>
      <c r="GG10" s="988" t="str">
        <f t="shared" si="16"/>
        <v/>
      </c>
      <c r="GH10" s="988" t="str">
        <f t="shared" si="16"/>
        <v/>
      </c>
      <c r="GI10" s="988" t="str">
        <f t="shared" si="16"/>
        <v/>
      </c>
      <c r="GJ10" s="988" t="str">
        <f t="shared" si="16"/>
        <v/>
      </c>
      <c r="GK10" s="988" t="str">
        <f t="shared" si="16"/>
        <v/>
      </c>
      <c r="GL10" s="988" t="str">
        <f t="shared" si="16"/>
        <v/>
      </c>
      <c r="GM10" s="988" t="str">
        <f t="shared" si="16"/>
        <v/>
      </c>
      <c r="GN10" s="988" t="str">
        <f t="shared" si="16"/>
        <v/>
      </c>
      <c r="GO10" s="988" t="str">
        <f t="shared" si="16"/>
        <v/>
      </c>
      <c r="GQ10" s="988" t="str">
        <f t="shared" ref="GQ10:HD10" si="17">IF(AND($I10&lt;&gt;"",$AF10="REB"),IF(AND($P10&gt;GP$8,$P10&lt;=GQ$8),SUM($K10:$M10),""),"")</f>
        <v/>
      </c>
      <c r="GR10" s="988" t="str">
        <f t="shared" si="17"/>
        <v/>
      </c>
      <c r="GS10" s="988" t="str">
        <f t="shared" si="17"/>
        <v/>
      </c>
      <c r="GT10" s="988" t="str">
        <f t="shared" si="17"/>
        <v/>
      </c>
      <c r="GU10" s="988" t="str">
        <f t="shared" si="17"/>
        <v/>
      </c>
      <c r="GV10" s="988" t="str">
        <f t="shared" si="17"/>
        <v/>
      </c>
      <c r="GW10" s="988" t="str">
        <f t="shared" si="17"/>
        <v/>
      </c>
      <c r="GX10" s="988" t="str">
        <f t="shared" si="17"/>
        <v/>
      </c>
      <c r="GY10" s="988" t="str">
        <f t="shared" si="17"/>
        <v/>
      </c>
      <c r="GZ10" s="988" t="str">
        <f t="shared" si="17"/>
        <v/>
      </c>
      <c r="HA10" s="988" t="str">
        <f t="shared" si="17"/>
        <v/>
      </c>
      <c r="HB10" s="988" t="str">
        <f t="shared" si="17"/>
        <v/>
      </c>
      <c r="HC10" s="988" t="str">
        <f t="shared" si="17"/>
        <v/>
      </c>
      <c r="HD10" s="988" t="str">
        <f t="shared" si="17"/>
        <v/>
      </c>
      <c r="HF10" s="988" t="str">
        <f t="shared" ref="HF10:HS10" si="18">IF(AND($I10&lt;&gt;"",$AF10="RBS"),IF(AND($P10&gt;HE$8,$P10&lt;=HF$8),SUM($K10:$M10),""),"")</f>
        <v/>
      </c>
      <c r="HG10" s="988" t="str">
        <f t="shared" si="18"/>
        <v/>
      </c>
      <c r="HH10" s="988" t="str">
        <f t="shared" si="18"/>
        <v/>
      </c>
      <c r="HI10" s="988" t="str">
        <f t="shared" si="18"/>
        <v/>
      </c>
      <c r="HJ10" s="988" t="str">
        <f t="shared" si="18"/>
        <v/>
      </c>
      <c r="HK10" s="988" t="str">
        <f t="shared" si="18"/>
        <v/>
      </c>
      <c r="HL10" s="988" t="str">
        <f t="shared" si="18"/>
        <v/>
      </c>
      <c r="HM10" s="988" t="str">
        <f t="shared" si="18"/>
        <v/>
      </c>
      <c r="HN10" s="988" t="str">
        <f t="shared" si="18"/>
        <v/>
      </c>
      <c r="HO10" s="988" t="str">
        <f t="shared" si="18"/>
        <v/>
      </c>
      <c r="HP10" s="988" t="str">
        <f t="shared" si="18"/>
        <v/>
      </c>
      <c r="HQ10" s="988" t="str">
        <f t="shared" si="18"/>
        <v/>
      </c>
      <c r="HR10" s="988" t="str">
        <f t="shared" si="18"/>
        <v/>
      </c>
      <c r="HS10" s="988" t="str">
        <f t="shared" si="18"/>
        <v/>
      </c>
      <c r="HU10" s="988" t="str">
        <f t="shared" ref="HU10:IH10" si="19">IF(AND($I10&lt;&gt;"",$AF10="RCD"),IF(AND($P10&gt;HT$8,$P10&lt;=HU$8),SUM($K10:$M10),""),"")</f>
        <v/>
      </c>
      <c r="HV10" s="988" t="str">
        <f t="shared" si="19"/>
        <v/>
      </c>
      <c r="HW10" s="988" t="str">
        <f t="shared" si="19"/>
        <v/>
      </c>
      <c r="HX10" s="988" t="str">
        <f t="shared" si="19"/>
        <v/>
      </c>
      <c r="HY10" s="988" t="str">
        <f t="shared" si="19"/>
        <v/>
      </c>
      <c r="HZ10" s="988" t="str">
        <f t="shared" si="19"/>
        <v/>
      </c>
      <c r="IA10" s="988" t="str">
        <f t="shared" si="19"/>
        <v/>
      </c>
      <c r="IB10" s="988" t="str">
        <f t="shared" si="19"/>
        <v/>
      </c>
      <c r="IC10" s="988" t="str">
        <f t="shared" si="19"/>
        <v/>
      </c>
      <c r="ID10" s="988" t="str">
        <f t="shared" si="19"/>
        <v/>
      </c>
      <c r="IE10" s="988" t="str">
        <f t="shared" si="19"/>
        <v/>
      </c>
      <c r="IF10" s="988" t="str">
        <f t="shared" si="19"/>
        <v/>
      </c>
      <c r="IG10" s="988" t="str">
        <f t="shared" si="19"/>
        <v/>
      </c>
      <c r="IH10" s="988" t="str">
        <f t="shared" si="19"/>
        <v/>
      </c>
      <c r="IJ10" s="985">
        <f t="shared" ref="IJ10:IW10" si="20">IF(AND($I10&lt;&gt;""),IF(AND($P10&gt;II$8,$P10&lt;=IJ$8),$K10,""),"")</f>
        <v>0.15</v>
      </c>
      <c r="IK10" s="985" t="str">
        <f t="shared" si="20"/>
        <v/>
      </c>
      <c r="IL10" s="985" t="str">
        <f t="shared" si="20"/>
        <v/>
      </c>
      <c r="IM10" s="985" t="str">
        <f t="shared" si="20"/>
        <v/>
      </c>
      <c r="IN10" s="985" t="str">
        <f t="shared" si="20"/>
        <v/>
      </c>
      <c r="IO10" s="985" t="str">
        <f t="shared" si="20"/>
        <v/>
      </c>
      <c r="IP10" s="985" t="str">
        <f t="shared" si="20"/>
        <v/>
      </c>
      <c r="IQ10" s="985" t="str">
        <f t="shared" si="20"/>
        <v/>
      </c>
      <c r="IR10" s="985" t="str">
        <f t="shared" si="20"/>
        <v/>
      </c>
      <c r="IS10" s="985" t="str">
        <f t="shared" si="20"/>
        <v/>
      </c>
      <c r="IT10" s="985" t="str">
        <f t="shared" si="20"/>
        <v/>
      </c>
      <c r="IU10" s="985" t="str">
        <f t="shared" si="20"/>
        <v/>
      </c>
      <c r="IV10" s="985" t="str">
        <f t="shared" si="20"/>
        <v/>
      </c>
      <c r="IW10" s="985" t="str">
        <f t="shared" si="20"/>
        <v/>
      </c>
      <c r="IX10" s="987"/>
      <c r="IY10" s="985">
        <f t="shared" ref="IY10:JL10" si="21">IF(AND($I10&lt;&gt;""),IF(AND($P10&gt;IX$8,$P10&lt;=IY$8),$L10,""),"")</f>
        <v>0</v>
      </c>
      <c r="IZ10" s="985" t="str">
        <f t="shared" si="21"/>
        <v/>
      </c>
      <c r="JA10" s="985" t="str">
        <f t="shared" si="21"/>
        <v/>
      </c>
      <c r="JB10" s="985" t="str">
        <f t="shared" si="21"/>
        <v/>
      </c>
      <c r="JC10" s="985" t="str">
        <f t="shared" si="21"/>
        <v/>
      </c>
      <c r="JD10" s="985" t="str">
        <f t="shared" si="21"/>
        <v/>
      </c>
      <c r="JE10" s="985" t="str">
        <f t="shared" si="21"/>
        <v/>
      </c>
      <c r="JF10" s="985" t="str">
        <f t="shared" si="21"/>
        <v/>
      </c>
      <c r="JG10" s="985" t="str">
        <f t="shared" si="21"/>
        <v/>
      </c>
      <c r="JH10" s="985" t="str">
        <f t="shared" si="21"/>
        <v/>
      </c>
      <c r="JI10" s="985" t="str">
        <f t="shared" si="21"/>
        <v/>
      </c>
      <c r="JJ10" s="985" t="str">
        <f t="shared" si="21"/>
        <v/>
      </c>
      <c r="JK10" s="985" t="str">
        <f t="shared" si="21"/>
        <v/>
      </c>
      <c r="JL10" s="985" t="str">
        <f t="shared" si="21"/>
        <v/>
      </c>
      <c r="JM10" s="987"/>
      <c r="JN10" s="985">
        <f t="shared" ref="JN10:KA10" si="22">IF(AND($I10&lt;&gt;""),IF(AND($P10&gt;JM$8,$P10&lt;=JN$8),$M10,""),"")</f>
        <v>0</v>
      </c>
      <c r="JO10" s="985" t="str">
        <f t="shared" si="22"/>
        <v/>
      </c>
      <c r="JP10" s="985" t="str">
        <f t="shared" si="22"/>
        <v/>
      </c>
      <c r="JQ10" s="985" t="str">
        <f t="shared" si="22"/>
        <v/>
      </c>
      <c r="JR10" s="985" t="str">
        <f t="shared" si="22"/>
        <v/>
      </c>
      <c r="JS10" s="985" t="str">
        <f t="shared" si="22"/>
        <v/>
      </c>
      <c r="JT10" s="985" t="str">
        <f t="shared" si="22"/>
        <v/>
      </c>
      <c r="JU10" s="985" t="str">
        <f t="shared" si="22"/>
        <v/>
      </c>
      <c r="JV10" s="985" t="str">
        <f t="shared" si="22"/>
        <v/>
      </c>
      <c r="JW10" s="985" t="str">
        <f t="shared" si="22"/>
        <v/>
      </c>
      <c r="JX10" s="985" t="str">
        <f t="shared" si="22"/>
        <v/>
      </c>
      <c r="JY10" s="985" t="str">
        <f t="shared" si="22"/>
        <v/>
      </c>
      <c r="JZ10" s="985" t="str">
        <f t="shared" si="22"/>
        <v/>
      </c>
      <c r="KA10" s="985" t="str">
        <f t="shared" si="22"/>
        <v/>
      </c>
      <c r="KB10" s="987"/>
      <c r="KC10" s="985">
        <f t="shared" ref="KC10:KP10" si="23">IF(AND($I10&lt;&gt;""),IF(AND($P10&gt;KB$8,$P10&lt;=KC$8),$N10,""),"")</f>
        <v>0</v>
      </c>
      <c r="KD10" s="985" t="str">
        <f t="shared" si="23"/>
        <v/>
      </c>
      <c r="KE10" s="985" t="str">
        <f t="shared" si="23"/>
        <v/>
      </c>
      <c r="KF10" s="985" t="str">
        <f t="shared" si="23"/>
        <v/>
      </c>
      <c r="KG10" s="985" t="str">
        <f t="shared" si="23"/>
        <v/>
      </c>
      <c r="KH10" s="985" t="str">
        <f t="shared" si="23"/>
        <v/>
      </c>
      <c r="KI10" s="985" t="str">
        <f t="shared" si="23"/>
        <v/>
      </c>
      <c r="KJ10" s="985" t="str">
        <f t="shared" si="23"/>
        <v/>
      </c>
      <c r="KK10" s="985" t="str">
        <f t="shared" si="23"/>
        <v/>
      </c>
      <c r="KL10" s="985" t="str">
        <f t="shared" si="23"/>
        <v/>
      </c>
      <c r="KM10" s="985" t="str">
        <f t="shared" si="23"/>
        <v/>
      </c>
      <c r="KN10" s="985" t="str">
        <f t="shared" si="23"/>
        <v/>
      </c>
      <c r="KO10" s="985" t="str">
        <f t="shared" si="23"/>
        <v/>
      </c>
      <c r="KP10" s="985" t="str">
        <f t="shared" si="23"/>
        <v/>
      </c>
    </row>
    <row r="11" spans="2:302" ht="18" customHeight="1">
      <c r="B11" s="978">
        <f t="shared" si="0"/>
        <v>2.5</v>
      </c>
      <c r="C11" s="979" t="s">
        <v>680</v>
      </c>
      <c r="D11" s="979" t="s">
        <v>605</v>
      </c>
      <c r="E11" s="980">
        <v>10</v>
      </c>
      <c r="F11" s="979" t="s">
        <v>683</v>
      </c>
      <c r="G11" s="979" t="s">
        <v>605</v>
      </c>
      <c r="H11" s="980">
        <v>0</v>
      </c>
      <c r="I11" s="979" t="s">
        <v>824</v>
      </c>
      <c r="J11" s="979"/>
      <c r="K11" s="980">
        <v>27.92</v>
      </c>
      <c r="L11" s="980"/>
      <c r="M11" s="980"/>
      <c r="N11" s="980"/>
      <c r="O11" s="980"/>
      <c r="P11" s="981">
        <v>0.02</v>
      </c>
      <c r="Q11" s="981">
        <f t="shared" si="1"/>
        <v>0.55840000000000001</v>
      </c>
      <c r="R11" s="979" t="s">
        <v>680</v>
      </c>
      <c r="S11" s="979" t="s">
        <v>605</v>
      </c>
      <c r="T11" s="980">
        <v>10</v>
      </c>
      <c r="U11" s="979" t="s">
        <v>683</v>
      </c>
      <c r="V11" s="979" t="s">
        <v>605</v>
      </c>
      <c r="W11" s="980">
        <v>0</v>
      </c>
      <c r="X11" s="979" t="s">
        <v>824</v>
      </c>
      <c r="Y11" s="979"/>
      <c r="Z11" s="979"/>
      <c r="AA11" s="980">
        <v>1</v>
      </c>
      <c r="AB11" s="980">
        <f t="shared" si="2"/>
        <v>27.92</v>
      </c>
      <c r="AC11" s="982" t="s">
        <v>939</v>
      </c>
      <c r="AD11" s="953"/>
      <c r="AE11" s="983" t="str">
        <f t="shared" si="3"/>
        <v/>
      </c>
      <c r="AF11" s="984" t="str">
        <f t="shared" si="4"/>
        <v>REC</v>
      </c>
      <c r="AG11" s="963"/>
      <c r="AH11" s="985" t="str">
        <f t="shared" si="5"/>
        <v/>
      </c>
      <c r="AI11" s="985" t="str">
        <f t="shared" si="5"/>
        <v/>
      </c>
      <c r="AJ11" s="985" t="str">
        <f t="shared" si="5"/>
        <v/>
      </c>
      <c r="AK11" s="985" t="str">
        <f t="shared" si="5"/>
        <v/>
      </c>
      <c r="AL11" s="985" t="str">
        <f t="shared" si="5"/>
        <v/>
      </c>
      <c r="AM11" s="985" t="str">
        <f t="shared" si="5"/>
        <v/>
      </c>
      <c r="AN11" s="985" t="str">
        <f t="shared" si="5"/>
        <v/>
      </c>
      <c r="AO11" s="985" t="str">
        <f t="shared" si="5"/>
        <v/>
      </c>
      <c r="AP11" s="986"/>
      <c r="AQ11" s="985" t="str">
        <f t="shared" ref="AQ11:BD11" si="24">IF(AND($I11&lt;&gt;"",$AF11="C"),IF(AND($P11&gt;AP$8,$P11&lt;=AQ$8),$K11,""),"")</f>
        <v/>
      </c>
      <c r="AR11" s="985" t="str">
        <f t="shared" si="24"/>
        <v/>
      </c>
      <c r="AS11" s="985" t="str">
        <f t="shared" si="24"/>
        <v/>
      </c>
      <c r="AT11" s="985" t="str">
        <f t="shared" si="24"/>
        <v/>
      </c>
      <c r="AU11" s="985" t="str">
        <f t="shared" si="24"/>
        <v/>
      </c>
      <c r="AV11" s="985" t="str">
        <f t="shared" si="24"/>
        <v/>
      </c>
      <c r="AW11" s="985" t="str">
        <f t="shared" si="24"/>
        <v/>
      </c>
      <c r="AX11" s="985" t="str">
        <f t="shared" si="24"/>
        <v/>
      </c>
      <c r="AY11" s="985" t="str">
        <f t="shared" si="24"/>
        <v/>
      </c>
      <c r="AZ11" s="985" t="str">
        <f t="shared" si="24"/>
        <v/>
      </c>
      <c r="BA11" s="985" t="str">
        <f t="shared" si="24"/>
        <v/>
      </c>
      <c r="BB11" s="985" t="str">
        <f t="shared" si="24"/>
        <v/>
      </c>
      <c r="BC11" s="985" t="str">
        <f t="shared" si="24"/>
        <v/>
      </c>
      <c r="BD11" s="985" t="str">
        <f t="shared" si="24"/>
        <v/>
      </c>
      <c r="BE11" s="987"/>
      <c r="BF11" s="985" t="str">
        <f t="shared" ref="BF11:BS11" si="25">IF(AND($I11&lt;&gt;"",$AF11="C"),IF(AND($P11&gt;BE$8,$P11&lt;=BF$8),$L11,""),"")</f>
        <v/>
      </c>
      <c r="BG11" s="985" t="str">
        <f t="shared" si="25"/>
        <v/>
      </c>
      <c r="BH11" s="985" t="str">
        <f t="shared" si="25"/>
        <v/>
      </c>
      <c r="BI11" s="985" t="str">
        <f t="shared" si="25"/>
        <v/>
      </c>
      <c r="BJ11" s="985" t="str">
        <f t="shared" si="25"/>
        <v/>
      </c>
      <c r="BK11" s="985" t="str">
        <f t="shared" si="25"/>
        <v/>
      </c>
      <c r="BL11" s="985" t="str">
        <f t="shared" si="25"/>
        <v/>
      </c>
      <c r="BM11" s="985" t="str">
        <f t="shared" si="25"/>
        <v/>
      </c>
      <c r="BN11" s="985" t="str">
        <f t="shared" si="25"/>
        <v/>
      </c>
      <c r="BO11" s="985" t="str">
        <f t="shared" si="25"/>
        <v/>
      </c>
      <c r="BP11" s="985" t="str">
        <f t="shared" si="25"/>
        <v/>
      </c>
      <c r="BQ11" s="985" t="str">
        <f t="shared" si="25"/>
        <v/>
      </c>
      <c r="BR11" s="985" t="str">
        <f t="shared" si="25"/>
        <v/>
      </c>
      <c r="BS11" s="985" t="str">
        <f t="shared" si="25"/>
        <v/>
      </c>
      <c r="BU11" s="985" t="str">
        <f t="shared" ref="BU11:CF11" si="26">IF(AND($I11&lt;&gt;"",$AF11="C"),IF(AND($P11&gt;BT$8,$P11&lt;=BU$8),$M11,""),"")</f>
        <v/>
      </c>
      <c r="BV11" s="985" t="str">
        <f t="shared" si="26"/>
        <v/>
      </c>
      <c r="BW11" s="985" t="str">
        <f t="shared" si="26"/>
        <v/>
      </c>
      <c r="BX11" s="985" t="str">
        <f t="shared" si="26"/>
        <v/>
      </c>
      <c r="BY11" s="985" t="str">
        <f t="shared" si="26"/>
        <v/>
      </c>
      <c r="BZ11" s="985" t="str">
        <f t="shared" si="26"/>
        <v/>
      </c>
      <c r="CA11" s="985" t="str">
        <f t="shared" si="26"/>
        <v/>
      </c>
      <c r="CB11" s="985" t="str">
        <f t="shared" si="26"/>
        <v/>
      </c>
      <c r="CC11" s="985" t="str">
        <f t="shared" si="26"/>
        <v/>
      </c>
      <c r="CD11" s="985" t="str">
        <f t="shared" si="26"/>
        <v/>
      </c>
      <c r="CE11" s="985" t="str">
        <f t="shared" si="26"/>
        <v/>
      </c>
      <c r="CF11" s="985" t="str">
        <f t="shared" si="26"/>
        <v/>
      </c>
      <c r="CG11" s="987"/>
      <c r="CH11" s="985" t="str">
        <f t="shared" si="9"/>
        <v/>
      </c>
      <c r="CI11" s="985" t="str">
        <f t="shared" si="9"/>
        <v/>
      </c>
      <c r="CJ11" s="985" t="str">
        <f t="shared" si="9"/>
        <v/>
      </c>
      <c r="CK11" s="985" t="str">
        <f t="shared" si="9"/>
        <v/>
      </c>
      <c r="CL11" s="985" t="str">
        <f t="shared" si="9"/>
        <v/>
      </c>
      <c r="CM11" s="985" t="str">
        <f t="shared" si="9"/>
        <v/>
      </c>
      <c r="CN11" s="985" t="str">
        <f t="shared" si="9"/>
        <v/>
      </c>
      <c r="CP11" s="988" t="str">
        <f t="shared" ref="CP11:DC11" si="27">IF(AND($I11&lt;&gt;"",OR($AF11="ELE",$AF11="ELD",$AF11="CX")),IF(AND($P11&gt;CO$8,$P11&lt;=CP$8),$K11,""),"")</f>
        <v/>
      </c>
      <c r="CQ11" s="988" t="str">
        <f t="shared" si="27"/>
        <v/>
      </c>
      <c r="CR11" s="988" t="str">
        <f t="shared" si="27"/>
        <v/>
      </c>
      <c r="CS11" s="988" t="str">
        <f t="shared" si="27"/>
        <v/>
      </c>
      <c r="CT11" s="988" t="str">
        <f t="shared" si="27"/>
        <v/>
      </c>
      <c r="CU11" s="988" t="str">
        <f t="shared" si="27"/>
        <v/>
      </c>
      <c r="CV11" s="988" t="str">
        <f t="shared" si="27"/>
        <v/>
      </c>
      <c r="CW11" s="988" t="str">
        <f t="shared" si="27"/>
        <v/>
      </c>
      <c r="CX11" s="988" t="str">
        <f t="shared" si="27"/>
        <v/>
      </c>
      <c r="CY11" s="988" t="str">
        <f t="shared" si="27"/>
        <v/>
      </c>
      <c r="CZ11" s="988" t="str">
        <f t="shared" si="27"/>
        <v/>
      </c>
      <c r="DA11" s="988" t="str">
        <f t="shared" si="27"/>
        <v/>
      </c>
      <c r="DB11" s="988" t="str">
        <f t="shared" si="27"/>
        <v/>
      </c>
      <c r="DC11" s="988" t="str">
        <f t="shared" si="27"/>
        <v/>
      </c>
      <c r="DE11" s="988">
        <f t="shared" ref="DE11:DR11" si="28">IF(AND($X11&lt;&gt;"",$AC11="CF"),IF(AND($P11&gt;DD$8,$P11&lt;=DE$8),$AB11,""),"")</f>
        <v>27.92</v>
      </c>
      <c r="DF11" s="988" t="str">
        <f t="shared" si="28"/>
        <v/>
      </c>
      <c r="DG11" s="988" t="str">
        <f t="shared" si="28"/>
        <v/>
      </c>
      <c r="DH11" s="988" t="str">
        <f t="shared" si="28"/>
        <v/>
      </c>
      <c r="DI11" s="988" t="str">
        <f t="shared" si="28"/>
        <v/>
      </c>
      <c r="DJ11" s="988" t="str">
        <f t="shared" si="28"/>
        <v/>
      </c>
      <c r="DK11" s="988" t="str">
        <f t="shared" si="28"/>
        <v/>
      </c>
      <c r="DL11" s="988" t="str">
        <f t="shared" si="28"/>
        <v/>
      </c>
      <c r="DM11" s="988" t="str">
        <f t="shared" si="28"/>
        <v/>
      </c>
      <c r="DN11" s="988" t="str">
        <f t="shared" si="28"/>
        <v/>
      </c>
      <c r="DO11" s="988" t="str">
        <f t="shared" si="28"/>
        <v/>
      </c>
      <c r="DP11" s="988" t="str">
        <f t="shared" si="28"/>
        <v/>
      </c>
      <c r="DQ11" s="988" t="str">
        <f t="shared" si="28"/>
        <v/>
      </c>
      <c r="DR11" s="988" t="str">
        <f t="shared" si="28"/>
        <v/>
      </c>
      <c r="DT11" s="988" t="str">
        <f t="shared" ref="DT11:EG11" si="29">IF(AND($X11&lt;&gt;"",$AC11="CA"),IF(AND($P11&gt;DS$8,$P11&lt;=DT$8),$AB11,""),"")</f>
        <v/>
      </c>
      <c r="DU11" s="988" t="str">
        <f t="shared" si="29"/>
        <v/>
      </c>
      <c r="DV11" s="988" t="str">
        <f t="shared" si="29"/>
        <v/>
      </c>
      <c r="DW11" s="988" t="str">
        <f t="shared" si="29"/>
        <v/>
      </c>
      <c r="DX11" s="988" t="str">
        <f t="shared" si="29"/>
        <v/>
      </c>
      <c r="DY11" s="988" t="str">
        <f t="shared" si="29"/>
        <v/>
      </c>
      <c r="DZ11" s="988" t="str">
        <f t="shared" si="29"/>
        <v/>
      </c>
      <c r="EA11" s="988" t="str">
        <f t="shared" si="29"/>
        <v/>
      </c>
      <c r="EB11" s="988" t="str">
        <f t="shared" si="29"/>
        <v/>
      </c>
      <c r="EC11" s="988" t="str">
        <f t="shared" si="29"/>
        <v/>
      </c>
      <c r="ED11" s="988" t="str">
        <f t="shared" si="29"/>
        <v/>
      </c>
      <c r="EE11" s="988" t="str">
        <f t="shared" si="29"/>
        <v/>
      </c>
      <c r="EF11" s="988" t="str">
        <f t="shared" si="29"/>
        <v/>
      </c>
      <c r="EG11" s="988" t="str">
        <f t="shared" si="29"/>
        <v/>
      </c>
      <c r="EI11" s="988" t="str">
        <f t="shared" ref="EI11:EV11" si="30">IF($AE11="BFC",IF(AND($P11&gt;EH$8,$P11&lt;=EI$8),$AB11,""),"")</f>
        <v/>
      </c>
      <c r="EJ11" s="988" t="str">
        <f t="shared" si="30"/>
        <v/>
      </c>
      <c r="EK11" s="988" t="str">
        <f t="shared" si="30"/>
        <v/>
      </c>
      <c r="EL11" s="988" t="str">
        <f t="shared" si="30"/>
        <v/>
      </c>
      <c r="EM11" s="988" t="str">
        <f t="shared" si="30"/>
        <v/>
      </c>
      <c r="EN11" s="988" t="str">
        <f t="shared" si="30"/>
        <v/>
      </c>
      <c r="EO11" s="988" t="str">
        <f t="shared" si="30"/>
        <v/>
      </c>
      <c r="EP11" s="988" t="str">
        <f t="shared" si="30"/>
        <v/>
      </c>
      <c r="EQ11" s="988" t="str">
        <f t="shared" si="30"/>
        <v/>
      </c>
      <c r="ER11" s="988" t="str">
        <f t="shared" si="30"/>
        <v/>
      </c>
      <c r="ES11" s="988" t="str">
        <f t="shared" si="30"/>
        <v/>
      </c>
      <c r="ET11" s="988" t="str">
        <f t="shared" si="30"/>
        <v/>
      </c>
      <c r="EU11" s="988" t="str">
        <f t="shared" si="30"/>
        <v/>
      </c>
      <c r="EV11" s="988" t="str">
        <f t="shared" si="30"/>
        <v/>
      </c>
      <c r="EX11" s="988" t="str">
        <f t="shared" ref="EX11:FK11" si="31">IF($AE11="BFN",IF(AND($P11&gt;EW$8,$P11&lt;=EX$8),$AB11,""),"")</f>
        <v/>
      </c>
      <c r="EY11" s="988" t="str">
        <f t="shared" si="31"/>
        <v/>
      </c>
      <c r="EZ11" s="988" t="str">
        <f t="shared" si="31"/>
        <v/>
      </c>
      <c r="FA11" s="988" t="str">
        <f t="shared" si="31"/>
        <v/>
      </c>
      <c r="FB11" s="988" t="str">
        <f t="shared" si="31"/>
        <v/>
      </c>
      <c r="FC11" s="988" t="str">
        <f t="shared" si="31"/>
        <v/>
      </c>
      <c r="FD11" s="988" t="str">
        <f t="shared" si="31"/>
        <v/>
      </c>
      <c r="FE11" s="988" t="str">
        <f t="shared" si="31"/>
        <v/>
      </c>
      <c r="FF11" s="988" t="str">
        <f t="shared" si="31"/>
        <v/>
      </c>
      <c r="FG11" s="988" t="str">
        <f t="shared" si="31"/>
        <v/>
      </c>
      <c r="FH11" s="988" t="str">
        <f t="shared" si="31"/>
        <v/>
      </c>
      <c r="FI11" s="988" t="str">
        <f t="shared" si="31"/>
        <v/>
      </c>
      <c r="FJ11" s="988" t="str">
        <f t="shared" si="31"/>
        <v/>
      </c>
      <c r="FK11" s="988" t="str">
        <f t="shared" si="31"/>
        <v/>
      </c>
      <c r="FM11" s="988" t="str">
        <f t="shared" ref="FM11:FZ11" si="32">IF(AND($I11&lt;&gt;"",$AF11="RCS"),IF(AND($P11&gt;FL$8,$P11&lt;=FM$8),SUM($K11:$M11),""),"")</f>
        <v/>
      </c>
      <c r="FN11" s="988" t="str">
        <f t="shared" si="32"/>
        <v/>
      </c>
      <c r="FO11" s="988" t="str">
        <f t="shared" si="32"/>
        <v/>
      </c>
      <c r="FP11" s="988" t="str">
        <f t="shared" si="32"/>
        <v/>
      </c>
      <c r="FQ11" s="988" t="str">
        <f t="shared" si="32"/>
        <v/>
      </c>
      <c r="FR11" s="988" t="str">
        <f t="shared" si="32"/>
        <v/>
      </c>
      <c r="FS11" s="988" t="str">
        <f t="shared" si="32"/>
        <v/>
      </c>
      <c r="FT11" s="988" t="str">
        <f t="shared" si="32"/>
        <v/>
      </c>
      <c r="FU11" s="988" t="str">
        <f t="shared" si="32"/>
        <v/>
      </c>
      <c r="FV11" s="988" t="str">
        <f t="shared" si="32"/>
        <v/>
      </c>
      <c r="FW11" s="988" t="str">
        <f t="shared" si="32"/>
        <v/>
      </c>
      <c r="FX11" s="988" t="str">
        <f t="shared" si="32"/>
        <v/>
      </c>
      <c r="FY11" s="988" t="str">
        <f t="shared" si="32"/>
        <v/>
      </c>
      <c r="FZ11" s="988" t="str">
        <f t="shared" si="32"/>
        <v/>
      </c>
      <c r="GB11" s="988">
        <f t="shared" ref="GB11:GO11" si="33">IF(AND($I11&lt;&gt;"",$AF11="REC"),IF(AND($P11&gt;GA$8,$P11&lt;=GB$8),SUM($K11:$M11),""),"")</f>
        <v>27.92</v>
      </c>
      <c r="GC11" s="988" t="str">
        <f t="shared" si="33"/>
        <v/>
      </c>
      <c r="GD11" s="988" t="str">
        <f t="shared" si="33"/>
        <v/>
      </c>
      <c r="GE11" s="988" t="str">
        <f t="shared" si="33"/>
        <v/>
      </c>
      <c r="GF11" s="988" t="str">
        <f t="shared" si="33"/>
        <v/>
      </c>
      <c r="GG11" s="988" t="str">
        <f t="shared" si="33"/>
        <v/>
      </c>
      <c r="GH11" s="988" t="str">
        <f t="shared" si="33"/>
        <v/>
      </c>
      <c r="GI11" s="988" t="str">
        <f t="shared" si="33"/>
        <v/>
      </c>
      <c r="GJ11" s="988" t="str">
        <f t="shared" si="33"/>
        <v/>
      </c>
      <c r="GK11" s="988" t="str">
        <f t="shared" si="33"/>
        <v/>
      </c>
      <c r="GL11" s="988" t="str">
        <f t="shared" si="33"/>
        <v/>
      </c>
      <c r="GM11" s="988" t="str">
        <f t="shared" si="33"/>
        <v/>
      </c>
      <c r="GN11" s="988" t="str">
        <f t="shared" si="33"/>
        <v/>
      </c>
      <c r="GO11" s="988" t="str">
        <f t="shared" si="33"/>
        <v/>
      </c>
      <c r="GQ11" s="988" t="str">
        <f t="shared" ref="GQ11:HD11" si="34">IF(AND($I11&lt;&gt;"",$AF11="REB"),IF(AND($P11&gt;GP$8,$P11&lt;=GQ$8),SUM($K11:$M11),""),"")</f>
        <v/>
      </c>
      <c r="GR11" s="988" t="str">
        <f t="shared" si="34"/>
        <v/>
      </c>
      <c r="GS11" s="988" t="str">
        <f t="shared" si="34"/>
        <v/>
      </c>
      <c r="GT11" s="988" t="str">
        <f t="shared" si="34"/>
        <v/>
      </c>
      <c r="GU11" s="988" t="str">
        <f t="shared" si="34"/>
        <v/>
      </c>
      <c r="GV11" s="988" t="str">
        <f t="shared" si="34"/>
        <v/>
      </c>
      <c r="GW11" s="988" t="str">
        <f t="shared" si="34"/>
        <v/>
      </c>
      <c r="GX11" s="988" t="str">
        <f t="shared" si="34"/>
        <v/>
      </c>
      <c r="GY11" s="988" t="str">
        <f t="shared" si="34"/>
        <v/>
      </c>
      <c r="GZ11" s="988" t="str">
        <f t="shared" si="34"/>
        <v/>
      </c>
      <c r="HA11" s="988" t="str">
        <f t="shared" si="34"/>
        <v/>
      </c>
      <c r="HB11" s="988" t="str">
        <f t="shared" si="34"/>
        <v/>
      </c>
      <c r="HC11" s="988" t="str">
        <f t="shared" si="34"/>
        <v/>
      </c>
      <c r="HD11" s="988" t="str">
        <f t="shared" si="34"/>
        <v/>
      </c>
      <c r="HF11" s="988" t="str">
        <f t="shared" ref="HF11:HS11" si="35">IF(AND($I11&lt;&gt;"",$AF11="RBS"),IF(AND($P11&gt;HE$8,$P11&lt;=HF$8),SUM($K11:$M11),""),"")</f>
        <v/>
      </c>
      <c r="HG11" s="988" t="str">
        <f t="shared" si="35"/>
        <v/>
      </c>
      <c r="HH11" s="988" t="str">
        <f t="shared" si="35"/>
        <v/>
      </c>
      <c r="HI11" s="988" t="str">
        <f t="shared" si="35"/>
        <v/>
      </c>
      <c r="HJ11" s="988" t="str">
        <f t="shared" si="35"/>
        <v/>
      </c>
      <c r="HK11" s="988" t="str">
        <f t="shared" si="35"/>
        <v/>
      </c>
      <c r="HL11" s="988" t="str">
        <f t="shared" si="35"/>
        <v/>
      </c>
      <c r="HM11" s="988" t="str">
        <f t="shared" si="35"/>
        <v/>
      </c>
      <c r="HN11" s="988" t="str">
        <f t="shared" si="35"/>
        <v/>
      </c>
      <c r="HO11" s="988" t="str">
        <f t="shared" si="35"/>
        <v/>
      </c>
      <c r="HP11" s="988" t="str">
        <f t="shared" si="35"/>
        <v/>
      </c>
      <c r="HQ11" s="988" t="str">
        <f t="shared" si="35"/>
        <v/>
      </c>
      <c r="HR11" s="988" t="str">
        <f t="shared" si="35"/>
        <v/>
      </c>
      <c r="HS11" s="988" t="str">
        <f t="shared" si="35"/>
        <v/>
      </c>
      <c r="HU11" s="988" t="str">
        <f t="shared" ref="HU11:IH11" si="36">IF(AND($I11&lt;&gt;"",$AF11="RCD"),IF(AND($P11&gt;HT$8,$P11&lt;=HU$8),SUM($K11:$M11),""),"")</f>
        <v/>
      </c>
      <c r="HV11" s="988" t="str">
        <f t="shared" si="36"/>
        <v/>
      </c>
      <c r="HW11" s="988" t="str">
        <f t="shared" si="36"/>
        <v/>
      </c>
      <c r="HX11" s="988" t="str">
        <f t="shared" si="36"/>
        <v/>
      </c>
      <c r="HY11" s="988" t="str">
        <f t="shared" si="36"/>
        <v/>
      </c>
      <c r="HZ11" s="988" t="str">
        <f t="shared" si="36"/>
        <v/>
      </c>
      <c r="IA11" s="988" t="str">
        <f t="shared" si="36"/>
        <v/>
      </c>
      <c r="IB11" s="988" t="str">
        <f t="shared" si="36"/>
        <v/>
      </c>
      <c r="IC11" s="988" t="str">
        <f t="shared" si="36"/>
        <v/>
      </c>
      <c r="ID11" s="988" t="str">
        <f t="shared" si="36"/>
        <v/>
      </c>
      <c r="IE11" s="988" t="str">
        <f t="shared" si="36"/>
        <v/>
      </c>
      <c r="IF11" s="988" t="str">
        <f t="shared" si="36"/>
        <v/>
      </c>
      <c r="IG11" s="988" t="str">
        <f t="shared" si="36"/>
        <v/>
      </c>
      <c r="IH11" s="988" t="str">
        <f t="shared" si="36"/>
        <v/>
      </c>
      <c r="IJ11" s="985">
        <f t="shared" ref="IJ11:IW11" si="37">IF(AND($I11&lt;&gt;""),IF(AND($P11&gt;II$8,$P11&lt;=IJ$8),$K11,""),"")</f>
        <v>27.92</v>
      </c>
      <c r="IK11" s="985" t="str">
        <f t="shared" si="37"/>
        <v/>
      </c>
      <c r="IL11" s="985" t="str">
        <f t="shared" si="37"/>
        <v/>
      </c>
      <c r="IM11" s="985" t="str">
        <f t="shared" si="37"/>
        <v/>
      </c>
      <c r="IN11" s="985" t="str">
        <f t="shared" si="37"/>
        <v/>
      </c>
      <c r="IO11" s="985" t="str">
        <f t="shared" si="37"/>
        <v/>
      </c>
      <c r="IP11" s="985" t="str">
        <f t="shared" si="37"/>
        <v/>
      </c>
      <c r="IQ11" s="985" t="str">
        <f t="shared" si="37"/>
        <v/>
      </c>
      <c r="IR11" s="985" t="str">
        <f t="shared" si="37"/>
        <v/>
      </c>
      <c r="IS11" s="985" t="str">
        <f t="shared" si="37"/>
        <v/>
      </c>
      <c r="IT11" s="985" t="str">
        <f t="shared" si="37"/>
        <v/>
      </c>
      <c r="IU11" s="985" t="str">
        <f t="shared" si="37"/>
        <v/>
      </c>
      <c r="IV11" s="985" t="str">
        <f t="shared" si="37"/>
        <v/>
      </c>
      <c r="IW11" s="985" t="str">
        <f t="shared" si="37"/>
        <v/>
      </c>
      <c r="IX11" s="987"/>
      <c r="IY11" s="985">
        <f t="shared" ref="IY11:JL11" si="38">IF(AND($I11&lt;&gt;""),IF(AND($P11&gt;IX$8,$P11&lt;=IY$8),$L11,""),"")</f>
        <v>0</v>
      </c>
      <c r="IZ11" s="985" t="str">
        <f t="shared" si="38"/>
        <v/>
      </c>
      <c r="JA11" s="985" t="str">
        <f t="shared" si="38"/>
        <v/>
      </c>
      <c r="JB11" s="985" t="str">
        <f t="shared" si="38"/>
        <v/>
      </c>
      <c r="JC11" s="985" t="str">
        <f t="shared" si="38"/>
        <v/>
      </c>
      <c r="JD11" s="985" t="str">
        <f t="shared" si="38"/>
        <v/>
      </c>
      <c r="JE11" s="985" t="str">
        <f t="shared" si="38"/>
        <v/>
      </c>
      <c r="JF11" s="985" t="str">
        <f t="shared" si="38"/>
        <v/>
      </c>
      <c r="JG11" s="985" t="str">
        <f t="shared" si="38"/>
        <v/>
      </c>
      <c r="JH11" s="985" t="str">
        <f t="shared" si="38"/>
        <v/>
      </c>
      <c r="JI11" s="985" t="str">
        <f t="shared" si="38"/>
        <v/>
      </c>
      <c r="JJ11" s="985" t="str">
        <f t="shared" si="38"/>
        <v/>
      </c>
      <c r="JK11" s="985" t="str">
        <f t="shared" si="38"/>
        <v/>
      </c>
      <c r="JL11" s="985" t="str">
        <f t="shared" si="38"/>
        <v/>
      </c>
      <c r="JM11" s="987"/>
      <c r="JN11" s="985">
        <f t="shared" ref="JN11:KA11" si="39">IF(AND($I11&lt;&gt;""),IF(AND($P11&gt;JM$8,$P11&lt;=JN$8),$M11,""),"")</f>
        <v>0</v>
      </c>
      <c r="JO11" s="985" t="str">
        <f t="shared" si="39"/>
        <v/>
      </c>
      <c r="JP11" s="985" t="str">
        <f t="shared" si="39"/>
        <v/>
      </c>
      <c r="JQ11" s="985" t="str">
        <f t="shared" si="39"/>
        <v/>
      </c>
      <c r="JR11" s="985" t="str">
        <f t="shared" si="39"/>
        <v/>
      </c>
      <c r="JS11" s="985" t="str">
        <f t="shared" si="39"/>
        <v/>
      </c>
      <c r="JT11" s="985" t="str">
        <f t="shared" si="39"/>
        <v/>
      </c>
      <c r="JU11" s="985" t="str">
        <f t="shared" si="39"/>
        <v/>
      </c>
      <c r="JV11" s="985" t="str">
        <f t="shared" si="39"/>
        <v/>
      </c>
      <c r="JW11" s="985" t="str">
        <f t="shared" si="39"/>
        <v/>
      </c>
      <c r="JX11" s="985" t="str">
        <f t="shared" si="39"/>
        <v/>
      </c>
      <c r="JY11" s="985" t="str">
        <f t="shared" si="39"/>
        <v/>
      </c>
      <c r="JZ11" s="985" t="str">
        <f t="shared" si="39"/>
        <v/>
      </c>
      <c r="KA11" s="985" t="str">
        <f t="shared" si="39"/>
        <v/>
      </c>
      <c r="KB11" s="987"/>
      <c r="KC11" s="985">
        <f t="shared" ref="KC11:KP11" si="40">IF(AND($I11&lt;&gt;""),IF(AND($P11&gt;KB$8,$P11&lt;=KC$8),$N11,""),"")</f>
        <v>0</v>
      </c>
      <c r="KD11" s="985" t="str">
        <f t="shared" si="40"/>
        <v/>
      </c>
      <c r="KE11" s="985" t="str">
        <f t="shared" si="40"/>
        <v/>
      </c>
      <c r="KF11" s="985" t="str">
        <f t="shared" si="40"/>
        <v/>
      </c>
      <c r="KG11" s="985" t="str">
        <f t="shared" si="40"/>
        <v/>
      </c>
      <c r="KH11" s="985" t="str">
        <f t="shared" si="40"/>
        <v/>
      </c>
      <c r="KI11" s="985" t="str">
        <f t="shared" si="40"/>
        <v/>
      </c>
      <c r="KJ11" s="985" t="str">
        <f t="shared" si="40"/>
        <v/>
      </c>
      <c r="KK11" s="985" t="str">
        <f t="shared" si="40"/>
        <v/>
      </c>
      <c r="KL11" s="985" t="str">
        <f t="shared" si="40"/>
        <v/>
      </c>
      <c r="KM11" s="985" t="str">
        <f t="shared" si="40"/>
        <v/>
      </c>
      <c r="KN11" s="985" t="str">
        <f t="shared" si="40"/>
        <v/>
      </c>
      <c r="KO11" s="985" t="str">
        <f t="shared" si="40"/>
        <v/>
      </c>
      <c r="KP11" s="985" t="str">
        <f t="shared" si="40"/>
        <v/>
      </c>
    </row>
    <row r="12" spans="2:302" ht="18" customHeight="1">
      <c r="B12" s="978">
        <f t="shared" si="0"/>
        <v>2.5</v>
      </c>
      <c r="C12" s="979" t="s">
        <v>680</v>
      </c>
      <c r="D12" s="979" t="s">
        <v>605</v>
      </c>
      <c r="E12" s="980">
        <v>10</v>
      </c>
      <c r="F12" s="979" t="s">
        <v>683</v>
      </c>
      <c r="G12" s="979" t="s">
        <v>605</v>
      </c>
      <c r="H12" s="980">
        <v>10</v>
      </c>
      <c r="I12" s="979" t="s">
        <v>825</v>
      </c>
      <c r="J12" s="979"/>
      <c r="K12" s="980">
        <v>0.8</v>
      </c>
      <c r="L12" s="980"/>
      <c r="M12" s="980"/>
      <c r="N12" s="980"/>
      <c r="O12" s="980"/>
      <c r="P12" s="981">
        <v>0.02</v>
      </c>
      <c r="Q12" s="981">
        <f t="shared" si="1"/>
        <v>1.6E-2</v>
      </c>
      <c r="R12" s="979" t="s">
        <v>680</v>
      </c>
      <c r="S12" s="979" t="s">
        <v>605</v>
      </c>
      <c r="T12" s="980">
        <v>10</v>
      </c>
      <c r="U12" s="979" t="s">
        <v>683</v>
      </c>
      <c r="V12" s="979" t="s">
        <v>605</v>
      </c>
      <c r="W12" s="980">
        <v>10</v>
      </c>
      <c r="X12" s="979" t="s">
        <v>825</v>
      </c>
      <c r="Y12" s="979"/>
      <c r="Z12" s="979"/>
      <c r="AA12" s="980">
        <v>1.3</v>
      </c>
      <c r="AB12" s="980">
        <f t="shared" si="2"/>
        <v>0.61538461538461542</v>
      </c>
      <c r="AC12" s="982" t="s">
        <v>939</v>
      </c>
      <c r="AD12" s="953"/>
      <c r="AE12" s="983" t="str">
        <f t="shared" si="3"/>
        <v/>
      </c>
      <c r="AF12" s="984" t="str">
        <f t="shared" si="4"/>
        <v>CL</v>
      </c>
      <c r="AG12" s="963"/>
      <c r="AH12" s="985">
        <f t="shared" si="5"/>
        <v>0.8</v>
      </c>
      <c r="AI12" s="985" t="str">
        <f t="shared" si="5"/>
        <v/>
      </c>
      <c r="AJ12" s="985" t="str">
        <f t="shared" si="5"/>
        <v/>
      </c>
      <c r="AK12" s="985" t="str">
        <f t="shared" si="5"/>
        <v/>
      </c>
      <c r="AL12" s="985" t="str">
        <f t="shared" si="5"/>
        <v/>
      </c>
      <c r="AM12" s="985" t="str">
        <f t="shared" si="5"/>
        <v/>
      </c>
      <c r="AN12" s="985" t="str">
        <f t="shared" si="5"/>
        <v/>
      </c>
      <c r="AO12" s="985" t="str">
        <f t="shared" si="5"/>
        <v/>
      </c>
      <c r="AP12" s="986"/>
      <c r="AQ12" s="985" t="str">
        <f t="shared" ref="AQ12:BD12" si="41">IF(AND($I12&lt;&gt;"",$AF12="C"),IF(AND($P12&gt;AP$8,$P12&lt;=AQ$8),$K12,""),"")</f>
        <v/>
      </c>
      <c r="AR12" s="985" t="str">
        <f t="shared" si="41"/>
        <v/>
      </c>
      <c r="AS12" s="985" t="str">
        <f t="shared" si="41"/>
        <v/>
      </c>
      <c r="AT12" s="985" t="str">
        <f t="shared" si="41"/>
        <v/>
      </c>
      <c r="AU12" s="985" t="str">
        <f t="shared" si="41"/>
        <v/>
      </c>
      <c r="AV12" s="985" t="str">
        <f t="shared" si="41"/>
        <v/>
      </c>
      <c r="AW12" s="985" t="str">
        <f t="shared" si="41"/>
        <v/>
      </c>
      <c r="AX12" s="985" t="str">
        <f t="shared" si="41"/>
        <v/>
      </c>
      <c r="AY12" s="985" t="str">
        <f t="shared" si="41"/>
        <v/>
      </c>
      <c r="AZ12" s="985" t="str">
        <f t="shared" si="41"/>
        <v/>
      </c>
      <c r="BA12" s="985" t="str">
        <f t="shared" si="41"/>
        <v/>
      </c>
      <c r="BB12" s="985" t="str">
        <f t="shared" si="41"/>
        <v/>
      </c>
      <c r="BC12" s="985" t="str">
        <f t="shared" si="41"/>
        <v/>
      </c>
      <c r="BD12" s="985" t="str">
        <f t="shared" si="41"/>
        <v/>
      </c>
      <c r="BE12" s="987"/>
      <c r="BF12" s="985" t="str">
        <f t="shared" ref="BF12:BS12" si="42">IF(AND($I12&lt;&gt;"",$AF12="C"),IF(AND($P12&gt;BE$8,$P12&lt;=BF$8),$L12,""),"")</f>
        <v/>
      </c>
      <c r="BG12" s="985" t="str">
        <f t="shared" si="42"/>
        <v/>
      </c>
      <c r="BH12" s="985" t="str">
        <f t="shared" si="42"/>
        <v/>
      </c>
      <c r="BI12" s="985" t="str">
        <f t="shared" si="42"/>
        <v/>
      </c>
      <c r="BJ12" s="985" t="str">
        <f t="shared" si="42"/>
        <v/>
      </c>
      <c r="BK12" s="985" t="str">
        <f t="shared" si="42"/>
        <v/>
      </c>
      <c r="BL12" s="985" t="str">
        <f t="shared" si="42"/>
        <v/>
      </c>
      <c r="BM12" s="985" t="str">
        <f t="shared" si="42"/>
        <v/>
      </c>
      <c r="BN12" s="985" t="str">
        <f t="shared" si="42"/>
        <v/>
      </c>
      <c r="BO12" s="985" t="str">
        <f t="shared" si="42"/>
        <v/>
      </c>
      <c r="BP12" s="985" t="str">
        <f t="shared" si="42"/>
        <v/>
      </c>
      <c r="BQ12" s="985" t="str">
        <f t="shared" si="42"/>
        <v/>
      </c>
      <c r="BR12" s="985" t="str">
        <f t="shared" si="42"/>
        <v/>
      </c>
      <c r="BS12" s="985" t="str">
        <f t="shared" si="42"/>
        <v/>
      </c>
      <c r="BU12" s="985" t="str">
        <f t="shared" ref="BU12:CF12" si="43">IF(AND($I12&lt;&gt;"",$AF12="C"),IF(AND($P12&gt;BT$8,$P12&lt;=BU$8),$M12,""),"")</f>
        <v/>
      </c>
      <c r="BV12" s="985" t="str">
        <f t="shared" si="43"/>
        <v/>
      </c>
      <c r="BW12" s="985" t="str">
        <f t="shared" si="43"/>
        <v/>
      </c>
      <c r="BX12" s="985" t="str">
        <f t="shared" si="43"/>
        <v/>
      </c>
      <c r="BY12" s="985" t="str">
        <f t="shared" si="43"/>
        <v/>
      </c>
      <c r="BZ12" s="985" t="str">
        <f t="shared" si="43"/>
        <v/>
      </c>
      <c r="CA12" s="985" t="str">
        <f t="shared" si="43"/>
        <v/>
      </c>
      <c r="CB12" s="985" t="str">
        <f t="shared" si="43"/>
        <v/>
      </c>
      <c r="CC12" s="985" t="str">
        <f t="shared" si="43"/>
        <v/>
      </c>
      <c r="CD12" s="985" t="str">
        <f t="shared" si="43"/>
        <v/>
      </c>
      <c r="CE12" s="985" t="str">
        <f t="shared" si="43"/>
        <v/>
      </c>
      <c r="CF12" s="985" t="str">
        <f t="shared" si="43"/>
        <v/>
      </c>
      <c r="CG12" s="987"/>
      <c r="CH12" s="985" t="str">
        <f t="shared" si="9"/>
        <v/>
      </c>
      <c r="CI12" s="985" t="str">
        <f t="shared" si="9"/>
        <v/>
      </c>
      <c r="CJ12" s="985" t="str">
        <f t="shared" si="9"/>
        <v/>
      </c>
      <c r="CK12" s="985" t="str">
        <f t="shared" si="9"/>
        <v/>
      </c>
      <c r="CL12" s="985" t="str">
        <f t="shared" si="9"/>
        <v/>
      </c>
      <c r="CM12" s="985" t="str">
        <f t="shared" si="9"/>
        <v/>
      </c>
      <c r="CN12" s="985" t="str">
        <f t="shared" si="9"/>
        <v/>
      </c>
      <c r="CP12" s="988" t="str">
        <f t="shared" ref="CP12:DC12" si="44">IF(AND($I12&lt;&gt;"",OR($AF12="ELE",$AF12="ELD",$AF12="CX")),IF(AND($P12&gt;CO$8,$P12&lt;=CP$8),$K12,""),"")</f>
        <v/>
      </c>
      <c r="CQ12" s="988" t="str">
        <f t="shared" si="44"/>
        <v/>
      </c>
      <c r="CR12" s="988" t="str">
        <f t="shared" si="44"/>
        <v/>
      </c>
      <c r="CS12" s="988" t="str">
        <f t="shared" si="44"/>
        <v/>
      </c>
      <c r="CT12" s="988" t="str">
        <f t="shared" si="44"/>
        <v/>
      </c>
      <c r="CU12" s="988" t="str">
        <f t="shared" si="44"/>
        <v/>
      </c>
      <c r="CV12" s="988" t="str">
        <f t="shared" si="44"/>
        <v/>
      </c>
      <c r="CW12" s="988" t="str">
        <f t="shared" si="44"/>
        <v/>
      </c>
      <c r="CX12" s="988" t="str">
        <f t="shared" si="44"/>
        <v/>
      </c>
      <c r="CY12" s="988" t="str">
        <f t="shared" si="44"/>
        <v/>
      </c>
      <c r="CZ12" s="988" t="str">
        <f t="shared" si="44"/>
        <v/>
      </c>
      <c r="DA12" s="988" t="str">
        <f t="shared" si="44"/>
        <v/>
      </c>
      <c r="DB12" s="988" t="str">
        <f t="shared" si="44"/>
        <v/>
      </c>
      <c r="DC12" s="988" t="str">
        <f t="shared" si="44"/>
        <v/>
      </c>
      <c r="DE12" s="988">
        <f t="shared" ref="DE12:DR12" si="45">IF(AND($X12&lt;&gt;"",$AC12="CF"),IF(AND($P12&gt;DD$8,$P12&lt;=DE$8),$AB12,""),"")</f>
        <v>0.61538461538461542</v>
      </c>
      <c r="DF12" s="988" t="str">
        <f t="shared" si="45"/>
        <v/>
      </c>
      <c r="DG12" s="988" t="str">
        <f t="shared" si="45"/>
        <v/>
      </c>
      <c r="DH12" s="988" t="str">
        <f t="shared" si="45"/>
        <v/>
      </c>
      <c r="DI12" s="988" t="str">
        <f t="shared" si="45"/>
        <v/>
      </c>
      <c r="DJ12" s="988" t="str">
        <f t="shared" si="45"/>
        <v/>
      </c>
      <c r="DK12" s="988" t="str">
        <f t="shared" si="45"/>
        <v/>
      </c>
      <c r="DL12" s="988" t="str">
        <f t="shared" si="45"/>
        <v/>
      </c>
      <c r="DM12" s="988" t="str">
        <f t="shared" si="45"/>
        <v/>
      </c>
      <c r="DN12" s="988" t="str">
        <f t="shared" si="45"/>
        <v/>
      </c>
      <c r="DO12" s="988" t="str">
        <f t="shared" si="45"/>
        <v/>
      </c>
      <c r="DP12" s="988" t="str">
        <f t="shared" si="45"/>
        <v/>
      </c>
      <c r="DQ12" s="988" t="str">
        <f t="shared" si="45"/>
        <v/>
      </c>
      <c r="DR12" s="988" t="str">
        <f t="shared" si="45"/>
        <v/>
      </c>
      <c r="DT12" s="988" t="str">
        <f t="shared" ref="DT12:EG12" si="46">IF(AND($X12&lt;&gt;"",$AC12="CA"),IF(AND($P12&gt;DS$8,$P12&lt;=DT$8),$AB12,""),"")</f>
        <v/>
      </c>
      <c r="DU12" s="988" t="str">
        <f t="shared" si="46"/>
        <v/>
      </c>
      <c r="DV12" s="988" t="str">
        <f t="shared" si="46"/>
        <v/>
      </c>
      <c r="DW12" s="988" t="str">
        <f t="shared" si="46"/>
        <v/>
      </c>
      <c r="DX12" s="988" t="str">
        <f t="shared" si="46"/>
        <v/>
      </c>
      <c r="DY12" s="988" t="str">
        <f t="shared" si="46"/>
        <v/>
      </c>
      <c r="DZ12" s="988" t="str">
        <f t="shared" si="46"/>
        <v/>
      </c>
      <c r="EA12" s="988" t="str">
        <f t="shared" si="46"/>
        <v/>
      </c>
      <c r="EB12" s="988" t="str">
        <f t="shared" si="46"/>
        <v/>
      </c>
      <c r="EC12" s="988" t="str">
        <f t="shared" si="46"/>
        <v/>
      </c>
      <c r="ED12" s="988" t="str">
        <f t="shared" si="46"/>
        <v/>
      </c>
      <c r="EE12" s="988" t="str">
        <f t="shared" si="46"/>
        <v/>
      </c>
      <c r="EF12" s="988" t="str">
        <f t="shared" si="46"/>
        <v/>
      </c>
      <c r="EG12" s="988" t="str">
        <f t="shared" si="46"/>
        <v/>
      </c>
      <c r="EI12" s="988" t="str">
        <f t="shared" ref="EI12:EV12" si="47">IF($AE12="BFC",IF(AND($P12&gt;EH$8,$P12&lt;=EI$8),$AB12,""),"")</f>
        <v/>
      </c>
      <c r="EJ12" s="988" t="str">
        <f t="shared" si="47"/>
        <v/>
      </c>
      <c r="EK12" s="988" t="str">
        <f t="shared" si="47"/>
        <v/>
      </c>
      <c r="EL12" s="988" t="str">
        <f t="shared" si="47"/>
        <v/>
      </c>
      <c r="EM12" s="988" t="str">
        <f t="shared" si="47"/>
        <v/>
      </c>
      <c r="EN12" s="988" t="str">
        <f t="shared" si="47"/>
        <v/>
      </c>
      <c r="EO12" s="988" t="str">
        <f t="shared" si="47"/>
        <v/>
      </c>
      <c r="EP12" s="988" t="str">
        <f t="shared" si="47"/>
        <v/>
      </c>
      <c r="EQ12" s="988" t="str">
        <f t="shared" si="47"/>
        <v/>
      </c>
      <c r="ER12" s="988" t="str">
        <f t="shared" si="47"/>
        <v/>
      </c>
      <c r="ES12" s="988" t="str">
        <f t="shared" si="47"/>
        <v/>
      </c>
      <c r="ET12" s="988" t="str">
        <f t="shared" si="47"/>
        <v/>
      </c>
      <c r="EU12" s="988" t="str">
        <f t="shared" si="47"/>
        <v/>
      </c>
      <c r="EV12" s="988" t="str">
        <f t="shared" si="47"/>
        <v/>
      </c>
      <c r="EX12" s="988" t="str">
        <f t="shared" ref="EX12:FK12" si="48">IF($AE12="BFN",IF(AND($P12&gt;EW$8,$P12&lt;=EX$8),$AB12,""),"")</f>
        <v/>
      </c>
      <c r="EY12" s="988" t="str">
        <f t="shared" si="48"/>
        <v/>
      </c>
      <c r="EZ12" s="988" t="str">
        <f t="shared" si="48"/>
        <v/>
      </c>
      <c r="FA12" s="988" t="str">
        <f t="shared" si="48"/>
        <v/>
      </c>
      <c r="FB12" s="988" t="str">
        <f t="shared" si="48"/>
        <v/>
      </c>
      <c r="FC12" s="988" t="str">
        <f t="shared" si="48"/>
        <v/>
      </c>
      <c r="FD12" s="988" t="str">
        <f t="shared" si="48"/>
        <v/>
      </c>
      <c r="FE12" s="988" t="str">
        <f t="shared" si="48"/>
        <v/>
      </c>
      <c r="FF12" s="988" t="str">
        <f t="shared" si="48"/>
        <v/>
      </c>
      <c r="FG12" s="988" t="str">
        <f t="shared" si="48"/>
        <v/>
      </c>
      <c r="FH12" s="988" t="str">
        <f t="shared" si="48"/>
        <v/>
      </c>
      <c r="FI12" s="988" t="str">
        <f t="shared" si="48"/>
        <v/>
      </c>
      <c r="FJ12" s="988" t="str">
        <f t="shared" si="48"/>
        <v/>
      </c>
      <c r="FK12" s="988" t="str">
        <f t="shared" si="48"/>
        <v/>
      </c>
      <c r="FM12" s="988" t="str">
        <f t="shared" ref="FM12:FZ12" si="49">IF(AND($I12&lt;&gt;"",$AF12="RCS"),IF(AND($P12&gt;FL$8,$P12&lt;=FM$8),SUM($K12:$M12),""),"")</f>
        <v/>
      </c>
      <c r="FN12" s="988" t="str">
        <f t="shared" si="49"/>
        <v/>
      </c>
      <c r="FO12" s="988" t="str">
        <f t="shared" si="49"/>
        <v/>
      </c>
      <c r="FP12" s="988" t="str">
        <f t="shared" si="49"/>
        <v/>
      </c>
      <c r="FQ12" s="988" t="str">
        <f t="shared" si="49"/>
        <v/>
      </c>
      <c r="FR12" s="988" t="str">
        <f t="shared" si="49"/>
        <v/>
      </c>
      <c r="FS12" s="988" t="str">
        <f t="shared" si="49"/>
        <v/>
      </c>
      <c r="FT12" s="988" t="str">
        <f t="shared" si="49"/>
        <v/>
      </c>
      <c r="FU12" s="988" t="str">
        <f t="shared" si="49"/>
        <v/>
      </c>
      <c r="FV12" s="988" t="str">
        <f t="shared" si="49"/>
        <v/>
      </c>
      <c r="FW12" s="988" t="str">
        <f t="shared" si="49"/>
        <v/>
      </c>
      <c r="FX12" s="988" t="str">
        <f t="shared" si="49"/>
        <v/>
      </c>
      <c r="FY12" s="988" t="str">
        <f t="shared" si="49"/>
        <v/>
      </c>
      <c r="FZ12" s="988" t="str">
        <f t="shared" si="49"/>
        <v/>
      </c>
      <c r="GB12" s="988" t="str">
        <f t="shared" ref="GB12:GO12" si="50">IF(AND($I12&lt;&gt;"",$AF12="REC"),IF(AND($P12&gt;GA$8,$P12&lt;=GB$8),SUM($K12:$M12),""),"")</f>
        <v/>
      </c>
      <c r="GC12" s="988" t="str">
        <f t="shared" si="50"/>
        <v/>
      </c>
      <c r="GD12" s="988" t="str">
        <f t="shared" si="50"/>
        <v/>
      </c>
      <c r="GE12" s="988" t="str">
        <f t="shared" si="50"/>
        <v/>
      </c>
      <c r="GF12" s="988" t="str">
        <f t="shared" si="50"/>
        <v/>
      </c>
      <c r="GG12" s="988" t="str">
        <f t="shared" si="50"/>
        <v/>
      </c>
      <c r="GH12" s="988" t="str">
        <f t="shared" si="50"/>
        <v/>
      </c>
      <c r="GI12" s="988" t="str">
        <f t="shared" si="50"/>
        <v/>
      </c>
      <c r="GJ12" s="988" t="str">
        <f t="shared" si="50"/>
        <v/>
      </c>
      <c r="GK12" s="988" t="str">
        <f t="shared" si="50"/>
        <v/>
      </c>
      <c r="GL12" s="988" t="str">
        <f t="shared" si="50"/>
        <v/>
      </c>
      <c r="GM12" s="988" t="str">
        <f t="shared" si="50"/>
        <v/>
      </c>
      <c r="GN12" s="988" t="str">
        <f t="shared" si="50"/>
        <v/>
      </c>
      <c r="GO12" s="988" t="str">
        <f t="shared" si="50"/>
        <v/>
      </c>
      <c r="GQ12" s="988" t="str">
        <f t="shared" ref="GQ12:HD12" si="51">IF(AND($I12&lt;&gt;"",$AF12="REB"),IF(AND($P12&gt;GP$8,$P12&lt;=GQ$8),SUM($K12:$M12),""),"")</f>
        <v/>
      </c>
      <c r="GR12" s="988" t="str">
        <f t="shared" si="51"/>
        <v/>
      </c>
      <c r="GS12" s="988" t="str">
        <f t="shared" si="51"/>
        <v/>
      </c>
      <c r="GT12" s="988" t="str">
        <f t="shared" si="51"/>
        <v/>
      </c>
      <c r="GU12" s="988" t="str">
        <f t="shared" si="51"/>
        <v/>
      </c>
      <c r="GV12" s="988" t="str">
        <f t="shared" si="51"/>
        <v/>
      </c>
      <c r="GW12" s="988" t="str">
        <f t="shared" si="51"/>
        <v/>
      </c>
      <c r="GX12" s="988" t="str">
        <f t="shared" si="51"/>
        <v/>
      </c>
      <c r="GY12" s="988" t="str">
        <f t="shared" si="51"/>
        <v/>
      </c>
      <c r="GZ12" s="988" t="str">
        <f t="shared" si="51"/>
        <v/>
      </c>
      <c r="HA12" s="988" t="str">
        <f t="shared" si="51"/>
        <v/>
      </c>
      <c r="HB12" s="988" t="str">
        <f t="shared" si="51"/>
        <v/>
      </c>
      <c r="HC12" s="988" t="str">
        <f t="shared" si="51"/>
        <v/>
      </c>
      <c r="HD12" s="988" t="str">
        <f t="shared" si="51"/>
        <v/>
      </c>
      <c r="HF12" s="988" t="str">
        <f t="shared" ref="HF12:HS12" si="52">IF(AND($I12&lt;&gt;"",$AF12="RBS"),IF(AND($P12&gt;HE$8,$P12&lt;=HF$8),SUM($K12:$M12),""),"")</f>
        <v/>
      </c>
      <c r="HG12" s="988" t="str">
        <f t="shared" si="52"/>
        <v/>
      </c>
      <c r="HH12" s="988" t="str">
        <f t="shared" si="52"/>
        <v/>
      </c>
      <c r="HI12" s="988" t="str">
        <f t="shared" si="52"/>
        <v/>
      </c>
      <c r="HJ12" s="988" t="str">
        <f t="shared" si="52"/>
        <v/>
      </c>
      <c r="HK12" s="988" t="str">
        <f t="shared" si="52"/>
        <v/>
      </c>
      <c r="HL12" s="988" t="str">
        <f t="shared" si="52"/>
        <v/>
      </c>
      <c r="HM12" s="988" t="str">
        <f t="shared" si="52"/>
        <v/>
      </c>
      <c r="HN12" s="988" t="str">
        <f t="shared" si="52"/>
        <v/>
      </c>
      <c r="HO12" s="988" t="str">
        <f t="shared" si="52"/>
        <v/>
      </c>
      <c r="HP12" s="988" t="str">
        <f t="shared" si="52"/>
        <v/>
      </c>
      <c r="HQ12" s="988" t="str">
        <f t="shared" si="52"/>
        <v/>
      </c>
      <c r="HR12" s="988" t="str">
        <f t="shared" si="52"/>
        <v/>
      </c>
      <c r="HS12" s="988" t="str">
        <f t="shared" si="52"/>
        <v/>
      </c>
      <c r="HU12" s="988" t="str">
        <f t="shared" ref="HU12:IH12" si="53">IF(AND($I12&lt;&gt;"",$AF12="RCD"),IF(AND($P12&gt;HT$8,$P12&lt;=HU$8),SUM($K12:$M12),""),"")</f>
        <v/>
      </c>
      <c r="HV12" s="988" t="str">
        <f t="shared" si="53"/>
        <v/>
      </c>
      <c r="HW12" s="988" t="str">
        <f t="shared" si="53"/>
        <v/>
      </c>
      <c r="HX12" s="988" t="str">
        <f t="shared" si="53"/>
        <v/>
      </c>
      <c r="HY12" s="988" t="str">
        <f t="shared" si="53"/>
        <v/>
      </c>
      <c r="HZ12" s="988" t="str">
        <f t="shared" si="53"/>
        <v/>
      </c>
      <c r="IA12" s="988" t="str">
        <f t="shared" si="53"/>
        <v/>
      </c>
      <c r="IB12" s="988" t="str">
        <f t="shared" si="53"/>
        <v/>
      </c>
      <c r="IC12" s="988" t="str">
        <f t="shared" si="53"/>
        <v/>
      </c>
      <c r="ID12" s="988" t="str">
        <f t="shared" si="53"/>
        <v/>
      </c>
      <c r="IE12" s="988" t="str">
        <f t="shared" si="53"/>
        <v/>
      </c>
      <c r="IF12" s="988" t="str">
        <f t="shared" si="53"/>
        <v/>
      </c>
      <c r="IG12" s="988" t="str">
        <f t="shared" si="53"/>
        <v/>
      </c>
      <c r="IH12" s="988" t="str">
        <f t="shared" si="53"/>
        <v/>
      </c>
      <c r="IJ12" s="985">
        <f t="shared" ref="IJ12:IW12" si="54">IF(AND($I12&lt;&gt;""),IF(AND($P12&gt;II$8,$P12&lt;=IJ$8),$K12,""),"")</f>
        <v>0.8</v>
      </c>
      <c r="IK12" s="985" t="str">
        <f t="shared" si="54"/>
        <v/>
      </c>
      <c r="IL12" s="985" t="str">
        <f t="shared" si="54"/>
        <v/>
      </c>
      <c r="IM12" s="985" t="str">
        <f t="shared" si="54"/>
        <v/>
      </c>
      <c r="IN12" s="985" t="str">
        <f t="shared" si="54"/>
        <v/>
      </c>
      <c r="IO12" s="985" t="str">
        <f t="shared" si="54"/>
        <v/>
      </c>
      <c r="IP12" s="985" t="str">
        <f t="shared" si="54"/>
        <v/>
      </c>
      <c r="IQ12" s="985" t="str">
        <f t="shared" si="54"/>
        <v/>
      </c>
      <c r="IR12" s="985" t="str">
        <f t="shared" si="54"/>
        <v/>
      </c>
      <c r="IS12" s="985" t="str">
        <f t="shared" si="54"/>
        <v/>
      </c>
      <c r="IT12" s="985" t="str">
        <f t="shared" si="54"/>
        <v/>
      </c>
      <c r="IU12" s="985" t="str">
        <f t="shared" si="54"/>
        <v/>
      </c>
      <c r="IV12" s="985" t="str">
        <f t="shared" si="54"/>
        <v/>
      </c>
      <c r="IW12" s="985" t="str">
        <f t="shared" si="54"/>
        <v/>
      </c>
      <c r="IX12" s="987"/>
      <c r="IY12" s="985">
        <f t="shared" ref="IY12:JL12" si="55">IF(AND($I12&lt;&gt;""),IF(AND($P12&gt;IX$8,$P12&lt;=IY$8),$L12,""),"")</f>
        <v>0</v>
      </c>
      <c r="IZ12" s="985" t="str">
        <f t="shared" si="55"/>
        <v/>
      </c>
      <c r="JA12" s="985" t="str">
        <f t="shared" si="55"/>
        <v/>
      </c>
      <c r="JB12" s="985" t="str">
        <f t="shared" si="55"/>
        <v/>
      </c>
      <c r="JC12" s="985" t="str">
        <f t="shared" si="55"/>
        <v/>
      </c>
      <c r="JD12" s="985" t="str">
        <f t="shared" si="55"/>
        <v/>
      </c>
      <c r="JE12" s="985" t="str">
        <f t="shared" si="55"/>
        <v/>
      </c>
      <c r="JF12" s="985" t="str">
        <f t="shared" si="55"/>
        <v/>
      </c>
      <c r="JG12" s="985" t="str">
        <f t="shared" si="55"/>
        <v/>
      </c>
      <c r="JH12" s="985" t="str">
        <f t="shared" si="55"/>
        <v/>
      </c>
      <c r="JI12" s="985" t="str">
        <f t="shared" si="55"/>
        <v/>
      </c>
      <c r="JJ12" s="985" t="str">
        <f t="shared" si="55"/>
        <v/>
      </c>
      <c r="JK12" s="985" t="str">
        <f t="shared" si="55"/>
        <v/>
      </c>
      <c r="JL12" s="985" t="str">
        <f t="shared" si="55"/>
        <v/>
      </c>
      <c r="JM12" s="987"/>
      <c r="JN12" s="985">
        <f t="shared" ref="JN12:KA12" si="56">IF(AND($I12&lt;&gt;""),IF(AND($P12&gt;JM$8,$P12&lt;=JN$8),$M12,""),"")</f>
        <v>0</v>
      </c>
      <c r="JO12" s="985" t="str">
        <f t="shared" si="56"/>
        <v/>
      </c>
      <c r="JP12" s="985" t="str">
        <f t="shared" si="56"/>
        <v/>
      </c>
      <c r="JQ12" s="985" t="str">
        <f t="shared" si="56"/>
        <v/>
      </c>
      <c r="JR12" s="985" t="str">
        <f t="shared" si="56"/>
        <v/>
      </c>
      <c r="JS12" s="985" t="str">
        <f t="shared" si="56"/>
        <v/>
      </c>
      <c r="JT12" s="985" t="str">
        <f t="shared" si="56"/>
        <v/>
      </c>
      <c r="JU12" s="985" t="str">
        <f t="shared" si="56"/>
        <v/>
      </c>
      <c r="JV12" s="985" t="str">
        <f t="shared" si="56"/>
        <v/>
      </c>
      <c r="JW12" s="985" t="str">
        <f t="shared" si="56"/>
        <v/>
      </c>
      <c r="JX12" s="985" t="str">
        <f t="shared" si="56"/>
        <v/>
      </c>
      <c r="JY12" s="985" t="str">
        <f t="shared" si="56"/>
        <v/>
      </c>
      <c r="JZ12" s="985" t="str">
        <f t="shared" si="56"/>
        <v/>
      </c>
      <c r="KA12" s="985" t="str">
        <f t="shared" si="56"/>
        <v/>
      </c>
      <c r="KB12" s="987"/>
      <c r="KC12" s="985">
        <f t="shared" ref="KC12:KP12" si="57">IF(AND($I12&lt;&gt;""),IF(AND($P12&gt;KB$8,$P12&lt;=KC$8),$N12,""),"")</f>
        <v>0</v>
      </c>
      <c r="KD12" s="985" t="str">
        <f t="shared" si="57"/>
        <v/>
      </c>
      <c r="KE12" s="985" t="str">
        <f t="shared" si="57"/>
        <v/>
      </c>
      <c r="KF12" s="985" t="str">
        <f t="shared" si="57"/>
        <v/>
      </c>
      <c r="KG12" s="985" t="str">
        <f t="shared" si="57"/>
        <v/>
      </c>
      <c r="KH12" s="985" t="str">
        <f t="shared" si="57"/>
        <v/>
      </c>
      <c r="KI12" s="985" t="str">
        <f t="shared" si="57"/>
        <v/>
      </c>
      <c r="KJ12" s="985" t="str">
        <f t="shared" si="57"/>
        <v/>
      </c>
      <c r="KK12" s="985" t="str">
        <f t="shared" si="57"/>
        <v/>
      </c>
      <c r="KL12" s="985" t="str">
        <f t="shared" si="57"/>
        <v/>
      </c>
      <c r="KM12" s="985" t="str">
        <f t="shared" si="57"/>
        <v/>
      </c>
      <c r="KN12" s="985" t="str">
        <f t="shared" si="57"/>
        <v/>
      </c>
      <c r="KO12" s="985" t="str">
        <f t="shared" si="57"/>
        <v/>
      </c>
      <c r="KP12" s="985" t="str">
        <f t="shared" si="57"/>
        <v/>
      </c>
    </row>
    <row r="13" spans="2:302" ht="18" customHeight="1">
      <c r="B13" s="978">
        <f t="shared" si="0"/>
        <v>4.5</v>
      </c>
      <c r="C13" s="979" t="s">
        <v>675</v>
      </c>
      <c r="D13" s="979" t="s">
        <v>605</v>
      </c>
      <c r="E13" s="980">
        <v>10</v>
      </c>
      <c r="F13" s="979" t="s">
        <v>701</v>
      </c>
      <c r="G13" s="979" t="s">
        <v>605</v>
      </c>
      <c r="H13" s="980">
        <v>10</v>
      </c>
      <c r="I13" s="979" t="s">
        <v>822</v>
      </c>
      <c r="J13" s="979"/>
      <c r="K13" s="980">
        <v>456.40000000000015</v>
      </c>
      <c r="L13" s="980"/>
      <c r="M13" s="980"/>
      <c r="N13" s="980"/>
      <c r="O13" s="980"/>
      <c r="P13" s="981">
        <v>0.02</v>
      </c>
      <c r="Q13" s="981">
        <f t="shared" si="1"/>
        <v>9.1280000000000037</v>
      </c>
      <c r="R13" s="979" t="s">
        <v>675</v>
      </c>
      <c r="S13" s="979" t="s">
        <v>605</v>
      </c>
      <c r="T13" s="980">
        <v>10</v>
      </c>
      <c r="U13" s="979" t="s">
        <v>701</v>
      </c>
      <c r="V13" s="979" t="s">
        <v>605</v>
      </c>
      <c r="W13" s="980">
        <v>10</v>
      </c>
      <c r="X13" s="989" t="s">
        <v>822</v>
      </c>
      <c r="Y13" s="979"/>
      <c r="Z13" s="979"/>
      <c r="AA13" s="980">
        <v>1</v>
      </c>
      <c r="AB13" s="980">
        <f t="shared" si="2"/>
        <v>456.40000000000015</v>
      </c>
      <c r="AC13" s="982" t="s">
        <v>939</v>
      </c>
      <c r="AD13" s="953"/>
      <c r="AE13" s="983" t="str">
        <f t="shared" si="3"/>
        <v/>
      </c>
      <c r="AF13" s="984" t="str">
        <f t="shared" si="4"/>
        <v>REB</v>
      </c>
      <c r="AG13" s="963"/>
      <c r="AH13" s="985" t="str">
        <f t="shared" si="5"/>
        <v/>
      </c>
      <c r="AI13" s="985" t="str">
        <f t="shared" si="5"/>
        <v/>
      </c>
      <c r="AJ13" s="985" t="str">
        <f t="shared" si="5"/>
        <v/>
      </c>
      <c r="AK13" s="985" t="str">
        <f t="shared" si="5"/>
        <v/>
      </c>
      <c r="AL13" s="985" t="str">
        <f t="shared" si="5"/>
        <v/>
      </c>
      <c r="AM13" s="985" t="str">
        <f t="shared" si="5"/>
        <v/>
      </c>
      <c r="AN13" s="985" t="str">
        <f t="shared" si="5"/>
        <v/>
      </c>
      <c r="AO13" s="985" t="str">
        <f t="shared" si="5"/>
        <v/>
      </c>
      <c r="AP13" s="986"/>
      <c r="AQ13" s="985" t="str">
        <f t="shared" ref="AQ13:BD13" si="58">IF(AND($I13&lt;&gt;"",$AF13="C"),IF(AND($P13&gt;AP$8,$P13&lt;=AQ$8),$K13,""),"")</f>
        <v/>
      </c>
      <c r="AR13" s="985" t="str">
        <f t="shared" si="58"/>
        <v/>
      </c>
      <c r="AS13" s="985" t="str">
        <f t="shared" si="58"/>
        <v/>
      </c>
      <c r="AT13" s="985" t="str">
        <f t="shared" si="58"/>
        <v/>
      </c>
      <c r="AU13" s="985" t="str">
        <f t="shared" si="58"/>
        <v/>
      </c>
      <c r="AV13" s="985" t="str">
        <f t="shared" si="58"/>
        <v/>
      </c>
      <c r="AW13" s="985" t="str">
        <f t="shared" si="58"/>
        <v/>
      </c>
      <c r="AX13" s="985" t="str">
        <f t="shared" si="58"/>
        <v/>
      </c>
      <c r="AY13" s="985" t="str">
        <f t="shared" si="58"/>
        <v/>
      </c>
      <c r="AZ13" s="985" t="str">
        <f t="shared" si="58"/>
        <v/>
      </c>
      <c r="BA13" s="985" t="str">
        <f t="shared" si="58"/>
        <v/>
      </c>
      <c r="BB13" s="985" t="str">
        <f t="shared" si="58"/>
        <v/>
      </c>
      <c r="BC13" s="985" t="str">
        <f t="shared" si="58"/>
        <v/>
      </c>
      <c r="BD13" s="985" t="str">
        <f t="shared" si="58"/>
        <v/>
      </c>
      <c r="BE13" s="987"/>
      <c r="BF13" s="985" t="str">
        <f t="shared" ref="BF13:BS13" si="59">IF(AND($I13&lt;&gt;"",$AF13="C"),IF(AND($P13&gt;BE$8,$P13&lt;=BF$8),$L13,""),"")</f>
        <v/>
      </c>
      <c r="BG13" s="985" t="str">
        <f t="shared" si="59"/>
        <v/>
      </c>
      <c r="BH13" s="985" t="str">
        <f t="shared" si="59"/>
        <v/>
      </c>
      <c r="BI13" s="985" t="str">
        <f t="shared" si="59"/>
        <v/>
      </c>
      <c r="BJ13" s="985" t="str">
        <f t="shared" si="59"/>
        <v/>
      </c>
      <c r="BK13" s="985" t="str">
        <f t="shared" si="59"/>
        <v/>
      </c>
      <c r="BL13" s="985" t="str">
        <f t="shared" si="59"/>
        <v/>
      </c>
      <c r="BM13" s="985" t="str">
        <f t="shared" si="59"/>
        <v/>
      </c>
      <c r="BN13" s="985" t="str">
        <f t="shared" si="59"/>
        <v/>
      </c>
      <c r="BO13" s="985" t="str">
        <f t="shared" si="59"/>
        <v/>
      </c>
      <c r="BP13" s="985" t="str">
        <f t="shared" si="59"/>
        <v/>
      </c>
      <c r="BQ13" s="985" t="str">
        <f t="shared" si="59"/>
        <v/>
      </c>
      <c r="BR13" s="985" t="str">
        <f t="shared" si="59"/>
        <v/>
      </c>
      <c r="BS13" s="985" t="str">
        <f t="shared" si="59"/>
        <v/>
      </c>
      <c r="BU13" s="985" t="str">
        <f t="shared" ref="BU13:CF13" si="60">IF(AND($I13&lt;&gt;"",$AF13="C"),IF(AND($P13&gt;BT$8,$P13&lt;=BU$8),$M13,""),"")</f>
        <v/>
      </c>
      <c r="BV13" s="985" t="str">
        <f t="shared" si="60"/>
        <v/>
      </c>
      <c r="BW13" s="985" t="str">
        <f t="shared" si="60"/>
        <v/>
      </c>
      <c r="BX13" s="985" t="str">
        <f t="shared" si="60"/>
        <v/>
      </c>
      <c r="BY13" s="985" t="str">
        <f t="shared" si="60"/>
        <v/>
      </c>
      <c r="BZ13" s="985" t="str">
        <f t="shared" si="60"/>
        <v/>
      </c>
      <c r="CA13" s="985" t="str">
        <f t="shared" si="60"/>
        <v/>
      </c>
      <c r="CB13" s="985" t="str">
        <f t="shared" si="60"/>
        <v/>
      </c>
      <c r="CC13" s="985" t="str">
        <f t="shared" si="60"/>
        <v/>
      </c>
      <c r="CD13" s="985" t="str">
        <f t="shared" si="60"/>
        <v/>
      </c>
      <c r="CE13" s="985" t="str">
        <f t="shared" si="60"/>
        <v/>
      </c>
      <c r="CF13" s="985" t="str">
        <f t="shared" si="60"/>
        <v/>
      </c>
      <c r="CG13" s="987"/>
      <c r="CH13" s="985" t="str">
        <f t="shared" si="9"/>
        <v/>
      </c>
      <c r="CI13" s="985" t="str">
        <f t="shared" si="9"/>
        <v/>
      </c>
      <c r="CJ13" s="985" t="str">
        <f t="shared" si="9"/>
        <v/>
      </c>
      <c r="CK13" s="985" t="str">
        <f t="shared" si="9"/>
        <v/>
      </c>
      <c r="CL13" s="985" t="str">
        <f t="shared" si="9"/>
        <v/>
      </c>
      <c r="CM13" s="985" t="str">
        <f t="shared" si="9"/>
        <v/>
      </c>
      <c r="CN13" s="985" t="str">
        <f t="shared" si="9"/>
        <v/>
      </c>
      <c r="CP13" s="988" t="str">
        <f t="shared" ref="CP13:DC13" si="61">IF(AND($I13&lt;&gt;"",OR($AF13="ELE",$AF13="ELD",$AF13="CX")),IF(AND($P13&gt;CO$8,$P13&lt;=CP$8),$K13,""),"")</f>
        <v/>
      </c>
      <c r="CQ13" s="988" t="str">
        <f t="shared" si="61"/>
        <v/>
      </c>
      <c r="CR13" s="988" t="str">
        <f t="shared" si="61"/>
        <v/>
      </c>
      <c r="CS13" s="988" t="str">
        <f t="shared" si="61"/>
        <v/>
      </c>
      <c r="CT13" s="988" t="str">
        <f t="shared" si="61"/>
        <v/>
      </c>
      <c r="CU13" s="988" t="str">
        <f t="shared" si="61"/>
        <v/>
      </c>
      <c r="CV13" s="988" t="str">
        <f t="shared" si="61"/>
        <v/>
      </c>
      <c r="CW13" s="988" t="str">
        <f t="shared" si="61"/>
        <v/>
      </c>
      <c r="CX13" s="988" t="str">
        <f t="shared" si="61"/>
        <v/>
      </c>
      <c r="CY13" s="988" t="str">
        <f t="shared" si="61"/>
        <v/>
      </c>
      <c r="CZ13" s="988" t="str">
        <f t="shared" si="61"/>
        <v/>
      </c>
      <c r="DA13" s="988" t="str">
        <f t="shared" si="61"/>
        <v/>
      </c>
      <c r="DB13" s="988" t="str">
        <f t="shared" si="61"/>
        <v/>
      </c>
      <c r="DC13" s="988" t="str">
        <f t="shared" si="61"/>
        <v/>
      </c>
      <c r="DE13" s="988">
        <f t="shared" ref="DE13:DR13" si="62">IF(AND($X13&lt;&gt;"",$AC13="CF"),IF(AND($P13&gt;DD$8,$P13&lt;=DE$8),$AB13,""),"")</f>
        <v>456.40000000000015</v>
      </c>
      <c r="DF13" s="988" t="str">
        <f t="shared" si="62"/>
        <v/>
      </c>
      <c r="DG13" s="988" t="str">
        <f t="shared" si="62"/>
        <v/>
      </c>
      <c r="DH13" s="988" t="str">
        <f t="shared" si="62"/>
        <v/>
      </c>
      <c r="DI13" s="988" t="str">
        <f t="shared" si="62"/>
        <v/>
      </c>
      <c r="DJ13" s="988" t="str">
        <f t="shared" si="62"/>
        <v/>
      </c>
      <c r="DK13" s="988" t="str">
        <f t="shared" si="62"/>
        <v/>
      </c>
      <c r="DL13" s="988" t="str">
        <f t="shared" si="62"/>
        <v/>
      </c>
      <c r="DM13" s="988" t="str">
        <f t="shared" si="62"/>
        <v/>
      </c>
      <c r="DN13" s="988" t="str">
        <f t="shared" si="62"/>
        <v/>
      </c>
      <c r="DO13" s="988" t="str">
        <f t="shared" si="62"/>
        <v/>
      </c>
      <c r="DP13" s="988" t="str">
        <f t="shared" si="62"/>
        <v/>
      </c>
      <c r="DQ13" s="988" t="str">
        <f t="shared" si="62"/>
        <v/>
      </c>
      <c r="DR13" s="988" t="str">
        <f t="shared" si="62"/>
        <v/>
      </c>
      <c r="DT13" s="988" t="str">
        <f t="shared" ref="DT13:EG13" si="63">IF(AND($X13&lt;&gt;"",$AC13="CA"),IF(AND($P13&gt;DS$8,$P13&lt;=DT$8),$AB13,""),"")</f>
        <v/>
      </c>
      <c r="DU13" s="988" t="str">
        <f t="shared" si="63"/>
        <v/>
      </c>
      <c r="DV13" s="988" t="str">
        <f t="shared" si="63"/>
        <v/>
      </c>
      <c r="DW13" s="988" t="str">
        <f t="shared" si="63"/>
        <v/>
      </c>
      <c r="DX13" s="988" t="str">
        <f t="shared" si="63"/>
        <v/>
      </c>
      <c r="DY13" s="988" t="str">
        <f t="shared" si="63"/>
        <v/>
      </c>
      <c r="DZ13" s="988" t="str">
        <f t="shared" si="63"/>
        <v/>
      </c>
      <c r="EA13" s="988" t="str">
        <f t="shared" si="63"/>
        <v/>
      </c>
      <c r="EB13" s="988" t="str">
        <f t="shared" si="63"/>
        <v/>
      </c>
      <c r="EC13" s="988" t="str">
        <f t="shared" si="63"/>
        <v/>
      </c>
      <c r="ED13" s="988" t="str">
        <f t="shared" si="63"/>
        <v/>
      </c>
      <c r="EE13" s="988" t="str">
        <f t="shared" si="63"/>
        <v/>
      </c>
      <c r="EF13" s="988" t="str">
        <f t="shared" si="63"/>
        <v/>
      </c>
      <c r="EG13" s="988" t="str">
        <f t="shared" si="63"/>
        <v/>
      </c>
      <c r="EI13" s="988" t="str">
        <f t="shared" ref="EI13:EV13" si="64">IF($AE13="BFC",IF(AND($P13&gt;EH$8,$P13&lt;=EI$8),$AB13,""),"")</f>
        <v/>
      </c>
      <c r="EJ13" s="988" t="str">
        <f t="shared" si="64"/>
        <v/>
      </c>
      <c r="EK13" s="988" t="str">
        <f t="shared" si="64"/>
        <v/>
      </c>
      <c r="EL13" s="988" t="str">
        <f t="shared" si="64"/>
        <v/>
      </c>
      <c r="EM13" s="988" t="str">
        <f t="shared" si="64"/>
        <v/>
      </c>
      <c r="EN13" s="988" t="str">
        <f t="shared" si="64"/>
        <v/>
      </c>
      <c r="EO13" s="988" t="str">
        <f t="shared" si="64"/>
        <v/>
      </c>
      <c r="EP13" s="988" t="str">
        <f t="shared" si="64"/>
        <v/>
      </c>
      <c r="EQ13" s="988" t="str">
        <f t="shared" si="64"/>
        <v/>
      </c>
      <c r="ER13" s="988" t="str">
        <f t="shared" si="64"/>
        <v/>
      </c>
      <c r="ES13" s="988" t="str">
        <f t="shared" si="64"/>
        <v/>
      </c>
      <c r="ET13" s="988" t="str">
        <f t="shared" si="64"/>
        <v/>
      </c>
      <c r="EU13" s="988" t="str">
        <f t="shared" si="64"/>
        <v/>
      </c>
      <c r="EV13" s="988" t="str">
        <f t="shared" si="64"/>
        <v/>
      </c>
      <c r="EX13" s="988" t="str">
        <f t="shared" ref="EX13:FK13" si="65">IF($AE13="BFN",IF(AND($P13&gt;EW$8,$P13&lt;=EX$8),$AB13,""),"")</f>
        <v/>
      </c>
      <c r="EY13" s="988" t="str">
        <f t="shared" si="65"/>
        <v/>
      </c>
      <c r="EZ13" s="988" t="str">
        <f t="shared" si="65"/>
        <v/>
      </c>
      <c r="FA13" s="988" t="str">
        <f t="shared" si="65"/>
        <v/>
      </c>
      <c r="FB13" s="988" t="str">
        <f t="shared" si="65"/>
        <v/>
      </c>
      <c r="FC13" s="988" t="str">
        <f t="shared" si="65"/>
        <v/>
      </c>
      <c r="FD13" s="988" t="str">
        <f t="shared" si="65"/>
        <v/>
      </c>
      <c r="FE13" s="988" t="str">
        <f t="shared" si="65"/>
        <v/>
      </c>
      <c r="FF13" s="988" t="str">
        <f t="shared" si="65"/>
        <v/>
      </c>
      <c r="FG13" s="988" t="str">
        <f t="shared" si="65"/>
        <v/>
      </c>
      <c r="FH13" s="988" t="str">
        <f t="shared" si="65"/>
        <v/>
      </c>
      <c r="FI13" s="988" t="str">
        <f t="shared" si="65"/>
        <v/>
      </c>
      <c r="FJ13" s="988" t="str">
        <f t="shared" si="65"/>
        <v/>
      </c>
      <c r="FK13" s="988" t="str">
        <f t="shared" si="65"/>
        <v/>
      </c>
      <c r="FM13" s="988" t="str">
        <f t="shared" ref="FM13:FZ13" si="66">IF(AND($I13&lt;&gt;"",$AF13="RCS"),IF(AND($P13&gt;FL$8,$P13&lt;=FM$8),SUM($K13:$M13),""),"")</f>
        <v/>
      </c>
      <c r="FN13" s="988" t="str">
        <f t="shared" si="66"/>
        <v/>
      </c>
      <c r="FO13" s="988" t="str">
        <f t="shared" si="66"/>
        <v/>
      </c>
      <c r="FP13" s="988" t="str">
        <f t="shared" si="66"/>
        <v/>
      </c>
      <c r="FQ13" s="988" t="str">
        <f t="shared" si="66"/>
        <v/>
      </c>
      <c r="FR13" s="988" t="str">
        <f t="shared" si="66"/>
        <v/>
      </c>
      <c r="FS13" s="988" t="str">
        <f t="shared" si="66"/>
        <v/>
      </c>
      <c r="FT13" s="988" t="str">
        <f t="shared" si="66"/>
        <v/>
      </c>
      <c r="FU13" s="988" t="str">
        <f t="shared" si="66"/>
        <v/>
      </c>
      <c r="FV13" s="988" t="str">
        <f t="shared" si="66"/>
        <v/>
      </c>
      <c r="FW13" s="988" t="str">
        <f t="shared" si="66"/>
        <v/>
      </c>
      <c r="FX13" s="988" t="str">
        <f t="shared" si="66"/>
        <v/>
      </c>
      <c r="FY13" s="988" t="str">
        <f t="shared" si="66"/>
        <v/>
      </c>
      <c r="FZ13" s="988" t="str">
        <f t="shared" si="66"/>
        <v/>
      </c>
      <c r="GB13" s="988" t="str">
        <f t="shared" ref="GB13:GO13" si="67">IF(AND($I13&lt;&gt;"",$AF13="REC"),IF(AND($P13&gt;GA$8,$P13&lt;=GB$8),SUM($K13:$M13),""),"")</f>
        <v/>
      </c>
      <c r="GC13" s="988" t="str">
        <f t="shared" si="67"/>
        <v/>
      </c>
      <c r="GD13" s="988" t="str">
        <f t="shared" si="67"/>
        <v/>
      </c>
      <c r="GE13" s="988" t="str">
        <f t="shared" si="67"/>
        <v/>
      </c>
      <c r="GF13" s="988" t="str">
        <f t="shared" si="67"/>
        <v/>
      </c>
      <c r="GG13" s="988" t="str">
        <f t="shared" si="67"/>
        <v/>
      </c>
      <c r="GH13" s="988" t="str">
        <f t="shared" si="67"/>
        <v/>
      </c>
      <c r="GI13" s="988" t="str">
        <f t="shared" si="67"/>
        <v/>
      </c>
      <c r="GJ13" s="988" t="str">
        <f t="shared" si="67"/>
        <v/>
      </c>
      <c r="GK13" s="988" t="str">
        <f t="shared" si="67"/>
        <v/>
      </c>
      <c r="GL13" s="988" t="str">
        <f t="shared" si="67"/>
        <v/>
      </c>
      <c r="GM13" s="988" t="str">
        <f t="shared" si="67"/>
        <v/>
      </c>
      <c r="GN13" s="988" t="str">
        <f t="shared" si="67"/>
        <v/>
      </c>
      <c r="GO13" s="988" t="str">
        <f t="shared" si="67"/>
        <v/>
      </c>
      <c r="GQ13" s="988">
        <f t="shared" ref="GQ13:HD13" si="68">IF(AND($I13&lt;&gt;"",$AF13="REB"),IF(AND($P13&gt;GP$8,$P13&lt;=GQ$8),SUM($K13:$M13),""),"")</f>
        <v>456.40000000000015</v>
      </c>
      <c r="GR13" s="988" t="str">
        <f t="shared" si="68"/>
        <v/>
      </c>
      <c r="GS13" s="988" t="str">
        <f t="shared" si="68"/>
        <v/>
      </c>
      <c r="GT13" s="988" t="str">
        <f t="shared" si="68"/>
        <v/>
      </c>
      <c r="GU13" s="988" t="str">
        <f t="shared" si="68"/>
        <v/>
      </c>
      <c r="GV13" s="988" t="str">
        <f t="shared" si="68"/>
        <v/>
      </c>
      <c r="GW13" s="988" t="str">
        <f t="shared" si="68"/>
        <v/>
      </c>
      <c r="GX13" s="988" t="str">
        <f t="shared" si="68"/>
        <v/>
      </c>
      <c r="GY13" s="988" t="str">
        <f t="shared" si="68"/>
        <v/>
      </c>
      <c r="GZ13" s="988" t="str">
        <f t="shared" si="68"/>
        <v/>
      </c>
      <c r="HA13" s="988" t="str">
        <f t="shared" si="68"/>
        <v/>
      </c>
      <c r="HB13" s="988" t="str">
        <f t="shared" si="68"/>
        <v/>
      </c>
      <c r="HC13" s="988" t="str">
        <f t="shared" si="68"/>
        <v/>
      </c>
      <c r="HD13" s="988" t="str">
        <f t="shared" si="68"/>
        <v/>
      </c>
      <c r="HF13" s="988" t="str">
        <f t="shared" ref="HF13:HS13" si="69">IF(AND($I13&lt;&gt;"",$AF13="RBS"),IF(AND($P13&gt;HE$8,$P13&lt;=HF$8),SUM($K13:$M13),""),"")</f>
        <v/>
      </c>
      <c r="HG13" s="988" t="str">
        <f t="shared" si="69"/>
        <v/>
      </c>
      <c r="HH13" s="988" t="str">
        <f t="shared" si="69"/>
        <v/>
      </c>
      <c r="HI13" s="988" t="str">
        <f t="shared" si="69"/>
        <v/>
      </c>
      <c r="HJ13" s="988" t="str">
        <f t="shared" si="69"/>
        <v/>
      </c>
      <c r="HK13" s="988" t="str">
        <f t="shared" si="69"/>
        <v/>
      </c>
      <c r="HL13" s="988" t="str">
        <f t="shared" si="69"/>
        <v/>
      </c>
      <c r="HM13" s="988" t="str">
        <f t="shared" si="69"/>
        <v/>
      </c>
      <c r="HN13" s="988" t="str">
        <f t="shared" si="69"/>
        <v/>
      </c>
      <c r="HO13" s="988" t="str">
        <f t="shared" si="69"/>
        <v/>
      </c>
      <c r="HP13" s="988" t="str">
        <f t="shared" si="69"/>
        <v/>
      </c>
      <c r="HQ13" s="988" t="str">
        <f t="shared" si="69"/>
        <v/>
      </c>
      <c r="HR13" s="988" t="str">
        <f t="shared" si="69"/>
        <v/>
      </c>
      <c r="HS13" s="988" t="str">
        <f t="shared" si="69"/>
        <v/>
      </c>
      <c r="HU13" s="988" t="str">
        <f t="shared" ref="HU13:IH13" si="70">IF(AND($I13&lt;&gt;"",$AF13="RCD"),IF(AND($P13&gt;HT$8,$P13&lt;=HU$8),SUM($K13:$M13),""),"")</f>
        <v/>
      </c>
      <c r="HV13" s="988" t="str">
        <f t="shared" si="70"/>
        <v/>
      </c>
      <c r="HW13" s="988" t="str">
        <f t="shared" si="70"/>
        <v/>
      </c>
      <c r="HX13" s="988" t="str">
        <f t="shared" si="70"/>
        <v/>
      </c>
      <c r="HY13" s="988" t="str">
        <f t="shared" si="70"/>
        <v/>
      </c>
      <c r="HZ13" s="988" t="str">
        <f t="shared" si="70"/>
        <v/>
      </c>
      <c r="IA13" s="988" t="str">
        <f t="shared" si="70"/>
        <v/>
      </c>
      <c r="IB13" s="988" t="str">
        <f t="shared" si="70"/>
        <v/>
      </c>
      <c r="IC13" s="988" t="str">
        <f t="shared" si="70"/>
        <v/>
      </c>
      <c r="ID13" s="988" t="str">
        <f t="shared" si="70"/>
        <v/>
      </c>
      <c r="IE13" s="988" t="str">
        <f t="shared" si="70"/>
        <v/>
      </c>
      <c r="IF13" s="988" t="str">
        <f t="shared" si="70"/>
        <v/>
      </c>
      <c r="IG13" s="988" t="str">
        <f t="shared" si="70"/>
        <v/>
      </c>
      <c r="IH13" s="988" t="str">
        <f t="shared" si="70"/>
        <v/>
      </c>
      <c r="IJ13" s="985">
        <f t="shared" ref="IJ13:IW13" si="71">IF(AND($I13&lt;&gt;""),IF(AND($P13&gt;II$8,$P13&lt;=IJ$8),$K13,""),"")</f>
        <v>456.40000000000015</v>
      </c>
      <c r="IK13" s="985" t="str">
        <f t="shared" si="71"/>
        <v/>
      </c>
      <c r="IL13" s="985" t="str">
        <f t="shared" si="71"/>
        <v/>
      </c>
      <c r="IM13" s="985" t="str">
        <f t="shared" si="71"/>
        <v/>
      </c>
      <c r="IN13" s="985" t="str">
        <f t="shared" si="71"/>
        <v/>
      </c>
      <c r="IO13" s="985" t="str">
        <f t="shared" si="71"/>
        <v/>
      </c>
      <c r="IP13" s="985" t="str">
        <f t="shared" si="71"/>
        <v/>
      </c>
      <c r="IQ13" s="985" t="str">
        <f t="shared" si="71"/>
        <v/>
      </c>
      <c r="IR13" s="985" t="str">
        <f t="shared" si="71"/>
        <v/>
      </c>
      <c r="IS13" s="985" t="str">
        <f t="shared" si="71"/>
        <v/>
      </c>
      <c r="IT13" s="985" t="str">
        <f t="shared" si="71"/>
        <v/>
      </c>
      <c r="IU13" s="985" t="str">
        <f t="shared" si="71"/>
        <v/>
      </c>
      <c r="IV13" s="985" t="str">
        <f t="shared" si="71"/>
        <v/>
      </c>
      <c r="IW13" s="985" t="str">
        <f t="shared" si="71"/>
        <v/>
      </c>
      <c r="IX13" s="987"/>
      <c r="IY13" s="985">
        <f t="shared" ref="IY13:JL13" si="72">IF(AND($I13&lt;&gt;""),IF(AND($P13&gt;IX$8,$P13&lt;=IY$8),$L13,""),"")</f>
        <v>0</v>
      </c>
      <c r="IZ13" s="985" t="str">
        <f t="shared" si="72"/>
        <v/>
      </c>
      <c r="JA13" s="985" t="str">
        <f t="shared" si="72"/>
        <v/>
      </c>
      <c r="JB13" s="985" t="str">
        <f t="shared" si="72"/>
        <v/>
      </c>
      <c r="JC13" s="985" t="str">
        <f t="shared" si="72"/>
        <v/>
      </c>
      <c r="JD13" s="985" t="str">
        <f t="shared" si="72"/>
        <v/>
      </c>
      <c r="JE13" s="985" t="str">
        <f t="shared" si="72"/>
        <v/>
      </c>
      <c r="JF13" s="985" t="str">
        <f t="shared" si="72"/>
        <v/>
      </c>
      <c r="JG13" s="985" t="str">
        <f t="shared" si="72"/>
        <v/>
      </c>
      <c r="JH13" s="985" t="str">
        <f t="shared" si="72"/>
        <v/>
      </c>
      <c r="JI13" s="985" t="str">
        <f t="shared" si="72"/>
        <v/>
      </c>
      <c r="JJ13" s="985" t="str">
        <f t="shared" si="72"/>
        <v/>
      </c>
      <c r="JK13" s="985" t="str">
        <f t="shared" si="72"/>
        <v/>
      </c>
      <c r="JL13" s="985" t="str">
        <f t="shared" si="72"/>
        <v/>
      </c>
      <c r="JM13" s="987"/>
      <c r="JN13" s="985">
        <f t="shared" ref="JN13:KA13" si="73">IF(AND($I13&lt;&gt;""),IF(AND($P13&gt;JM$8,$P13&lt;=JN$8),$M13,""),"")</f>
        <v>0</v>
      </c>
      <c r="JO13" s="985" t="str">
        <f t="shared" si="73"/>
        <v/>
      </c>
      <c r="JP13" s="985" t="str">
        <f t="shared" si="73"/>
        <v/>
      </c>
      <c r="JQ13" s="985" t="str">
        <f t="shared" si="73"/>
        <v/>
      </c>
      <c r="JR13" s="985" t="str">
        <f t="shared" si="73"/>
        <v/>
      </c>
      <c r="JS13" s="985" t="str">
        <f t="shared" si="73"/>
        <v/>
      </c>
      <c r="JT13" s="985" t="str">
        <f t="shared" si="73"/>
        <v/>
      </c>
      <c r="JU13" s="985" t="str">
        <f t="shared" si="73"/>
        <v/>
      </c>
      <c r="JV13" s="985" t="str">
        <f t="shared" si="73"/>
        <v/>
      </c>
      <c r="JW13" s="985" t="str">
        <f t="shared" si="73"/>
        <v/>
      </c>
      <c r="JX13" s="985" t="str">
        <f t="shared" si="73"/>
        <v/>
      </c>
      <c r="JY13" s="985" t="str">
        <f t="shared" si="73"/>
        <v/>
      </c>
      <c r="JZ13" s="985" t="str">
        <f t="shared" si="73"/>
        <v/>
      </c>
      <c r="KA13" s="985" t="str">
        <f t="shared" si="73"/>
        <v/>
      </c>
      <c r="KB13" s="987"/>
      <c r="KC13" s="985">
        <f t="shared" ref="KC13:KP13" si="74">IF(AND($I13&lt;&gt;""),IF(AND($P13&gt;KB$8,$P13&lt;=KC$8),$N13,""),"")</f>
        <v>0</v>
      </c>
      <c r="KD13" s="985" t="str">
        <f t="shared" si="74"/>
        <v/>
      </c>
      <c r="KE13" s="985" t="str">
        <f t="shared" si="74"/>
        <v/>
      </c>
      <c r="KF13" s="985" t="str">
        <f t="shared" si="74"/>
        <v/>
      </c>
      <c r="KG13" s="985" t="str">
        <f t="shared" si="74"/>
        <v/>
      </c>
      <c r="KH13" s="985" t="str">
        <f t="shared" si="74"/>
        <v/>
      </c>
      <c r="KI13" s="985" t="str">
        <f t="shared" si="74"/>
        <v/>
      </c>
      <c r="KJ13" s="985" t="str">
        <f t="shared" si="74"/>
        <v/>
      </c>
      <c r="KK13" s="985" t="str">
        <f t="shared" si="74"/>
        <v/>
      </c>
      <c r="KL13" s="985" t="str">
        <f t="shared" si="74"/>
        <v/>
      </c>
      <c r="KM13" s="985" t="str">
        <f t="shared" si="74"/>
        <v/>
      </c>
      <c r="KN13" s="985" t="str">
        <f t="shared" si="74"/>
        <v/>
      </c>
      <c r="KO13" s="985" t="str">
        <f t="shared" si="74"/>
        <v/>
      </c>
      <c r="KP13" s="985" t="str">
        <f t="shared" si="74"/>
        <v/>
      </c>
    </row>
    <row r="14" spans="2:302" ht="18" customHeight="1">
      <c r="B14" s="978">
        <f t="shared" si="0"/>
        <v>5</v>
      </c>
      <c r="C14" s="979" t="s">
        <v>689</v>
      </c>
      <c r="D14" s="979" t="s">
        <v>605</v>
      </c>
      <c r="E14" s="980">
        <v>0</v>
      </c>
      <c r="F14" s="979" t="s">
        <v>689</v>
      </c>
      <c r="G14" s="979" t="s">
        <v>605</v>
      </c>
      <c r="H14" s="980">
        <v>10</v>
      </c>
      <c r="I14" s="979" t="s">
        <v>826</v>
      </c>
      <c r="J14" s="979"/>
      <c r="K14" s="980">
        <v>28.76</v>
      </c>
      <c r="L14" s="980"/>
      <c r="M14" s="980"/>
      <c r="N14" s="980"/>
      <c r="O14" s="980"/>
      <c r="P14" s="981">
        <v>0.02</v>
      </c>
      <c r="Q14" s="981">
        <f t="shared" si="1"/>
        <v>0.57520000000000004</v>
      </c>
      <c r="R14" s="979" t="s">
        <v>689</v>
      </c>
      <c r="S14" s="979" t="s">
        <v>605</v>
      </c>
      <c r="T14" s="980">
        <v>0</v>
      </c>
      <c r="U14" s="979" t="s">
        <v>689</v>
      </c>
      <c r="V14" s="979" t="s">
        <v>605</v>
      </c>
      <c r="W14" s="980">
        <v>10</v>
      </c>
      <c r="X14" s="979" t="s">
        <v>826</v>
      </c>
      <c r="Y14" s="979"/>
      <c r="Z14" s="979"/>
      <c r="AA14" s="980">
        <v>1</v>
      </c>
      <c r="AB14" s="980">
        <f t="shared" si="2"/>
        <v>28.76</v>
      </c>
      <c r="AC14" s="982" t="s">
        <v>939</v>
      </c>
      <c r="AD14" s="953"/>
      <c r="AE14" s="983" t="str">
        <f t="shared" si="3"/>
        <v/>
      </c>
      <c r="AF14" s="984" t="str">
        <f t="shared" si="4"/>
        <v>REC</v>
      </c>
      <c r="AG14" s="963"/>
      <c r="AH14" s="985" t="str">
        <f t="shared" si="5"/>
        <v/>
      </c>
      <c r="AI14" s="985" t="str">
        <f t="shared" si="5"/>
        <v/>
      </c>
      <c r="AJ14" s="985" t="str">
        <f t="shared" si="5"/>
        <v/>
      </c>
      <c r="AK14" s="985" t="str">
        <f t="shared" si="5"/>
        <v/>
      </c>
      <c r="AL14" s="985" t="str">
        <f t="shared" si="5"/>
        <v/>
      </c>
      <c r="AM14" s="985" t="str">
        <f t="shared" si="5"/>
        <v/>
      </c>
      <c r="AN14" s="985" t="str">
        <f t="shared" si="5"/>
        <v/>
      </c>
      <c r="AO14" s="985" t="str">
        <f t="shared" si="5"/>
        <v/>
      </c>
      <c r="AP14" s="986"/>
      <c r="AQ14" s="985" t="str">
        <f t="shared" ref="AQ14:BD14" si="75">IF(AND($I14&lt;&gt;"",$AF14="C"),IF(AND($P14&gt;AP$8,$P14&lt;=AQ$8),$K14,""),"")</f>
        <v/>
      </c>
      <c r="AR14" s="985" t="str">
        <f t="shared" si="75"/>
        <v/>
      </c>
      <c r="AS14" s="985" t="str">
        <f t="shared" si="75"/>
        <v/>
      </c>
      <c r="AT14" s="985" t="str">
        <f t="shared" si="75"/>
        <v/>
      </c>
      <c r="AU14" s="985" t="str">
        <f t="shared" si="75"/>
        <v/>
      </c>
      <c r="AV14" s="985" t="str">
        <f t="shared" si="75"/>
        <v/>
      </c>
      <c r="AW14" s="985" t="str">
        <f t="shared" si="75"/>
        <v/>
      </c>
      <c r="AX14" s="985" t="str">
        <f t="shared" si="75"/>
        <v/>
      </c>
      <c r="AY14" s="985" t="str">
        <f t="shared" si="75"/>
        <v/>
      </c>
      <c r="AZ14" s="985" t="str">
        <f t="shared" si="75"/>
        <v/>
      </c>
      <c r="BA14" s="985" t="str">
        <f t="shared" si="75"/>
        <v/>
      </c>
      <c r="BB14" s="985" t="str">
        <f t="shared" si="75"/>
        <v/>
      </c>
      <c r="BC14" s="985" t="str">
        <f t="shared" si="75"/>
        <v/>
      </c>
      <c r="BD14" s="985" t="str">
        <f t="shared" si="75"/>
        <v/>
      </c>
      <c r="BE14" s="987"/>
      <c r="BF14" s="985" t="str">
        <f t="shared" ref="BF14:BS14" si="76">IF(AND($I14&lt;&gt;"",$AF14="C"),IF(AND($P14&gt;BE$8,$P14&lt;=BF$8),$L14,""),"")</f>
        <v/>
      </c>
      <c r="BG14" s="985" t="str">
        <f t="shared" si="76"/>
        <v/>
      </c>
      <c r="BH14" s="985" t="str">
        <f t="shared" si="76"/>
        <v/>
      </c>
      <c r="BI14" s="985" t="str">
        <f t="shared" si="76"/>
        <v/>
      </c>
      <c r="BJ14" s="985" t="str">
        <f t="shared" si="76"/>
        <v/>
      </c>
      <c r="BK14" s="985" t="str">
        <f t="shared" si="76"/>
        <v/>
      </c>
      <c r="BL14" s="985" t="str">
        <f t="shared" si="76"/>
        <v/>
      </c>
      <c r="BM14" s="985" t="str">
        <f t="shared" si="76"/>
        <v/>
      </c>
      <c r="BN14" s="985" t="str">
        <f t="shared" si="76"/>
        <v/>
      </c>
      <c r="BO14" s="985" t="str">
        <f t="shared" si="76"/>
        <v/>
      </c>
      <c r="BP14" s="985" t="str">
        <f t="shared" si="76"/>
        <v/>
      </c>
      <c r="BQ14" s="985" t="str">
        <f t="shared" si="76"/>
        <v/>
      </c>
      <c r="BR14" s="985" t="str">
        <f t="shared" si="76"/>
        <v/>
      </c>
      <c r="BS14" s="985" t="str">
        <f t="shared" si="76"/>
        <v/>
      </c>
      <c r="BU14" s="985" t="str">
        <f t="shared" ref="BU14:CF14" si="77">IF(AND($I14&lt;&gt;"",$AF14="C"),IF(AND($P14&gt;BT$8,$P14&lt;=BU$8),$M14,""),"")</f>
        <v/>
      </c>
      <c r="BV14" s="985" t="str">
        <f t="shared" si="77"/>
        <v/>
      </c>
      <c r="BW14" s="985" t="str">
        <f t="shared" si="77"/>
        <v/>
      </c>
      <c r="BX14" s="985" t="str">
        <f t="shared" si="77"/>
        <v/>
      </c>
      <c r="BY14" s="985" t="str">
        <f t="shared" si="77"/>
        <v/>
      </c>
      <c r="BZ14" s="985" t="str">
        <f t="shared" si="77"/>
        <v/>
      </c>
      <c r="CA14" s="985" t="str">
        <f t="shared" si="77"/>
        <v/>
      </c>
      <c r="CB14" s="985" t="str">
        <f t="shared" si="77"/>
        <v/>
      </c>
      <c r="CC14" s="985" t="str">
        <f t="shared" si="77"/>
        <v/>
      </c>
      <c r="CD14" s="985" t="str">
        <f t="shared" si="77"/>
        <v/>
      </c>
      <c r="CE14" s="985" t="str">
        <f t="shared" si="77"/>
        <v/>
      </c>
      <c r="CF14" s="985" t="str">
        <f t="shared" si="77"/>
        <v/>
      </c>
      <c r="CG14" s="987"/>
      <c r="CH14" s="985" t="str">
        <f t="shared" si="9"/>
        <v/>
      </c>
      <c r="CI14" s="985" t="str">
        <f t="shared" si="9"/>
        <v/>
      </c>
      <c r="CJ14" s="985" t="str">
        <f t="shared" si="9"/>
        <v/>
      </c>
      <c r="CK14" s="985" t="str">
        <f t="shared" si="9"/>
        <v/>
      </c>
      <c r="CL14" s="985" t="str">
        <f t="shared" si="9"/>
        <v/>
      </c>
      <c r="CM14" s="985" t="str">
        <f t="shared" si="9"/>
        <v/>
      </c>
      <c r="CN14" s="985" t="str">
        <f t="shared" si="9"/>
        <v/>
      </c>
      <c r="CP14" s="988" t="str">
        <f t="shared" ref="CP14:DC14" si="78">IF(AND($I14&lt;&gt;"",OR($AF14="ELE",$AF14="ELD",$AF14="CX")),IF(AND($P14&gt;CO$8,$P14&lt;=CP$8),$K14,""),"")</f>
        <v/>
      </c>
      <c r="CQ14" s="988" t="str">
        <f t="shared" si="78"/>
        <v/>
      </c>
      <c r="CR14" s="988" t="str">
        <f t="shared" si="78"/>
        <v/>
      </c>
      <c r="CS14" s="988" t="str">
        <f t="shared" si="78"/>
        <v/>
      </c>
      <c r="CT14" s="988" t="str">
        <f t="shared" si="78"/>
        <v/>
      </c>
      <c r="CU14" s="988" t="str">
        <f t="shared" si="78"/>
        <v/>
      </c>
      <c r="CV14" s="988" t="str">
        <f t="shared" si="78"/>
        <v/>
      </c>
      <c r="CW14" s="988" t="str">
        <f t="shared" si="78"/>
        <v/>
      </c>
      <c r="CX14" s="988" t="str">
        <f t="shared" si="78"/>
        <v/>
      </c>
      <c r="CY14" s="988" t="str">
        <f t="shared" si="78"/>
        <v/>
      </c>
      <c r="CZ14" s="988" t="str">
        <f t="shared" si="78"/>
        <v/>
      </c>
      <c r="DA14" s="988" t="str">
        <f t="shared" si="78"/>
        <v/>
      </c>
      <c r="DB14" s="988" t="str">
        <f t="shared" si="78"/>
        <v/>
      </c>
      <c r="DC14" s="988" t="str">
        <f t="shared" si="78"/>
        <v/>
      </c>
      <c r="DE14" s="988">
        <f t="shared" ref="DE14:DR14" si="79">IF(AND($X14&lt;&gt;"",$AC14="CF"),IF(AND($P14&gt;DD$8,$P14&lt;=DE$8),$AB14,""),"")</f>
        <v>28.76</v>
      </c>
      <c r="DF14" s="988" t="str">
        <f t="shared" si="79"/>
        <v/>
      </c>
      <c r="DG14" s="988" t="str">
        <f t="shared" si="79"/>
        <v/>
      </c>
      <c r="DH14" s="988" t="str">
        <f t="shared" si="79"/>
        <v/>
      </c>
      <c r="DI14" s="988" t="str">
        <f t="shared" si="79"/>
        <v/>
      </c>
      <c r="DJ14" s="988" t="str">
        <f t="shared" si="79"/>
        <v/>
      </c>
      <c r="DK14" s="988" t="str">
        <f t="shared" si="79"/>
        <v/>
      </c>
      <c r="DL14" s="988" t="str">
        <f t="shared" si="79"/>
        <v/>
      </c>
      <c r="DM14" s="988" t="str">
        <f t="shared" si="79"/>
        <v/>
      </c>
      <c r="DN14" s="988" t="str">
        <f t="shared" si="79"/>
        <v/>
      </c>
      <c r="DO14" s="988" t="str">
        <f t="shared" si="79"/>
        <v/>
      </c>
      <c r="DP14" s="988" t="str">
        <f t="shared" si="79"/>
        <v/>
      </c>
      <c r="DQ14" s="988" t="str">
        <f t="shared" si="79"/>
        <v/>
      </c>
      <c r="DR14" s="988" t="str">
        <f t="shared" si="79"/>
        <v/>
      </c>
      <c r="DT14" s="988" t="str">
        <f t="shared" ref="DT14:EG14" si="80">IF(AND($X14&lt;&gt;"",$AC14="CA"),IF(AND($P14&gt;DS$8,$P14&lt;=DT$8),$AB14,""),"")</f>
        <v/>
      </c>
      <c r="DU14" s="988" t="str">
        <f t="shared" si="80"/>
        <v/>
      </c>
      <c r="DV14" s="988" t="str">
        <f t="shared" si="80"/>
        <v/>
      </c>
      <c r="DW14" s="988" t="str">
        <f t="shared" si="80"/>
        <v/>
      </c>
      <c r="DX14" s="988" t="str">
        <f t="shared" si="80"/>
        <v/>
      </c>
      <c r="DY14" s="988" t="str">
        <f t="shared" si="80"/>
        <v/>
      </c>
      <c r="DZ14" s="988" t="str">
        <f t="shared" si="80"/>
        <v/>
      </c>
      <c r="EA14" s="988" t="str">
        <f t="shared" si="80"/>
        <v/>
      </c>
      <c r="EB14" s="988" t="str">
        <f t="shared" si="80"/>
        <v/>
      </c>
      <c r="EC14" s="988" t="str">
        <f t="shared" si="80"/>
        <v/>
      </c>
      <c r="ED14" s="988" t="str">
        <f t="shared" si="80"/>
        <v/>
      </c>
      <c r="EE14" s="988" t="str">
        <f t="shared" si="80"/>
        <v/>
      </c>
      <c r="EF14" s="988" t="str">
        <f t="shared" si="80"/>
        <v/>
      </c>
      <c r="EG14" s="988" t="str">
        <f t="shared" si="80"/>
        <v/>
      </c>
      <c r="EI14" s="988" t="str">
        <f t="shared" ref="EI14:EV14" si="81">IF($AE14="BFC",IF(AND($P14&gt;EH$8,$P14&lt;=EI$8),$AB14,""),"")</f>
        <v/>
      </c>
      <c r="EJ14" s="988" t="str">
        <f t="shared" si="81"/>
        <v/>
      </c>
      <c r="EK14" s="988" t="str">
        <f t="shared" si="81"/>
        <v/>
      </c>
      <c r="EL14" s="988" t="str">
        <f t="shared" si="81"/>
        <v/>
      </c>
      <c r="EM14" s="988" t="str">
        <f t="shared" si="81"/>
        <v/>
      </c>
      <c r="EN14" s="988" t="str">
        <f t="shared" si="81"/>
        <v/>
      </c>
      <c r="EO14" s="988" t="str">
        <f t="shared" si="81"/>
        <v/>
      </c>
      <c r="EP14" s="988" t="str">
        <f t="shared" si="81"/>
        <v/>
      </c>
      <c r="EQ14" s="988" t="str">
        <f t="shared" si="81"/>
        <v/>
      </c>
      <c r="ER14" s="988" t="str">
        <f t="shared" si="81"/>
        <v/>
      </c>
      <c r="ES14" s="988" t="str">
        <f t="shared" si="81"/>
        <v/>
      </c>
      <c r="ET14" s="988" t="str">
        <f t="shared" si="81"/>
        <v/>
      </c>
      <c r="EU14" s="988" t="str">
        <f t="shared" si="81"/>
        <v/>
      </c>
      <c r="EV14" s="988" t="str">
        <f t="shared" si="81"/>
        <v/>
      </c>
      <c r="EX14" s="988" t="str">
        <f t="shared" ref="EX14:FK14" si="82">IF($AE14="BFN",IF(AND($P14&gt;EW$8,$P14&lt;=EX$8),$AB14,""),"")</f>
        <v/>
      </c>
      <c r="EY14" s="988" t="str">
        <f t="shared" si="82"/>
        <v/>
      </c>
      <c r="EZ14" s="988" t="str">
        <f t="shared" si="82"/>
        <v/>
      </c>
      <c r="FA14" s="988" t="str">
        <f t="shared" si="82"/>
        <v/>
      </c>
      <c r="FB14" s="988" t="str">
        <f t="shared" si="82"/>
        <v/>
      </c>
      <c r="FC14" s="988" t="str">
        <f t="shared" si="82"/>
        <v/>
      </c>
      <c r="FD14" s="988" t="str">
        <f t="shared" si="82"/>
        <v/>
      </c>
      <c r="FE14" s="988" t="str">
        <f t="shared" si="82"/>
        <v/>
      </c>
      <c r="FF14" s="988" t="str">
        <f t="shared" si="82"/>
        <v/>
      </c>
      <c r="FG14" s="988" t="str">
        <f t="shared" si="82"/>
        <v/>
      </c>
      <c r="FH14" s="988" t="str">
        <f t="shared" si="82"/>
        <v/>
      </c>
      <c r="FI14" s="988" t="str">
        <f t="shared" si="82"/>
        <v/>
      </c>
      <c r="FJ14" s="988" t="str">
        <f t="shared" si="82"/>
        <v/>
      </c>
      <c r="FK14" s="988" t="str">
        <f t="shared" si="82"/>
        <v/>
      </c>
      <c r="FM14" s="988" t="str">
        <f t="shared" ref="FM14:FZ14" si="83">IF(AND($I14&lt;&gt;"",$AF14="RCS"),IF(AND($P14&gt;FL$8,$P14&lt;=FM$8),SUM($K14:$M14),""),"")</f>
        <v/>
      </c>
      <c r="FN14" s="988" t="str">
        <f t="shared" si="83"/>
        <v/>
      </c>
      <c r="FO14" s="988" t="str">
        <f t="shared" si="83"/>
        <v/>
      </c>
      <c r="FP14" s="988" t="str">
        <f t="shared" si="83"/>
        <v/>
      </c>
      <c r="FQ14" s="988" t="str">
        <f t="shared" si="83"/>
        <v/>
      </c>
      <c r="FR14" s="988" t="str">
        <f t="shared" si="83"/>
        <v/>
      </c>
      <c r="FS14" s="988" t="str">
        <f t="shared" si="83"/>
        <v/>
      </c>
      <c r="FT14" s="988" t="str">
        <f t="shared" si="83"/>
        <v/>
      </c>
      <c r="FU14" s="988" t="str">
        <f t="shared" si="83"/>
        <v/>
      </c>
      <c r="FV14" s="988" t="str">
        <f t="shared" si="83"/>
        <v/>
      </c>
      <c r="FW14" s="988" t="str">
        <f t="shared" si="83"/>
        <v/>
      </c>
      <c r="FX14" s="988" t="str">
        <f t="shared" si="83"/>
        <v/>
      </c>
      <c r="FY14" s="988" t="str">
        <f t="shared" si="83"/>
        <v/>
      </c>
      <c r="FZ14" s="988" t="str">
        <f t="shared" si="83"/>
        <v/>
      </c>
      <c r="GB14" s="988">
        <f t="shared" ref="GB14:GO14" si="84">IF(AND($I14&lt;&gt;"",$AF14="REC"),IF(AND($P14&gt;GA$8,$P14&lt;=GB$8),SUM($K14:$M14),""),"")</f>
        <v>28.76</v>
      </c>
      <c r="GC14" s="988" t="str">
        <f t="shared" si="84"/>
        <v/>
      </c>
      <c r="GD14" s="988" t="str">
        <f t="shared" si="84"/>
        <v/>
      </c>
      <c r="GE14" s="988" t="str">
        <f t="shared" si="84"/>
        <v/>
      </c>
      <c r="GF14" s="988" t="str">
        <f t="shared" si="84"/>
        <v/>
      </c>
      <c r="GG14" s="988" t="str">
        <f t="shared" si="84"/>
        <v/>
      </c>
      <c r="GH14" s="988" t="str">
        <f t="shared" si="84"/>
        <v/>
      </c>
      <c r="GI14" s="988" t="str">
        <f t="shared" si="84"/>
        <v/>
      </c>
      <c r="GJ14" s="988" t="str">
        <f t="shared" si="84"/>
        <v/>
      </c>
      <c r="GK14" s="988" t="str">
        <f t="shared" si="84"/>
        <v/>
      </c>
      <c r="GL14" s="988" t="str">
        <f t="shared" si="84"/>
        <v/>
      </c>
      <c r="GM14" s="988" t="str">
        <f t="shared" si="84"/>
        <v/>
      </c>
      <c r="GN14" s="988" t="str">
        <f t="shared" si="84"/>
        <v/>
      </c>
      <c r="GO14" s="988" t="str">
        <f t="shared" si="84"/>
        <v/>
      </c>
      <c r="GQ14" s="988" t="str">
        <f t="shared" ref="GQ14:HD14" si="85">IF(AND($I14&lt;&gt;"",$AF14="REB"),IF(AND($P14&gt;GP$8,$P14&lt;=GQ$8),SUM($K14:$M14),""),"")</f>
        <v/>
      </c>
      <c r="GR14" s="988" t="str">
        <f t="shared" si="85"/>
        <v/>
      </c>
      <c r="GS14" s="988" t="str">
        <f t="shared" si="85"/>
        <v/>
      </c>
      <c r="GT14" s="988" t="str">
        <f t="shared" si="85"/>
        <v/>
      </c>
      <c r="GU14" s="988" t="str">
        <f t="shared" si="85"/>
        <v/>
      </c>
      <c r="GV14" s="988" t="str">
        <f t="shared" si="85"/>
        <v/>
      </c>
      <c r="GW14" s="988" t="str">
        <f t="shared" si="85"/>
        <v/>
      </c>
      <c r="GX14" s="988" t="str">
        <f t="shared" si="85"/>
        <v/>
      </c>
      <c r="GY14" s="988" t="str">
        <f t="shared" si="85"/>
        <v/>
      </c>
      <c r="GZ14" s="988" t="str">
        <f t="shared" si="85"/>
        <v/>
      </c>
      <c r="HA14" s="988" t="str">
        <f t="shared" si="85"/>
        <v/>
      </c>
      <c r="HB14" s="988" t="str">
        <f t="shared" si="85"/>
        <v/>
      </c>
      <c r="HC14" s="988" t="str">
        <f t="shared" si="85"/>
        <v/>
      </c>
      <c r="HD14" s="988" t="str">
        <f t="shared" si="85"/>
        <v/>
      </c>
      <c r="HF14" s="988" t="str">
        <f t="shared" ref="HF14:HS14" si="86">IF(AND($I14&lt;&gt;"",$AF14="RBS"),IF(AND($P14&gt;HE$8,$P14&lt;=HF$8),SUM($K14:$M14),""),"")</f>
        <v/>
      </c>
      <c r="HG14" s="988" t="str">
        <f t="shared" si="86"/>
        <v/>
      </c>
      <c r="HH14" s="988" t="str">
        <f t="shared" si="86"/>
        <v/>
      </c>
      <c r="HI14" s="988" t="str">
        <f t="shared" si="86"/>
        <v/>
      </c>
      <c r="HJ14" s="988" t="str">
        <f t="shared" si="86"/>
        <v/>
      </c>
      <c r="HK14" s="988" t="str">
        <f t="shared" si="86"/>
        <v/>
      </c>
      <c r="HL14" s="988" t="str">
        <f t="shared" si="86"/>
        <v/>
      </c>
      <c r="HM14" s="988" t="str">
        <f t="shared" si="86"/>
        <v/>
      </c>
      <c r="HN14" s="988" t="str">
        <f t="shared" si="86"/>
        <v/>
      </c>
      <c r="HO14" s="988" t="str">
        <f t="shared" si="86"/>
        <v/>
      </c>
      <c r="HP14" s="988" t="str">
        <f t="shared" si="86"/>
        <v/>
      </c>
      <c r="HQ14" s="988" t="str">
        <f t="shared" si="86"/>
        <v/>
      </c>
      <c r="HR14" s="988" t="str">
        <f t="shared" si="86"/>
        <v/>
      </c>
      <c r="HS14" s="988" t="str">
        <f t="shared" si="86"/>
        <v/>
      </c>
      <c r="HU14" s="988" t="str">
        <f t="shared" ref="HU14:IH14" si="87">IF(AND($I14&lt;&gt;"",$AF14="RCD"),IF(AND($P14&gt;HT$8,$P14&lt;=HU$8),SUM($K14:$M14),""),"")</f>
        <v/>
      </c>
      <c r="HV14" s="988" t="str">
        <f t="shared" si="87"/>
        <v/>
      </c>
      <c r="HW14" s="988" t="str">
        <f t="shared" si="87"/>
        <v/>
      </c>
      <c r="HX14" s="988" t="str">
        <f t="shared" si="87"/>
        <v/>
      </c>
      <c r="HY14" s="988" t="str">
        <f t="shared" si="87"/>
        <v/>
      </c>
      <c r="HZ14" s="988" t="str">
        <f t="shared" si="87"/>
        <v/>
      </c>
      <c r="IA14" s="988" t="str">
        <f t="shared" si="87"/>
        <v/>
      </c>
      <c r="IB14" s="988" t="str">
        <f t="shared" si="87"/>
        <v/>
      </c>
      <c r="IC14" s="988" t="str">
        <f t="shared" si="87"/>
        <v/>
      </c>
      <c r="ID14" s="988" t="str">
        <f t="shared" si="87"/>
        <v/>
      </c>
      <c r="IE14" s="988" t="str">
        <f t="shared" si="87"/>
        <v/>
      </c>
      <c r="IF14" s="988" t="str">
        <f t="shared" si="87"/>
        <v/>
      </c>
      <c r="IG14" s="988" t="str">
        <f t="shared" si="87"/>
        <v/>
      </c>
      <c r="IH14" s="988" t="str">
        <f t="shared" si="87"/>
        <v/>
      </c>
      <c r="IJ14" s="985">
        <f t="shared" ref="IJ14:IW14" si="88">IF(AND($I14&lt;&gt;""),IF(AND($P14&gt;II$8,$P14&lt;=IJ$8),$K14,""),"")</f>
        <v>28.76</v>
      </c>
      <c r="IK14" s="985" t="str">
        <f t="shared" si="88"/>
        <v/>
      </c>
      <c r="IL14" s="985" t="str">
        <f t="shared" si="88"/>
        <v/>
      </c>
      <c r="IM14" s="985" t="str">
        <f t="shared" si="88"/>
        <v/>
      </c>
      <c r="IN14" s="985" t="str">
        <f t="shared" si="88"/>
        <v/>
      </c>
      <c r="IO14" s="985" t="str">
        <f t="shared" si="88"/>
        <v/>
      </c>
      <c r="IP14" s="985" t="str">
        <f t="shared" si="88"/>
        <v/>
      </c>
      <c r="IQ14" s="985" t="str">
        <f t="shared" si="88"/>
        <v/>
      </c>
      <c r="IR14" s="985" t="str">
        <f t="shared" si="88"/>
        <v/>
      </c>
      <c r="IS14" s="985" t="str">
        <f t="shared" si="88"/>
        <v/>
      </c>
      <c r="IT14" s="985" t="str">
        <f t="shared" si="88"/>
        <v/>
      </c>
      <c r="IU14" s="985" t="str">
        <f t="shared" si="88"/>
        <v/>
      </c>
      <c r="IV14" s="985" t="str">
        <f t="shared" si="88"/>
        <v/>
      </c>
      <c r="IW14" s="985" t="str">
        <f t="shared" si="88"/>
        <v/>
      </c>
      <c r="IX14" s="987"/>
      <c r="IY14" s="985">
        <f t="shared" ref="IY14:JL14" si="89">IF(AND($I14&lt;&gt;""),IF(AND($P14&gt;IX$8,$P14&lt;=IY$8),$L14,""),"")</f>
        <v>0</v>
      </c>
      <c r="IZ14" s="985" t="str">
        <f t="shared" si="89"/>
        <v/>
      </c>
      <c r="JA14" s="985" t="str">
        <f t="shared" si="89"/>
        <v/>
      </c>
      <c r="JB14" s="985" t="str">
        <f t="shared" si="89"/>
        <v/>
      </c>
      <c r="JC14" s="985" t="str">
        <f t="shared" si="89"/>
        <v/>
      </c>
      <c r="JD14" s="985" t="str">
        <f t="shared" si="89"/>
        <v/>
      </c>
      <c r="JE14" s="985" t="str">
        <f t="shared" si="89"/>
        <v/>
      </c>
      <c r="JF14" s="985" t="str">
        <f t="shared" si="89"/>
        <v/>
      </c>
      <c r="JG14" s="985" t="str">
        <f t="shared" si="89"/>
        <v/>
      </c>
      <c r="JH14" s="985" t="str">
        <f t="shared" si="89"/>
        <v/>
      </c>
      <c r="JI14" s="985" t="str">
        <f t="shared" si="89"/>
        <v/>
      </c>
      <c r="JJ14" s="985" t="str">
        <f t="shared" si="89"/>
        <v/>
      </c>
      <c r="JK14" s="985" t="str">
        <f t="shared" si="89"/>
        <v/>
      </c>
      <c r="JL14" s="985" t="str">
        <f t="shared" si="89"/>
        <v/>
      </c>
      <c r="JM14" s="987"/>
      <c r="JN14" s="985">
        <f t="shared" ref="JN14:KA14" si="90">IF(AND($I14&lt;&gt;""),IF(AND($P14&gt;JM$8,$P14&lt;=JN$8),$M14,""),"")</f>
        <v>0</v>
      </c>
      <c r="JO14" s="985" t="str">
        <f t="shared" si="90"/>
        <v/>
      </c>
      <c r="JP14" s="985" t="str">
        <f t="shared" si="90"/>
        <v/>
      </c>
      <c r="JQ14" s="985" t="str">
        <f t="shared" si="90"/>
        <v/>
      </c>
      <c r="JR14" s="985" t="str">
        <f t="shared" si="90"/>
        <v/>
      </c>
      <c r="JS14" s="985" t="str">
        <f t="shared" si="90"/>
        <v/>
      </c>
      <c r="JT14" s="985" t="str">
        <f t="shared" si="90"/>
        <v/>
      </c>
      <c r="JU14" s="985" t="str">
        <f t="shared" si="90"/>
        <v/>
      </c>
      <c r="JV14" s="985" t="str">
        <f t="shared" si="90"/>
        <v/>
      </c>
      <c r="JW14" s="985" t="str">
        <f t="shared" si="90"/>
        <v/>
      </c>
      <c r="JX14" s="985" t="str">
        <f t="shared" si="90"/>
        <v/>
      </c>
      <c r="JY14" s="985" t="str">
        <f t="shared" si="90"/>
        <v/>
      </c>
      <c r="JZ14" s="985" t="str">
        <f t="shared" si="90"/>
        <v/>
      </c>
      <c r="KA14" s="985" t="str">
        <f t="shared" si="90"/>
        <v/>
      </c>
      <c r="KB14" s="987"/>
      <c r="KC14" s="985">
        <f t="shared" ref="KC14:KP14" si="91">IF(AND($I14&lt;&gt;""),IF(AND($P14&gt;KB$8,$P14&lt;=KC$8),$N14,""),"")</f>
        <v>0</v>
      </c>
      <c r="KD14" s="985" t="str">
        <f t="shared" si="91"/>
        <v/>
      </c>
      <c r="KE14" s="985" t="str">
        <f t="shared" si="91"/>
        <v/>
      </c>
      <c r="KF14" s="985" t="str">
        <f t="shared" si="91"/>
        <v/>
      </c>
      <c r="KG14" s="985" t="str">
        <f t="shared" si="91"/>
        <v/>
      </c>
      <c r="KH14" s="985" t="str">
        <f t="shared" si="91"/>
        <v/>
      </c>
      <c r="KI14" s="985" t="str">
        <f t="shared" si="91"/>
        <v/>
      </c>
      <c r="KJ14" s="985" t="str">
        <f t="shared" si="91"/>
        <v/>
      </c>
      <c r="KK14" s="985" t="str">
        <f t="shared" si="91"/>
        <v/>
      </c>
      <c r="KL14" s="985" t="str">
        <f t="shared" si="91"/>
        <v/>
      </c>
      <c r="KM14" s="985" t="str">
        <f t="shared" si="91"/>
        <v/>
      </c>
      <c r="KN14" s="985" t="str">
        <f t="shared" si="91"/>
        <v/>
      </c>
      <c r="KO14" s="985" t="str">
        <f t="shared" si="91"/>
        <v/>
      </c>
      <c r="KP14" s="985" t="str">
        <f t="shared" si="91"/>
        <v/>
      </c>
    </row>
    <row r="15" spans="2:302" ht="18" customHeight="1">
      <c r="B15" s="978">
        <f t="shared" si="0"/>
        <v>5.5</v>
      </c>
      <c r="C15" s="979" t="s">
        <v>689</v>
      </c>
      <c r="D15" s="979" t="s">
        <v>605</v>
      </c>
      <c r="E15" s="980">
        <v>10</v>
      </c>
      <c r="F15" s="979" t="s">
        <v>692</v>
      </c>
      <c r="G15" s="979" t="s">
        <v>605</v>
      </c>
      <c r="H15" s="980">
        <v>0</v>
      </c>
      <c r="I15" s="979" t="s">
        <v>827</v>
      </c>
      <c r="J15" s="979"/>
      <c r="K15" s="980">
        <v>0.2</v>
      </c>
      <c r="L15" s="980"/>
      <c r="M15" s="980"/>
      <c r="N15" s="980"/>
      <c r="O15" s="980"/>
      <c r="P15" s="981">
        <v>0.02</v>
      </c>
      <c r="Q15" s="981">
        <f t="shared" si="1"/>
        <v>4.0000000000000001E-3</v>
      </c>
      <c r="R15" s="979" t="s">
        <v>689</v>
      </c>
      <c r="S15" s="979" t="s">
        <v>605</v>
      </c>
      <c r="T15" s="980">
        <v>10</v>
      </c>
      <c r="U15" s="979" t="s">
        <v>692</v>
      </c>
      <c r="V15" s="979" t="s">
        <v>605</v>
      </c>
      <c r="W15" s="980">
        <v>0</v>
      </c>
      <c r="X15" s="979" t="s">
        <v>827</v>
      </c>
      <c r="Y15" s="979"/>
      <c r="Z15" s="979"/>
      <c r="AA15" s="980">
        <v>1.3</v>
      </c>
      <c r="AB15" s="980">
        <f t="shared" si="2"/>
        <v>0.15384615384615385</v>
      </c>
      <c r="AC15" s="982" t="s">
        <v>939</v>
      </c>
      <c r="AD15" s="953"/>
      <c r="AE15" s="983" t="str">
        <f t="shared" si="3"/>
        <v/>
      </c>
      <c r="AF15" s="984" t="str">
        <f t="shared" si="4"/>
        <v>CL</v>
      </c>
      <c r="AG15" s="963"/>
      <c r="AH15" s="985">
        <f t="shared" si="5"/>
        <v>0.2</v>
      </c>
      <c r="AI15" s="985" t="str">
        <f t="shared" si="5"/>
        <v/>
      </c>
      <c r="AJ15" s="985" t="str">
        <f t="shared" si="5"/>
        <v/>
      </c>
      <c r="AK15" s="985" t="str">
        <f t="shared" si="5"/>
        <v/>
      </c>
      <c r="AL15" s="985" t="str">
        <f t="shared" si="5"/>
        <v/>
      </c>
      <c r="AM15" s="985" t="str">
        <f t="shared" si="5"/>
        <v/>
      </c>
      <c r="AN15" s="985" t="str">
        <f t="shared" si="5"/>
        <v/>
      </c>
      <c r="AO15" s="985" t="str">
        <f t="shared" si="5"/>
        <v/>
      </c>
      <c r="AP15" s="986"/>
      <c r="AQ15" s="985" t="str">
        <f t="shared" ref="AQ15:BD15" si="92">IF(AND($I15&lt;&gt;"",$AF15="C"),IF(AND($P15&gt;AP$8,$P15&lt;=AQ$8),$K15,""),"")</f>
        <v/>
      </c>
      <c r="AR15" s="985" t="str">
        <f t="shared" si="92"/>
        <v/>
      </c>
      <c r="AS15" s="985" t="str">
        <f t="shared" si="92"/>
        <v/>
      </c>
      <c r="AT15" s="985" t="str">
        <f t="shared" si="92"/>
        <v/>
      </c>
      <c r="AU15" s="985" t="str">
        <f t="shared" si="92"/>
        <v/>
      </c>
      <c r="AV15" s="985" t="str">
        <f t="shared" si="92"/>
        <v/>
      </c>
      <c r="AW15" s="985" t="str">
        <f t="shared" si="92"/>
        <v/>
      </c>
      <c r="AX15" s="985" t="str">
        <f t="shared" si="92"/>
        <v/>
      </c>
      <c r="AY15" s="985" t="str">
        <f t="shared" si="92"/>
        <v/>
      </c>
      <c r="AZ15" s="985" t="str">
        <f t="shared" si="92"/>
        <v/>
      </c>
      <c r="BA15" s="985" t="str">
        <f t="shared" si="92"/>
        <v/>
      </c>
      <c r="BB15" s="985" t="str">
        <f t="shared" si="92"/>
        <v/>
      </c>
      <c r="BC15" s="985" t="str">
        <f t="shared" si="92"/>
        <v/>
      </c>
      <c r="BD15" s="985" t="str">
        <f t="shared" si="92"/>
        <v/>
      </c>
      <c r="BE15" s="987"/>
      <c r="BF15" s="985" t="str">
        <f t="shared" ref="BF15:BS15" si="93">IF(AND($I15&lt;&gt;"",$AF15="C"),IF(AND($P15&gt;BE$8,$P15&lt;=BF$8),$L15,""),"")</f>
        <v/>
      </c>
      <c r="BG15" s="985" t="str">
        <f t="shared" si="93"/>
        <v/>
      </c>
      <c r="BH15" s="985" t="str">
        <f t="shared" si="93"/>
        <v/>
      </c>
      <c r="BI15" s="985" t="str">
        <f t="shared" si="93"/>
        <v/>
      </c>
      <c r="BJ15" s="985" t="str">
        <f t="shared" si="93"/>
        <v/>
      </c>
      <c r="BK15" s="985" t="str">
        <f t="shared" si="93"/>
        <v/>
      </c>
      <c r="BL15" s="985" t="str">
        <f t="shared" si="93"/>
        <v/>
      </c>
      <c r="BM15" s="985" t="str">
        <f t="shared" si="93"/>
        <v/>
      </c>
      <c r="BN15" s="985" t="str">
        <f t="shared" si="93"/>
        <v/>
      </c>
      <c r="BO15" s="985" t="str">
        <f t="shared" si="93"/>
        <v/>
      </c>
      <c r="BP15" s="985" t="str">
        <f t="shared" si="93"/>
        <v/>
      </c>
      <c r="BQ15" s="985" t="str">
        <f t="shared" si="93"/>
        <v/>
      </c>
      <c r="BR15" s="985" t="str">
        <f t="shared" si="93"/>
        <v/>
      </c>
      <c r="BS15" s="985" t="str">
        <f t="shared" si="93"/>
        <v/>
      </c>
      <c r="BU15" s="985" t="str">
        <f t="shared" ref="BU15:CF15" si="94">IF(AND($I15&lt;&gt;"",$AF15="C"),IF(AND($P15&gt;BT$8,$P15&lt;=BU$8),$M15,""),"")</f>
        <v/>
      </c>
      <c r="BV15" s="985" t="str">
        <f t="shared" si="94"/>
        <v/>
      </c>
      <c r="BW15" s="985" t="str">
        <f t="shared" si="94"/>
        <v/>
      </c>
      <c r="BX15" s="985" t="str">
        <f t="shared" si="94"/>
        <v/>
      </c>
      <c r="BY15" s="985" t="str">
        <f t="shared" si="94"/>
        <v/>
      </c>
      <c r="BZ15" s="985" t="str">
        <f t="shared" si="94"/>
        <v/>
      </c>
      <c r="CA15" s="985" t="str">
        <f t="shared" si="94"/>
        <v/>
      </c>
      <c r="CB15" s="985" t="str">
        <f t="shared" si="94"/>
        <v/>
      </c>
      <c r="CC15" s="985" t="str">
        <f t="shared" si="94"/>
        <v/>
      </c>
      <c r="CD15" s="985" t="str">
        <f t="shared" si="94"/>
        <v/>
      </c>
      <c r="CE15" s="985" t="str">
        <f t="shared" si="94"/>
        <v/>
      </c>
      <c r="CF15" s="985" t="str">
        <f t="shared" si="94"/>
        <v/>
      </c>
      <c r="CG15" s="987"/>
      <c r="CH15" s="985" t="str">
        <f t="shared" si="9"/>
        <v/>
      </c>
      <c r="CI15" s="985" t="str">
        <f t="shared" si="9"/>
        <v/>
      </c>
      <c r="CJ15" s="985" t="str">
        <f t="shared" si="9"/>
        <v/>
      </c>
      <c r="CK15" s="985" t="str">
        <f t="shared" si="9"/>
        <v/>
      </c>
      <c r="CL15" s="985" t="str">
        <f t="shared" si="9"/>
        <v/>
      </c>
      <c r="CM15" s="985" t="str">
        <f t="shared" si="9"/>
        <v/>
      </c>
      <c r="CN15" s="985" t="str">
        <f t="shared" si="9"/>
        <v/>
      </c>
      <c r="CP15" s="988" t="str">
        <f t="shared" ref="CP15:DC15" si="95">IF(AND($I15&lt;&gt;"",OR($AF15="ELE",$AF15="ELD",$AF15="CX")),IF(AND($P15&gt;CO$8,$P15&lt;=CP$8),$K15,""),"")</f>
        <v/>
      </c>
      <c r="CQ15" s="988" t="str">
        <f t="shared" si="95"/>
        <v/>
      </c>
      <c r="CR15" s="988" t="str">
        <f t="shared" si="95"/>
        <v/>
      </c>
      <c r="CS15" s="988" t="str">
        <f t="shared" si="95"/>
        <v/>
      </c>
      <c r="CT15" s="988" t="str">
        <f t="shared" si="95"/>
        <v/>
      </c>
      <c r="CU15" s="988" t="str">
        <f t="shared" si="95"/>
        <v/>
      </c>
      <c r="CV15" s="988" t="str">
        <f t="shared" si="95"/>
        <v/>
      </c>
      <c r="CW15" s="988" t="str">
        <f t="shared" si="95"/>
        <v/>
      </c>
      <c r="CX15" s="988" t="str">
        <f t="shared" si="95"/>
        <v/>
      </c>
      <c r="CY15" s="988" t="str">
        <f t="shared" si="95"/>
        <v/>
      </c>
      <c r="CZ15" s="988" t="str">
        <f t="shared" si="95"/>
        <v/>
      </c>
      <c r="DA15" s="988" t="str">
        <f t="shared" si="95"/>
        <v/>
      </c>
      <c r="DB15" s="988" t="str">
        <f t="shared" si="95"/>
        <v/>
      </c>
      <c r="DC15" s="988" t="str">
        <f t="shared" si="95"/>
        <v/>
      </c>
      <c r="DE15" s="988">
        <f t="shared" ref="DE15:DR15" si="96">IF(AND($X15&lt;&gt;"",$AC15="CF"),IF(AND($P15&gt;DD$8,$P15&lt;=DE$8),$AB15,""),"")</f>
        <v>0.15384615384615385</v>
      </c>
      <c r="DF15" s="988" t="str">
        <f t="shared" si="96"/>
        <v/>
      </c>
      <c r="DG15" s="988" t="str">
        <f t="shared" si="96"/>
        <v/>
      </c>
      <c r="DH15" s="988" t="str">
        <f t="shared" si="96"/>
        <v/>
      </c>
      <c r="DI15" s="988" t="str">
        <f t="shared" si="96"/>
        <v/>
      </c>
      <c r="DJ15" s="988" t="str">
        <f t="shared" si="96"/>
        <v/>
      </c>
      <c r="DK15" s="988" t="str">
        <f t="shared" si="96"/>
        <v/>
      </c>
      <c r="DL15" s="988" t="str">
        <f t="shared" si="96"/>
        <v/>
      </c>
      <c r="DM15" s="988" t="str">
        <f t="shared" si="96"/>
        <v/>
      </c>
      <c r="DN15" s="988" t="str">
        <f t="shared" si="96"/>
        <v/>
      </c>
      <c r="DO15" s="988" t="str">
        <f t="shared" si="96"/>
        <v/>
      </c>
      <c r="DP15" s="988" t="str">
        <f t="shared" si="96"/>
        <v/>
      </c>
      <c r="DQ15" s="988" t="str">
        <f t="shared" si="96"/>
        <v/>
      </c>
      <c r="DR15" s="988" t="str">
        <f t="shared" si="96"/>
        <v/>
      </c>
      <c r="DT15" s="988" t="str">
        <f t="shared" ref="DT15:EG15" si="97">IF(AND($X15&lt;&gt;"",$AC15="CA"),IF(AND($P15&gt;DS$8,$P15&lt;=DT$8),$AB15,""),"")</f>
        <v/>
      </c>
      <c r="DU15" s="988" t="str">
        <f t="shared" si="97"/>
        <v/>
      </c>
      <c r="DV15" s="988" t="str">
        <f t="shared" si="97"/>
        <v/>
      </c>
      <c r="DW15" s="988" t="str">
        <f t="shared" si="97"/>
        <v/>
      </c>
      <c r="DX15" s="988" t="str">
        <f t="shared" si="97"/>
        <v/>
      </c>
      <c r="DY15" s="988" t="str">
        <f t="shared" si="97"/>
        <v/>
      </c>
      <c r="DZ15" s="988" t="str">
        <f t="shared" si="97"/>
        <v/>
      </c>
      <c r="EA15" s="988" t="str">
        <f t="shared" si="97"/>
        <v/>
      </c>
      <c r="EB15" s="988" t="str">
        <f t="shared" si="97"/>
        <v/>
      </c>
      <c r="EC15" s="988" t="str">
        <f t="shared" si="97"/>
        <v/>
      </c>
      <c r="ED15" s="988" t="str">
        <f t="shared" si="97"/>
        <v/>
      </c>
      <c r="EE15" s="988" t="str">
        <f t="shared" si="97"/>
        <v/>
      </c>
      <c r="EF15" s="988" t="str">
        <f t="shared" si="97"/>
        <v/>
      </c>
      <c r="EG15" s="988" t="str">
        <f t="shared" si="97"/>
        <v/>
      </c>
      <c r="EI15" s="988" t="str">
        <f t="shared" ref="EI15:EV15" si="98">IF($AE15="BFC",IF(AND($P15&gt;EH$8,$P15&lt;=EI$8),$AB15,""),"")</f>
        <v/>
      </c>
      <c r="EJ15" s="988" t="str">
        <f t="shared" si="98"/>
        <v/>
      </c>
      <c r="EK15" s="988" t="str">
        <f t="shared" si="98"/>
        <v/>
      </c>
      <c r="EL15" s="988" t="str">
        <f t="shared" si="98"/>
        <v/>
      </c>
      <c r="EM15" s="988" t="str">
        <f t="shared" si="98"/>
        <v/>
      </c>
      <c r="EN15" s="988" t="str">
        <f t="shared" si="98"/>
        <v/>
      </c>
      <c r="EO15" s="988" t="str">
        <f t="shared" si="98"/>
        <v/>
      </c>
      <c r="EP15" s="988" t="str">
        <f t="shared" si="98"/>
        <v/>
      </c>
      <c r="EQ15" s="988" t="str">
        <f t="shared" si="98"/>
        <v/>
      </c>
      <c r="ER15" s="988" t="str">
        <f t="shared" si="98"/>
        <v/>
      </c>
      <c r="ES15" s="988" t="str">
        <f t="shared" si="98"/>
        <v/>
      </c>
      <c r="ET15" s="988" t="str">
        <f t="shared" si="98"/>
        <v/>
      </c>
      <c r="EU15" s="988" t="str">
        <f t="shared" si="98"/>
        <v/>
      </c>
      <c r="EV15" s="988" t="str">
        <f t="shared" si="98"/>
        <v/>
      </c>
      <c r="EX15" s="988" t="str">
        <f t="shared" ref="EX15:FK15" si="99">IF($AE15="BFN",IF(AND($P15&gt;EW$8,$P15&lt;=EX$8),$AB15,""),"")</f>
        <v/>
      </c>
      <c r="EY15" s="988" t="str">
        <f t="shared" si="99"/>
        <v/>
      </c>
      <c r="EZ15" s="988" t="str">
        <f t="shared" si="99"/>
        <v/>
      </c>
      <c r="FA15" s="988" t="str">
        <f t="shared" si="99"/>
        <v/>
      </c>
      <c r="FB15" s="988" t="str">
        <f t="shared" si="99"/>
        <v/>
      </c>
      <c r="FC15" s="988" t="str">
        <f t="shared" si="99"/>
        <v/>
      </c>
      <c r="FD15" s="988" t="str">
        <f t="shared" si="99"/>
        <v/>
      </c>
      <c r="FE15" s="988" t="str">
        <f t="shared" si="99"/>
        <v/>
      </c>
      <c r="FF15" s="988" t="str">
        <f t="shared" si="99"/>
        <v/>
      </c>
      <c r="FG15" s="988" t="str">
        <f t="shared" si="99"/>
        <v/>
      </c>
      <c r="FH15" s="988" t="str">
        <f t="shared" si="99"/>
        <v/>
      </c>
      <c r="FI15" s="988" t="str">
        <f t="shared" si="99"/>
        <v/>
      </c>
      <c r="FJ15" s="988" t="str">
        <f t="shared" si="99"/>
        <v/>
      </c>
      <c r="FK15" s="988" t="str">
        <f t="shared" si="99"/>
        <v/>
      </c>
      <c r="FM15" s="988" t="str">
        <f t="shared" ref="FM15:FZ15" si="100">IF(AND($I15&lt;&gt;"",$AF15="RCS"),IF(AND($P15&gt;FL$8,$P15&lt;=FM$8),SUM($K15:$M15),""),"")</f>
        <v/>
      </c>
      <c r="FN15" s="988" t="str">
        <f t="shared" si="100"/>
        <v/>
      </c>
      <c r="FO15" s="988" t="str">
        <f t="shared" si="100"/>
        <v/>
      </c>
      <c r="FP15" s="988" t="str">
        <f t="shared" si="100"/>
        <v/>
      </c>
      <c r="FQ15" s="988" t="str">
        <f t="shared" si="100"/>
        <v/>
      </c>
      <c r="FR15" s="988" t="str">
        <f t="shared" si="100"/>
        <v/>
      </c>
      <c r="FS15" s="988" t="str">
        <f t="shared" si="100"/>
        <v/>
      </c>
      <c r="FT15" s="988" t="str">
        <f t="shared" si="100"/>
        <v/>
      </c>
      <c r="FU15" s="988" t="str">
        <f t="shared" si="100"/>
        <v/>
      </c>
      <c r="FV15" s="988" t="str">
        <f t="shared" si="100"/>
        <v/>
      </c>
      <c r="FW15" s="988" t="str">
        <f t="shared" si="100"/>
        <v/>
      </c>
      <c r="FX15" s="988" t="str">
        <f t="shared" si="100"/>
        <v/>
      </c>
      <c r="FY15" s="988" t="str">
        <f t="shared" si="100"/>
        <v/>
      </c>
      <c r="FZ15" s="988" t="str">
        <f t="shared" si="100"/>
        <v/>
      </c>
      <c r="GB15" s="988" t="str">
        <f t="shared" ref="GB15:GO15" si="101">IF(AND($I15&lt;&gt;"",$AF15="REC"),IF(AND($P15&gt;GA$8,$P15&lt;=GB$8),SUM($K15:$M15),""),"")</f>
        <v/>
      </c>
      <c r="GC15" s="988" t="str">
        <f t="shared" si="101"/>
        <v/>
      </c>
      <c r="GD15" s="988" t="str">
        <f t="shared" si="101"/>
        <v/>
      </c>
      <c r="GE15" s="988" t="str">
        <f t="shared" si="101"/>
        <v/>
      </c>
      <c r="GF15" s="988" t="str">
        <f t="shared" si="101"/>
        <v/>
      </c>
      <c r="GG15" s="988" t="str">
        <f t="shared" si="101"/>
        <v/>
      </c>
      <c r="GH15" s="988" t="str">
        <f t="shared" si="101"/>
        <v/>
      </c>
      <c r="GI15" s="988" t="str">
        <f t="shared" si="101"/>
        <v/>
      </c>
      <c r="GJ15" s="988" t="str">
        <f t="shared" si="101"/>
        <v/>
      </c>
      <c r="GK15" s="988" t="str">
        <f t="shared" si="101"/>
        <v/>
      </c>
      <c r="GL15" s="988" t="str">
        <f t="shared" si="101"/>
        <v/>
      </c>
      <c r="GM15" s="988" t="str">
        <f t="shared" si="101"/>
        <v/>
      </c>
      <c r="GN15" s="988" t="str">
        <f t="shared" si="101"/>
        <v/>
      </c>
      <c r="GO15" s="988" t="str">
        <f t="shared" si="101"/>
        <v/>
      </c>
      <c r="GQ15" s="988" t="str">
        <f t="shared" ref="GQ15:HD15" si="102">IF(AND($I15&lt;&gt;"",$AF15="REB"),IF(AND($P15&gt;GP$8,$P15&lt;=GQ$8),SUM($K15:$M15),""),"")</f>
        <v/>
      </c>
      <c r="GR15" s="988" t="str">
        <f t="shared" si="102"/>
        <v/>
      </c>
      <c r="GS15" s="988" t="str">
        <f t="shared" si="102"/>
        <v/>
      </c>
      <c r="GT15" s="988" t="str">
        <f t="shared" si="102"/>
        <v/>
      </c>
      <c r="GU15" s="988" t="str">
        <f t="shared" si="102"/>
        <v/>
      </c>
      <c r="GV15" s="988" t="str">
        <f t="shared" si="102"/>
        <v/>
      </c>
      <c r="GW15" s="988" t="str">
        <f t="shared" si="102"/>
        <v/>
      </c>
      <c r="GX15" s="988" t="str">
        <f t="shared" si="102"/>
        <v/>
      </c>
      <c r="GY15" s="988" t="str">
        <f t="shared" si="102"/>
        <v/>
      </c>
      <c r="GZ15" s="988" t="str">
        <f t="shared" si="102"/>
        <v/>
      </c>
      <c r="HA15" s="988" t="str">
        <f t="shared" si="102"/>
        <v/>
      </c>
      <c r="HB15" s="988" t="str">
        <f t="shared" si="102"/>
        <v/>
      </c>
      <c r="HC15" s="988" t="str">
        <f t="shared" si="102"/>
        <v/>
      </c>
      <c r="HD15" s="988" t="str">
        <f t="shared" si="102"/>
        <v/>
      </c>
      <c r="HF15" s="988" t="str">
        <f t="shared" ref="HF15:HS15" si="103">IF(AND($I15&lt;&gt;"",$AF15="RBS"),IF(AND($P15&gt;HE$8,$P15&lt;=HF$8),SUM($K15:$M15),""),"")</f>
        <v/>
      </c>
      <c r="HG15" s="988" t="str">
        <f t="shared" si="103"/>
        <v/>
      </c>
      <c r="HH15" s="988" t="str">
        <f t="shared" si="103"/>
        <v/>
      </c>
      <c r="HI15" s="988" t="str">
        <f t="shared" si="103"/>
        <v/>
      </c>
      <c r="HJ15" s="988" t="str">
        <f t="shared" si="103"/>
        <v/>
      </c>
      <c r="HK15" s="988" t="str">
        <f t="shared" si="103"/>
        <v/>
      </c>
      <c r="HL15" s="988" t="str">
        <f t="shared" si="103"/>
        <v/>
      </c>
      <c r="HM15" s="988" t="str">
        <f t="shared" si="103"/>
        <v/>
      </c>
      <c r="HN15" s="988" t="str">
        <f t="shared" si="103"/>
        <v/>
      </c>
      <c r="HO15" s="988" t="str">
        <f t="shared" si="103"/>
        <v/>
      </c>
      <c r="HP15" s="988" t="str">
        <f t="shared" si="103"/>
        <v/>
      </c>
      <c r="HQ15" s="988" t="str">
        <f t="shared" si="103"/>
        <v/>
      </c>
      <c r="HR15" s="988" t="str">
        <f t="shared" si="103"/>
        <v/>
      </c>
      <c r="HS15" s="988" t="str">
        <f t="shared" si="103"/>
        <v/>
      </c>
      <c r="HU15" s="988" t="str">
        <f t="shared" ref="HU15:IH15" si="104">IF(AND($I15&lt;&gt;"",$AF15="RCD"),IF(AND($P15&gt;HT$8,$P15&lt;=HU$8),SUM($K15:$M15),""),"")</f>
        <v/>
      </c>
      <c r="HV15" s="988" t="str">
        <f t="shared" si="104"/>
        <v/>
      </c>
      <c r="HW15" s="988" t="str">
        <f t="shared" si="104"/>
        <v/>
      </c>
      <c r="HX15" s="988" t="str">
        <f t="shared" si="104"/>
        <v/>
      </c>
      <c r="HY15" s="988" t="str">
        <f t="shared" si="104"/>
        <v/>
      </c>
      <c r="HZ15" s="988" t="str">
        <f t="shared" si="104"/>
        <v/>
      </c>
      <c r="IA15" s="988" t="str">
        <f t="shared" si="104"/>
        <v/>
      </c>
      <c r="IB15" s="988" t="str">
        <f t="shared" si="104"/>
        <v/>
      </c>
      <c r="IC15" s="988" t="str">
        <f t="shared" si="104"/>
        <v/>
      </c>
      <c r="ID15" s="988" t="str">
        <f t="shared" si="104"/>
        <v/>
      </c>
      <c r="IE15" s="988" t="str">
        <f t="shared" si="104"/>
        <v/>
      </c>
      <c r="IF15" s="988" t="str">
        <f t="shared" si="104"/>
        <v/>
      </c>
      <c r="IG15" s="988" t="str">
        <f t="shared" si="104"/>
        <v/>
      </c>
      <c r="IH15" s="988" t="str">
        <f t="shared" si="104"/>
        <v/>
      </c>
      <c r="IJ15" s="985">
        <f t="shared" ref="IJ15:IW15" si="105">IF(AND($I15&lt;&gt;""),IF(AND($P15&gt;II$8,$P15&lt;=IJ$8),$K15,""),"")</f>
        <v>0.2</v>
      </c>
      <c r="IK15" s="985" t="str">
        <f t="shared" si="105"/>
        <v/>
      </c>
      <c r="IL15" s="985" t="str">
        <f t="shared" si="105"/>
        <v/>
      </c>
      <c r="IM15" s="985" t="str">
        <f t="shared" si="105"/>
        <v/>
      </c>
      <c r="IN15" s="985" t="str">
        <f t="shared" si="105"/>
        <v/>
      </c>
      <c r="IO15" s="985" t="str">
        <f t="shared" si="105"/>
        <v/>
      </c>
      <c r="IP15" s="985" t="str">
        <f t="shared" si="105"/>
        <v/>
      </c>
      <c r="IQ15" s="985" t="str">
        <f t="shared" si="105"/>
        <v/>
      </c>
      <c r="IR15" s="985" t="str">
        <f t="shared" si="105"/>
        <v/>
      </c>
      <c r="IS15" s="985" t="str">
        <f t="shared" si="105"/>
        <v/>
      </c>
      <c r="IT15" s="985" t="str">
        <f t="shared" si="105"/>
        <v/>
      </c>
      <c r="IU15" s="985" t="str">
        <f t="shared" si="105"/>
        <v/>
      </c>
      <c r="IV15" s="985" t="str">
        <f t="shared" si="105"/>
        <v/>
      </c>
      <c r="IW15" s="985" t="str">
        <f t="shared" si="105"/>
        <v/>
      </c>
      <c r="IX15" s="987"/>
      <c r="IY15" s="985">
        <f t="shared" ref="IY15:JL15" si="106">IF(AND($I15&lt;&gt;""),IF(AND($P15&gt;IX$8,$P15&lt;=IY$8),$L15,""),"")</f>
        <v>0</v>
      </c>
      <c r="IZ15" s="985" t="str">
        <f t="shared" si="106"/>
        <v/>
      </c>
      <c r="JA15" s="985" t="str">
        <f t="shared" si="106"/>
        <v/>
      </c>
      <c r="JB15" s="985" t="str">
        <f t="shared" si="106"/>
        <v/>
      </c>
      <c r="JC15" s="985" t="str">
        <f t="shared" si="106"/>
        <v/>
      </c>
      <c r="JD15" s="985" t="str">
        <f t="shared" si="106"/>
        <v/>
      </c>
      <c r="JE15" s="985" t="str">
        <f t="shared" si="106"/>
        <v/>
      </c>
      <c r="JF15" s="985" t="str">
        <f t="shared" si="106"/>
        <v/>
      </c>
      <c r="JG15" s="985" t="str">
        <f t="shared" si="106"/>
        <v/>
      </c>
      <c r="JH15" s="985" t="str">
        <f t="shared" si="106"/>
        <v/>
      </c>
      <c r="JI15" s="985" t="str">
        <f t="shared" si="106"/>
        <v/>
      </c>
      <c r="JJ15" s="985" t="str">
        <f t="shared" si="106"/>
        <v/>
      </c>
      <c r="JK15" s="985" t="str">
        <f t="shared" si="106"/>
        <v/>
      </c>
      <c r="JL15" s="985" t="str">
        <f t="shared" si="106"/>
        <v/>
      </c>
      <c r="JM15" s="987"/>
      <c r="JN15" s="985">
        <f t="shared" ref="JN15:KA15" si="107">IF(AND($I15&lt;&gt;""),IF(AND($P15&gt;JM$8,$P15&lt;=JN$8),$M15,""),"")</f>
        <v>0</v>
      </c>
      <c r="JO15" s="985" t="str">
        <f t="shared" si="107"/>
        <v/>
      </c>
      <c r="JP15" s="985" t="str">
        <f t="shared" si="107"/>
        <v/>
      </c>
      <c r="JQ15" s="985" t="str">
        <f t="shared" si="107"/>
        <v/>
      </c>
      <c r="JR15" s="985" t="str">
        <f t="shared" si="107"/>
        <v/>
      </c>
      <c r="JS15" s="985" t="str">
        <f t="shared" si="107"/>
        <v/>
      </c>
      <c r="JT15" s="985" t="str">
        <f t="shared" si="107"/>
        <v/>
      </c>
      <c r="JU15" s="985" t="str">
        <f t="shared" si="107"/>
        <v/>
      </c>
      <c r="JV15" s="985" t="str">
        <f t="shared" si="107"/>
        <v/>
      </c>
      <c r="JW15" s="985" t="str">
        <f t="shared" si="107"/>
        <v/>
      </c>
      <c r="JX15" s="985" t="str">
        <f t="shared" si="107"/>
        <v/>
      </c>
      <c r="JY15" s="985" t="str">
        <f t="shared" si="107"/>
        <v/>
      </c>
      <c r="JZ15" s="985" t="str">
        <f t="shared" si="107"/>
        <v/>
      </c>
      <c r="KA15" s="985" t="str">
        <f t="shared" si="107"/>
        <v/>
      </c>
      <c r="KB15" s="987"/>
      <c r="KC15" s="985">
        <f t="shared" ref="KC15:KP15" si="108">IF(AND($I15&lt;&gt;""),IF(AND($P15&gt;KB$8,$P15&lt;=KC$8),$N15,""),"")</f>
        <v>0</v>
      </c>
      <c r="KD15" s="985" t="str">
        <f t="shared" si="108"/>
        <v/>
      </c>
      <c r="KE15" s="985" t="str">
        <f t="shared" si="108"/>
        <v/>
      </c>
      <c r="KF15" s="985" t="str">
        <f t="shared" si="108"/>
        <v/>
      </c>
      <c r="KG15" s="985" t="str">
        <f t="shared" si="108"/>
        <v/>
      </c>
      <c r="KH15" s="985" t="str">
        <f t="shared" si="108"/>
        <v/>
      </c>
      <c r="KI15" s="985" t="str">
        <f t="shared" si="108"/>
        <v/>
      </c>
      <c r="KJ15" s="985" t="str">
        <f t="shared" si="108"/>
        <v/>
      </c>
      <c r="KK15" s="985" t="str">
        <f t="shared" si="108"/>
        <v/>
      </c>
      <c r="KL15" s="985" t="str">
        <f t="shared" si="108"/>
        <v/>
      </c>
      <c r="KM15" s="985" t="str">
        <f t="shared" si="108"/>
        <v/>
      </c>
      <c r="KN15" s="985" t="str">
        <f t="shared" si="108"/>
        <v/>
      </c>
      <c r="KO15" s="985" t="str">
        <f t="shared" si="108"/>
        <v/>
      </c>
      <c r="KP15" s="985" t="str">
        <f t="shared" si="108"/>
        <v/>
      </c>
    </row>
    <row r="16" spans="2:302" ht="18" customHeight="1">
      <c r="B16" s="978">
        <f t="shared" si="0"/>
        <v>7</v>
      </c>
      <c r="C16" s="979" t="s">
        <v>695</v>
      </c>
      <c r="D16" s="979" t="s">
        <v>605</v>
      </c>
      <c r="E16" s="980">
        <v>0</v>
      </c>
      <c r="F16" s="979" t="s">
        <v>695</v>
      </c>
      <c r="G16" s="979" t="s">
        <v>605</v>
      </c>
      <c r="H16" s="980">
        <v>10</v>
      </c>
      <c r="I16" s="979" t="s">
        <v>828</v>
      </c>
      <c r="J16" s="979"/>
      <c r="K16" s="980">
        <v>28.76</v>
      </c>
      <c r="L16" s="980"/>
      <c r="M16" s="980"/>
      <c r="N16" s="980"/>
      <c r="O16" s="980"/>
      <c r="P16" s="981">
        <v>0.02</v>
      </c>
      <c r="Q16" s="981">
        <f t="shared" si="1"/>
        <v>0.57520000000000004</v>
      </c>
      <c r="R16" s="979" t="s">
        <v>695</v>
      </c>
      <c r="S16" s="979" t="s">
        <v>605</v>
      </c>
      <c r="T16" s="980">
        <v>0</v>
      </c>
      <c r="U16" s="979" t="s">
        <v>695</v>
      </c>
      <c r="V16" s="979" t="s">
        <v>605</v>
      </c>
      <c r="W16" s="980">
        <v>10</v>
      </c>
      <c r="X16" s="979" t="s">
        <v>828</v>
      </c>
      <c r="Y16" s="979"/>
      <c r="Z16" s="979"/>
      <c r="AA16" s="980">
        <v>1</v>
      </c>
      <c r="AB16" s="980">
        <f t="shared" si="2"/>
        <v>28.76</v>
      </c>
      <c r="AC16" s="982" t="s">
        <v>939</v>
      </c>
      <c r="AD16" s="953"/>
      <c r="AE16" s="983" t="str">
        <f t="shared" si="3"/>
        <v/>
      </c>
      <c r="AF16" s="984" t="str">
        <f t="shared" si="4"/>
        <v>REC</v>
      </c>
      <c r="AG16" s="963"/>
      <c r="AH16" s="985" t="str">
        <f t="shared" si="5"/>
        <v/>
      </c>
      <c r="AI16" s="985" t="str">
        <f t="shared" si="5"/>
        <v/>
      </c>
      <c r="AJ16" s="985" t="str">
        <f t="shared" si="5"/>
        <v/>
      </c>
      <c r="AK16" s="985" t="str">
        <f t="shared" si="5"/>
        <v/>
      </c>
      <c r="AL16" s="985" t="str">
        <f t="shared" si="5"/>
        <v/>
      </c>
      <c r="AM16" s="985" t="str">
        <f t="shared" si="5"/>
        <v/>
      </c>
      <c r="AN16" s="985" t="str">
        <f t="shared" si="5"/>
        <v/>
      </c>
      <c r="AO16" s="985" t="str">
        <f t="shared" si="5"/>
        <v/>
      </c>
      <c r="AP16" s="986"/>
      <c r="AQ16" s="985" t="str">
        <f t="shared" ref="AQ16:BD16" si="109">IF(AND($I16&lt;&gt;"",$AF16="C"),IF(AND($P16&gt;AP$8,$P16&lt;=AQ$8),$K16,""),"")</f>
        <v/>
      </c>
      <c r="AR16" s="985" t="str">
        <f t="shared" si="109"/>
        <v/>
      </c>
      <c r="AS16" s="985" t="str">
        <f t="shared" si="109"/>
        <v/>
      </c>
      <c r="AT16" s="985" t="str">
        <f t="shared" si="109"/>
        <v/>
      </c>
      <c r="AU16" s="985" t="str">
        <f t="shared" si="109"/>
        <v/>
      </c>
      <c r="AV16" s="985" t="str">
        <f t="shared" si="109"/>
        <v/>
      </c>
      <c r="AW16" s="985" t="str">
        <f t="shared" si="109"/>
        <v/>
      </c>
      <c r="AX16" s="985" t="str">
        <f t="shared" si="109"/>
        <v/>
      </c>
      <c r="AY16" s="985" t="str">
        <f t="shared" si="109"/>
        <v/>
      </c>
      <c r="AZ16" s="985" t="str">
        <f t="shared" si="109"/>
        <v/>
      </c>
      <c r="BA16" s="985" t="str">
        <f t="shared" si="109"/>
        <v/>
      </c>
      <c r="BB16" s="985" t="str">
        <f t="shared" si="109"/>
        <v/>
      </c>
      <c r="BC16" s="985" t="str">
        <f t="shared" si="109"/>
        <v/>
      </c>
      <c r="BD16" s="985" t="str">
        <f t="shared" si="109"/>
        <v/>
      </c>
      <c r="BE16" s="987"/>
      <c r="BF16" s="985" t="str">
        <f t="shared" ref="BF16:BS16" si="110">IF(AND($I16&lt;&gt;"",$AF16="C"),IF(AND($P16&gt;BE$8,$P16&lt;=BF$8),$L16,""),"")</f>
        <v/>
      </c>
      <c r="BG16" s="985" t="str">
        <f t="shared" si="110"/>
        <v/>
      </c>
      <c r="BH16" s="985" t="str">
        <f t="shared" si="110"/>
        <v/>
      </c>
      <c r="BI16" s="985" t="str">
        <f t="shared" si="110"/>
        <v/>
      </c>
      <c r="BJ16" s="985" t="str">
        <f t="shared" si="110"/>
        <v/>
      </c>
      <c r="BK16" s="985" t="str">
        <f t="shared" si="110"/>
        <v/>
      </c>
      <c r="BL16" s="985" t="str">
        <f t="shared" si="110"/>
        <v/>
      </c>
      <c r="BM16" s="985" t="str">
        <f t="shared" si="110"/>
        <v/>
      </c>
      <c r="BN16" s="985" t="str">
        <f t="shared" si="110"/>
        <v/>
      </c>
      <c r="BO16" s="985" t="str">
        <f t="shared" si="110"/>
        <v/>
      </c>
      <c r="BP16" s="985" t="str">
        <f t="shared" si="110"/>
        <v/>
      </c>
      <c r="BQ16" s="985" t="str">
        <f t="shared" si="110"/>
        <v/>
      </c>
      <c r="BR16" s="985" t="str">
        <f t="shared" si="110"/>
        <v/>
      </c>
      <c r="BS16" s="985" t="str">
        <f t="shared" si="110"/>
        <v/>
      </c>
      <c r="BU16" s="985" t="str">
        <f t="shared" ref="BU16:CF16" si="111">IF(AND($I16&lt;&gt;"",$AF16="C"),IF(AND($P16&gt;BT$8,$P16&lt;=BU$8),$M16,""),"")</f>
        <v/>
      </c>
      <c r="BV16" s="985" t="str">
        <f t="shared" si="111"/>
        <v/>
      </c>
      <c r="BW16" s="985" t="str">
        <f t="shared" si="111"/>
        <v/>
      </c>
      <c r="BX16" s="985" t="str">
        <f t="shared" si="111"/>
        <v/>
      </c>
      <c r="BY16" s="985" t="str">
        <f t="shared" si="111"/>
        <v/>
      </c>
      <c r="BZ16" s="985" t="str">
        <f t="shared" si="111"/>
        <v/>
      </c>
      <c r="CA16" s="985" t="str">
        <f t="shared" si="111"/>
        <v/>
      </c>
      <c r="CB16" s="985" t="str">
        <f t="shared" si="111"/>
        <v/>
      </c>
      <c r="CC16" s="985" t="str">
        <f t="shared" si="111"/>
        <v/>
      </c>
      <c r="CD16" s="985" t="str">
        <f t="shared" si="111"/>
        <v/>
      </c>
      <c r="CE16" s="985" t="str">
        <f t="shared" si="111"/>
        <v/>
      </c>
      <c r="CF16" s="985" t="str">
        <f t="shared" si="111"/>
        <v/>
      </c>
      <c r="CG16" s="987"/>
      <c r="CH16" s="985" t="str">
        <f t="shared" si="9"/>
        <v/>
      </c>
      <c r="CI16" s="985" t="str">
        <f t="shared" si="9"/>
        <v/>
      </c>
      <c r="CJ16" s="985" t="str">
        <f t="shared" si="9"/>
        <v/>
      </c>
      <c r="CK16" s="985" t="str">
        <f t="shared" si="9"/>
        <v/>
      </c>
      <c r="CL16" s="985" t="str">
        <f t="shared" si="9"/>
        <v/>
      </c>
      <c r="CM16" s="985" t="str">
        <f t="shared" si="9"/>
        <v/>
      </c>
      <c r="CN16" s="985" t="str">
        <f t="shared" si="9"/>
        <v/>
      </c>
      <c r="CP16" s="988" t="str">
        <f t="shared" ref="CP16:DC16" si="112">IF(AND($I16&lt;&gt;"",OR($AF16="ELE",$AF16="ELD",$AF16="CX")),IF(AND($P16&gt;CO$8,$P16&lt;=CP$8),$K16,""),"")</f>
        <v/>
      </c>
      <c r="CQ16" s="988" t="str">
        <f t="shared" si="112"/>
        <v/>
      </c>
      <c r="CR16" s="988" t="str">
        <f t="shared" si="112"/>
        <v/>
      </c>
      <c r="CS16" s="988" t="str">
        <f t="shared" si="112"/>
        <v/>
      </c>
      <c r="CT16" s="988" t="str">
        <f t="shared" si="112"/>
        <v/>
      </c>
      <c r="CU16" s="988" t="str">
        <f t="shared" si="112"/>
        <v/>
      </c>
      <c r="CV16" s="988" t="str">
        <f t="shared" si="112"/>
        <v/>
      </c>
      <c r="CW16" s="988" t="str">
        <f t="shared" si="112"/>
        <v/>
      </c>
      <c r="CX16" s="988" t="str">
        <f t="shared" si="112"/>
        <v/>
      </c>
      <c r="CY16" s="988" t="str">
        <f t="shared" si="112"/>
        <v/>
      </c>
      <c r="CZ16" s="988" t="str">
        <f t="shared" si="112"/>
        <v/>
      </c>
      <c r="DA16" s="988" t="str">
        <f t="shared" si="112"/>
        <v/>
      </c>
      <c r="DB16" s="988" t="str">
        <f t="shared" si="112"/>
        <v/>
      </c>
      <c r="DC16" s="988" t="str">
        <f t="shared" si="112"/>
        <v/>
      </c>
      <c r="DE16" s="988">
        <f t="shared" ref="DE16:DR16" si="113">IF(AND($X16&lt;&gt;"",$AC16="CF"),IF(AND($P16&gt;DD$8,$P16&lt;=DE$8),$AB16,""),"")</f>
        <v>28.76</v>
      </c>
      <c r="DF16" s="988" t="str">
        <f t="shared" si="113"/>
        <v/>
      </c>
      <c r="DG16" s="988" t="str">
        <f t="shared" si="113"/>
        <v/>
      </c>
      <c r="DH16" s="988" t="str">
        <f t="shared" si="113"/>
        <v/>
      </c>
      <c r="DI16" s="988" t="str">
        <f t="shared" si="113"/>
        <v/>
      </c>
      <c r="DJ16" s="988" t="str">
        <f t="shared" si="113"/>
        <v/>
      </c>
      <c r="DK16" s="988" t="str">
        <f t="shared" si="113"/>
        <v/>
      </c>
      <c r="DL16" s="988" t="str">
        <f t="shared" si="113"/>
        <v/>
      </c>
      <c r="DM16" s="988" t="str">
        <f t="shared" si="113"/>
        <v/>
      </c>
      <c r="DN16" s="988" t="str">
        <f t="shared" si="113"/>
        <v/>
      </c>
      <c r="DO16" s="988" t="str">
        <f t="shared" si="113"/>
        <v/>
      </c>
      <c r="DP16" s="988" t="str">
        <f t="shared" si="113"/>
        <v/>
      </c>
      <c r="DQ16" s="988" t="str">
        <f t="shared" si="113"/>
        <v/>
      </c>
      <c r="DR16" s="988" t="str">
        <f t="shared" si="113"/>
        <v/>
      </c>
      <c r="DT16" s="988" t="str">
        <f t="shared" ref="DT16:EG16" si="114">IF(AND($X16&lt;&gt;"",$AC16="CA"),IF(AND($P16&gt;DS$8,$P16&lt;=DT$8),$AB16,""),"")</f>
        <v/>
      </c>
      <c r="DU16" s="988" t="str">
        <f t="shared" si="114"/>
        <v/>
      </c>
      <c r="DV16" s="988" t="str">
        <f t="shared" si="114"/>
        <v/>
      </c>
      <c r="DW16" s="988" t="str">
        <f t="shared" si="114"/>
        <v/>
      </c>
      <c r="DX16" s="988" t="str">
        <f t="shared" si="114"/>
        <v/>
      </c>
      <c r="DY16" s="988" t="str">
        <f t="shared" si="114"/>
        <v/>
      </c>
      <c r="DZ16" s="988" t="str">
        <f t="shared" si="114"/>
        <v/>
      </c>
      <c r="EA16" s="988" t="str">
        <f t="shared" si="114"/>
        <v/>
      </c>
      <c r="EB16" s="988" t="str">
        <f t="shared" si="114"/>
        <v/>
      </c>
      <c r="EC16" s="988" t="str">
        <f t="shared" si="114"/>
        <v/>
      </c>
      <c r="ED16" s="988" t="str">
        <f t="shared" si="114"/>
        <v/>
      </c>
      <c r="EE16" s="988" t="str">
        <f t="shared" si="114"/>
        <v/>
      </c>
      <c r="EF16" s="988" t="str">
        <f t="shared" si="114"/>
        <v/>
      </c>
      <c r="EG16" s="988" t="str">
        <f t="shared" si="114"/>
        <v/>
      </c>
      <c r="EI16" s="988" t="str">
        <f t="shared" ref="EI16:EV16" si="115">IF($AE16="BFC",IF(AND($P16&gt;EH$8,$P16&lt;=EI$8),$AB16,""),"")</f>
        <v/>
      </c>
      <c r="EJ16" s="988" t="str">
        <f t="shared" si="115"/>
        <v/>
      </c>
      <c r="EK16" s="988" t="str">
        <f t="shared" si="115"/>
        <v/>
      </c>
      <c r="EL16" s="988" t="str">
        <f t="shared" si="115"/>
        <v/>
      </c>
      <c r="EM16" s="988" t="str">
        <f t="shared" si="115"/>
        <v/>
      </c>
      <c r="EN16" s="988" t="str">
        <f t="shared" si="115"/>
        <v/>
      </c>
      <c r="EO16" s="988" t="str">
        <f t="shared" si="115"/>
        <v/>
      </c>
      <c r="EP16" s="988" t="str">
        <f t="shared" si="115"/>
        <v/>
      </c>
      <c r="EQ16" s="988" t="str">
        <f t="shared" si="115"/>
        <v/>
      </c>
      <c r="ER16" s="988" t="str">
        <f t="shared" si="115"/>
        <v/>
      </c>
      <c r="ES16" s="988" t="str">
        <f t="shared" si="115"/>
        <v/>
      </c>
      <c r="ET16" s="988" t="str">
        <f t="shared" si="115"/>
        <v/>
      </c>
      <c r="EU16" s="988" t="str">
        <f t="shared" si="115"/>
        <v/>
      </c>
      <c r="EV16" s="988" t="str">
        <f t="shared" si="115"/>
        <v/>
      </c>
      <c r="EX16" s="988" t="str">
        <f t="shared" ref="EX16:FK16" si="116">IF($AE16="BFN",IF(AND($P16&gt;EW$8,$P16&lt;=EX$8),$AB16,""),"")</f>
        <v/>
      </c>
      <c r="EY16" s="988" t="str">
        <f t="shared" si="116"/>
        <v/>
      </c>
      <c r="EZ16" s="988" t="str">
        <f t="shared" si="116"/>
        <v/>
      </c>
      <c r="FA16" s="988" t="str">
        <f t="shared" si="116"/>
        <v/>
      </c>
      <c r="FB16" s="988" t="str">
        <f t="shared" si="116"/>
        <v/>
      </c>
      <c r="FC16" s="988" t="str">
        <f t="shared" si="116"/>
        <v/>
      </c>
      <c r="FD16" s="988" t="str">
        <f t="shared" si="116"/>
        <v/>
      </c>
      <c r="FE16" s="988" t="str">
        <f t="shared" si="116"/>
        <v/>
      </c>
      <c r="FF16" s="988" t="str">
        <f t="shared" si="116"/>
        <v/>
      </c>
      <c r="FG16" s="988" t="str">
        <f t="shared" si="116"/>
        <v/>
      </c>
      <c r="FH16" s="988" t="str">
        <f t="shared" si="116"/>
        <v/>
      </c>
      <c r="FI16" s="988" t="str">
        <f t="shared" si="116"/>
        <v/>
      </c>
      <c r="FJ16" s="988" t="str">
        <f t="shared" si="116"/>
        <v/>
      </c>
      <c r="FK16" s="988" t="str">
        <f t="shared" si="116"/>
        <v/>
      </c>
      <c r="FM16" s="988" t="str">
        <f t="shared" ref="FM16:FZ16" si="117">IF(AND($I16&lt;&gt;"",$AF16="RCS"),IF(AND($P16&gt;FL$8,$P16&lt;=FM$8),SUM($K16:$M16),""),"")</f>
        <v/>
      </c>
      <c r="FN16" s="988" t="str">
        <f t="shared" si="117"/>
        <v/>
      </c>
      <c r="FO16" s="988" t="str">
        <f t="shared" si="117"/>
        <v/>
      </c>
      <c r="FP16" s="988" t="str">
        <f t="shared" si="117"/>
        <v/>
      </c>
      <c r="FQ16" s="988" t="str">
        <f t="shared" si="117"/>
        <v/>
      </c>
      <c r="FR16" s="988" t="str">
        <f t="shared" si="117"/>
        <v/>
      </c>
      <c r="FS16" s="988" t="str">
        <f t="shared" si="117"/>
        <v/>
      </c>
      <c r="FT16" s="988" t="str">
        <f t="shared" si="117"/>
        <v/>
      </c>
      <c r="FU16" s="988" t="str">
        <f t="shared" si="117"/>
        <v/>
      </c>
      <c r="FV16" s="988" t="str">
        <f t="shared" si="117"/>
        <v/>
      </c>
      <c r="FW16" s="988" t="str">
        <f t="shared" si="117"/>
        <v/>
      </c>
      <c r="FX16" s="988" t="str">
        <f t="shared" si="117"/>
        <v/>
      </c>
      <c r="FY16" s="988" t="str">
        <f t="shared" si="117"/>
        <v/>
      </c>
      <c r="FZ16" s="988" t="str">
        <f t="shared" si="117"/>
        <v/>
      </c>
      <c r="GB16" s="988">
        <f t="shared" ref="GB16:GO16" si="118">IF(AND($I16&lt;&gt;"",$AF16="REC"),IF(AND($P16&gt;GA$8,$P16&lt;=GB$8),SUM($K16:$M16),""),"")</f>
        <v>28.76</v>
      </c>
      <c r="GC16" s="988" t="str">
        <f t="shared" si="118"/>
        <v/>
      </c>
      <c r="GD16" s="988" t="str">
        <f t="shared" si="118"/>
        <v/>
      </c>
      <c r="GE16" s="988" t="str">
        <f t="shared" si="118"/>
        <v/>
      </c>
      <c r="GF16" s="988" t="str">
        <f t="shared" si="118"/>
        <v/>
      </c>
      <c r="GG16" s="988" t="str">
        <f t="shared" si="118"/>
        <v/>
      </c>
      <c r="GH16" s="988" t="str">
        <f t="shared" si="118"/>
        <v/>
      </c>
      <c r="GI16" s="988" t="str">
        <f t="shared" si="118"/>
        <v/>
      </c>
      <c r="GJ16" s="988" t="str">
        <f t="shared" si="118"/>
        <v/>
      </c>
      <c r="GK16" s="988" t="str">
        <f t="shared" si="118"/>
        <v/>
      </c>
      <c r="GL16" s="988" t="str">
        <f t="shared" si="118"/>
        <v/>
      </c>
      <c r="GM16" s="988" t="str">
        <f t="shared" si="118"/>
        <v/>
      </c>
      <c r="GN16" s="988" t="str">
        <f t="shared" si="118"/>
        <v/>
      </c>
      <c r="GO16" s="988" t="str">
        <f t="shared" si="118"/>
        <v/>
      </c>
      <c r="GQ16" s="988" t="str">
        <f t="shared" ref="GQ16:HD16" si="119">IF(AND($I16&lt;&gt;"",$AF16="REB"),IF(AND($P16&gt;GP$8,$P16&lt;=GQ$8),SUM($K16:$M16),""),"")</f>
        <v/>
      </c>
      <c r="GR16" s="988" t="str">
        <f t="shared" si="119"/>
        <v/>
      </c>
      <c r="GS16" s="988" t="str">
        <f t="shared" si="119"/>
        <v/>
      </c>
      <c r="GT16" s="988" t="str">
        <f t="shared" si="119"/>
        <v/>
      </c>
      <c r="GU16" s="988" t="str">
        <f t="shared" si="119"/>
        <v/>
      </c>
      <c r="GV16" s="988" t="str">
        <f t="shared" si="119"/>
        <v/>
      </c>
      <c r="GW16" s="988" t="str">
        <f t="shared" si="119"/>
        <v/>
      </c>
      <c r="GX16" s="988" t="str">
        <f t="shared" si="119"/>
        <v/>
      </c>
      <c r="GY16" s="988" t="str">
        <f t="shared" si="119"/>
        <v/>
      </c>
      <c r="GZ16" s="988" t="str">
        <f t="shared" si="119"/>
        <v/>
      </c>
      <c r="HA16" s="988" t="str">
        <f t="shared" si="119"/>
        <v/>
      </c>
      <c r="HB16" s="988" t="str">
        <f t="shared" si="119"/>
        <v/>
      </c>
      <c r="HC16" s="988" t="str">
        <f t="shared" si="119"/>
        <v/>
      </c>
      <c r="HD16" s="988" t="str">
        <f t="shared" si="119"/>
        <v/>
      </c>
      <c r="HF16" s="988" t="str">
        <f t="shared" ref="HF16:HS16" si="120">IF(AND($I16&lt;&gt;"",$AF16="RBS"),IF(AND($P16&gt;HE$8,$P16&lt;=HF$8),SUM($K16:$M16),""),"")</f>
        <v/>
      </c>
      <c r="HG16" s="988" t="str">
        <f t="shared" si="120"/>
        <v/>
      </c>
      <c r="HH16" s="988" t="str">
        <f t="shared" si="120"/>
        <v/>
      </c>
      <c r="HI16" s="988" t="str">
        <f t="shared" si="120"/>
        <v/>
      </c>
      <c r="HJ16" s="988" t="str">
        <f t="shared" si="120"/>
        <v/>
      </c>
      <c r="HK16" s="988" t="str">
        <f t="shared" si="120"/>
        <v/>
      </c>
      <c r="HL16" s="988" t="str">
        <f t="shared" si="120"/>
        <v/>
      </c>
      <c r="HM16" s="988" t="str">
        <f t="shared" si="120"/>
        <v/>
      </c>
      <c r="HN16" s="988" t="str">
        <f t="shared" si="120"/>
        <v/>
      </c>
      <c r="HO16" s="988" t="str">
        <f t="shared" si="120"/>
        <v/>
      </c>
      <c r="HP16" s="988" t="str">
        <f t="shared" si="120"/>
        <v/>
      </c>
      <c r="HQ16" s="988" t="str">
        <f t="shared" si="120"/>
        <v/>
      </c>
      <c r="HR16" s="988" t="str">
        <f t="shared" si="120"/>
        <v/>
      </c>
      <c r="HS16" s="988" t="str">
        <f t="shared" si="120"/>
        <v/>
      </c>
      <c r="HU16" s="988" t="str">
        <f t="shared" ref="HU16:IH16" si="121">IF(AND($I16&lt;&gt;"",$AF16="RCD"),IF(AND($P16&gt;HT$8,$P16&lt;=HU$8),SUM($K16:$M16),""),"")</f>
        <v/>
      </c>
      <c r="HV16" s="988" t="str">
        <f t="shared" si="121"/>
        <v/>
      </c>
      <c r="HW16" s="988" t="str">
        <f t="shared" si="121"/>
        <v/>
      </c>
      <c r="HX16" s="988" t="str">
        <f t="shared" si="121"/>
        <v/>
      </c>
      <c r="HY16" s="988" t="str">
        <f t="shared" si="121"/>
        <v/>
      </c>
      <c r="HZ16" s="988" t="str">
        <f t="shared" si="121"/>
        <v/>
      </c>
      <c r="IA16" s="988" t="str">
        <f t="shared" si="121"/>
        <v/>
      </c>
      <c r="IB16" s="988" t="str">
        <f t="shared" si="121"/>
        <v/>
      </c>
      <c r="IC16" s="988" t="str">
        <f t="shared" si="121"/>
        <v/>
      </c>
      <c r="ID16" s="988" t="str">
        <f t="shared" si="121"/>
        <v/>
      </c>
      <c r="IE16" s="988" t="str">
        <f t="shared" si="121"/>
        <v/>
      </c>
      <c r="IF16" s="988" t="str">
        <f t="shared" si="121"/>
        <v/>
      </c>
      <c r="IG16" s="988" t="str">
        <f t="shared" si="121"/>
        <v/>
      </c>
      <c r="IH16" s="988" t="str">
        <f t="shared" si="121"/>
        <v/>
      </c>
      <c r="IJ16" s="985">
        <f t="shared" ref="IJ16:IW16" si="122">IF(AND($I16&lt;&gt;""),IF(AND($P16&gt;II$8,$P16&lt;=IJ$8),$K16,""),"")</f>
        <v>28.76</v>
      </c>
      <c r="IK16" s="985" t="str">
        <f t="shared" si="122"/>
        <v/>
      </c>
      <c r="IL16" s="985" t="str">
        <f t="shared" si="122"/>
        <v/>
      </c>
      <c r="IM16" s="985" t="str">
        <f t="shared" si="122"/>
        <v/>
      </c>
      <c r="IN16" s="985" t="str">
        <f t="shared" si="122"/>
        <v/>
      </c>
      <c r="IO16" s="985" t="str">
        <f t="shared" si="122"/>
        <v/>
      </c>
      <c r="IP16" s="985" t="str">
        <f t="shared" si="122"/>
        <v/>
      </c>
      <c r="IQ16" s="985" t="str">
        <f t="shared" si="122"/>
        <v/>
      </c>
      <c r="IR16" s="985" t="str">
        <f t="shared" si="122"/>
        <v/>
      </c>
      <c r="IS16" s="985" t="str">
        <f t="shared" si="122"/>
        <v/>
      </c>
      <c r="IT16" s="985" t="str">
        <f t="shared" si="122"/>
        <v/>
      </c>
      <c r="IU16" s="985" t="str">
        <f t="shared" si="122"/>
        <v/>
      </c>
      <c r="IV16" s="985" t="str">
        <f t="shared" si="122"/>
        <v/>
      </c>
      <c r="IW16" s="985" t="str">
        <f t="shared" si="122"/>
        <v/>
      </c>
      <c r="IX16" s="987"/>
      <c r="IY16" s="985">
        <f t="shared" ref="IY16:JL16" si="123">IF(AND($I16&lt;&gt;""),IF(AND($P16&gt;IX$8,$P16&lt;=IY$8),$L16,""),"")</f>
        <v>0</v>
      </c>
      <c r="IZ16" s="985" t="str">
        <f t="shared" si="123"/>
        <v/>
      </c>
      <c r="JA16" s="985" t="str">
        <f t="shared" si="123"/>
        <v/>
      </c>
      <c r="JB16" s="985" t="str">
        <f t="shared" si="123"/>
        <v/>
      </c>
      <c r="JC16" s="985" t="str">
        <f t="shared" si="123"/>
        <v/>
      </c>
      <c r="JD16" s="985" t="str">
        <f t="shared" si="123"/>
        <v/>
      </c>
      <c r="JE16" s="985" t="str">
        <f t="shared" si="123"/>
        <v/>
      </c>
      <c r="JF16" s="985" t="str">
        <f t="shared" si="123"/>
        <v/>
      </c>
      <c r="JG16" s="985" t="str">
        <f t="shared" si="123"/>
        <v/>
      </c>
      <c r="JH16" s="985" t="str">
        <f t="shared" si="123"/>
        <v/>
      </c>
      <c r="JI16" s="985" t="str">
        <f t="shared" si="123"/>
        <v/>
      </c>
      <c r="JJ16" s="985" t="str">
        <f t="shared" si="123"/>
        <v/>
      </c>
      <c r="JK16" s="985" t="str">
        <f t="shared" si="123"/>
        <v/>
      </c>
      <c r="JL16" s="985" t="str">
        <f t="shared" si="123"/>
        <v/>
      </c>
      <c r="JM16" s="987"/>
      <c r="JN16" s="985">
        <f t="shared" ref="JN16:KA16" si="124">IF(AND($I16&lt;&gt;""),IF(AND($P16&gt;JM$8,$P16&lt;=JN$8),$M16,""),"")</f>
        <v>0</v>
      </c>
      <c r="JO16" s="985" t="str">
        <f t="shared" si="124"/>
        <v/>
      </c>
      <c r="JP16" s="985" t="str">
        <f t="shared" si="124"/>
        <v/>
      </c>
      <c r="JQ16" s="985" t="str">
        <f t="shared" si="124"/>
        <v/>
      </c>
      <c r="JR16" s="985" t="str">
        <f t="shared" si="124"/>
        <v/>
      </c>
      <c r="JS16" s="985" t="str">
        <f t="shared" si="124"/>
        <v/>
      </c>
      <c r="JT16" s="985" t="str">
        <f t="shared" si="124"/>
        <v/>
      </c>
      <c r="JU16" s="985" t="str">
        <f t="shared" si="124"/>
        <v/>
      </c>
      <c r="JV16" s="985" t="str">
        <f t="shared" si="124"/>
        <v/>
      </c>
      <c r="JW16" s="985" t="str">
        <f t="shared" si="124"/>
        <v/>
      </c>
      <c r="JX16" s="985" t="str">
        <f t="shared" si="124"/>
        <v/>
      </c>
      <c r="JY16" s="985" t="str">
        <f t="shared" si="124"/>
        <v/>
      </c>
      <c r="JZ16" s="985" t="str">
        <f t="shared" si="124"/>
        <v/>
      </c>
      <c r="KA16" s="985" t="str">
        <f t="shared" si="124"/>
        <v/>
      </c>
      <c r="KB16" s="987"/>
      <c r="KC16" s="985">
        <f t="shared" ref="KC16:KP16" si="125">IF(AND($I16&lt;&gt;""),IF(AND($P16&gt;KB$8,$P16&lt;=KC$8),$N16,""),"")</f>
        <v>0</v>
      </c>
      <c r="KD16" s="985" t="str">
        <f t="shared" si="125"/>
        <v/>
      </c>
      <c r="KE16" s="985" t="str">
        <f t="shared" si="125"/>
        <v/>
      </c>
      <c r="KF16" s="985" t="str">
        <f t="shared" si="125"/>
        <v/>
      </c>
      <c r="KG16" s="985" t="str">
        <f t="shared" si="125"/>
        <v/>
      </c>
      <c r="KH16" s="985" t="str">
        <f t="shared" si="125"/>
        <v/>
      </c>
      <c r="KI16" s="985" t="str">
        <f t="shared" si="125"/>
        <v/>
      </c>
      <c r="KJ16" s="985" t="str">
        <f t="shared" si="125"/>
        <v/>
      </c>
      <c r="KK16" s="985" t="str">
        <f t="shared" si="125"/>
        <v/>
      </c>
      <c r="KL16" s="985" t="str">
        <f t="shared" si="125"/>
        <v/>
      </c>
      <c r="KM16" s="985" t="str">
        <f t="shared" si="125"/>
        <v/>
      </c>
      <c r="KN16" s="985" t="str">
        <f t="shared" si="125"/>
        <v/>
      </c>
      <c r="KO16" s="985" t="str">
        <f t="shared" si="125"/>
        <v/>
      </c>
      <c r="KP16" s="985" t="str">
        <f t="shared" si="125"/>
        <v/>
      </c>
    </row>
    <row r="17" spans="2:302" ht="18" customHeight="1">
      <c r="B17" s="978">
        <f t="shared" si="0"/>
        <v>7</v>
      </c>
      <c r="C17" s="979" t="s">
        <v>695</v>
      </c>
      <c r="D17" s="979" t="s">
        <v>605</v>
      </c>
      <c r="E17" s="980">
        <v>0</v>
      </c>
      <c r="F17" s="979" t="s">
        <v>695</v>
      </c>
      <c r="G17" s="979" t="s">
        <v>605</v>
      </c>
      <c r="H17" s="980">
        <v>10</v>
      </c>
      <c r="I17" s="979" t="s">
        <v>829</v>
      </c>
      <c r="J17" s="979"/>
      <c r="K17" s="980">
        <v>0.4</v>
      </c>
      <c r="L17" s="980"/>
      <c r="M17" s="980"/>
      <c r="N17" s="980"/>
      <c r="O17" s="980"/>
      <c r="P17" s="981">
        <v>0.02</v>
      </c>
      <c r="Q17" s="981">
        <f t="shared" si="1"/>
        <v>8.0000000000000002E-3</v>
      </c>
      <c r="R17" s="979" t="s">
        <v>695</v>
      </c>
      <c r="S17" s="979" t="s">
        <v>605</v>
      </c>
      <c r="T17" s="980">
        <v>0</v>
      </c>
      <c r="U17" s="979" t="s">
        <v>695</v>
      </c>
      <c r="V17" s="979" t="s">
        <v>605</v>
      </c>
      <c r="W17" s="980">
        <v>10</v>
      </c>
      <c r="X17" s="979" t="s">
        <v>829</v>
      </c>
      <c r="Y17" s="979"/>
      <c r="Z17" s="979"/>
      <c r="AA17" s="980">
        <v>1.3</v>
      </c>
      <c r="AB17" s="980">
        <f t="shared" si="2"/>
        <v>0.30769230769230771</v>
      </c>
      <c r="AC17" s="982" t="s">
        <v>939</v>
      </c>
      <c r="AD17" s="953"/>
      <c r="AE17" s="983" t="str">
        <f t="shared" si="3"/>
        <v/>
      </c>
      <c r="AF17" s="984" t="str">
        <f t="shared" si="4"/>
        <v>CL</v>
      </c>
      <c r="AG17" s="963"/>
      <c r="AH17" s="985">
        <f t="shared" si="5"/>
        <v>0.4</v>
      </c>
      <c r="AI17" s="985" t="str">
        <f t="shared" si="5"/>
        <v/>
      </c>
      <c r="AJ17" s="985" t="str">
        <f t="shared" si="5"/>
        <v/>
      </c>
      <c r="AK17" s="985" t="str">
        <f t="shared" si="5"/>
        <v/>
      </c>
      <c r="AL17" s="985" t="str">
        <f t="shared" si="5"/>
        <v/>
      </c>
      <c r="AM17" s="985" t="str">
        <f t="shared" si="5"/>
        <v/>
      </c>
      <c r="AN17" s="985" t="str">
        <f t="shared" si="5"/>
        <v/>
      </c>
      <c r="AO17" s="985" t="str">
        <f t="shared" si="5"/>
        <v/>
      </c>
      <c r="AP17" s="986"/>
      <c r="AQ17" s="985" t="str">
        <f t="shared" ref="AQ17:BD17" si="126">IF(AND($I17&lt;&gt;"",$AF17="C"),IF(AND($P17&gt;AP$8,$P17&lt;=AQ$8),$K17,""),"")</f>
        <v/>
      </c>
      <c r="AR17" s="985" t="str">
        <f t="shared" si="126"/>
        <v/>
      </c>
      <c r="AS17" s="985" t="str">
        <f t="shared" si="126"/>
        <v/>
      </c>
      <c r="AT17" s="985" t="str">
        <f t="shared" si="126"/>
        <v/>
      </c>
      <c r="AU17" s="985" t="str">
        <f t="shared" si="126"/>
        <v/>
      </c>
      <c r="AV17" s="985" t="str">
        <f t="shared" si="126"/>
        <v/>
      </c>
      <c r="AW17" s="985" t="str">
        <f t="shared" si="126"/>
        <v/>
      </c>
      <c r="AX17" s="985" t="str">
        <f t="shared" si="126"/>
        <v/>
      </c>
      <c r="AY17" s="985" t="str">
        <f t="shared" si="126"/>
        <v/>
      </c>
      <c r="AZ17" s="985" t="str">
        <f t="shared" si="126"/>
        <v/>
      </c>
      <c r="BA17" s="985" t="str">
        <f t="shared" si="126"/>
        <v/>
      </c>
      <c r="BB17" s="985" t="str">
        <f t="shared" si="126"/>
        <v/>
      </c>
      <c r="BC17" s="985" t="str">
        <f t="shared" si="126"/>
        <v/>
      </c>
      <c r="BD17" s="985" t="str">
        <f t="shared" si="126"/>
        <v/>
      </c>
      <c r="BE17" s="987"/>
      <c r="BF17" s="985" t="str">
        <f t="shared" ref="BF17:BS17" si="127">IF(AND($I17&lt;&gt;"",$AF17="C"),IF(AND($P17&gt;BE$8,$P17&lt;=BF$8),$L17,""),"")</f>
        <v/>
      </c>
      <c r="BG17" s="985" t="str">
        <f t="shared" si="127"/>
        <v/>
      </c>
      <c r="BH17" s="985" t="str">
        <f t="shared" si="127"/>
        <v/>
      </c>
      <c r="BI17" s="985" t="str">
        <f t="shared" si="127"/>
        <v/>
      </c>
      <c r="BJ17" s="985" t="str">
        <f t="shared" si="127"/>
        <v/>
      </c>
      <c r="BK17" s="985" t="str">
        <f t="shared" si="127"/>
        <v/>
      </c>
      <c r="BL17" s="985" t="str">
        <f t="shared" si="127"/>
        <v/>
      </c>
      <c r="BM17" s="985" t="str">
        <f t="shared" si="127"/>
        <v/>
      </c>
      <c r="BN17" s="985" t="str">
        <f t="shared" si="127"/>
        <v/>
      </c>
      <c r="BO17" s="985" t="str">
        <f t="shared" si="127"/>
        <v/>
      </c>
      <c r="BP17" s="985" t="str">
        <f t="shared" si="127"/>
        <v/>
      </c>
      <c r="BQ17" s="985" t="str">
        <f t="shared" si="127"/>
        <v/>
      </c>
      <c r="BR17" s="985" t="str">
        <f t="shared" si="127"/>
        <v/>
      </c>
      <c r="BS17" s="985" t="str">
        <f t="shared" si="127"/>
        <v/>
      </c>
      <c r="BU17" s="985" t="str">
        <f t="shared" ref="BU17:CF17" si="128">IF(AND($I17&lt;&gt;"",$AF17="C"),IF(AND($P17&gt;BT$8,$P17&lt;=BU$8),$M17,""),"")</f>
        <v/>
      </c>
      <c r="BV17" s="985" t="str">
        <f t="shared" si="128"/>
        <v/>
      </c>
      <c r="BW17" s="985" t="str">
        <f t="shared" si="128"/>
        <v/>
      </c>
      <c r="BX17" s="985" t="str">
        <f t="shared" si="128"/>
        <v/>
      </c>
      <c r="BY17" s="985" t="str">
        <f t="shared" si="128"/>
        <v/>
      </c>
      <c r="BZ17" s="985" t="str">
        <f t="shared" si="128"/>
        <v/>
      </c>
      <c r="CA17" s="985" t="str">
        <f t="shared" si="128"/>
        <v/>
      </c>
      <c r="CB17" s="985" t="str">
        <f t="shared" si="128"/>
        <v/>
      </c>
      <c r="CC17" s="985" t="str">
        <f t="shared" si="128"/>
        <v/>
      </c>
      <c r="CD17" s="985" t="str">
        <f t="shared" si="128"/>
        <v/>
      </c>
      <c r="CE17" s="985" t="str">
        <f t="shared" si="128"/>
        <v/>
      </c>
      <c r="CF17" s="985" t="str">
        <f t="shared" si="128"/>
        <v/>
      </c>
      <c r="CG17" s="987"/>
      <c r="CH17" s="985" t="str">
        <f t="shared" si="9"/>
        <v/>
      </c>
      <c r="CI17" s="985" t="str">
        <f t="shared" si="9"/>
        <v/>
      </c>
      <c r="CJ17" s="985" t="str">
        <f t="shared" si="9"/>
        <v/>
      </c>
      <c r="CK17" s="985" t="str">
        <f t="shared" si="9"/>
        <v/>
      </c>
      <c r="CL17" s="985" t="str">
        <f t="shared" si="9"/>
        <v/>
      </c>
      <c r="CM17" s="985" t="str">
        <f t="shared" si="9"/>
        <v/>
      </c>
      <c r="CN17" s="985" t="str">
        <f t="shared" si="9"/>
        <v/>
      </c>
      <c r="CP17" s="988" t="str">
        <f t="shared" ref="CP17:DC17" si="129">IF(AND($I17&lt;&gt;"",OR($AF17="ELE",$AF17="ELD",$AF17="CX")),IF(AND($P17&gt;CO$8,$P17&lt;=CP$8),$K17,""),"")</f>
        <v/>
      </c>
      <c r="CQ17" s="988" t="str">
        <f t="shared" si="129"/>
        <v/>
      </c>
      <c r="CR17" s="988" t="str">
        <f t="shared" si="129"/>
        <v/>
      </c>
      <c r="CS17" s="988" t="str">
        <f t="shared" si="129"/>
        <v/>
      </c>
      <c r="CT17" s="988" t="str">
        <f t="shared" si="129"/>
        <v/>
      </c>
      <c r="CU17" s="988" t="str">
        <f t="shared" si="129"/>
        <v/>
      </c>
      <c r="CV17" s="988" t="str">
        <f t="shared" si="129"/>
        <v/>
      </c>
      <c r="CW17" s="988" t="str">
        <f t="shared" si="129"/>
        <v/>
      </c>
      <c r="CX17" s="988" t="str">
        <f t="shared" si="129"/>
        <v/>
      </c>
      <c r="CY17" s="988" t="str">
        <f t="shared" si="129"/>
        <v/>
      </c>
      <c r="CZ17" s="988" t="str">
        <f t="shared" si="129"/>
        <v/>
      </c>
      <c r="DA17" s="988" t="str">
        <f t="shared" si="129"/>
        <v/>
      </c>
      <c r="DB17" s="988" t="str">
        <f t="shared" si="129"/>
        <v/>
      </c>
      <c r="DC17" s="988" t="str">
        <f t="shared" si="129"/>
        <v/>
      </c>
      <c r="DE17" s="988">
        <f t="shared" ref="DE17:DR17" si="130">IF(AND($X17&lt;&gt;"",$AC17="CF"),IF(AND($P17&gt;DD$8,$P17&lt;=DE$8),$AB17,""),"")</f>
        <v>0.30769230769230771</v>
      </c>
      <c r="DF17" s="988" t="str">
        <f t="shared" si="130"/>
        <v/>
      </c>
      <c r="DG17" s="988" t="str">
        <f t="shared" si="130"/>
        <v/>
      </c>
      <c r="DH17" s="988" t="str">
        <f t="shared" si="130"/>
        <v/>
      </c>
      <c r="DI17" s="988" t="str">
        <f t="shared" si="130"/>
        <v/>
      </c>
      <c r="DJ17" s="988" t="str">
        <f t="shared" si="130"/>
        <v/>
      </c>
      <c r="DK17" s="988" t="str">
        <f t="shared" si="130"/>
        <v/>
      </c>
      <c r="DL17" s="988" t="str">
        <f t="shared" si="130"/>
        <v/>
      </c>
      <c r="DM17" s="988" t="str">
        <f t="shared" si="130"/>
        <v/>
      </c>
      <c r="DN17" s="988" t="str">
        <f t="shared" si="130"/>
        <v/>
      </c>
      <c r="DO17" s="988" t="str">
        <f t="shared" si="130"/>
        <v/>
      </c>
      <c r="DP17" s="988" t="str">
        <f t="shared" si="130"/>
        <v/>
      </c>
      <c r="DQ17" s="988" t="str">
        <f t="shared" si="130"/>
        <v/>
      </c>
      <c r="DR17" s="988" t="str">
        <f t="shared" si="130"/>
        <v/>
      </c>
      <c r="DT17" s="988" t="str">
        <f t="shared" ref="DT17:EG17" si="131">IF(AND($X17&lt;&gt;"",$AC17="CA"),IF(AND($P17&gt;DS$8,$P17&lt;=DT$8),$AB17,""),"")</f>
        <v/>
      </c>
      <c r="DU17" s="988" t="str">
        <f t="shared" si="131"/>
        <v/>
      </c>
      <c r="DV17" s="988" t="str">
        <f t="shared" si="131"/>
        <v/>
      </c>
      <c r="DW17" s="988" t="str">
        <f t="shared" si="131"/>
        <v/>
      </c>
      <c r="DX17" s="988" t="str">
        <f t="shared" si="131"/>
        <v/>
      </c>
      <c r="DY17" s="988" t="str">
        <f t="shared" si="131"/>
        <v/>
      </c>
      <c r="DZ17" s="988" t="str">
        <f t="shared" si="131"/>
        <v/>
      </c>
      <c r="EA17" s="988" t="str">
        <f t="shared" si="131"/>
        <v/>
      </c>
      <c r="EB17" s="988" t="str">
        <f t="shared" si="131"/>
        <v/>
      </c>
      <c r="EC17" s="988" t="str">
        <f t="shared" si="131"/>
        <v/>
      </c>
      <c r="ED17" s="988" t="str">
        <f t="shared" si="131"/>
        <v/>
      </c>
      <c r="EE17" s="988" t="str">
        <f t="shared" si="131"/>
        <v/>
      </c>
      <c r="EF17" s="988" t="str">
        <f t="shared" si="131"/>
        <v/>
      </c>
      <c r="EG17" s="988" t="str">
        <f t="shared" si="131"/>
        <v/>
      </c>
      <c r="EI17" s="988" t="str">
        <f t="shared" ref="EI17:EV17" si="132">IF($AE17="BFC",IF(AND($P17&gt;EH$8,$P17&lt;=EI$8),$AB17,""),"")</f>
        <v/>
      </c>
      <c r="EJ17" s="988" t="str">
        <f t="shared" si="132"/>
        <v/>
      </c>
      <c r="EK17" s="988" t="str">
        <f t="shared" si="132"/>
        <v/>
      </c>
      <c r="EL17" s="988" t="str">
        <f t="shared" si="132"/>
        <v/>
      </c>
      <c r="EM17" s="988" t="str">
        <f t="shared" si="132"/>
        <v/>
      </c>
      <c r="EN17" s="988" t="str">
        <f t="shared" si="132"/>
        <v/>
      </c>
      <c r="EO17" s="988" t="str">
        <f t="shared" si="132"/>
        <v/>
      </c>
      <c r="EP17" s="988" t="str">
        <f t="shared" si="132"/>
        <v/>
      </c>
      <c r="EQ17" s="988" t="str">
        <f t="shared" si="132"/>
        <v/>
      </c>
      <c r="ER17" s="988" t="str">
        <f t="shared" si="132"/>
        <v/>
      </c>
      <c r="ES17" s="988" t="str">
        <f t="shared" si="132"/>
        <v/>
      </c>
      <c r="ET17" s="988" t="str">
        <f t="shared" si="132"/>
        <v/>
      </c>
      <c r="EU17" s="988" t="str">
        <f t="shared" si="132"/>
        <v/>
      </c>
      <c r="EV17" s="988" t="str">
        <f t="shared" si="132"/>
        <v/>
      </c>
      <c r="EX17" s="988" t="str">
        <f t="shared" ref="EX17:FK17" si="133">IF($AE17="BFN",IF(AND($P17&gt;EW$8,$P17&lt;=EX$8),$AB17,""),"")</f>
        <v/>
      </c>
      <c r="EY17" s="988" t="str">
        <f t="shared" si="133"/>
        <v/>
      </c>
      <c r="EZ17" s="988" t="str">
        <f t="shared" si="133"/>
        <v/>
      </c>
      <c r="FA17" s="988" t="str">
        <f t="shared" si="133"/>
        <v/>
      </c>
      <c r="FB17" s="988" t="str">
        <f t="shared" si="133"/>
        <v/>
      </c>
      <c r="FC17" s="988" t="str">
        <f t="shared" si="133"/>
        <v/>
      </c>
      <c r="FD17" s="988" t="str">
        <f t="shared" si="133"/>
        <v/>
      </c>
      <c r="FE17" s="988" t="str">
        <f t="shared" si="133"/>
        <v/>
      </c>
      <c r="FF17" s="988" t="str">
        <f t="shared" si="133"/>
        <v/>
      </c>
      <c r="FG17" s="988" t="str">
        <f t="shared" si="133"/>
        <v/>
      </c>
      <c r="FH17" s="988" t="str">
        <f t="shared" si="133"/>
        <v/>
      </c>
      <c r="FI17" s="988" t="str">
        <f t="shared" si="133"/>
        <v/>
      </c>
      <c r="FJ17" s="988" t="str">
        <f t="shared" si="133"/>
        <v/>
      </c>
      <c r="FK17" s="988" t="str">
        <f t="shared" si="133"/>
        <v/>
      </c>
      <c r="FM17" s="988" t="str">
        <f t="shared" ref="FM17:FZ17" si="134">IF(AND($I17&lt;&gt;"",$AF17="RCS"),IF(AND($P17&gt;FL$8,$P17&lt;=FM$8),SUM($K17:$M17),""),"")</f>
        <v/>
      </c>
      <c r="FN17" s="988" t="str">
        <f t="shared" si="134"/>
        <v/>
      </c>
      <c r="FO17" s="988" t="str">
        <f t="shared" si="134"/>
        <v/>
      </c>
      <c r="FP17" s="988" t="str">
        <f t="shared" si="134"/>
        <v/>
      </c>
      <c r="FQ17" s="988" t="str">
        <f t="shared" si="134"/>
        <v/>
      </c>
      <c r="FR17" s="988" t="str">
        <f t="shared" si="134"/>
        <v/>
      </c>
      <c r="FS17" s="988" t="str">
        <f t="shared" si="134"/>
        <v/>
      </c>
      <c r="FT17" s="988" t="str">
        <f t="shared" si="134"/>
        <v/>
      </c>
      <c r="FU17" s="988" t="str">
        <f t="shared" si="134"/>
        <v/>
      </c>
      <c r="FV17" s="988" t="str">
        <f t="shared" si="134"/>
        <v/>
      </c>
      <c r="FW17" s="988" t="str">
        <f t="shared" si="134"/>
        <v/>
      </c>
      <c r="FX17" s="988" t="str">
        <f t="shared" si="134"/>
        <v/>
      </c>
      <c r="FY17" s="988" t="str">
        <f t="shared" si="134"/>
        <v/>
      </c>
      <c r="FZ17" s="988" t="str">
        <f t="shared" si="134"/>
        <v/>
      </c>
      <c r="GB17" s="988" t="str">
        <f t="shared" ref="GB17:GO17" si="135">IF(AND($I17&lt;&gt;"",$AF17="REC"),IF(AND($P17&gt;GA$8,$P17&lt;=GB$8),SUM($K17:$M17),""),"")</f>
        <v/>
      </c>
      <c r="GC17" s="988" t="str">
        <f t="shared" si="135"/>
        <v/>
      </c>
      <c r="GD17" s="988" t="str">
        <f t="shared" si="135"/>
        <v/>
      </c>
      <c r="GE17" s="988" t="str">
        <f t="shared" si="135"/>
        <v/>
      </c>
      <c r="GF17" s="988" t="str">
        <f t="shared" si="135"/>
        <v/>
      </c>
      <c r="GG17" s="988" t="str">
        <f t="shared" si="135"/>
        <v/>
      </c>
      <c r="GH17" s="988" t="str">
        <f t="shared" si="135"/>
        <v/>
      </c>
      <c r="GI17" s="988" t="str">
        <f t="shared" si="135"/>
        <v/>
      </c>
      <c r="GJ17" s="988" t="str">
        <f t="shared" si="135"/>
        <v/>
      </c>
      <c r="GK17" s="988" t="str">
        <f t="shared" si="135"/>
        <v/>
      </c>
      <c r="GL17" s="988" t="str">
        <f t="shared" si="135"/>
        <v/>
      </c>
      <c r="GM17" s="988" t="str">
        <f t="shared" si="135"/>
        <v/>
      </c>
      <c r="GN17" s="988" t="str">
        <f t="shared" si="135"/>
        <v/>
      </c>
      <c r="GO17" s="988" t="str">
        <f t="shared" si="135"/>
        <v/>
      </c>
      <c r="GQ17" s="988" t="str">
        <f t="shared" ref="GQ17:HD17" si="136">IF(AND($I17&lt;&gt;"",$AF17="REB"),IF(AND($P17&gt;GP$8,$P17&lt;=GQ$8),SUM($K17:$M17),""),"")</f>
        <v/>
      </c>
      <c r="GR17" s="988" t="str">
        <f t="shared" si="136"/>
        <v/>
      </c>
      <c r="GS17" s="988" t="str">
        <f t="shared" si="136"/>
        <v/>
      </c>
      <c r="GT17" s="988" t="str">
        <f t="shared" si="136"/>
        <v/>
      </c>
      <c r="GU17" s="988" t="str">
        <f t="shared" si="136"/>
        <v/>
      </c>
      <c r="GV17" s="988" t="str">
        <f t="shared" si="136"/>
        <v/>
      </c>
      <c r="GW17" s="988" t="str">
        <f t="shared" si="136"/>
        <v/>
      </c>
      <c r="GX17" s="988" t="str">
        <f t="shared" si="136"/>
        <v/>
      </c>
      <c r="GY17" s="988" t="str">
        <f t="shared" si="136"/>
        <v/>
      </c>
      <c r="GZ17" s="988" t="str">
        <f t="shared" si="136"/>
        <v/>
      </c>
      <c r="HA17" s="988" t="str">
        <f t="shared" si="136"/>
        <v/>
      </c>
      <c r="HB17" s="988" t="str">
        <f t="shared" si="136"/>
        <v/>
      </c>
      <c r="HC17" s="988" t="str">
        <f t="shared" si="136"/>
        <v/>
      </c>
      <c r="HD17" s="988" t="str">
        <f t="shared" si="136"/>
        <v/>
      </c>
      <c r="HF17" s="988" t="str">
        <f t="shared" ref="HF17:HS17" si="137">IF(AND($I17&lt;&gt;"",$AF17="RBS"),IF(AND($P17&gt;HE$8,$P17&lt;=HF$8),SUM($K17:$M17),""),"")</f>
        <v/>
      </c>
      <c r="HG17" s="988" t="str">
        <f t="shared" si="137"/>
        <v/>
      </c>
      <c r="HH17" s="988" t="str">
        <f t="shared" si="137"/>
        <v/>
      </c>
      <c r="HI17" s="988" t="str">
        <f t="shared" si="137"/>
        <v/>
      </c>
      <c r="HJ17" s="988" t="str">
        <f t="shared" si="137"/>
        <v/>
      </c>
      <c r="HK17" s="988" t="str">
        <f t="shared" si="137"/>
        <v/>
      </c>
      <c r="HL17" s="988" t="str">
        <f t="shared" si="137"/>
        <v/>
      </c>
      <c r="HM17" s="988" t="str">
        <f t="shared" si="137"/>
        <v/>
      </c>
      <c r="HN17" s="988" t="str">
        <f t="shared" si="137"/>
        <v/>
      </c>
      <c r="HO17" s="988" t="str">
        <f t="shared" si="137"/>
        <v/>
      </c>
      <c r="HP17" s="988" t="str">
        <f t="shared" si="137"/>
        <v/>
      </c>
      <c r="HQ17" s="988" t="str">
        <f t="shared" si="137"/>
        <v/>
      </c>
      <c r="HR17" s="988" t="str">
        <f t="shared" si="137"/>
        <v/>
      </c>
      <c r="HS17" s="988" t="str">
        <f t="shared" si="137"/>
        <v/>
      </c>
      <c r="HU17" s="988" t="str">
        <f t="shared" ref="HU17:IH17" si="138">IF(AND($I17&lt;&gt;"",$AF17="RCD"),IF(AND($P17&gt;HT$8,$P17&lt;=HU$8),SUM($K17:$M17),""),"")</f>
        <v/>
      </c>
      <c r="HV17" s="988" t="str">
        <f t="shared" si="138"/>
        <v/>
      </c>
      <c r="HW17" s="988" t="str">
        <f t="shared" si="138"/>
        <v/>
      </c>
      <c r="HX17" s="988" t="str">
        <f t="shared" si="138"/>
        <v/>
      </c>
      <c r="HY17" s="988" t="str">
        <f t="shared" si="138"/>
        <v/>
      </c>
      <c r="HZ17" s="988" t="str">
        <f t="shared" si="138"/>
        <v/>
      </c>
      <c r="IA17" s="988" t="str">
        <f t="shared" si="138"/>
        <v/>
      </c>
      <c r="IB17" s="988" t="str">
        <f t="shared" si="138"/>
        <v/>
      </c>
      <c r="IC17" s="988" t="str">
        <f t="shared" si="138"/>
        <v/>
      </c>
      <c r="ID17" s="988" t="str">
        <f t="shared" si="138"/>
        <v/>
      </c>
      <c r="IE17" s="988" t="str">
        <f t="shared" si="138"/>
        <v/>
      </c>
      <c r="IF17" s="988" t="str">
        <f t="shared" si="138"/>
        <v/>
      </c>
      <c r="IG17" s="988" t="str">
        <f t="shared" si="138"/>
        <v/>
      </c>
      <c r="IH17" s="988" t="str">
        <f t="shared" si="138"/>
        <v/>
      </c>
      <c r="IJ17" s="985">
        <f t="shared" ref="IJ17:IW17" si="139">IF(AND($I17&lt;&gt;""),IF(AND($P17&gt;II$8,$P17&lt;=IJ$8),$K17,""),"")</f>
        <v>0.4</v>
      </c>
      <c r="IK17" s="985" t="str">
        <f t="shared" si="139"/>
        <v/>
      </c>
      <c r="IL17" s="985" t="str">
        <f t="shared" si="139"/>
        <v/>
      </c>
      <c r="IM17" s="985" t="str">
        <f t="shared" si="139"/>
        <v/>
      </c>
      <c r="IN17" s="985" t="str">
        <f t="shared" si="139"/>
        <v/>
      </c>
      <c r="IO17" s="985" t="str">
        <f t="shared" si="139"/>
        <v/>
      </c>
      <c r="IP17" s="985" t="str">
        <f t="shared" si="139"/>
        <v/>
      </c>
      <c r="IQ17" s="985" t="str">
        <f t="shared" si="139"/>
        <v/>
      </c>
      <c r="IR17" s="985" t="str">
        <f t="shared" si="139"/>
        <v/>
      </c>
      <c r="IS17" s="985" t="str">
        <f t="shared" si="139"/>
        <v/>
      </c>
      <c r="IT17" s="985" t="str">
        <f t="shared" si="139"/>
        <v/>
      </c>
      <c r="IU17" s="985" t="str">
        <f t="shared" si="139"/>
        <v/>
      </c>
      <c r="IV17" s="985" t="str">
        <f t="shared" si="139"/>
        <v/>
      </c>
      <c r="IW17" s="985" t="str">
        <f t="shared" si="139"/>
        <v/>
      </c>
      <c r="IX17" s="987"/>
      <c r="IY17" s="985">
        <f t="shared" ref="IY17:JL17" si="140">IF(AND($I17&lt;&gt;""),IF(AND($P17&gt;IX$8,$P17&lt;=IY$8),$L17,""),"")</f>
        <v>0</v>
      </c>
      <c r="IZ17" s="985" t="str">
        <f t="shared" si="140"/>
        <v/>
      </c>
      <c r="JA17" s="985" t="str">
        <f t="shared" si="140"/>
        <v/>
      </c>
      <c r="JB17" s="985" t="str">
        <f t="shared" si="140"/>
        <v/>
      </c>
      <c r="JC17" s="985" t="str">
        <f t="shared" si="140"/>
        <v/>
      </c>
      <c r="JD17" s="985" t="str">
        <f t="shared" si="140"/>
        <v/>
      </c>
      <c r="JE17" s="985" t="str">
        <f t="shared" si="140"/>
        <v/>
      </c>
      <c r="JF17" s="985" t="str">
        <f t="shared" si="140"/>
        <v/>
      </c>
      <c r="JG17" s="985" t="str">
        <f t="shared" si="140"/>
        <v/>
      </c>
      <c r="JH17" s="985" t="str">
        <f t="shared" si="140"/>
        <v/>
      </c>
      <c r="JI17" s="985" t="str">
        <f t="shared" si="140"/>
        <v/>
      </c>
      <c r="JJ17" s="985" t="str">
        <f t="shared" si="140"/>
        <v/>
      </c>
      <c r="JK17" s="985" t="str">
        <f t="shared" si="140"/>
        <v/>
      </c>
      <c r="JL17" s="985" t="str">
        <f t="shared" si="140"/>
        <v/>
      </c>
      <c r="JM17" s="987"/>
      <c r="JN17" s="985">
        <f t="shared" ref="JN17:KA17" si="141">IF(AND($I17&lt;&gt;""),IF(AND($P17&gt;JM$8,$P17&lt;=JN$8),$M17,""),"")</f>
        <v>0</v>
      </c>
      <c r="JO17" s="985" t="str">
        <f t="shared" si="141"/>
        <v/>
      </c>
      <c r="JP17" s="985" t="str">
        <f t="shared" si="141"/>
        <v/>
      </c>
      <c r="JQ17" s="985" t="str">
        <f t="shared" si="141"/>
        <v/>
      </c>
      <c r="JR17" s="985" t="str">
        <f t="shared" si="141"/>
        <v/>
      </c>
      <c r="JS17" s="985" t="str">
        <f t="shared" si="141"/>
        <v/>
      </c>
      <c r="JT17" s="985" t="str">
        <f t="shared" si="141"/>
        <v/>
      </c>
      <c r="JU17" s="985" t="str">
        <f t="shared" si="141"/>
        <v/>
      </c>
      <c r="JV17" s="985" t="str">
        <f t="shared" si="141"/>
        <v/>
      </c>
      <c r="JW17" s="985" t="str">
        <f t="shared" si="141"/>
        <v/>
      </c>
      <c r="JX17" s="985" t="str">
        <f t="shared" si="141"/>
        <v/>
      </c>
      <c r="JY17" s="985" t="str">
        <f t="shared" si="141"/>
        <v/>
      </c>
      <c r="JZ17" s="985" t="str">
        <f t="shared" si="141"/>
        <v/>
      </c>
      <c r="KA17" s="985" t="str">
        <f t="shared" si="141"/>
        <v/>
      </c>
      <c r="KB17" s="987"/>
      <c r="KC17" s="985">
        <f t="shared" ref="KC17:KP17" si="142">IF(AND($I17&lt;&gt;""),IF(AND($P17&gt;KB$8,$P17&lt;=KC$8),$N17,""),"")</f>
        <v>0</v>
      </c>
      <c r="KD17" s="985" t="str">
        <f t="shared" si="142"/>
        <v/>
      </c>
      <c r="KE17" s="985" t="str">
        <f t="shared" si="142"/>
        <v/>
      </c>
      <c r="KF17" s="985" t="str">
        <f t="shared" si="142"/>
        <v/>
      </c>
      <c r="KG17" s="985" t="str">
        <f t="shared" si="142"/>
        <v/>
      </c>
      <c r="KH17" s="985" t="str">
        <f t="shared" si="142"/>
        <v/>
      </c>
      <c r="KI17" s="985" t="str">
        <f t="shared" si="142"/>
        <v/>
      </c>
      <c r="KJ17" s="985" t="str">
        <f t="shared" si="142"/>
        <v/>
      </c>
      <c r="KK17" s="985" t="str">
        <f t="shared" si="142"/>
        <v/>
      </c>
      <c r="KL17" s="985" t="str">
        <f t="shared" si="142"/>
        <v/>
      </c>
      <c r="KM17" s="985" t="str">
        <f t="shared" si="142"/>
        <v/>
      </c>
      <c r="KN17" s="985" t="str">
        <f t="shared" si="142"/>
        <v/>
      </c>
      <c r="KO17" s="985" t="str">
        <f t="shared" si="142"/>
        <v/>
      </c>
      <c r="KP17" s="985" t="str">
        <f t="shared" si="142"/>
        <v/>
      </c>
    </row>
    <row r="18" spans="2:302" ht="18" customHeight="1">
      <c r="B18" s="978">
        <f t="shared" si="0"/>
        <v>9</v>
      </c>
      <c r="C18" s="979" t="s">
        <v>701</v>
      </c>
      <c r="D18" s="979" t="s">
        <v>605</v>
      </c>
      <c r="E18" s="980">
        <v>10</v>
      </c>
      <c r="F18" s="979" t="s">
        <v>701</v>
      </c>
      <c r="G18" s="979" t="s">
        <v>605</v>
      </c>
      <c r="H18" s="980">
        <v>10</v>
      </c>
      <c r="I18" s="979" t="s">
        <v>830</v>
      </c>
      <c r="J18" s="979"/>
      <c r="K18" s="980">
        <v>14.38</v>
      </c>
      <c r="L18" s="980"/>
      <c r="M18" s="980"/>
      <c r="N18" s="980"/>
      <c r="O18" s="980"/>
      <c r="P18" s="981">
        <v>0.02</v>
      </c>
      <c r="Q18" s="981">
        <f t="shared" si="1"/>
        <v>0.28760000000000002</v>
      </c>
      <c r="R18" s="979" t="s">
        <v>701</v>
      </c>
      <c r="S18" s="979" t="s">
        <v>605</v>
      </c>
      <c r="T18" s="980">
        <v>10</v>
      </c>
      <c r="U18" s="979" t="s">
        <v>701</v>
      </c>
      <c r="V18" s="979" t="s">
        <v>605</v>
      </c>
      <c r="W18" s="980">
        <v>10</v>
      </c>
      <c r="X18" s="979" t="s">
        <v>830</v>
      </c>
      <c r="Y18" s="979"/>
      <c r="Z18" s="979"/>
      <c r="AA18" s="980">
        <v>1</v>
      </c>
      <c r="AB18" s="980">
        <f t="shared" si="2"/>
        <v>14.38</v>
      </c>
      <c r="AC18" s="982" t="s">
        <v>939</v>
      </c>
      <c r="AD18" s="953"/>
      <c r="AE18" s="983" t="str">
        <f t="shared" si="3"/>
        <v/>
      </c>
      <c r="AF18" s="984" t="str">
        <f t="shared" si="4"/>
        <v>REC</v>
      </c>
      <c r="AG18" s="963"/>
      <c r="AH18" s="985" t="str">
        <f t="shared" si="5"/>
        <v/>
      </c>
      <c r="AI18" s="985" t="str">
        <f t="shared" si="5"/>
        <v/>
      </c>
      <c r="AJ18" s="985" t="str">
        <f t="shared" si="5"/>
        <v/>
      </c>
      <c r="AK18" s="985" t="str">
        <f t="shared" si="5"/>
        <v/>
      </c>
      <c r="AL18" s="985" t="str">
        <f t="shared" si="5"/>
        <v/>
      </c>
      <c r="AM18" s="985" t="str">
        <f t="shared" si="5"/>
        <v/>
      </c>
      <c r="AN18" s="985" t="str">
        <f t="shared" si="5"/>
        <v/>
      </c>
      <c r="AO18" s="985" t="str">
        <f t="shared" si="5"/>
        <v/>
      </c>
      <c r="AP18" s="986"/>
      <c r="AQ18" s="985" t="str">
        <f t="shared" ref="AQ18:BD18" si="143">IF(AND($I18&lt;&gt;"",$AF18="C"),IF(AND($P18&gt;AP$8,$P18&lt;=AQ$8),$K18,""),"")</f>
        <v/>
      </c>
      <c r="AR18" s="985" t="str">
        <f t="shared" si="143"/>
        <v/>
      </c>
      <c r="AS18" s="985" t="str">
        <f t="shared" si="143"/>
        <v/>
      </c>
      <c r="AT18" s="985" t="str">
        <f t="shared" si="143"/>
        <v/>
      </c>
      <c r="AU18" s="985" t="str">
        <f t="shared" si="143"/>
        <v/>
      </c>
      <c r="AV18" s="985" t="str">
        <f t="shared" si="143"/>
        <v/>
      </c>
      <c r="AW18" s="985" t="str">
        <f t="shared" si="143"/>
        <v/>
      </c>
      <c r="AX18" s="985" t="str">
        <f t="shared" si="143"/>
        <v/>
      </c>
      <c r="AY18" s="985" t="str">
        <f t="shared" si="143"/>
        <v/>
      </c>
      <c r="AZ18" s="985" t="str">
        <f t="shared" si="143"/>
        <v/>
      </c>
      <c r="BA18" s="985" t="str">
        <f t="shared" si="143"/>
        <v/>
      </c>
      <c r="BB18" s="985" t="str">
        <f t="shared" si="143"/>
        <v/>
      </c>
      <c r="BC18" s="985" t="str">
        <f t="shared" si="143"/>
        <v/>
      </c>
      <c r="BD18" s="985" t="str">
        <f t="shared" si="143"/>
        <v/>
      </c>
      <c r="BE18" s="987"/>
      <c r="BF18" s="985" t="str">
        <f t="shared" ref="BF18:BS18" si="144">IF(AND($I18&lt;&gt;"",$AF18="C"),IF(AND($P18&gt;BE$8,$P18&lt;=BF$8),$L18,""),"")</f>
        <v/>
      </c>
      <c r="BG18" s="985" t="str">
        <f t="shared" si="144"/>
        <v/>
      </c>
      <c r="BH18" s="985" t="str">
        <f t="shared" si="144"/>
        <v/>
      </c>
      <c r="BI18" s="985" t="str">
        <f t="shared" si="144"/>
        <v/>
      </c>
      <c r="BJ18" s="985" t="str">
        <f t="shared" si="144"/>
        <v/>
      </c>
      <c r="BK18" s="985" t="str">
        <f t="shared" si="144"/>
        <v/>
      </c>
      <c r="BL18" s="985" t="str">
        <f t="shared" si="144"/>
        <v/>
      </c>
      <c r="BM18" s="985" t="str">
        <f t="shared" si="144"/>
        <v/>
      </c>
      <c r="BN18" s="985" t="str">
        <f t="shared" si="144"/>
        <v/>
      </c>
      <c r="BO18" s="985" t="str">
        <f t="shared" si="144"/>
        <v/>
      </c>
      <c r="BP18" s="985" t="str">
        <f t="shared" si="144"/>
        <v/>
      </c>
      <c r="BQ18" s="985" t="str">
        <f t="shared" si="144"/>
        <v/>
      </c>
      <c r="BR18" s="985" t="str">
        <f t="shared" si="144"/>
        <v/>
      </c>
      <c r="BS18" s="985" t="str">
        <f t="shared" si="144"/>
        <v/>
      </c>
      <c r="BU18" s="985" t="str">
        <f t="shared" ref="BU18:CF18" si="145">IF(AND($I18&lt;&gt;"",$AF18="C"),IF(AND($P18&gt;BT$8,$P18&lt;=BU$8),$M18,""),"")</f>
        <v/>
      </c>
      <c r="BV18" s="985" t="str">
        <f t="shared" si="145"/>
        <v/>
      </c>
      <c r="BW18" s="985" t="str">
        <f t="shared" si="145"/>
        <v/>
      </c>
      <c r="BX18" s="985" t="str">
        <f t="shared" si="145"/>
        <v/>
      </c>
      <c r="BY18" s="985" t="str">
        <f t="shared" si="145"/>
        <v/>
      </c>
      <c r="BZ18" s="985" t="str">
        <f t="shared" si="145"/>
        <v/>
      </c>
      <c r="CA18" s="985" t="str">
        <f t="shared" si="145"/>
        <v/>
      </c>
      <c r="CB18" s="985" t="str">
        <f t="shared" si="145"/>
        <v/>
      </c>
      <c r="CC18" s="985" t="str">
        <f t="shared" si="145"/>
        <v/>
      </c>
      <c r="CD18" s="985" t="str">
        <f t="shared" si="145"/>
        <v/>
      </c>
      <c r="CE18" s="985" t="str">
        <f t="shared" si="145"/>
        <v/>
      </c>
      <c r="CF18" s="985" t="str">
        <f t="shared" si="145"/>
        <v/>
      </c>
      <c r="CG18" s="987"/>
      <c r="CH18" s="985" t="str">
        <f t="shared" si="9"/>
        <v/>
      </c>
      <c r="CI18" s="985" t="str">
        <f t="shared" si="9"/>
        <v/>
      </c>
      <c r="CJ18" s="985" t="str">
        <f t="shared" si="9"/>
        <v/>
      </c>
      <c r="CK18" s="985" t="str">
        <f t="shared" si="9"/>
        <v/>
      </c>
      <c r="CL18" s="985" t="str">
        <f t="shared" si="9"/>
        <v/>
      </c>
      <c r="CM18" s="985" t="str">
        <f t="shared" si="9"/>
        <v/>
      </c>
      <c r="CN18" s="985" t="str">
        <f t="shared" si="9"/>
        <v/>
      </c>
      <c r="CP18" s="988" t="str">
        <f t="shared" ref="CP18:DC18" si="146">IF(AND($I18&lt;&gt;"",OR($AF18="ELE",$AF18="ELD",$AF18="CX")),IF(AND($P18&gt;CO$8,$P18&lt;=CP$8),$K18,""),"")</f>
        <v/>
      </c>
      <c r="CQ18" s="988" t="str">
        <f t="shared" si="146"/>
        <v/>
      </c>
      <c r="CR18" s="988" t="str">
        <f t="shared" si="146"/>
        <v/>
      </c>
      <c r="CS18" s="988" t="str">
        <f t="shared" si="146"/>
        <v/>
      </c>
      <c r="CT18" s="988" t="str">
        <f t="shared" si="146"/>
        <v/>
      </c>
      <c r="CU18" s="988" t="str">
        <f t="shared" si="146"/>
        <v/>
      </c>
      <c r="CV18" s="988" t="str">
        <f t="shared" si="146"/>
        <v/>
      </c>
      <c r="CW18" s="988" t="str">
        <f t="shared" si="146"/>
        <v/>
      </c>
      <c r="CX18" s="988" t="str">
        <f t="shared" si="146"/>
        <v/>
      </c>
      <c r="CY18" s="988" t="str">
        <f t="shared" si="146"/>
        <v/>
      </c>
      <c r="CZ18" s="988" t="str">
        <f t="shared" si="146"/>
        <v/>
      </c>
      <c r="DA18" s="988" t="str">
        <f t="shared" si="146"/>
        <v/>
      </c>
      <c r="DB18" s="988" t="str">
        <f t="shared" si="146"/>
        <v/>
      </c>
      <c r="DC18" s="988" t="str">
        <f t="shared" si="146"/>
        <v/>
      </c>
      <c r="DE18" s="988">
        <f t="shared" ref="DE18:DR18" si="147">IF(AND($X18&lt;&gt;"",$AC18="CF"),IF(AND($P18&gt;DD$8,$P18&lt;=DE$8),$AB18,""),"")</f>
        <v>14.38</v>
      </c>
      <c r="DF18" s="988" t="str">
        <f t="shared" si="147"/>
        <v/>
      </c>
      <c r="DG18" s="988" t="str">
        <f t="shared" si="147"/>
        <v/>
      </c>
      <c r="DH18" s="988" t="str">
        <f t="shared" si="147"/>
        <v/>
      </c>
      <c r="DI18" s="988" t="str">
        <f t="shared" si="147"/>
        <v/>
      </c>
      <c r="DJ18" s="988" t="str">
        <f t="shared" si="147"/>
        <v/>
      </c>
      <c r="DK18" s="988" t="str">
        <f t="shared" si="147"/>
        <v/>
      </c>
      <c r="DL18" s="988" t="str">
        <f t="shared" si="147"/>
        <v/>
      </c>
      <c r="DM18" s="988" t="str">
        <f t="shared" si="147"/>
        <v/>
      </c>
      <c r="DN18" s="988" t="str">
        <f t="shared" si="147"/>
        <v/>
      </c>
      <c r="DO18" s="988" t="str">
        <f t="shared" si="147"/>
        <v/>
      </c>
      <c r="DP18" s="988" t="str">
        <f t="shared" si="147"/>
        <v/>
      </c>
      <c r="DQ18" s="988" t="str">
        <f t="shared" si="147"/>
        <v/>
      </c>
      <c r="DR18" s="988" t="str">
        <f t="shared" si="147"/>
        <v/>
      </c>
      <c r="DT18" s="988" t="str">
        <f t="shared" ref="DT18:EG18" si="148">IF(AND($X18&lt;&gt;"",$AC18="CA"),IF(AND($P18&gt;DS$8,$P18&lt;=DT$8),$AB18,""),"")</f>
        <v/>
      </c>
      <c r="DU18" s="988" t="str">
        <f t="shared" si="148"/>
        <v/>
      </c>
      <c r="DV18" s="988" t="str">
        <f t="shared" si="148"/>
        <v/>
      </c>
      <c r="DW18" s="988" t="str">
        <f t="shared" si="148"/>
        <v/>
      </c>
      <c r="DX18" s="988" t="str">
        <f t="shared" si="148"/>
        <v/>
      </c>
      <c r="DY18" s="988" t="str">
        <f t="shared" si="148"/>
        <v/>
      </c>
      <c r="DZ18" s="988" t="str">
        <f t="shared" si="148"/>
        <v/>
      </c>
      <c r="EA18" s="988" t="str">
        <f t="shared" si="148"/>
        <v/>
      </c>
      <c r="EB18" s="988" t="str">
        <f t="shared" si="148"/>
        <v/>
      </c>
      <c r="EC18" s="988" t="str">
        <f t="shared" si="148"/>
        <v/>
      </c>
      <c r="ED18" s="988" t="str">
        <f t="shared" si="148"/>
        <v/>
      </c>
      <c r="EE18" s="988" t="str">
        <f t="shared" si="148"/>
        <v/>
      </c>
      <c r="EF18" s="988" t="str">
        <f t="shared" si="148"/>
        <v/>
      </c>
      <c r="EG18" s="988" t="str">
        <f t="shared" si="148"/>
        <v/>
      </c>
      <c r="EI18" s="988" t="str">
        <f t="shared" ref="EI18:EV18" si="149">IF($AE18="BFC",IF(AND($P18&gt;EH$8,$P18&lt;=EI$8),$AB18,""),"")</f>
        <v/>
      </c>
      <c r="EJ18" s="988" t="str">
        <f t="shared" si="149"/>
        <v/>
      </c>
      <c r="EK18" s="988" t="str">
        <f t="shared" si="149"/>
        <v/>
      </c>
      <c r="EL18" s="988" t="str">
        <f t="shared" si="149"/>
        <v/>
      </c>
      <c r="EM18" s="988" t="str">
        <f t="shared" si="149"/>
        <v/>
      </c>
      <c r="EN18" s="988" t="str">
        <f t="shared" si="149"/>
        <v/>
      </c>
      <c r="EO18" s="988" t="str">
        <f t="shared" si="149"/>
        <v/>
      </c>
      <c r="EP18" s="988" t="str">
        <f t="shared" si="149"/>
        <v/>
      </c>
      <c r="EQ18" s="988" t="str">
        <f t="shared" si="149"/>
        <v/>
      </c>
      <c r="ER18" s="988" t="str">
        <f t="shared" si="149"/>
        <v/>
      </c>
      <c r="ES18" s="988" t="str">
        <f t="shared" si="149"/>
        <v/>
      </c>
      <c r="ET18" s="988" t="str">
        <f t="shared" si="149"/>
        <v/>
      </c>
      <c r="EU18" s="988" t="str">
        <f t="shared" si="149"/>
        <v/>
      </c>
      <c r="EV18" s="988" t="str">
        <f t="shared" si="149"/>
        <v/>
      </c>
      <c r="EX18" s="988" t="str">
        <f t="shared" ref="EX18:FK18" si="150">IF($AE18="BFN",IF(AND($P18&gt;EW$8,$P18&lt;=EX$8),$AB18,""),"")</f>
        <v/>
      </c>
      <c r="EY18" s="988" t="str">
        <f t="shared" si="150"/>
        <v/>
      </c>
      <c r="EZ18" s="988" t="str">
        <f t="shared" si="150"/>
        <v/>
      </c>
      <c r="FA18" s="988" t="str">
        <f t="shared" si="150"/>
        <v/>
      </c>
      <c r="FB18" s="988" t="str">
        <f t="shared" si="150"/>
        <v/>
      </c>
      <c r="FC18" s="988" t="str">
        <f t="shared" si="150"/>
        <v/>
      </c>
      <c r="FD18" s="988" t="str">
        <f t="shared" si="150"/>
        <v/>
      </c>
      <c r="FE18" s="988" t="str">
        <f t="shared" si="150"/>
        <v/>
      </c>
      <c r="FF18" s="988" t="str">
        <f t="shared" si="150"/>
        <v/>
      </c>
      <c r="FG18" s="988" t="str">
        <f t="shared" si="150"/>
        <v/>
      </c>
      <c r="FH18" s="988" t="str">
        <f t="shared" si="150"/>
        <v/>
      </c>
      <c r="FI18" s="988" t="str">
        <f t="shared" si="150"/>
        <v/>
      </c>
      <c r="FJ18" s="988" t="str">
        <f t="shared" si="150"/>
        <v/>
      </c>
      <c r="FK18" s="988" t="str">
        <f t="shared" si="150"/>
        <v/>
      </c>
      <c r="FM18" s="988" t="str">
        <f t="shared" ref="FM18:FZ18" si="151">IF(AND($I18&lt;&gt;"",$AF18="RCS"),IF(AND($P18&gt;FL$8,$P18&lt;=FM$8),SUM($K18:$M18),""),"")</f>
        <v/>
      </c>
      <c r="FN18" s="988" t="str">
        <f t="shared" si="151"/>
        <v/>
      </c>
      <c r="FO18" s="988" t="str">
        <f t="shared" si="151"/>
        <v/>
      </c>
      <c r="FP18" s="988" t="str">
        <f t="shared" si="151"/>
        <v/>
      </c>
      <c r="FQ18" s="988" t="str">
        <f t="shared" si="151"/>
        <v/>
      </c>
      <c r="FR18" s="988" t="str">
        <f t="shared" si="151"/>
        <v/>
      </c>
      <c r="FS18" s="988" t="str">
        <f t="shared" si="151"/>
        <v/>
      </c>
      <c r="FT18" s="988" t="str">
        <f t="shared" si="151"/>
        <v/>
      </c>
      <c r="FU18" s="988" t="str">
        <f t="shared" si="151"/>
        <v/>
      </c>
      <c r="FV18" s="988" t="str">
        <f t="shared" si="151"/>
        <v/>
      </c>
      <c r="FW18" s="988" t="str">
        <f t="shared" si="151"/>
        <v/>
      </c>
      <c r="FX18" s="988" t="str">
        <f t="shared" si="151"/>
        <v/>
      </c>
      <c r="FY18" s="988" t="str">
        <f t="shared" si="151"/>
        <v/>
      </c>
      <c r="FZ18" s="988" t="str">
        <f t="shared" si="151"/>
        <v/>
      </c>
      <c r="GB18" s="988">
        <f t="shared" ref="GB18:GO18" si="152">IF(AND($I18&lt;&gt;"",$AF18="REC"),IF(AND($P18&gt;GA$8,$P18&lt;=GB$8),SUM($K18:$M18),""),"")</f>
        <v>14.38</v>
      </c>
      <c r="GC18" s="988" t="str">
        <f t="shared" si="152"/>
        <v/>
      </c>
      <c r="GD18" s="988" t="str">
        <f t="shared" si="152"/>
        <v/>
      </c>
      <c r="GE18" s="988" t="str">
        <f t="shared" si="152"/>
        <v/>
      </c>
      <c r="GF18" s="988" t="str">
        <f t="shared" si="152"/>
        <v/>
      </c>
      <c r="GG18" s="988" t="str">
        <f t="shared" si="152"/>
        <v/>
      </c>
      <c r="GH18" s="988" t="str">
        <f t="shared" si="152"/>
        <v/>
      </c>
      <c r="GI18" s="988" t="str">
        <f t="shared" si="152"/>
        <v/>
      </c>
      <c r="GJ18" s="988" t="str">
        <f t="shared" si="152"/>
        <v/>
      </c>
      <c r="GK18" s="988" t="str">
        <f t="shared" si="152"/>
        <v/>
      </c>
      <c r="GL18" s="988" t="str">
        <f t="shared" si="152"/>
        <v/>
      </c>
      <c r="GM18" s="988" t="str">
        <f t="shared" si="152"/>
        <v/>
      </c>
      <c r="GN18" s="988" t="str">
        <f t="shared" si="152"/>
        <v/>
      </c>
      <c r="GO18" s="988" t="str">
        <f t="shared" si="152"/>
        <v/>
      </c>
      <c r="GQ18" s="988" t="str">
        <f t="shared" ref="GQ18:HD18" si="153">IF(AND($I18&lt;&gt;"",$AF18="REB"),IF(AND($P18&gt;GP$8,$P18&lt;=GQ$8),SUM($K18:$M18),""),"")</f>
        <v/>
      </c>
      <c r="GR18" s="988" t="str">
        <f t="shared" si="153"/>
        <v/>
      </c>
      <c r="GS18" s="988" t="str">
        <f t="shared" si="153"/>
        <v/>
      </c>
      <c r="GT18" s="988" t="str">
        <f t="shared" si="153"/>
        <v/>
      </c>
      <c r="GU18" s="988" t="str">
        <f t="shared" si="153"/>
        <v/>
      </c>
      <c r="GV18" s="988" t="str">
        <f t="shared" si="153"/>
        <v/>
      </c>
      <c r="GW18" s="988" t="str">
        <f t="shared" si="153"/>
        <v/>
      </c>
      <c r="GX18" s="988" t="str">
        <f t="shared" si="153"/>
        <v/>
      </c>
      <c r="GY18" s="988" t="str">
        <f t="shared" si="153"/>
        <v/>
      </c>
      <c r="GZ18" s="988" t="str">
        <f t="shared" si="153"/>
        <v/>
      </c>
      <c r="HA18" s="988" t="str">
        <f t="shared" si="153"/>
        <v/>
      </c>
      <c r="HB18" s="988" t="str">
        <f t="shared" si="153"/>
        <v/>
      </c>
      <c r="HC18" s="988" t="str">
        <f t="shared" si="153"/>
        <v/>
      </c>
      <c r="HD18" s="988" t="str">
        <f t="shared" si="153"/>
        <v/>
      </c>
      <c r="HF18" s="988" t="str">
        <f t="shared" ref="HF18:HS18" si="154">IF(AND($I18&lt;&gt;"",$AF18="RBS"),IF(AND($P18&gt;HE$8,$P18&lt;=HF$8),SUM($K18:$M18),""),"")</f>
        <v/>
      </c>
      <c r="HG18" s="988" t="str">
        <f t="shared" si="154"/>
        <v/>
      </c>
      <c r="HH18" s="988" t="str">
        <f t="shared" si="154"/>
        <v/>
      </c>
      <c r="HI18" s="988" t="str">
        <f t="shared" si="154"/>
        <v/>
      </c>
      <c r="HJ18" s="988" t="str">
        <f t="shared" si="154"/>
        <v/>
      </c>
      <c r="HK18" s="988" t="str">
        <f t="shared" si="154"/>
        <v/>
      </c>
      <c r="HL18" s="988" t="str">
        <f t="shared" si="154"/>
        <v/>
      </c>
      <c r="HM18" s="988" t="str">
        <f t="shared" si="154"/>
        <v/>
      </c>
      <c r="HN18" s="988" t="str">
        <f t="shared" si="154"/>
        <v/>
      </c>
      <c r="HO18" s="988" t="str">
        <f t="shared" si="154"/>
        <v/>
      </c>
      <c r="HP18" s="988" t="str">
        <f t="shared" si="154"/>
        <v/>
      </c>
      <c r="HQ18" s="988" t="str">
        <f t="shared" si="154"/>
        <v/>
      </c>
      <c r="HR18" s="988" t="str">
        <f t="shared" si="154"/>
        <v/>
      </c>
      <c r="HS18" s="988" t="str">
        <f t="shared" si="154"/>
        <v/>
      </c>
      <c r="HU18" s="988" t="str">
        <f t="shared" ref="HU18:IH18" si="155">IF(AND($I18&lt;&gt;"",$AF18="RCD"),IF(AND($P18&gt;HT$8,$P18&lt;=HU$8),SUM($K18:$M18),""),"")</f>
        <v/>
      </c>
      <c r="HV18" s="988" t="str">
        <f t="shared" si="155"/>
        <v/>
      </c>
      <c r="HW18" s="988" t="str">
        <f t="shared" si="155"/>
        <v/>
      </c>
      <c r="HX18" s="988" t="str">
        <f t="shared" si="155"/>
        <v/>
      </c>
      <c r="HY18" s="988" t="str">
        <f t="shared" si="155"/>
        <v/>
      </c>
      <c r="HZ18" s="988" t="str">
        <f t="shared" si="155"/>
        <v/>
      </c>
      <c r="IA18" s="988" t="str">
        <f t="shared" si="155"/>
        <v/>
      </c>
      <c r="IB18" s="988" t="str">
        <f t="shared" si="155"/>
        <v/>
      </c>
      <c r="IC18" s="988" t="str">
        <f t="shared" si="155"/>
        <v/>
      </c>
      <c r="ID18" s="988" t="str">
        <f t="shared" si="155"/>
        <v/>
      </c>
      <c r="IE18" s="988" t="str">
        <f t="shared" si="155"/>
        <v/>
      </c>
      <c r="IF18" s="988" t="str">
        <f t="shared" si="155"/>
        <v/>
      </c>
      <c r="IG18" s="988" t="str">
        <f t="shared" si="155"/>
        <v/>
      </c>
      <c r="IH18" s="988" t="str">
        <f t="shared" si="155"/>
        <v/>
      </c>
      <c r="IJ18" s="985">
        <f t="shared" ref="IJ18:IW18" si="156">IF(AND($I18&lt;&gt;""),IF(AND($P18&gt;II$8,$P18&lt;=IJ$8),$K18,""),"")</f>
        <v>14.38</v>
      </c>
      <c r="IK18" s="985" t="str">
        <f t="shared" si="156"/>
        <v/>
      </c>
      <c r="IL18" s="985" t="str">
        <f t="shared" si="156"/>
        <v/>
      </c>
      <c r="IM18" s="985" t="str">
        <f t="shared" si="156"/>
        <v/>
      </c>
      <c r="IN18" s="985" t="str">
        <f t="shared" si="156"/>
        <v/>
      </c>
      <c r="IO18" s="985" t="str">
        <f t="shared" si="156"/>
        <v/>
      </c>
      <c r="IP18" s="985" t="str">
        <f t="shared" si="156"/>
        <v/>
      </c>
      <c r="IQ18" s="985" t="str">
        <f t="shared" si="156"/>
        <v/>
      </c>
      <c r="IR18" s="985" t="str">
        <f t="shared" si="156"/>
        <v/>
      </c>
      <c r="IS18" s="985" t="str">
        <f t="shared" si="156"/>
        <v/>
      </c>
      <c r="IT18" s="985" t="str">
        <f t="shared" si="156"/>
        <v/>
      </c>
      <c r="IU18" s="985" t="str">
        <f t="shared" si="156"/>
        <v/>
      </c>
      <c r="IV18" s="985" t="str">
        <f t="shared" si="156"/>
        <v/>
      </c>
      <c r="IW18" s="985" t="str">
        <f t="shared" si="156"/>
        <v/>
      </c>
      <c r="IX18" s="987"/>
      <c r="IY18" s="985">
        <f t="shared" ref="IY18:JL18" si="157">IF(AND($I18&lt;&gt;""),IF(AND($P18&gt;IX$8,$P18&lt;=IY$8),$L18,""),"")</f>
        <v>0</v>
      </c>
      <c r="IZ18" s="985" t="str">
        <f t="shared" si="157"/>
        <v/>
      </c>
      <c r="JA18" s="985" t="str">
        <f t="shared" si="157"/>
        <v/>
      </c>
      <c r="JB18" s="985" t="str">
        <f t="shared" si="157"/>
        <v/>
      </c>
      <c r="JC18" s="985" t="str">
        <f t="shared" si="157"/>
        <v/>
      </c>
      <c r="JD18" s="985" t="str">
        <f t="shared" si="157"/>
        <v/>
      </c>
      <c r="JE18" s="985" t="str">
        <f t="shared" si="157"/>
        <v/>
      </c>
      <c r="JF18" s="985" t="str">
        <f t="shared" si="157"/>
        <v/>
      </c>
      <c r="JG18" s="985" t="str">
        <f t="shared" si="157"/>
        <v/>
      </c>
      <c r="JH18" s="985" t="str">
        <f t="shared" si="157"/>
        <v/>
      </c>
      <c r="JI18" s="985" t="str">
        <f t="shared" si="157"/>
        <v/>
      </c>
      <c r="JJ18" s="985" t="str">
        <f t="shared" si="157"/>
        <v/>
      </c>
      <c r="JK18" s="985" t="str">
        <f t="shared" si="157"/>
        <v/>
      </c>
      <c r="JL18" s="985" t="str">
        <f t="shared" si="157"/>
        <v/>
      </c>
      <c r="JM18" s="987"/>
      <c r="JN18" s="985">
        <f t="shared" ref="JN18:KA18" si="158">IF(AND($I18&lt;&gt;""),IF(AND($P18&gt;JM$8,$P18&lt;=JN$8),$M18,""),"")</f>
        <v>0</v>
      </c>
      <c r="JO18" s="985" t="str">
        <f t="shared" si="158"/>
        <v/>
      </c>
      <c r="JP18" s="985" t="str">
        <f t="shared" si="158"/>
        <v/>
      </c>
      <c r="JQ18" s="985" t="str">
        <f t="shared" si="158"/>
        <v/>
      </c>
      <c r="JR18" s="985" t="str">
        <f t="shared" si="158"/>
        <v/>
      </c>
      <c r="JS18" s="985" t="str">
        <f t="shared" si="158"/>
        <v/>
      </c>
      <c r="JT18" s="985" t="str">
        <f t="shared" si="158"/>
        <v/>
      </c>
      <c r="JU18" s="985" t="str">
        <f t="shared" si="158"/>
        <v/>
      </c>
      <c r="JV18" s="985" t="str">
        <f t="shared" si="158"/>
        <v/>
      </c>
      <c r="JW18" s="985" t="str">
        <f t="shared" si="158"/>
        <v/>
      </c>
      <c r="JX18" s="985" t="str">
        <f t="shared" si="158"/>
        <v/>
      </c>
      <c r="JY18" s="985" t="str">
        <f t="shared" si="158"/>
        <v/>
      </c>
      <c r="JZ18" s="985" t="str">
        <f t="shared" si="158"/>
        <v/>
      </c>
      <c r="KA18" s="985" t="str">
        <f t="shared" si="158"/>
        <v/>
      </c>
      <c r="KB18" s="987"/>
      <c r="KC18" s="985">
        <f t="shared" ref="KC18:KP18" si="159">IF(AND($I18&lt;&gt;""),IF(AND($P18&gt;KB$8,$P18&lt;=KC$8),$N18,""),"")</f>
        <v>0</v>
      </c>
      <c r="KD18" s="985" t="str">
        <f t="shared" si="159"/>
        <v/>
      </c>
      <c r="KE18" s="985" t="str">
        <f t="shared" si="159"/>
        <v/>
      </c>
      <c r="KF18" s="985" t="str">
        <f t="shared" si="159"/>
        <v/>
      </c>
      <c r="KG18" s="985" t="str">
        <f t="shared" si="159"/>
        <v/>
      </c>
      <c r="KH18" s="985" t="str">
        <f t="shared" si="159"/>
        <v/>
      </c>
      <c r="KI18" s="985" t="str">
        <f t="shared" si="159"/>
        <v/>
      </c>
      <c r="KJ18" s="985" t="str">
        <f t="shared" si="159"/>
        <v/>
      </c>
      <c r="KK18" s="985" t="str">
        <f t="shared" si="159"/>
        <v/>
      </c>
      <c r="KL18" s="985" t="str">
        <f t="shared" si="159"/>
        <v/>
      </c>
      <c r="KM18" s="985" t="str">
        <f t="shared" si="159"/>
        <v/>
      </c>
      <c r="KN18" s="985" t="str">
        <f t="shared" si="159"/>
        <v/>
      </c>
      <c r="KO18" s="985" t="str">
        <f t="shared" si="159"/>
        <v/>
      </c>
      <c r="KP18" s="985" t="str">
        <f t="shared" si="159"/>
        <v/>
      </c>
    </row>
    <row r="19" spans="2:302" ht="18" customHeight="1">
      <c r="B19" s="978">
        <f t="shared" si="0"/>
        <v>9</v>
      </c>
      <c r="C19" s="979" t="s">
        <v>701</v>
      </c>
      <c r="D19" s="979" t="s">
        <v>605</v>
      </c>
      <c r="E19" s="980">
        <v>10</v>
      </c>
      <c r="F19" s="979" t="s">
        <v>701</v>
      </c>
      <c r="G19" s="979" t="s">
        <v>605</v>
      </c>
      <c r="H19" s="980">
        <v>10</v>
      </c>
      <c r="I19" s="979" t="s">
        <v>831</v>
      </c>
      <c r="J19" s="979"/>
      <c r="K19" s="980">
        <v>5.6</v>
      </c>
      <c r="L19" s="980"/>
      <c r="M19" s="980"/>
      <c r="N19" s="980"/>
      <c r="O19" s="980"/>
      <c r="P19" s="981">
        <v>0.02</v>
      </c>
      <c r="Q19" s="981">
        <f t="shared" si="1"/>
        <v>0.11199999999999999</v>
      </c>
      <c r="R19" s="979" t="s">
        <v>701</v>
      </c>
      <c r="S19" s="979" t="s">
        <v>605</v>
      </c>
      <c r="T19" s="980">
        <v>10</v>
      </c>
      <c r="U19" s="979" t="s">
        <v>701</v>
      </c>
      <c r="V19" s="979" t="s">
        <v>605</v>
      </c>
      <c r="W19" s="980">
        <v>10</v>
      </c>
      <c r="X19" s="979" t="s">
        <v>831</v>
      </c>
      <c r="Y19" s="979"/>
      <c r="Z19" s="979"/>
      <c r="AA19" s="980">
        <v>1.3</v>
      </c>
      <c r="AB19" s="980">
        <f t="shared" si="2"/>
        <v>4.3076923076923075</v>
      </c>
      <c r="AC19" s="982" t="s">
        <v>939</v>
      </c>
      <c r="AD19" s="953"/>
      <c r="AE19" s="983" t="str">
        <f t="shared" si="3"/>
        <v/>
      </c>
      <c r="AF19" s="984" t="str">
        <f t="shared" si="4"/>
        <v>CL</v>
      </c>
      <c r="AG19" s="963"/>
      <c r="AH19" s="985">
        <f t="shared" si="5"/>
        <v>5.6</v>
      </c>
      <c r="AI19" s="985" t="str">
        <f t="shared" si="5"/>
        <v/>
      </c>
      <c r="AJ19" s="985" t="str">
        <f t="shared" si="5"/>
        <v/>
      </c>
      <c r="AK19" s="985" t="str">
        <f t="shared" si="5"/>
        <v/>
      </c>
      <c r="AL19" s="985" t="str">
        <f t="shared" si="5"/>
        <v/>
      </c>
      <c r="AM19" s="985" t="str">
        <f t="shared" si="5"/>
        <v/>
      </c>
      <c r="AN19" s="985" t="str">
        <f t="shared" si="5"/>
        <v/>
      </c>
      <c r="AO19" s="985" t="str">
        <f t="shared" si="5"/>
        <v/>
      </c>
      <c r="AP19" s="986"/>
      <c r="AQ19" s="985" t="str">
        <f t="shared" ref="AQ19:BD19" si="160">IF(AND($I19&lt;&gt;"",$AF19="C"),IF(AND($P19&gt;AP$8,$P19&lt;=AQ$8),$K19,""),"")</f>
        <v/>
      </c>
      <c r="AR19" s="985" t="str">
        <f t="shared" si="160"/>
        <v/>
      </c>
      <c r="AS19" s="985" t="str">
        <f t="shared" si="160"/>
        <v/>
      </c>
      <c r="AT19" s="985" t="str">
        <f t="shared" si="160"/>
        <v/>
      </c>
      <c r="AU19" s="985" t="str">
        <f t="shared" si="160"/>
        <v/>
      </c>
      <c r="AV19" s="985" t="str">
        <f t="shared" si="160"/>
        <v/>
      </c>
      <c r="AW19" s="985" t="str">
        <f t="shared" si="160"/>
        <v/>
      </c>
      <c r="AX19" s="985" t="str">
        <f t="shared" si="160"/>
        <v/>
      </c>
      <c r="AY19" s="985" t="str">
        <f t="shared" si="160"/>
        <v/>
      </c>
      <c r="AZ19" s="985" t="str">
        <f t="shared" si="160"/>
        <v/>
      </c>
      <c r="BA19" s="985" t="str">
        <f t="shared" si="160"/>
        <v/>
      </c>
      <c r="BB19" s="985" t="str">
        <f t="shared" si="160"/>
        <v/>
      </c>
      <c r="BC19" s="985" t="str">
        <f t="shared" si="160"/>
        <v/>
      </c>
      <c r="BD19" s="985" t="str">
        <f t="shared" si="160"/>
        <v/>
      </c>
      <c r="BE19" s="987"/>
      <c r="BF19" s="985" t="str">
        <f t="shared" ref="BF19:BS19" si="161">IF(AND($I19&lt;&gt;"",$AF19="C"),IF(AND($P19&gt;BE$8,$P19&lt;=BF$8),$L19,""),"")</f>
        <v/>
      </c>
      <c r="BG19" s="985" t="str">
        <f t="shared" si="161"/>
        <v/>
      </c>
      <c r="BH19" s="985" t="str">
        <f t="shared" si="161"/>
        <v/>
      </c>
      <c r="BI19" s="985" t="str">
        <f t="shared" si="161"/>
        <v/>
      </c>
      <c r="BJ19" s="985" t="str">
        <f t="shared" si="161"/>
        <v/>
      </c>
      <c r="BK19" s="985" t="str">
        <f t="shared" si="161"/>
        <v/>
      </c>
      <c r="BL19" s="985" t="str">
        <f t="shared" si="161"/>
        <v/>
      </c>
      <c r="BM19" s="985" t="str">
        <f t="shared" si="161"/>
        <v/>
      </c>
      <c r="BN19" s="985" t="str">
        <f t="shared" si="161"/>
        <v/>
      </c>
      <c r="BO19" s="985" t="str">
        <f t="shared" si="161"/>
        <v/>
      </c>
      <c r="BP19" s="985" t="str">
        <f t="shared" si="161"/>
        <v/>
      </c>
      <c r="BQ19" s="985" t="str">
        <f t="shared" si="161"/>
        <v/>
      </c>
      <c r="BR19" s="985" t="str">
        <f t="shared" si="161"/>
        <v/>
      </c>
      <c r="BS19" s="985" t="str">
        <f t="shared" si="161"/>
        <v/>
      </c>
      <c r="BU19" s="985" t="str">
        <f t="shared" ref="BU19:CF19" si="162">IF(AND($I19&lt;&gt;"",$AF19="C"),IF(AND($P19&gt;BT$8,$P19&lt;=BU$8),$M19,""),"")</f>
        <v/>
      </c>
      <c r="BV19" s="985" t="str">
        <f t="shared" si="162"/>
        <v/>
      </c>
      <c r="BW19" s="985" t="str">
        <f t="shared" si="162"/>
        <v/>
      </c>
      <c r="BX19" s="985" t="str">
        <f t="shared" si="162"/>
        <v/>
      </c>
      <c r="BY19" s="985" t="str">
        <f t="shared" si="162"/>
        <v/>
      </c>
      <c r="BZ19" s="985" t="str">
        <f t="shared" si="162"/>
        <v/>
      </c>
      <c r="CA19" s="985" t="str">
        <f t="shared" si="162"/>
        <v/>
      </c>
      <c r="CB19" s="985" t="str">
        <f t="shared" si="162"/>
        <v/>
      </c>
      <c r="CC19" s="985" t="str">
        <f t="shared" si="162"/>
        <v/>
      </c>
      <c r="CD19" s="985" t="str">
        <f t="shared" si="162"/>
        <v/>
      </c>
      <c r="CE19" s="985" t="str">
        <f t="shared" si="162"/>
        <v/>
      </c>
      <c r="CF19" s="985" t="str">
        <f t="shared" si="162"/>
        <v/>
      </c>
      <c r="CG19" s="987"/>
      <c r="CH19" s="985" t="str">
        <f t="shared" si="9"/>
        <v/>
      </c>
      <c r="CI19" s="985" t="str">
        <f t="shared" si="9"/>
        <v/>
      </c>
      <c r="CJ19" s="985" t="str">
        <f t="shared" si="9"/>
        <v/>
      </c>
      <c r="CK19" s="985" t="str">
        <f t="shared" si="9"/>
        <v/>
      </c>
      <c r="CL19" s="985" t="str">
        <f t="shared" si="9"/>
        <v/>
      </c>
      <c r="CM19" s="985" t="str">
        <f t="shared" si="9"/>
        <v/>
      </c>
      <c r="CN19" s="985" t="str">
        <f t="shared" si="9"/>
        <v/>
      </c>
      <c r="CP19" s="988" t="str">
        <f t="shared" ref="CP19:DC19" si="163">IF(AND($I19&lt;&gt;"",OR($AF19="ELE",$AF19="ELD",$AF19="CX")),IF(AND($P19&gt;CO$8,$P19&lt;=CP$8),$K19,""),"")</f>
        <v/>
      </c>
      <c r="CQ19" s="988" t="str">
        <f t="shared" si="163"/>
        <v/>
      </c>
      <c r="CR19" s="988" t="str">
        <f t="shared" si="163"/>
        <v/>
      </c>
      <c r="CS19" s="988" t="str">
        <f t="shared" si="163"/>
        <v/>
      </c>
      <c r="CT19" s="988" t="str">
        <f t="shared" si="163"/>
        <v/>
      </c>
      <c r="CU19" s="988" t="str">
        <f t="shared" si="163"/>
        <v/>
      </c>
      <c r="CV19" s="988" t="str">
        <f t="shared" si="163"/>
        <v/>
      </c>
      <c r="CW19" s="988" t="str">
        <f t="shared" si="163"/>
        <v/>
      </c>
      <c r="CX19" s="988" t="str">
        <f t="shared" si="163"/>
        <v/>
      </c>
      <c r="CY19" s="988" t="str">
        <f t="shared" si="163"/>
        <v/>
      </c>
      <c r="CZ19" s="988" t="str">
        <f t="shared" si="163"/>
        <v/>
      </c>
      <c r="DA19" s="988" t="str">
        <f t="shared" si="163"/>
        <v/>
      </c>
      <c r="DB19" s="988" t="str">
        <f t="shared" si="163"/>
        <v/>
      </c>
      <c r="DC19" s="988" t="str">
        <f t="shared" si="163"/>
        <v/>
      </c>
      <c r="DE19" s="988">
        <f t="shared" ref="DE19:DR19" si="164">IF(AND($X19&lt;&gt;"",$AC19="CF"),IF(AND($P19&gt;DD$8,$P19&lt;=DE$8),$AB19,""),"")</f>
        <v>4.3076923076923075</v>
      </c>
      <c r="DF19" s="988" t="str">
        <f t="shared" si="164"/>
        <v/>
      </c>
      <c r="DG19" s="988" t="str">
        <f t="shared" si="164"/>
        <v/>
      </c>
      <c r="DH19" s="988" t="str">
        <f t="shared" si="164"/>
        <v/>
      </c>
      <c r="DI19" s="988" t="str">
        <f t="shared" si="164"/>
        <v/>
      </c>
      <c r="DJ19" s="988" t="str">
        <f t="shared" si="164"/>
        <v/>
      </c>
      <c r="DK19" s="988" t="str">
        <f t="shared" si="164"/>
        <v/>
      </c>
      <c r="DL19" s="988" t="str">
        <f t="shared" si="164"/>
        <v/>
      </c>
      <c r="DM19" s="988" t="str">
        <f t="shared" si="164"/>
        <v/>
      </c>
      <c r="DN19" s="988" t="str">
        <f t="shared" si="164"/>
        <v/>
      </c>
      <c r="DO19" s="988" t="str">
        <f t="shared" si="164"/>
        <v/>
      </c>
      <c r="DP19" s="988" t="str">
        <f t="shared" si="164"/>
        <v/>
      </c>
      <c r="DQ19" s="988" t="str">
        <f t="shared" si="164"/>
        <v/>
      </c>
      <c r="DR19" s="988" t="str">
        <f t="shared" si="164"/>
        <v/>
      </c>
      <c r="DT19" s="988" t="str">
        <f t="shared" ref="DT19:EG19" si="165">IF(AND($X19&lt;&gt;"",$AC19="CA"),IF(AND($P19&gt;DS$8,$P19&lt;=DT$8),$AB19,""),"")</f>
        <v/>
      </c>
      <c r="DU19" s="988" t="str">
        <f t="shared" si="165"/>
        <v/>
      </c>
      <c r="DV19" s="988" t="str">
        <f t="shared" si="165"/>
        <v/>
      </c>
      <c r="DW19" s="988" t="str">
        <f t="shared" si="165"/>
        <v/>
      </c>
      <c r="DX19" s="988" t="str">
        <f t="shared" si="165"/>
        <v/>
      </c>
      <c r="DY19" s="988" t="str">
        <f t="shared" si="165"/>
        <v/>
      </c>
      <c r="DZ19" s="988" t="str">
        <f t="shared" si="165"/>
        <v/>
      </c>
      <c r="EA19" s="988" t="str">
        <f t="shared" si="165"/>
        <v/>
      </c>
      <c r="EB19" s="988" t="str">
        <f t="shared" si="165"/>
        <v/>
      </c>
      <c r="EC19" s="988" t="str">
        <f t="shared" si="165"/>
        <v/>
      </c>
      <c r="ED19" s="988" t="str">
        <f t="shared" si="165"/>
        <v/>
      </c>
      <c r="EE19" s="988" t="str">
        <f t="shared" si="165"/>
        <v/>
      </c>
      <c r="EF19" s="988" t="str">
        <f t="shared" si="165"/>
        <v/>
      </c>
      <c r="EG19" s="988" t="str">
        <f t="shared" si="165"/>
        <v/>
      </c>
      <c r="EI19" s="988" t="str">
        <f t="shared" ref="EI19:EV19" si="166">IF($AE19="BFC",IF(AND($P19&gt;EH$8,$P19&lt;=EI$8),$AB19,""),"")</f>
        <v/>
      </c>
      <c r="EJ19" s="988" t="str">
        <f t="shared" si="166"/>
        <v/>
      </c>
      <c r="EK19" s="988" t="str">
        <f t="shared" si="166"/>
        <v/>
      </c>
      <c r="EL19" s="988" t="str">
        <f t="shared" si="166"/>
        <v/>
      </c>
      <c r="EM19" s="988" t="str">
        <f t="shared" si="166"/>
        <v/>
      </c>
      <c r="EN19" s="988" t="str">
        <f t="shared" si="166"/>
        <v/>
      </c>
      <c r="EO19" s="988" t="str">
        <f t="shared" si="166"/>
        <v/>
      </c>
      <c r="EP19" s="988" t="str">
        <f t="shared" si="166"/>
        <v/>
      </c>
      <c r="EQ19" s="988" t="str">
        <f t="shared" si="166"/>
        <v/>
      </c>
      <c r="ER19" s="988" t="str">
        <f t="shared" si="166"/>
        <v/>
      </c>
      <c r="ES19" s="988" t="str">
        <f t="shared" si="166"/>
        <v/>
      </c>
      <c r="ET19" s="988" t="str">
        <f t="shared" si="166"/>
        <v/>
      </c>
      <c r="EU19" s="988" t="str">
        <f t="shared" si="166"/>
        <v/>
      </c>
      <c r="EV19" s="988" t="str">
        <f t="shared" si="166"/>
        <v/>
      </c>
      <c r="EX19" s="988" t="str">
        <f t="shared" ref="EX19:FK19" si="167">IF($AE19="BFN",IF(AND($P19&gt;EW$8,$P19&lt;=EX$8),$AB19,""),"")</f>
        <v/>
      </c>
      <c r="EY19" s="988" t="str">
        <f t="shared" si="167"/>
        <v/>
      </c>
      <c r="EZ19" s="988" t="str">
        <f t="shared" si="167"/>
        <v/>
      </c>
      <c r="FA19" s="988" t="str">
        <f t="shared" si="167"/>
        <v/>
      </c>
      <c r="FB19" s="988" t="str">
        <f t="shared" si="167"/>
        <v/>
      </c>
      <c r="FC19" s="988" t="str">
        <f t="shared" si="167"/>
        <v/>
      </c>
      <c r="FD19" s="988" t="str">
        <f t="shared" si="167"/>
        <v/>
      </c>
      <c r="FE19" s="988" t="str">
        <f t="shared" si="167"/>
        <v/>
      </c>
      <c r="FF19" s="988" t="str">
        <f t="shared" si="167"/>
        <v/>
      </c>
      <c r="FG19" s="988" t="str">
        <f t="shared" si="167"/>
        <v/>
      </c>
      <c r="FH19" s="988" t="str">
        <f t="shared" si="167"/>
        <v/>
      </c>
      <c r="FI19" s="988" t="str">
        <f t="shared" si="167"/>
        <v/>
      </c>
      <c r="FJ19" s="988" t="str">
        <f t="shared" si="167"/>
        <v/>
      </c>
      <c r="FK19" s="988" t="str">
        <f t="shared" si="167"/>
        <v/>
      </c>
      <c r="FM19" s="988" t="str">
        <f t="shared" ref="FM19:FZ19" si="168">IF(AND($I19&lt;&gt;"",$AF19="RCS"),IF(AND($P19&gt;FL$8,$P19&lt;=FM$8),SUM($K19:$M19),""),"")</f>
        <v/>
      </c>
      <c r="FN19" s="988" t="str">
        <f t="shared" si="168"/>
        <v/>
      </c>
      <c r="FO19" s="988" t="str">
        <f t="shared" si="168"/>
        <v/>
      </c>
      <c r="FP19" s="988" t="str">
        <f t="shared" si="168"/>
        <v/>
      </c>
      <c r="FQ19" s="988" t="str">
        <f t="shared" si="168"/>
        <v/>
      </c>
      <c r="FR19" s="988" t="str">
        <f t="shared" si="168"/>
        <v/>
      </c>
      <c r="FS19" s="988" t="str">
        <f t="shared" si="168"/>
        <v/>
      </c>
      <c r="FT19" s="988" t="str">
        <f t="shared" si="168"/>
        <v/>
      </c>
      <c r="FU19" s="988" t="str">
        <f t="shared" si="168"/>
        <v/>
      </c>
      <c r="FV19" s="988" t="str">
        <f t="shared" si="168"/>
        <v/>
      </c>
      <c r="FW19" s="988" t="str">
        <f t="shared" si="168"/>
        <v/>
      </c>
      <c r="FX19" s="988" t="str">
        <f t="shared" si="168"/>
        <v/>
      </c>
      <c r="FY19" s="988" t="str">
        <f t="shared" si="168"/>
        <v/>
      </c>
      <c r="FZ19" s="988" t="str">
        <f t="shared" si="168"/>
        <v/>
      </c>
      <c r="GB19" s="988" t="str">
        <f t="shared" ref="GB19:GO19" si="169">IF(AND($I19&lt;&gt;"",$AF19="REC"),IF(AND($P19&gt;GA$8,$P19&lt;=GB$8),SUM($K19:$M19),""),"")</f>
        <v/>
      </c>
      <c r="GC19" s="988" t="str">
        <f t="shared" si="169"/>
        <v/>
      </c>
      <c r="GD19" s="988" t="str">
        <f t="shared" si="169"/>
        <v/>
      </c>
      <c r="GE19" s="988" t="str">
        <f t="shared" si="169"/>
        <v/>
      </c>
      <c r="GF19" s="988" t="str">
        <f t="shared" si="169"/>
        <v/>
      </c>
      <c r="GG19" s="988" t="str">
        <f t="shared" si="169"/>
        <v/>
      </c>
      <c r="GH19" s="988" t="str">
        <f t="shared" si="169"/>
        <v/>
      </c>
      <c r="GI19" s="988" t="str">
        <f t="shared" si="169"/>
        <v/>
      </c>
      <c r="GJ19" s="988" t="str">
        <f t="shared" si="169"/>
        <v/>
      </c>
      <c r="GK19" s="988" t="str">
        <f t="shared" si="169"/>
        <v/>
      </c>
      <c r="GL19" s="988" t="str">
        <f t="shared" si="169"/>
        <v/>
      </c>
      <c r="GM19" s="988" t="str">
        <f t="shared" si="169"/>
        <v/>
      </c>
      <c r="GN19" s="988" t="str">
        <f t="shared" si="169"/>
        <v/>
      </c>
      <c r="GO19" s="988" t="str">
        <f t="shared" si="169"/>
        <v/>
      </c>
      <c r="GQ19" s="988" t="str">
        <f t="shared" ref="GQ19:HD19" si="170">IF(AND($I19&lt;&gt;"",$AF19="REB"),IF(AND($P19&gt;GP$8,$P19&lt;=GQ$8),SUM($K19:$M19),""),"")</f>
        <v/>
      </c>
      <c r="GR19" s="988" t="str">
        <f t="shared" si="170"/>
        <v/>
      </c>
      <c r="GS19" s="988" t="str">
        <f t="shared" si="170"/>
        <v/>
      </c>
      <c r="GT19" s="988" t="str">
        <f t="shared" si="170"/>
        <v/>
      </c>
      <c r="GU19" s="988" t="str">
        <f t="shared" si="170"/>
        <v/>
      </c>
      <c r="GV19" s="988" t="str">
        <f t="shared" si="170"/>
        <v/>
      </c>
      <c r="GW19" s="988" t="str">
        <f t="shared" si="170"/>
        <v/>
      </c>
      <c r="GX19" s="988" t="str">
        <f t="shared" si="170"/>
        <v/>
      </c>
      <c r="GY19" s="988" t="str">
        <f t="shared" si="170"/>
        <v/>
      </c>
      <c r="GZ19" s="988" t="str">
        <f t="shared" si="170"/>
        <v/>
      </c>
      <c r="HA19" s="988" t="str">
        <f t="shared" si="170"/>
        <v/>
      </c>
      <c r="HB19" s="988" t="str">
        <f t="shared" si="170"/>
        <v/>
      </c>
      <c r="HC19" s="988" t="str">
        <f t="shared" si="170"/>
        <v/>
      </c>
      <c r="HD19" s="988" t="str">
        <f t="shared" si="170"/>
        <v/>
      </c>
      <c r="HF19" s="988" t="str">
        <f t="shared" ref="HF19:HS19" si="171">IF(AND($I19&lt;&gt;"",$AF19="RBS"),IF(AND($P19&gt;HE$8,$P19&lt;=HF$8),SUM($K19:$M19),""),"")</f>
        <v/>
      </c>
      <c r="HG19" s="988" t="str">
        <f t="shared" si="171"/>
        <v/>
      </c>
      <c r="HH19" s="988" t="str">
        <f t="shared" si="171"/>
        <v/>
      </c>
      <c r="HI19" s="988" t="str">
        <f t="shared" si="171"/>
        <v/>
      </c>
      <c r="HJ19" s="988" t="str">
        <f t="shared" si="171"/>
        <v/>
      </c>
      <c r="HK19" s="988" t="str">
        <f t="shared" si="171"/>
        <v/>
      </c>
      <c r="HL19" s="988" t="str">
        <f t="shared" si="171"/>
        <v/>
      </c>
      <c r="HM19" s="988" t="str">
        <f t="shared" si="171"/>
        <v/>
      </c>
      <c r="HN19" s="988" t="str">
        <f t="shared" si="171"/>
        <v/>
      </c>
      <c r="HO19" s="988" t="str">
        <f t="shared" si="171"/>
        <v/>
      </c>
      <c r="HP19" s="988" t="str">
        <f t="shared" si="171"/>
        <v/>
      </c>
      <c r="HQ19" s="988" t="str">
        <f t="shared" si="171"/>
        <v/>
      </c>
      <c r="HR19" s="988" t="str">
        <f t="shared" si="171"/>
        <v/>
      </c>
      <c r="HS19" s="988" t="str">
        <f t="shared" si="171"/>
        <v/>
      </c>
      <c r="HU19" s="988" t="str">
        <f t="shared" ref="HU19:IH19" si="172">IF(AND($I19&lt;&gt;"",$AF19="RCD"),IF(AND($P19&gt;HT$8,$P19&lt;=HU$8),SUM($K19:$M19),""),"")</f>
        <v/>
      </c>
      <c r="HV19" s="988" t="str">
        <f t="shared" si="172"/>
        <v/>
      </c>
      <c r="HW19" s="988" t="str">
        <f t="shared" si="172"/>
        <v/>
      </c>
      <c r="HX19" s="988" t="str">
        <f t="shared" si="172"/>
        <v/>
      </c>
      <c r="HY19" s="988" t="str">
        <f t="shared" si="172"/>
        <v/>
      </c>
      <c r="HZ19" s="988" t="str">
        <f t="shared" si="172"/>
        <v/>
      </c>
      <c r="IA19" s="988" t="str">
        <f t="shared" si="172"/>
        <v/>
      </c>
      <c r="IB19" s="988" t="str">
        <f t="shared" si="172"/>
        <v/>
      </c>
      <c r="IC19" s="988" t="str">
        <f t="shared" si="172"/>
        <v/>
      </c>
      <c r="ID19" s="988" t="str">
        <f t="shared" si="172"/>
        <v/>
      </c>
      <c r="IE19" s="988" t="str">
        <f t="shared" si="172"/>
        <v/>
      </c>
      <c r="IF19" s="988" t="str">
        <f t="shared" si="172"/>
        <v/>
      </c>
      <c r="IG19" s="988" t="str">
        <f t="shared" si="172"/>
        <v/>
      </c>
      <c r="IH19" s="988" t="str">
        <f t="shared" si="172"/>
        <v/>
      </c>
      <c r="IJ19" s="985">
        <f t="shared" ref="IJ19:IW19" si="173">IF(AND($I19&lt;&gt;""),IF(AND($P19&gt;II$8,$P19&lt;=IJ$8),$K19,""),"")</f>
        <v>5.6</v>
      </c>
      <c r="IK19" s="985" t="str">
        <f t="shared" si="173"/>
        <v/>
      </c>
      <c r="IL19" s="985" t="str">
        <f t="shared" si="173"/>
        <v/>
      </c>
      <c r="IM19" s="985" t="str">
        <f t="shared" si="173"/>
        <v/>
      </c>
      <c r="IN19" s="985" t="str">
        <f t="shared" si="173"/>
        <v/>
      </c>
      <c r="IO19" s="985" t="str">
        <f t="shared" si="173"/>
        <v/>
      </c>
      <c r="IP19" s="985" t="str">
        <f t="shared" si="173"/>
        <v/>
      </c>
      <c r="IQ19" s="985" t="str">
        <f t="shared" si="173"/>
        <v/>
      </c>
      <c r="IR19" s="985" t="str">
        <f t="shared" si="173"/>
        <v/>
      </c>
      <c r="IS19" s="985" t="str">
        <f t="shared" si="173"/>
        <v/>
      </c>
      <c r="IT19" s="985" t="str">
        <f t="shared" si="173"/>
        <v/>
      </c>
      <c r="IU19" s="985" t="str">
        <f t="shared" si="173"/>
        <v/>
      </c>
      <c r="IV19" s="985" t="str">
        <f t="shared" si="173"/>
        <v/>
      </c>
      <c r="IW19" s="985" t="str">
        <f t="shared" si="173"/>
        <v/>
      </c>
      <c r="IX19" s="987"/>
      <c r="IY19" s="985">
        <f t="shared" ref="IY19:JL19" si="174">IF(AND($I19&lt;&gt;""),IF(AND($P19&gt;IX$8,$P19&lt;=IY$8),$L19,""),"")</f>
        <v>0</v>
      </c>
      <c r="IZ19" s="985" t="str">
        <f t="shared" si="174"/>
        <v/>
      </c>
      <c r="JA19" s="985" t="str">
        <f t="shared" si="174"/>
        <v/>
      </c>
      <c r="JB19" s="985" t="str">
        <f t="shared" si="174"/>
        <v/>
      </c>
      <c r="JC19" s="985" t="str">
        <f t="shared" si="174"/>
        <v/>
      </c>
      <c r="JD19" s="985" t="str">
        <f t="shared" si="174"/>
        <v/>
      </c>
      <c r="JE19" s="985" t="str">
        <f t="shared" si="174"/>
        <v/>
      </c>
      <c r="JF19" s="985" t="str">
        <f t="shared" si="174"/>
        <v/>
      </c>
      <c r="JG19" s="985" t="str">
        <f t="shared" si="174"/>
        <v/>
      </c>
      <c r="JH19" s="985" t="str">
        <f t="shared" si="174"/>
        <v/>
      </c>
      <c r="JI19" s="985" t="str">
        <f t="shared" si="174"/>
        <v/>
      </c>
      <c r="JJ19" s="985" t="str">
        <f t="shared" si="174"/>
        <v/>
      </c>
      <c r="JK19" s="985" t="str">
        <f t="shared" si="174"/>
        <v/>
      </c>
      <c r="JL19" s="985" t="str">
        <f t="shared" si="174"/>
        <v/>
      </c>
      <c r="JM19" s="987"/>
      <c r="JN19" s="985">
        <f t="shared" ref="JN19:KA19" si="175">IF(AND($I19&lt;&gt;""),IF(AND($P19&gt;JM$8,$P19&lt;=JN$8),$M19,""),"")</f>
        <v>0</v>
      </c>
      <c r="JO19" s="985" t="str">
        <f t="shared" si="175"/>
        <v/>
      </c>
      <c r="JP19" s="985" t="str">
        <f t="shared" si="175"/>
        <v/>
      </c>
      <c r="JQ19" s="985" t="str">
        <f t="shared" si="175"/>
        <v/>
      </c>
      <c r="JR19" s="985" t="str">
        <f t="shared" si="175"/>
        <v/>
      </c>
      <c r="JS19" s="985" t="str">
        <f t="shared" si="175"/>
        <v/>
      </c>
      <c r="JT19" s="985" t="str">
        <f t="shared" si="175"/>
        <v/>
      </c>
      <c r="JU19" s="985" t="str">
        <f t="shared" si="175"/>
        <v/>
      </c>
      <c r="JV19" s="985" t="str">
        <f t="shared" si="175"/>
        <v/>
      </c>
      <c r="JW19" s="985" t="str">
        <f t="shared" si="175"/>
        <v/>
      </c>
      <c r="JX19" s="985" t="str">
        <f t="shared" si="175"/>
        <v/>
      </c>
      <c r="JY19" s="985" t="str">
        <f t="shared" si="175"/>
        <v/>
      </c>
      <c r="JZ19" s="985" t="str">
        <f t="shared" si="175"/>
        <v/>
      </c>
      <c r="KA19" s="985" t="str">
        <f t="shared" si="175"/>
        <v/>
      </c>
      <c r="KB19" s="987"/>
      <c r="KC19" s="985">
        <f t="shared" ref="KC19:KP19" si="176">IF(AND($I19&lt;&gt;""),IF(AND($P19&gt;KB$8,$P19&lt;=KC$8),$N19,""),"")</f>
        <v>0</v>
      </c>
      <c r="KD19" s="985" t="str">
        <f t="shared" si="176"/>
        <v/>
      </c>
      <c r="KE19" s="985" t="str">
        <f t="shared" si="176"/>
        <v/>
      </c>
      <c r="KF19" s="985" t="str">
        <f t="shared" si="176"/>
        <v/>
      </c>
      <c r="KG19" s="985" t="str">
        <f t="shared" si="176"/>
        <v/>
      </c>
      <c r="KH19" s="985" t="str">
        <f t="shared" si="176"/>
        <v/>
      </c>
      <c r="KI19" s="985" t="str">
        <f t="shared" si="176"/>
        <v/>
      </c>
      <c r="KJ19" s="985" t="str">
        <f t="shared" si="176"/>
        <v/>
      </c>
      <c r="KK19" s="985" t="str">
        <f t="shared" si="176"/>
        <v/>
      </c>
      <c r="KL19" s="985" t="str">
        <f t="shared" si="176"/>
        <v/>
      </c>
      <c r="KM19" s="985" t="str">
        <f t="shared" si="176"/>
        <v/>
      </c>
      <c r="KN19" s="985" t="str">
        <f t="shared" si="176"/>
        <v/>
      </c>
      <c r="KO19" s="985" t="str">
        <f t="shared" si="176"/>
        <v/>
      </c>
      <c r="KP19" s="985" t="str">
        <f t="shared" si="176"/>
        <v/>
      </c>
    </row>
    <row r="20" spans="2:302" ht="18" customHeight="1">
      <c r="B20" s="978">
        <f t="shared" si="0"/>
        <v>40</v>
      </c>
      <c r="C20" s="979" t="s">
        <v>704</v>
      </c>
      <c r="D20" s="979" t="s">
        <v>605</v>
      </c>
      <c r="E20" s="980">
        <v>0</v>
      </c>
      <c r="F20" s="979" t="s">
        <v>716</v>
      </c>
      <c r="G20" s="979" t="s">
        <v>605</v>
      </c>
      <c r="H20" s="980">
        <v>10</v>
      </c>
      <c r="I20" s="979" t="s">
        <v>832</v>
      </c>
      <c r="J20" s="979"/>
      <c r="K20" s="980">
        <v>1492.4</v>
      </c>
      <c r="L20" s="980"/>
      <c r="M20" s="980"/>
      <c r="N20" s="980"/>
      <c r="O20" s="980"/>
      <c r="P20" s="981">
        <v>0.02</v>
      </c>
      <c r="Q20" s="981">
        <f t="shared" si="1"/>
        <v>29.848000000000003</v>
      </c>
      <c r="R20" s="979" t="s">
        <v>704</v>
      </c>
      <c r="S20" s="979" t="s">
        <v>605</v>
      </c>
      <c r="T20" s="980">
        <v>0</v>
      </c>
      <c r="U20" s="979" t="s">
        <v>716</v>
      </c>
      <c r="V20" s="979" t="s">
        <v>605</v>
      </c>
      <c r="W20" s="980">
        <v>10</v>
      </c>
      <c r="X20" s="989" t="s">
        <v>832</v>
      </c>
      <c r="Y20" s="979"/>
      <c r="Z20" s="979"/>
      <c r="AA20" s="980">
        <v>1</v>
      </c>
      <c r="AB20" s="980">
        <f t="shared" si="2"/>
        <v>1492.4</v>
      </c>
      <c r="AC20" s="982" t="s">
        <v>939</v>
      </c>
      <c r="AD20" s="953"/>
      <c r="AE20" s="983" t="str">
        <f t="shared" si="3"/>
        <v/>
      </c>
      <c r="AF20" s="984" t="str">
        <f t="shared" si="4"/>
        <v>REB</v>
      </c>
      <c r="AG20" s="963"/>
      <c r="AH20" s="985" t="str">
        <f t="shared" ref="AH20:AO29" si="177">IF(AND($I20&lt;&gt;"",$AF20="CL"),IF(AND($P20&gt;AG$8,$P20&lt;=AH$8),$K20,""),"")</f>
        <v/>
      </c>
      <c r="AI20" s="985" t="str">
        <f t="shared" si="177"/>
        <v/>
      </c>
      <c r="AJ20" s="985" t="str">
        <f t="shared" si="177"/>
        <v/>
      </c>
      <c r="AK20" s="985" t="str">
        <f t="shared" si="177"/>
        <v/>
      </c>
      <c r="AL20" s="985" t="str">
        <f t="shared" si="177"/>
        <v/>
      </c>
      <c r="AM20" s="985" t="str">
        <f t="shared" si="177"/>
        <v/>
      </c>
      <c r="AN20" s="985" t="str">
        <f t="shared" si="177"/>
        <v/>
      </c>
      <c r="AO20" s="985" t="str">
        <f t="shared" si="177"/>
        <v/>
      </c>
      <c r="AP20" s="986"/>
      <c r="AQ20" s="985" t="str">
        <f t="shared" ref="AQ20:BD20" si="178">IF(AND($I20&lt;&gt;"",$AF20="C"),IF(AND($P20&gt;AP$8,$P20&lt;=AQ$8),$K20,""),"")</f>
        <v/>
      </c>
      <c r="AR20" s="985" t="str">
        <f t="shared" si="178"/>
        <v/>
      </c>
      <c r="AS20" s="985" t="str">
        <f t="shared" si="178"/>
        <v/>
      </c>
      <c r="AT20" s="985" t="str">
        <f t="shared" si="178"/>
        <v/>
      </c>
      <c r="AU20" s="985" t="str">
        <f t="shared" si="178"/>
        <v/>
      </c>
      <c r="AV20" s="985" t="str">
        <f t="shared" si="178"/>
        <v/>
      </c>
      <c r="AW20" s="985" t="str">
        <f t="shared" si="178"/>
        <v/>
      </c>
      <c r="AX20" s="985" t="str">
        <f t="shared" si="178"/>
        <v/>
      </c>
      <c r="AY20" s="985" t="str">
        <f t="shared" si="178"/>
        <v/>
      </c>
      <c r="AZ20" s="985" t="str">
        <f t="shared" si="178"/>
        <v/>
      </c>
      <c r="BA20" s="985" t="str">
        <f t="shared" si="178"/>
        <v/>
      </c>
      <c r="BB20" s="985" t="str">
        <f t="shared" si="178"/>
        <v/>
      </c>
      <c r="BC20" s="985" t="str">
        <f t="shared" si="178"/>
        <v/>
      </c>
      <c r="BD20" s="985" t="str">
        <f t="shared" si="178"/>
        <v/>
      </c>
      <c r="BE20" s="987"/>
      <c r="BF20" s="985" t="str">
        <f t="shared" ref="BF20:BS20" si="179">IF(AND($I20&lt;&gt;"",$AF20="C"),IF(AND($P20&gt;BE$8,$P20&lt;=BF$8),$L20,""),"")</f>
        <v/>
      </c>
      <c r="BG20" s="985" t="str">
        <f t="shared" si="179"/>
        <v/>
      </c>
      <c r="BH20" s="985" t="str">
        <f t="shared" si="179"/>
        <v/>
      </c>
      <c r="BI20" s="985" t="str">
        <f t="shared" si="179"/>
        <v/>
      </c>
      <c r="BJ20" s="985" t="str">
        <f t="shared" si="179"/>
        <v/>
      </c>
      <c r="BK20" s="985" t="str">
        <f t="shared" si="179"/>
        <v/>
      </c>
      <c r="BL20" s="985" t="str">
        <f t="shared" si="179"/>
        <v/>
      </c>
      <c r="BM20" s="985" t="str">
        <f t="shared" si="179"/>
        <v/>
      </c>
      <c r="BN20" s="985" t="str">
        <f t="shared" si="179"/>
        <v/>
      </c>
      <c r="BO20" s="985" t="str">
        <f t="shared" si="179"/>
        <v/>
      </c>
      <c r="BP20" s="985" t="str">
        <f t="shared" si="179"/>
        <v/>
      </c>
      <c r="BQ20" s="985" t="str">
        <f t="shared" si="179"/>
        <v/>
      </c>
      <c r="BR20" s="985" t="str">
        <f t="shared" si="179"/>
        <v/>
      </c>
      <c r="BS20" s="985" t="str">
        <f t="shared" si="179"/>
        <v/>
      </c>
      <c r="BU20" s="985" t="str">
        <f t="shared" ref="BU20:CF20" si="180">IF(AND($I20&lt;&gt;"",$AF20="C"),IF(AND($P20&gt;BT$8,$P20&lt;=BU$8),$M20,""),"")</f>
        <v/>
      </c>
      <c r="BV20" s="985" t="str">
        <f t="shared" si="180"/>
        <v/>
      </c>
      <c r="BW20" s="985" t="str">
        <f t="shared" si="180"/>
        <v/>
      </c>
      <c r="BX20" s="985" t="str">
        <f t="shared" si="180"/>
        <v/>
      </c>
      <c r="BY20" s="985" t="str">
        <f t="shared" si="180"/>
        <v/>
      </c>
      <c r="BZ20" s="985" t="str">
        <f t="shared" si="180"/>
        <v/>
      </c>
      <c r="CA20" s="985" t="str">
        <f t="shared" si="180"/>
        <v/>
      </c>
      <c r="CB20" s="985" t="str">
        <f t="shared" si="180"/>
        <v/>
      </c>
      <c r="CC20" s="985" t="str">
        <f t="shared" si="180"/>
        <v/>
      </c>
      <c r="CD20" s="985" t="str">
        <f t="shared" si="180"/>
        <v/>
      </c>
      <c r="CE20" s="985" t="str">
        <f t="shared" si="180"/>
        <v/>
      </c>
      <c r="CF20" s="985" t="str">
        <f t="shared" si="180"/>
        <v/>
      </c>
      <c r="CG20" s="987"/>
      <c r="CH20" s="985" t="str">
        <f t="shared" ref="CH20:CN29" si="181">IF(AND($I20&lt;&gt;"",$AF20="SM"),IF(AND($P20&gt;CG$8,$P20&lt;=CH$8),$N20,""),"")</f>
        <v/>
      </c>
      <c r="CI20" s="985" t="str">
        <f t="shared" si="181"/>
        <v/>
      </c>
      <c r="CJ20" s="985" t="str">
        <f t="shared" si="181"/>
        <v/>
      </c>
      <c r="CK20" s="985" t="str">
        <f t="shared" si="181"/>
        <v/>
      </c>
      <c r="CL20" s="985" t="str">
        <f t="shared" si="181"/>
        <v/>
      </c>
      <c r="CM20" s="985" t="str">
        <f t="shared" si="181"/>
        <v/>
      </c>
      <c r="CN20" s="985" t="str">
        <f t="shared" si="181"/>
        <v/>
      </c>
      <c r="CP20" s="988" t="str">
        <f t="shared" ref="CP20:DC20" si="182">IF(AND($I20&lt;&gt;"",OR($AF20="ELE",$AF20="ELD",$AF20="CX")),IF(AND($P20&gt;CO$8,$P20&lt;=CP$8),$K20,""),"")</f>
        <v/>
      </c>
      <c r="CQ20" s="988" t="str">
        <f t="shared" si="182"/>
        <v/>
      </c>
      <c r="CR20" s="988" t="str">
        <f t="shared" si="182"/>
        <v/>
      </c>
      <c r="CS20" s="988" t="str">
        <f t="shared" si="182"/>
        <v/>
      </c>
      <c r="CT20" s="988" t="str">
        <f t="shared" si="182"/>
        <v/>
      </c>
      <c r="CU20" s="988" t="str">
        <f t="shared" si="182"/>
        <v/>
      </c>
      <c r="CV20" s="988" t="str">
        <f t="shared" si="182"/>
        <v/>
      </c>
      <c r="CW20" s="988" t="str">
        <f t="shared" si="182"/>
        <v/>
      </c>
      <c r="CX20" s="988" t="str">
        <f t="shared" si="182"/>
        <v/>
      </c>
      <c r="CY20" s="988" t="str">
        <f t="shared" si="182"/>
        <v/>
      </c>
      <c r="CZ20" s="988" t="str">
        <f t="shared" si="182"/>
        <v/>
      </c>
      <c r="DA20" s="988" t="str">
        <f t="shared" si="182"/>
        <v/>
      </c>
      <c r="DB20" s="988" t="str">
        <f t="shared" si="182"/>
        <v/>
      </c>
      <c r="DC20" s="988" t="str">
        <f t="shared" si="182"/>
        <v/>
      </c>
      <c r="DE20" s="988">
        <f t="shared" ref="DE20:DR20" si="183">IF(AND($X20&lt;&gt;"",$AC20="CF"),IF(AND($P20&gt;DD$8,$P20&lt;=DE$8),$AB20,""),"")</f>
        <v>1492.4</v>
      </c>
      <c r="DF20" s="988" t="str">
        <f t="shared" si="183"/>
        <v/>
      </c>
      <c r="DG20" s="988" t="str">
        <f t="shared" si="183"/>
        <v/>
      </c>
      <c r="DH20" s="988" t="str">
        <f t="shared" si="183"/>
        <v/>
      </c>
      <c r="DI20" s="988" t="str">
        <f t="shared" si="183"/>
        <v/>
      </c>
      <c r="DJ20" s="988" t="str">
        <f t="shared" si="183"/>
        <v/>
      </c>
      <c r="DK20" s="988" t="str">
        <f t="shared" si="183"/>
        <v/>
      </c>
      <c r="DL20" s="988" t="str">
        <f t="shared" si="183"/>
        <v/>
      </c>
      <c r="DM20" s="988" t="str">
        <f t="shared" si="183"/>
        <v/>
      </c>
      <c r="DN20" s="988" t="str">
        <f t="shared" si="183"/>
        <v/>
      </c>
      <c r="DO20" s="988" t="str">
        <f t="shared" si="183"/>
        <v/>
      </c>
      <c r="DP20" s="988" t="str">
        <f t="shared" si="183"/>
        <v/>
      </c>
      <c r="DQ20" s="988" t="str">
        <f t="shared" si="183"/>
        <v/>
      </c>
      <c r="DR20" s="988" t="str">
        <f t="shared" si="183"/>
        <v/>
      </c>
      <c r="DT20" s="988" t="str">
        <f t="shared" ref="DT20:EG20" si="184">IF(AND($X20&lt;&gt;"",$AC20="CA"),IF(AND($P20&gt;DS$8,$P20&lt;=DT$8),$AB20,""),"")</f>
        <v/>
      </c>
      <c r="DU20" s="988" t="str">
        <f t="shared" si="184"/>
        <v/>
      </c>
      <c r="DV20" s="988" t="str">
        <f t="shared" si="184"/>
        <v/>
      </c>
      <c r="DW20" s="988" t="str">
        <f t="shared" si="184"/>
        <v/>
      </c>
      <c r="DX20" s="988" t="str">
        <f t="shared" si="184"/>
        <v/>
      </c>
      <c r="DY20" s="988" t="str">
        <f t="shared" si="184"/>
        <v/>
      </c>
      <c r="DZ20" s="988" t="str">
        <f t="shared" si="184"/>
        <v/>
      </c>
      <c r="EA20" s="988" t="str">
        <f t="shared" si="184"/>
        <v/>
      </c>
      <c r="EB20" s="988" t="str">
        <f t="shared" si="184"/>
        <v/>
      </c>
      <c r="EC20" s="988" t="str">
        <f t="shared" si="184"/>
        <v/>
      </c>
      <c r="ED20" s="988" t="str">
        <f t="shared" si="184"/>
        <v/>
      </c>
      <c r="EE20" s="988" t="str">
        <f t="shared" si="184"/>
        <v/>
      </c>
      <c r="EF20" s="988" t="str">
        <f t="shared" si="184"/>
        <v/>
      </c>
      <c r="EG20" s="988" t="str">
        <f t="shared" si="184"/>
        <v/>
      </c>
      <c r="EI20" s="988" t="str">
        <f t="shared" ref="EI20:EV20" si="185">IF($AE20="BFC",IF(AND($P20&gt;EH$8,$P20&lt;=EI$8),$AB20,""),"")</f>
        <v/>
      </c>
      <c r="EJ20" s="988" t="str">
        <f t="shared" si="185"/>
        <v/>
      </c>
      <c r="EK20" s="988" t="str">
        <f t="shared" si="185"/>
        <v/>
      </c>
      <c r="EL20" s="988" t="str">
        <f t="shared" si="185"/>
        <v/>
      </c>
      <c r="EM20" s="988" t="str">
        <f t="shared" si="185"/>
        <v/>
      </c>
      <c r="EN20" s="988" t="str">
        <f t="shared" si="185"/>
        <v/>
      </c>
      <c r="EO20" s="988" t="str">
        <f t="shared" si="185"/>
        <v/>
      </c>
      <c r="EP20" s="988" t="str">
        <f t="shared" si="185"/>
        <v/>
      </c>
      <c r="EQ20" s="988" t="str">
        <f t="shared" si="185"/>
        <v/>
      </c>
      <c r="ER20" s="988" t="str">
        <f t="shared" si="185"/>
        <v/>
      </c>
      <c r="ES20" s="988" t="str">
        <f t="shared" si="185"/>
        <v/>
      </c>
      <c r="ET20" s="988" t="str">
        <f t="shared" si="185"/>
        <v/>
      </c>
      <c r="EU20" s="988" t="str">
        <f t="shared" si="185"/>
        <v/>
      </c>
      <c r="EV20" s="988" t="str">
        <f t="shared" si="185"/>
        <v/>
      </c>
      <c r="EX20" s="988" t="str">
        <f t="shared" ref="EX20:FK20" si="186">IF($AE20="BFN",IF(AND($P20&gt;EW$8,$P20&lt;=EX$8),$AB20,""),"")</f>
        <v/>
      </c>
      <c r="EY20" s="988" t="str">
        <f t="shared" si="186"/>
        <v/>
      </c>
      <c r="EZ20" s="988" t="str">
        <f t="shared" si="186"/>
        <v/>
      </c>
      <c r="FA20" s="988" t="str">
        <f t="shared" si="186"/>
        <v/>
      </c>
      <c r="FB20" s="988" t="str">
        <f t="shared" si="186"/>
        <v/>
      </c>
      <c r="FC20" s="988" t="str">
        <f t="shared" si="186"/>
        <v/>
      </c>
      <c r="FD20" s="988" t="str">
        <f t="shared" si="186"/>
        <v/>
      </c>
      <c r="FE20" s="988" t="str">
        <f t="shared" si="186"/>
        <v/>
      </c>
      <c r="FF20" s="988" t="str">
        <f t="shared" si="186"/>
        <v/>
      </c>
      <c r="FG20" s="988" t="str">
        <f t="shared" si="186"/>
        <v/>
      </c>
      <c r="FH20" s="988" t="str">
        <f t="shared" si="186"/>
        <v/>
      </c>
      <c r="FI20" s="988" t="str">
        <f t="shared" si="186"/>
        <v/>
      </c>
      <c r="FJ20" s="988" t="str">
        <f t="shared" si="186"/>
        <v/>
      </c>
      <c r="FK20" s="988" t="str">
        <f t="shared" si="186"/>
        <v/>
      </c>
      <c r="FM20" s="988" t="str">
        <f t="shared" ref="FM20:FZ20" si="187">IF(AND($I20&lt;&gt;"",$AF20="RCS"),IF(AND($P20&gt;FL$8,$P20&lt;=FM$8),SUM($K20:$M20),""),"")</f>
        <v/>
      </c>
      <c r="FN20" s="988" t="str">
        <f t="shared" si="187"/>
        <v/>
      </c>
      <c r="FO20" s="988" t="str">
        <f t="shared" si="187"/>
        <v/>
      </c>
      <c r="FP20" s="988" t="str">
        <f t="shared" si="187"/>
        <v/>
      </c>
      <c r="FQ20" s="988" t="str">
        <f t="shared" si="187"/>
        <v/>
      </c>
      <c r="FR20" s="988" t="str">
        <f t="shared" si="187"/>
        <v/>
      </c>
      <c r="FS20" s="988" t="str">
        <f t="shared" si="187"/>
        <v/>
      </c>
      <c r="FT20" s="988" t="str">
        <f t="shared" si="187"/>
        <v/>
      </c>
      <c r="FU20" s="988" t="str">
        <f t="shared" si="187"/>
        <v/>
      </c>
      <c r="FV20" s="988" t="str">
        <f t="shared" si="187"/>
        <v/>
      </c>
      <c r="FW20" s="988" t="str">
        <f t="shared" si="187"/>
        <v/>
      </c>
      <c r="FX20" s="988" t="str">
        <f t="shared" si="187"/>
        <v/>
      </c>
      <c r="FY20" s="988" t="str">
        <f t="shared" si="187"/>
        <v/>
      </c>
      <c r="FZ20" s="988" t="str">
        <f t="shared" si="187"/>
        <v/>
      </c>
      <c r="GB20" s="988" t="str">
        <f t="shared" ref="GB20:GO20" si="188">IF(AND($I20&lt;&gt;"",$AF20="REC"),IF(AND($P20&gt;GA$8,$P20&lt;=GB$8),SUM($K20:$M20),""),"")</f>
        <v/>
      </c>
      <c r="GC20" s="988" t="str">
        <f t="shared" si="188"/>
        <v/>
      </c>
      <c r="GD20" s="988" t="str">
        <f t="shared" si="188"/>
        <v/>
      </c>
      <c r="GE20" s="988" t="str">
        <f t="shared" si="188"/>
        <v/>
      </c>
      <c r="GF20" s="988" t="str">
        <f t="shared" si="188"/>
        <v/>
      </c>
      <c r="GG20" s="988" t="str">
        <f t="shared" si="188"/>
        <v/>
      </c>
      <c r="GH20" s="988" t="str">
        <f t="shared" si="188"/>
        <v/>
      </c>
      <c r="GI20" s="988" t="str">
        <f t="shared" si="188"/>
        <v/>
      </c>
      <c r="GJ20" s="988" t="str">
        <f t="shared" si="188"/>
        <v/>
      </c>
      <c r="GK20" s="988" t="str">
        <f t="shared" si="188"/>
        <v/>
      </c>
      <c r="GL20" s="988" t="str">
        <f t="shared" si="188"/>
        <v/>
      </c>
      <c r="GM20" s="988" t="str">
        <f t="shared" si="188"/>
        <v/>
      </c>
      <c r="GN20" s="988" t="str">
        <f t="shared" si="188"/>
        <v/>
      </c>
      <c r="GO20" s="988" t="str">
        <f t="shared" si="188"/>
        <v/>
      </c>
      <c r="GQ20" s="988">
        <f t="shared" ref="GQ20:HD20" si="189">IF(AND($I20&lt;&gt;"",$AF20="REB"),IF(AND($P20&gt;GP$8,$P20&lt;=GQ$8),SUM($K20:$M20),""),"")</f>
        <v>1492.4</v>
      </c>
      <c r="GR20" s="988" t="str">
        <f t="shared" si="189"/>
        <v/>
      </c>
      <c r="GS20" s="988" t="str">
        <f t="shared" si="189"/>
        <v/>
      </c>
      <c r="GT20" s="988" t="str">
        <f t="shared" si="189"/>
        <v/>
      </c>
      <c r="GU20" s="988" t="str">
        <f t="shared" si="189"/>
        <v/>
      </c>
      <c r="GV20" s="988" t="str">
        <f t="shared" si="189"/>
        <v/>
      </c>
      <c r="GW20" s="988" t="str">
        <f t="shared" si="189"/>
        <v/>
      </c>
      <c r="GX20" s="988" t="str">
        <f t="shared" si="189"/>
        <v/>
      </c>
      <c r="GY20" s="988" t="str">
        <f t="shared" si="189"/>
        <v/>
      </c>
      <c r="GZ20" s="988" t="str">
        <f t="shared" si="189"/>
        <v/>
      </c>
      <c r="HA20" s="988" t="str">
        <f t="shared" si="189"/>
        <v/>
      </c>
      <c r="HB20" s="988" t="str">
        <f t="shared" si="189"/>
        <v/>
      </c>
      <c r="HC20" s="988" t="str">
        <f t="shared" si="189"/>
        <v/>
      </c>
      <c r="HD20" s="988" t="str">
        <f t="shared" si="189"/>
        <v/>
      </c>
      <c r="HF20" s="988" t="str">
        <f t="shared" ref="HF20:HS20" si="190">IF(AND($I20&lt;&gt;"",$AF20="RBS"),IF(AND($P20&gt;HE$8,$P20&lt;=HF$8),SUM($K20:$M20),""),"")</f>
        <v/>
      </c>
      <c r="HG20" s="988" t="str">
        <f t="shared" si="190"/>
        <v/>
      </c>
      <c r="HH20" s="988" t="str">
        <f t="shared" si="190"/>
        <v/>
      </c>
      <c r="HI20" s="988" t="str">
        <f t="shared" si="190"/>
        <v/>
      </c>
      <c r="HJ20" s="988" t="str">
        <f t="shared" si="190"/>
        <v/>
      </c>
      <c r="HK20" s="988" t="str">
        <f t="shared" si="190"/>
        <v/>
      </c>
      <c r="HL20" s="988" t="str">
        <f t="shared" si="190"/>
        <v/>
      </c>
      <c r="HM20" s="988" t="str">
        <f t="shared" si="190"/>
        <v/>
      </c>
      <c r="HN20" s="988" t="str">
        <f t="shared" si="190"/>
        <v/>
      </c>
      <c r="HO20" s="988" t="str">
        <f t="shared" si="190"/>
        <v/>
      </c>
      <c r="HP20" s="988" t="str">
        <f t="shared" si="190"/>
        <v/>
      </c>
      <c r="HQ20" s="988" t="str">
        <f t="shared" si="190"/>
        <v/>
      </c>
      <c r="HR20" s="988" t="str">
        <f t="shared" si="190"/>
        <v/>
      </c>
      <c r="HS20" s="988" t="str">
        <f t="shared" si="190"/>
        <v/>
      </c>
      <c r="HU20" s="988" t="str">
        <f t="shared" ref="HU20:IH20" si="191">IF(AND($I20&lt;&gt;"",$AF20="RCD"),IF(AND($P20&gt;HT$8,$P20&lt;=HU$8),SUM($K20:$M20),""),"")</f>
        <v/>
      </c>
      <c r="HV20" s="988" t="str">
        <f t="shared" si="191"/>
        <v/>
      </c>
      <c r="HW20" s="988" t="str">
        <f t="shared" si="191"/>
        <v/>
      </c>
      <c r="HX20" s="988" t="str">
        <f t="shared" si="191"/>
        <v/>
      </c>
      <c r="HY20" s="988" t="str">
        <f t="shared" si="191"/>
        <v/>
      </c>
      <c r="HZ20" s="988" t="str">
        <f t="shared" si="191"/>
        <v/>
      </c>
      <c r="IA20" s="988" t="str">
        <f t="shared" si="191"/>
        <v/>
      </c>
      <c r="IB20" s="988" t="str">
        <f t="shared" si="191"/>
        <v/>
      </c>
      <c r="IC20" s="988" t="str">
        <f t="shared" si="191"/>
        <v/>
      </c>
      <c r="ID20" s="988" t="str">
        <f t="shared" si="191"/>
        <v/>
      </c>
      <c r="IE20" s="988" t="str">
        <f t="shared" si="191"/>
        <v/>
      </c>
      <c r="IF20" s="988" t="str">
        <f t="shared" si="191"/>
        <v/>
      </c>
      <c r="IG20" s="988" t="str">
        <f t="shared" si="191"/>
        <v/>
      </c>
      <c r="IH20" s="988" t="str">
        <f t="shared" si="191"/>
        <v/>
      </c>
      <c r="IJ20" s="985">
        <f t="shared" ref="IJ20:IW20" si="192">IF(AND($I20&lt;&gt;""),IF(AND($P20&gt;II$8,$P20&lt;=IJ$8),$K20,""),"")</f>
        <v>1492.4</v>
      </c>
      <c r="IK20" s="985" t="str">
        <f t="shared" si="192"/>
        <v/>
      </c>
      <c r="IL20" s="985" t="str">
        <f t="shared" si="192"/>
        <v/>
      </c>
      <c r="IM20" s="985" t="str">
        <f t="shared" si="192"/>
        <v/>
      </c>
      <c r="IN20" s="985" t="str">
        <f t="shared" si="192"/>
        <v/>
      </c>
      <c r="IO20" s="985" t="str">
        <f t="shared" si="192"/>
        <v/>
      </c>
      <c r="IP20" s="985" t="str">
        <f t="shared" si="192"/>
        <v/>
      </c>
      <c r="IQ20" s="985" t="str">
        <f t="shared" si="192"/>
        <v/>
      </c>
      <c r="IR20" s="985" t="str">
        <f t="shared" si="192"/>
        <v/>
      </c>
      <c r="IS20" s="985" t="str">
        <f t="shared" si="192"/>
        <v/>
      </c>
      <c r="IT20" s="985" t="str">
        <f t="shared" si="192"/>
        <v/>
      </c>
      <c r="IU20" s="985" t="str">
        <f t="shared" si="192"/>
        <v/>
      </c>
      <c r="IV20" s="985" t="str">
        <f t="shared" si="192"/>
        <v/>
      </c>
      <c r="IW20" s="985" t="str">
        <f t="shared" si="192"/>
        <v/>
      </c>
      <c r="IX20" s="987"/>
      <c r="IY20" s="985">
        <f t="shared" ref="IY20:JL20" si="193">IF(AND($I20&lt;&gt;""),IF(AND($P20&gt;IX$8,$P20&lt;=IY$8),$L20,""),"")</f>
        <v>0</v>
      </c>
      <c r="IZ20" s="985" t="str">
        <f t="shared" si="193"/>
        <v/>
      </c>
      <c r="JA20" s="985" t="str">
        <f t="shared" si="193"/>
        <v/>
      </c>
      <c r="JB20" s="985" t="str">
        <f t="shared" si="193"/>
        <v/>
      </c>
      <c r="JC20" s="985" t="str">
        <f t="shared" si="193"/>
        <v/>
      </c>
      <c r="JD20" s="985" t="str">
        <f t="shared" si="193"/>
        <v/>
      </c>
      <c r="JE20" s="985" t="str">
        <f t="shared" si="193"/>
        <v/>
      </c>
      <c r="JF20" s="985" t="str">
        <f t="shared" si="193"/>
        <v/>
      </c>
      <c r="JG20" s="985" t="str">
        <f t="shared" si="193"/>
        <v/>
      </c>
      <c r="JH20" s="985" t="str">
        <f t="shared" si="193"/>
        <v/>
      </c>
      <c r="JI20" s="985" t="str">
        <f t="shared" si="193"/>
        <v/>
      </c>
      <c r="JJ20" s="985" t="str">
        <f t="shared" si="193"/>
        <v/>
      </c>
      <c r="JK20" s="985" t="str">
        <f t="shared" si="193"/>
        <v/>
      </c>
      <c r="JL20" s="985" t="str">
        <f t="shared" si="193"/>
        <v/>
      </c>
      <c r="JM20" s="987"/>
      <c r="JN20" s="985">
        <f t="shared" ref="JN20:KA20" si="194">IF(AND($I20&lt;&gt;""),IF(AND($P20&gt;JM$8,$P20&lt;=JN$8),$M20,""),"")</f>
        <v>0</v>
      </c>
      <c r="JO20" s="985" t="str">
        <f t="shared" si="194"/>
        <v/>
      </c>
      <c r="JP20" s="985" t="str">
        <f t="shared" si="194"/>
        <v/>
      </c>
      <c r="JQ20" s="985" t="str">
        <f t="shared" si="194"/>
        <v/>
      </c>
      <c r="JR20" s="985" t="str">
        <f t="shared" si="194"/>
        <v/>
      </c>
      <c r="JS20" s="985" t="str">
        <f t="shared" si="194"/>
        <v/>
      </c>
      <c r="JT20" s="985" t="str">
        <f t="shared" si="194"/>
        <v/>
      </c>
      <c r="JU20" s="985" t="str">
        <f t="shared" si="194"/>
        <v/>
      </c>
      <c r="JV20" s="985" t="str">
        <f t="shared" si="194"/>
        <v/>
      </c>
      <c r="JW20" s="985" t="str">
        <f t="shared" si="194"/>
        <v/>
      </c>
      <c r="JX20" s="985" t="str">
        <f t="shared" si="194"/>
        <v/>
      </c>
      <c r="JY20" s="985" t="str">
        <f t="shared" si="194"/>
        <v/>
      </c>
      <c r="JZ20" s="985" t="str">
        <f t="shared" si="194"/>
        <v/>
      </c>
      <c r="KA20" s="985" t="str">
        <f t="shared" si="194"/>
        <v/>
      </c>
      <c r="KB20" s="987"/>
      <c r="KC20" s="985">
        <f t="shared" ref="KC20:KP20" si="195">IF(AND($I20&lt;&gt;""),IF(AND($P20&gt;KB$8,$P20&lt;=KC$8),$N20,""),"")</f>
        <v>0</v>
      </c>
      <c r="KD20" s="985" t="str">
        <f t="shared" si="195"/>
        <v/>
      </c>
      <c r="KE20" s="985" t="str">
        <f t="shared" si="195"/>
        <v/>
      </c>
      <c r="KF20" s="985" t="str">
        <f t="shared" si="195"/>
        <v/>
      </c>
      <c r="KG20" s="985" t="str">
        <f t="shared" si="195"/>
        <v/>
      </c>
      <c r="KH20" s="985" t="str">
        <f t="shared" si="195"/>
        <v/>
      </c>
      <c r="KI20" s="985" t="str">
        <f t="shared" si="195"/>
        <v/>
      </c>
      <c r="KJ20" s="985" t="str">
        <f t="shared" si="195"/>
        <v/>
      </c>
      <c r="KK20" s="985" t="str">
        <f t="shared" si="195"/>
        <v/>
      </c>
      <c r="KL20" s="985" t="str">
        <f t="shared" si="195"/>
        <v/>
      </c>
      <c r="KM20" s="985" t="str">
        <f t="shared" si="195"/>
        <v/>
      </c>
      <c r="KN20" s="985" t="str">
        <f t="shared" si="195"/>
        <v/>
      </c>
      <c r="KO20" s="985" t="str">
        <f t="shared" si="195"/>
        <v/>
      </c>
      <c r="KP20" s="985" t="str">
        <f t="shared" si="195"/>
        <v/>
      </c>
    </row>
    <row r="21" spans="2:302" ht="18" customHeight="1">
      <c r="B21" s="978">
        <f t="shared" si="0"/>
        <v>41</v>
      </c>
      <c r="C21" s="979" t="s">
        <v>704</v>
      </c>
      <c r="D21" s="979" t="s">
        <v>605</v>
      </c>
      <c r="E21" s="980">
        <v>10</v>
      </c>
      <c r="F21" s="979" t="s">
        <v>722</v>
      </c>
      <c r="G21" s="979" t="s">
        <v>605</v>
      </c>
      <c r="H21" s="980">
        <v>0</v>
      </c>
      <c r="I21" s="979" t="s">
        <v>834</v>
      </c>
      <c r="J21" s="979"/>
      <c r="K21" s="980">
        <v>37.38000000000001</v>
      </c>
      <c r="L21" s="980"/>
      <c r="M21" s="980"/>
      <c r="N21" s="980"/>
      <c r="O21" s="980"/>
      <c r="P21" s="981">
        <v>0.02</v>
      </c>
      <c r="Q21" s="981">
        <f t="shared" si="1"/>
        <v>0.74760000000000026</v>
      </c>
      <c r="R21" s="979" t="s">
        <v>704</v>
      </c>
      <c r="S21" s="979" t="s">
        <v>605</v>
      </c>
      <c r="T21" s="980">
        <v>10</v>
      </c>
      <c r="U21" s="979" t="s">
        <v>722</v>
      </c>
      <c r="V21" s="979" t="s">
        <v>605</v>
      </c>
      <c r="W21" s="980">
        <v>0</v>
      </c>
      <c r="X21" s="979" t="s">
        <v>834</v>
      </c>
      <c r="Y21" s="979"/>
      <c r="Z21" s="979"/>
      <c r="AA21" s="980">
        <v>1.3</v>
      </c>
      <c r="AB21" s="980">
        <f t="shared" si="2"/>
        <v>28.753846153846162</v>
      </c>
      <c r="AC21" s="982" t="s">
        <v>939</v>
      </c>
      <c r="AD21" s="953"/>
      <c r="AE21" s="983" t="str">
        <f t="shared" si="3"/>
        <v/>
      </c>
      <c r="AF21" s="984" t="str">
        <f t="shared" si="4"/>
        <v>CL</v>
      </c>
      <c r="AG21" s="963"/>
      <c r="AH21" s="985">
        <f t="shared" si="177"/>
        <v>37.38000000000001</v>
      </c>
      <c r="AI21" s="985" t="str">
        <f t="shared" si="177"/>
        <v/>
      </c>
      <c r="AJ21" s="985" t="str">
        <f t="shared" si="177"/>
        <v/>
      </c>
      <c r="AK21" s="985" t="str">
        <f t="shared" si="177"/>
        <v/>
      </c>
      <c r="AL21" s="985" t="str">
        <f t="shared" si="177"/>
        <v/>
      </c>
      <c r="AM21" s="985" t="str">
        <f t="shared" si="177"/>
        <v/>
      </c>
      <c r="AN21" s="985" t="str">
        <f t="shared" si="177"/>
        <v/>
      </c>
      <c r="AO21" s="985" t="str">
        <f t="shared" si="177"/>
        <v/>
      </c>
      <c r="AP21" s="986"/>
      <c r="AQ21" s="985" t="str">
        <f t="shared" ref="AQ21:BD21" si="196">IF(AND($I21&lt;&gt;"",$AF21="C"),IF(AND($P21&gt;AP$8,$P21&lt;=AQ$8),$K21,""),"")</f>
        <v/>
      </c>
      <c r="AR21" s="985" t="str">
        <f t="shared" si="196"/>
        <v/>
      </c>
      <c r="AS21" s="985" t="str">
        <f t="shared" si="196"/>
        <v/>
      </c>
      <c r="AT21" s="985" t="str">
        <f t="shared" si="196"/>
        <v/>
      </c>
      <c r="AU21" s="985" t="str">
        <f t="shared" si="196"/>
        <v/>
      </c>
      <c r="AV21" s="985" t="str">
        <f t="shared" si="196"/>
        <v/>
      </c>
      <c r="AW21" s="985" t="str">
        <f t="shared" si="196"/>
        <v/>
      </c>
      <c r="AX21" s="985" t="str">
        <f t="shared" si="196"/>
        <v/>
      </c>
      <c r="AY21" s="985" t="str">
        <f t="shared" si="196"/>
        <v/>
      </c>
      <c r="AZ21" s="985" t="str">
        <f t="shared" si="196"/>
        <v/>
      </c>
      <c r="BA21" s="985" t="str">
        <f t="shared" si="196"/>
        <v/>
      </c>
      <c r="BB21" s="985" t="str">
        <f t="shared" si="196"/>
        <v/>
      </c>
      <c r="BC21" s="985" t="str">
        <f t="shared" si="196"/>
        <v/>
      </c>
      <c r="BD21" s="985" t="str">
        <f t="shared" si="196"/>
        <v/>
      </c>
      <c r="BE21" s="987"/>
      <c r="BF21" s="985" t="str">
        <f t="shared" ref="BF21:BS21" si="197">IF(AND($I21&lt;&gt;"",$AF21="C"),IF(AND($P21&gt;BE$8,$P21&lt;=BF$8),$L21,""),"")</f>
        <v/>
      </c>
      <c r="BG21" s="985" t="str">
        <f t="shared" si="197"/>
        <v/>
      </c>
      <c r="BH21" s="985" t="str">
        <f t="shared" si="197"/>
        <v/>
      </c>
      <c r="BI21" s="985" t="str">
        <f t="shared" si="197"/>
        <v/>
      </c>
      <c r="BJ21" s="985" t="str">
        <f t="shared" si="197"/>
        <v/>
      </c>
      <c r="BK21" s="985" t="str">
        <f t="shared" si="197"/>
        <v/>
      </c>
      <c r="BL21" s="985" t="str">
        <f t="shared" si="197"/>
        <v/>
      </c>
      <c r="BM21" s="985" t="str">
        <f t="shared" si="197"/>
        <v/>
      </c>
      <c r="BN21" s="985" t="str">
        <f t="shared" si="197"/>
        <v/>
      </c>
      <c r="BO21" s="985" t="str">
        <f t="shared" si="197"/>
        <v/>
      </c>
      <c r="BP21" s="985" t="str">
        <f t="shared" si="197"/>
        <v/>
      </c>
      <c r="BQ21" s="985" t="str">
        <f t="shared" si="197"/>
        <v/>
      </c>
      <c r="BR21" s="985" t="str">
        <f t="shared" si="197"/>
        <v/>
      </c>
      <c r="BS21" s="985" t="str">
        <f t="shared" si="197"/>
        <v/>
      </c>
      <c r="BU21" s="985" t="str">
        <f t="shared" ref="BU21:CF21" si="198">IF(AND($I21&lt;&gt;"",$AF21="C"),IF(AND($P21&gt;BT$8,$P21&lt;=BU$8),$M21,""),"")</f>
        <v/>
      </c>
      <c r="BV21" s="985" t="str">
        <f t="shared" si="198"/>
        <v/>
      </c>
      <c r="BW21" s="985" t="str">
        <f t="shared" si="198"/>
        <v/>
      </c>
      <c r="BX21" s="985" t="str">
        <f t="shared" si="198"/>
        <v/>
      </c>
      <c r="BY21" s="985" t="str">
        <f t="shared" si="198"/>
        <v/>
      </c>
      <c r="BZ21" s="985" t="str">
        <f t="shared" si="198"/>
        <v/>
      </c>
      <c r="CA21" s="985" t="str">
        <f t="shared" si="198"/>
        <v/>
      </c>
      <c r="CB21" s="985" t="str">
        <f t="shared" si="198"/>
        <v/>
      </c>
      <c r="CC21" s="985" t="str">
        <f t="shared" si="198"/>
        <v/>
      </c>
      <c r="CD21" s="985" t="str">
        <f t="shared" si="198"/>
        <v/>
      </c>
      <c r="CE21" s="985" t="str">
        <f t="shared" si="198"/>
        <v/>
      </c>
      <c r="CF21" s="985" t="str">
        <f t="shared" si="198"/>
        <v/>
      </c>
      <c r="CG21" s="987"/>
      <c r="CH21" s="985" t="str">
        <f t="shared" si="181"/>
        <v/>
      </c>
      <c r="CI21" s="985" t="str">
        <f t="shared" si="181"/>
        <v/>
      </c>
      <c r="CJ21" s="985" t="str">
        <f t="shared" si="181"/>
        <v/>
      </c>
      <c r="CK21" s="985" t="str">
        <f t="shared" si="181"/>
        <v/>
      </c>
      <c r="CL21" s="985" t="str">
        <f t="shared" si="181"/>
        <v/>
      </c>
      <c r="CM21" s="985" t="str">
        <f t="shared" si="181"/>
        <v/>
      </c>
      <c r="CN21" s="985" t="str">
        <f t="shared" si="181"/>
        <v/>
      </c>
      <c r="CP21" s="988" t="str">
        <f t="shared" ref="CP21:DC21" si="199">IF(AND($I21&lt;&gt;"",OR($AF21="ELE",$AF21="ELD",$AF21="CX")),IF(AND($P21&gt;CO$8,$P21&lt;=CP$8),$K21,""),"")</f>
        <v/>
      </c>
      <c r="CQ21" s="988" t="str">
        <f t="shared" si="199"/>
        <v/>
      </c>
      <c r="CR21" s="988" t="str">
        <f t="shared" si="199"/>
        <v/>
      </c>
      <c r="CS21" s="988" t="str">
        <f t="shared" si="199"/>
        <v/>
      </c>
      <c r="CT21" s="988" t="str">
        <f t="shared" si="199"/>
        <v/>
      </c>
      <c r="CU21" s="988" t="str">
        <f t="shared" si="199"/>
        <v/>
      </c>
      <c r="CV21" s="988" t="str">
        <f t="shared" si="199"/>
        <v/>
      </c>
      <c r="CW21" s="988" t="str">
        <f t="shared" si="199"/>
        <v/>
      </c>
      <c r="CX21" s="988" t="str">
        <f t="shared" si="199"/>
        <v/>
      </c>
      <c r="CY21" s="988" t="str">
        <f t="shared" si="199"/>
        <v/>
      </c>
      <c r="CZ21" s="988" t="str">
        <f t="shared" si="199"/>
        <v/>
      </c>
      <c r="DA21" s="988" t="str">
        <f t="shared" si="199"/>
        <v/>
      </c>
      <c r="DB21" s="988" t="str">
        <f t="shared" si="199"/>
        <v/>
      </c>
      <c r="DC21" s="988" t="str">
        <f t="shared" si="199"/>
        <v/>
      </c>
      <c r="DE21" s="988">
        <f t="shared" ref="DE21:DR21" si="200">IF(AND($X21&lt;&gt;"",$AC21="CF"),IF(AND($P21&gt;DD$8,$P21&lt;=DE$8),$AB21,""),"")</f>
        <v>28.753846153846162</v>
      </c>
      <c r="DF21" s="988" t="str">
        <f t="shared" si="200"/>
        <v/>
      </c>
      <c r="DG21" s="988" t="str">
        <f t="shared" si="200"/>
        <v/>
      </c>
      <c r="DH21" s="988" t="str">
        <f t="shared" si="200"/>
        <v/>
      </c>
      <c r="DI21" s="988" t="str">
        <f t="shared" si="200"/>
        <v/>
      </c>
      <c r="DJ21" s="988" t="str">
        <f t="shared" si="200"/>
        <v/>
      </c>
      <c r="DK21" s="988" t="str">
        <f t="shared" si="200"/>
        <v/>
      </c>
      <c r="DL21" s="988" t="str">
        <f t="shared" si="200"/>
        <v/>
      </c>
      <c r="DM21" s="988" t="str">
        <f t="shared" si="200"/>
        <v/>
      </c>
      <c r="DN21" s="988" t="str">
        <f t="shared" si="200"/>
        <v/>
      </c>
      <c r="DO21" s="988" t="str">
        <f t="shared" si="200"/>
        <v/>
      </c>
      <c r="DP21" s="988" t="str">
        <f t="shared" si="200"/>
        <v/>
      </c>
      <c r="DQ21" s="988" t="str">
        <f t="shared" si="200"/>
        <v/>
      </c>
      <c r="DR21" s="988" t="str">
        <f t="shared" si="200"/>
        <v/>
      </c>
      <c r="DT21" s="988" t="str">
        <f t="shared" ref="DT21:EG21" si="201">IF(AND($X21&lt;&gt;"",$AC21="CA"),IF(AND($P21&gt;DS$8,$P21&lt;=DT$8),$AB21,""),"")</f>
        <v/>
      </c>
      <c r="DU21" s="988" t="str">
        <f t="shared" si="201"/>
        <v/>
      </c>
      <c r="DV21" s="988" t="str">
        <f t="shared" si="201"/>
        <v/>
      </c>
      <c r="DW21" s="988" t="str">
        <f t="shared" si="201"/>
        <v/>
      </c>
      <c r="DX21" s="988" t="str">
        <f t="shared" si="201"/>
        <v/>
      </c>
      <c r="DY21" s="988" t="str">
        <f t="shared" si="201"/>
        <v/>
      </c>
      <c r="DZ21" s="988" t="str">
        <f t="shared" si="201"/>
        <v/>
      </c>
      <c r="EA21" s="988" t="str">
        <f t="shared" si="201"/>
        <v/>
      </c>
      <c r="EB21" s="988" t="str">
        <f t="shared" si="201"/>
        <v/>
      </c>
      <c r="EC21" s="988" t="str">
        <f t="shared" si="201"/>
        <v/>
      </c>
      <c r="ED21" s="988" t="str">
        <f t="shared" si="201"/>
        <v/>
      </c>
      <c r="EE21" s="988" t="str">
        <f t="shared" si="201"/>
        <v/>
      </c>
      <c r="EF21" s="988" t="str">
        <f t="shared" si="201"/>
        <v/>
      </c>
      <c r="EG21" s="988" t="str">
        <f t="shared" si="201"/>
        <v/>
      </c>
      <c r="EI21" s="988" t="str">
        <f t="shared" ref="EI21:EV21" si="202">IF($AE21="BFC",IF(AND($P21&gt;EH$8,$P21&lt;=EI$8),$AB21,""),"")</f>
        <v/>
      </c>
      <c r="EJ21" s="988" t="str">
        <f t="shared" si="202"/>
        <v/>
      </c>
      <c r="EK21" s="988" t="str">
        <f t="shared" si="202"/>
        <v/>
      </c>
      <c r="EL21" s="988" t="str">
        <f t="shared" si="202"/>
        <v/>
      </c>
      <c r="EM21" s="988" t="str">
        <f t="shared" si="202"/>
        <v/>
      </c>
      <c r="EN21" s="988" t="str">
        <f t="shared" si="202"/>
        <v/>
      </c>
      <c r="EO21" s="988" t="str">
        <f t="shared" si="202"/>
        <v/>
      </c>
      <c r="EP21" s="988" t="str">
        <f t="shared" si="202"/>
        <v/>
      </c>
      <c r="EQ21" s="988" t="str">
        <f t="shared" si="202"/>
        <v/>
      </c>
      <c r="ER21" s="988" t="str">
        <f t="shared" si="202"/>
        <v/>
      </c>
      <c r="ES21" s="988" t="str">
        <f t="shared" si="202"/>
        <v/>
      </c>
      <c r="ET21" s="988" t="str">
        <f t="shared" si="202"/>
        <v/>
      </c>
      <c r="EU21" s="988" t="str">
        <f t="shared" si="202"/>
        <v/>
      </c>
      <c r="EV21" s="988" t="str">
        <f t="shared" si="202"/>
        <v/>
      </c>
      <c r="EX21" s="988" t="str">
        <f t="shared" ref="EX21:FK21" si="203">IF($AE21="BFN",IF(AND($P21&gt;EW$8,$P21&lt;=EX$8),$AB21,""),"")</f>
        <v/>
      </c>
      <c r="EY21" s="988" t="str">
        <f t="shared" si="203"/>
        <v/>
      </c>
      <c r="EZ21" s="988" t="str">
        <f t="shared" si="203"/>
        <v/>
      </c>
      <c r="FA21" s="988" t="str">
        <f t="shared" si="203"/>
        <v/>
      </c>
      <c r="FB21" s="988" t="str">
        <f t="shared" si="203"/>
        <v/>
      </c>
      <c r="FC21" s="988" t="str">
        <f t="shared" si="203"/>
        <v/>
      </c>
      <c r="FD21" s="988" t="str">
        <f t="shared" si="203"/>
        <v/>
      </c>
      <c r="FE21" s="988" t="str">
        <f t="shared" si="203"/>
        <v/>
      </c>
      <c r="FF21" s="988" t="str">
        <f t="shared" si="203"/>
        <v/>
      </c>
      <c r="FG21" s="988" t="str">
        <f t="shared" si="203"/>
        <v/>
      </c>
      <c r="FH21" s="988" t="str">
        <f t="shared" si="203"/>
        <v/>
      </c>
      <c r="FI21" s="988" t="str">
        <f t="shared" si="203"/>
        <v/>
      </c>
      <c r="FJ21" s="988" t="str">
        <f t="shared" si="203"/>
        <v/>
      </c>
      <c r="FK21" s="988" t="str">
        <f t="shared" si="203"/>
        <v/>
      </c>
      <c r="FM21" s="988" t="str">
        <f t="shared" ref="FM21:FZ21" si="204">IF(AND($I21&lt;&gt;"",$AF21="RCS"),IF(AND($P21&gt;FL$8,$P21&lt;=FM$8),SUM($K21:$M21),""),"")</f>
        <v/>
      </c>
      <c r="FN21" s="988" t="str">
        <f t="shared" si="204"/>
        <v/>
      </c>
      <c r="FO21" s="988" t="str">
        <f t="shared" si="204"/>
        <v/>
      </c>
      <c r="FP21" s="988" t="str">
        <f t="shared" si="204"/>
        <v/>
      </c>
      <c r="FQ21" s="988" t="str">
        <f t="shared" si="204"/>
        <v/>
      </c>
      <c r="FR21" s="988" t="str">
        <f t="shared" si="204"/>
        <v/>
      </c>
      <c r="FS21" s="988" t="str">
        <f t="shared" si="204"/>
        <v/>
      </c>
      <c r="FT21" s="988" t="str">
        <f t="shared" si="204"/>
        <v/>
      </c>
      <c r="FU21" s="988" t="str">
        <f t="shared" si="204"/>
        <v/>
      </c>
      <c r="FV21" s="988" t="str">
        <f t="shared" si="204"/>
        <v/>
      </c>
      <c r="FW21" s="988" t="str">
        <f t="shared" si="204"/>
        <v/>
      </c>
      <c r="FX21" s="988" t="str">
        <f t="shared" si="204"/>
        <v/>
      </c>
      <c r="FY21" s="988" t="str">
        <f t="shared" si="204"/>
        <v/>
      </c>
      <c r="FZ21" s="988" t="str">
        <f t="shared" si="204"/>
        <v/>
      </c>
      <c r="GB21" s="988" t="str">
        <f t="shared" ref="GB21:GO21" si="205">IF(AND($I21&lt;&gt;"",$AF21="REC"),IF(AND($P21&gt;GA$8,$P21&lt;=GB$8),SUM($K21:$M21),""),"")</f>
        <v/>
      </c>
      <c r="GC21" s="988" t="str">
        <f t="shared" si="205"/>
        <v/>
      </c>
      <c r="GD21" s="988" t="str">
        <f t="shared" si="205"/>
        <v/>
      </c>
      <c r="GE21" s="988" t="str">
        <f t="shared" si="205"/>
        <v/>
      </c>
      <c r="GF21" s="988" t="str">
        <f t="shared" si="205"/>
        <v/>
      </c>
      <c r="GG21" s="988" t="str">
        <f t="shared" si="205"/>
        <v/>
      </c>
      <c r="GH21" s="988" t="str">
        <f t="shared" si="205"/>
        <v/>
      </c>
      <c r="GI21" s="988" t="str">
        <f t="shared" si="205"/>
        <v/>
      </c>
      <c r="GJ21" s="988" t="str">
        <f t="shared" si="205"/>
        <v/>
      </c>
      <c r="GK21" s="988" t="str">
        <f t="shared" si="205"/>
        <v/>
      </c>
      <c r="GL21" s="988" t="str">
        <f t="shared" si="205"/>
        <v/>
      </c>
      <c r="GM21" s="988" t="str">
        <f t="shared" si="205"/>
        <v/>
      </c>
      <c r="GN21" s="988" t="str">
        <f t="shared" si="205"/>
        <v/>
      </c>
      <c r="GO21" s="988" t="str">
        <f t="shared" si="205"/>
        <v/>
      </c>
      <c r="GQ21" s="988" t="str">
        <f t="shared" ref="GQ21:HD21" si="206">IF(AND($I21&lt;&gt;"",$AF21="REB"),IF(AND($P21&gt;GP$8,$P21&lt;=GQ$8),SUM($K21:$M21),""),"")</f>
        <v/>
      </c>
      <c r="GR21" s="988" t="str">
        <f t="shared" si="206"/>
        <v/>
      </c>
      <c r="GS21" s="988" t="str">
        <f t="shared" si="206"/>
        <v/>
      </c>
      <c r="GT21" s="988" t="str">
        <f t="shared" si="206"/>
        <v/>
      </c>
      <c r="GU21" s="988" t="str">
        <f t="shared" si="206"/>
        <v/>
      </c>
      <c r="GV21" s="988" t="str">
        <f t="shared" si="206"/>
        <v/>
      </c>
      <c r="GW21" s="988" t="str">
        <f t="shared" si="206"/>
        <v/>
      </c>
      <c r="GX21" s="988" t="str">
        <f t="shared" si="206"/>
        <v/>
      </c>
      <c r="GY21" s="988" t="str">
        <f t="shared" si="206"/>
        <v/>
      </c>
      <c r="GZ21" s="988" t="str">
        <f t="shared" si="206"/>
        <v/>
      </c>
      <c r="HA21" s="988" t="str">
        <f t="shared" si="206"/>
        <v/>
      </c>
      <c r="HB21" s="988" t="str">
        <f t="shared" si="206"/>
        <v/>
      </c>
      <c r="HC21" s="988" t="str">
        <f t="shared" si="206"/>
        <v/>
      </c>
      <c r="HD21" s="988" t="str">
        <f t="shared" si="206"/>
        <v/>
      </c>
      <c r="HF21" s="988" t="str">
        <f t="shared" ref="HF21:HS21" si="207">IF(AND($I21&lt;&gt;"",$AF21="RBS"),IF(AND($P21&gt;HE$8,$P21&lt;=HF$8),SUM($K21:$M21),""),"")</f>
        <v/>
      </c>
      <c r="HG21" s="988" t="str">
        <f t="shared" si="207"/>
        <v/>
      </c>
      <c r="HH21" s="988" t="str">
        <f t="shared" si="207"/>
        <v/>
      </c>
      <c r="HI21" s="988" t="str">
        <f t="shared" si="207"/>
        <v/>
      </c>
      <c r="HJ21" s="988" t="str">
        <f t="shared" si="207"/>
        <v/>
      </c>
      <c r="HK21" s="988" t="str">
        <f t="shared" si="207"/>
        <v/>
      </c>
      <c r="HL21" s="988" t="str">
        <f t="shared" si="207"/>
        <v/>
      </c>
      <c r="HM21" s="988" t="str">
        <f t="shared" si="207"/>
        <v/>
      </c>
      <c r="HN21" s="988" t="str">
        <f t="shared" si="207"/>
        <v/>
      </c>
      <c r="HO21" s="988" t="str">
        <f t="shared" si="207"/>
        <v/>
      </c>
      <c r="HP21" s="988" t="str">
        <f t="shared" si="207"/>
        <v/>
      </c>
      <c r="HQ21" s="988" t="str">
        <f t="shared" si="207"/>
        <v/>
      </c>
      <c r="HR21" s="988" t="str">
        <f t="shared" si="207"/>
        <v/>
      </c>
      <c r="HS21" s="988" t="str">
        <f t="shared" si="207"/>
        <v/>
      </c>
      <c r="HU21" s="988" t="str">
        <f t="shared" ref="HU21:IH21" si="208">IF(AND($I21&lt;&gt;"",$AF21="RCD"),IF(AND($P21&gt;HT$8,$P21&lt;=HU$8),SUM($K21:$M21),""),"")</f>
        <v/>
      </c>
      <c r="HV21" s="988" t="str">
        <f t="shared" si="208"/>
        <v/>
      </c>
      <c r="HW21" s="988" t="str">
        <f t="shared" si="208"/>
        <v/>
      </c>
      <c r="HX21" s="988" t="str">
        <f t="shared" si="208"/>
        <v/>
      </c>
      <c r="HY21" s="988" t="str">
        <f t="shared" si="208"/>
        <v/>
      </c>
      <c r="HZ21" s="988" t="str">
        <f t="shared" si="208"/>
        <v/>
      </c>
      <c r="IA21" s="988" t="str">
        <f t="shared" si="208"/>
        <v/>
      </c>
      <c r="IB21" s="988" t="str">
        <f t="shared" si="208"/>
        <v/>
      </c>
      <c r="IC21" s="988" t="str">
        <f t="shared" si="208"/>
        <v/>
      </c>
      <c r="ID21" s="988" t="str">
        <f t="shared" si="208"/>
        <v/>
      </c>
      <c r="IE21" s="988" t="str">
        <f t="shared" si="208"/>
        <v/>
      </c>
      <c r="IF21" s="988" t="str">
        <f t="shared" si="208"/>
        <v/>
      </c>
      <c r="IG21" s="988" t="str">
        <f t="shared" si="208"/>
        <v/>
      </c>
      <c r="IH21" s="988" t="str">
        <f t="shared" si="208"/>
        <v/>
      </c>
      <c r="IJ21" s="985">
        <f t="shared" ref="IJ21:IW21" si="209">IF(AND($I21&lt;&gt;""),IF(AND($P21&gt;II$8,$P21&lt;=IJ$8),$K21,""),"")</f>
        <v>37.38000000000001</v>
      </c>
      <c r="IK21" s="985" t="str">
        <f t="shared" si="209"/>
        <v/>
      </c>
      <c r="IL21" s="985" t="str">
        <f t="shared" si="209"/>
        <v/>
      </c>
      <c r="IM21" s="985" t="str">
        <f t="shared" si="209"/>
        <v/>
      </c>
      <c r="IN21" s="985" t="str">
        <f t="shared" si="209"/>
        <v/>
      </c>
      <c r="IO21" s="985" t="str">
        <f t="shared" si="209"/>
        <v/>
      </c>
      <c r="IP21" s="985" t="str">
        <f t="shared" si="209"/>
        <v/>
      </c>
      <c r="IQ21" s="985" t="str">
        <f t="shared" si="209"/>
        <v/>
      </c>
      <c r="IR21" s="985" t="str">
        <f t="shared" si="209"/>
        <v/>
      </c>
      <c r="IS21" s="985" t="str">
        <f t="shared" si="209"/>
        <v/>
      </c>
      <c r="IT21" s="985" t="str">
        <f t="shared" si="209"/>
        <v/>
      </c>
      <c r="IU21" s="985" t="str">
        <f t="shared" si="209"/>
        <v/>
      </c>
      <c r="IV21" s="985" t="str">
        <f t="shared" si="209"/>
        <v/>
      </c>
      <c r="IW21" s="985" t="str">
        <f t="shared" si="209"/>
        <v/>
      </c>
      <c r="IX21" s="987"/>
      <c r="IY21" s="985">
        <f t="shared" ref="IY21:JL21" si="210">IF(AND($I21&lt;&gt;""),IF(AND($P21&gt;IX$8,$P21&lt;=IY$8),$L21,""),"")</f>
        <v>0</v>
      </c>
      <c r="IZ21" s="985" t="str">
        <f t="shared" si="210"/>
        <v/>
      </c>
      <c r="JA21" s="985" t="str">
        <f t="shared" si="210"/>
        <v/>
      </c>
      <c r="JB21" s="985" t="str">
        <f t="shared" si="210"/>
        <v/>
      </c>
      <c r="JC21" s="985" t="str">
        <f t="shared" si="210"/>
        <v/>
      </c>
      <c r="JD21" s="985" t="str">
        <f t="shared" si="210"/>
        <v/>
      </c>
      <c r="JE21" s="985" t="str">
        <f t="shared" si="210"/>
        <v/>
      </c>
      <c r="JF21" s="985" t="str">
        <f t="shared" si="210"/>
        <v/>
      </c>
      <c r="JG21" s="985" t="str">
        <f t="shared" si="210"/>
        <v/>
      </c>
      <c r="JH21" s="985" t="str">
        <f t="shared" si="210"/>
        <v/>
      </c>
      <c r="JI21" s="985" t="str">
        <f t="shared" si="210"/>
        <v/>
      </c>
      <c r="JJ21" s="985" t="str">
        <f t="shared" si="210"/>
        <v/>
      </c>
      <c r="JK21" s="985" t="str">
        <f t="shared" si="210"/>
        <v/>
      </c>
      <c r="JL21" s="985" t="str">
        <f t="shared" si="210"/>
        <v/>
      </c>
      <c r="JM21" s="987"/>
      <c r="JN21" s="985">
        <f t="shared" ref="JN21:KA21" si="211">IF(AND($I21&lt;&gt;""),IF(AND($P21&gt;JM$8,$P21&lt;=JN$8),$M21,""),"")</f>
        <v>0</v>
      </c>
      <c r="JO21" s="985" t="str">
        <f t="shared" si="211"/>
        <v/>
      </c>
      <c r="JP21" s="985" t="str">
        <f t="shared" si="211"/>
        <v/>
      </c>
      <c r="JQ21" s="985" t="str">
        <f t="shared" si="211"/>
        <v/>
      </c>
      <c r="JR21" s="985" t="str">
        <f t="shared" si="211"/>
        <v/>
      </c>
      <c r="JS21" s="985" t="str">
        <f t="shared" si="211"/>
        <v/>
      </c>
      <c r="JT21" s="985" t="str">
        <f t="shared" si="211"/>
        <v/>
      </c>
      <c r="JU21" s="985" t="str">
        <f t="shared" si="211"/>
        <v/>
      </c>
      <c r="JV21" s="985" t="str">
        <f t="shared" si="211"/>
        <v/>
      </c>
      <c r="JW21" s="985" t="str">
        <f t="shared" si="211"/>
        <v/>
      </c>
      <c r="JX21" s="985" t="str">
        <f t="shared" si="211"/>
        <v/>
      </c>
      <c r="JY21" s="985" t="str">
        <f t="shared" si="211"/>
        <v/>
      </c>
      <c r="JZ21" s="985" t="str">
        <f t="shared" si="211"/>
        <v/>
      </c>
      <c r="KA21" s="985" t="str">
        <f t="shared" si="211"/>
        <v/>
      </c>
      <c r="KB21" s="987"/>
      <c r="KC21" s="985">
        <f t="shared" ref="KC21:KP21" si="212">IF(AND($I21&lt;&gt;""),IF(AND($P21&gt;KB$8,$P21&lt;=KC$8),$N21,""),"")</f>
        <v>0</v>
      </c>
      <c r="KD21" s="985" t="str">
        <f t="shared" si="212"/>
        <v/>
      </c>
      <c r="KE21" s="985" t="str">
        <f t="shared" si="212"/>
        <v/>
      </c>
      <c r="KF21" s="985" t="str">
        <f t="shared" si="212"/>
        <v/>
      </c>
      <c r="KG21" s="985" t="str">
        <f t="shared" si="212"/>
        <v/>
      </c>
      <c r="KH21" s="985" t="str">
        <f t="shared" si="212"/>
        <v/>
      </c>
      <c r="KI21" s="985" t="str">
        <f t="shared" si="212"/>
        <v/>
      </c>
      <c r="KJ21" s="985" t="str">
        <f t="shared" si="212"/>
        <v/>
      </c>
      <c r="KK21" s="985" t="str">
        <f t="shared" si="212"/>
        <v/>
      </c>
      <c r="KL21" s="985" t="str">
        <f t="shared" si="212"/>
        <v/>
      </c>
      <c r="KM21" s="985" t="str">
        <f t="shared" si="212"/>
        <v/>
      </c>
      <c r="KN21" s="985" t="str">
        <f t="shared" si="212"/>
        <v/>
      </c>
      <c r="KO21" s="985" t="str">
        <f t="shared" si="212"/>
        <v/>
      </c>
      <c r="KP21" s="985" t="str">
        <f t="shared" si="212"/>
        <v/>
      </c>
    </row>
    <row r="22" spans="2:302" ht="18" customHeight="1">
      <c r="B22" s="978">
        <f t="shared" si="0"/>
        <v>42.5</v>
      </c>
      <c r="C22" s="979" t="s">
        <v>713</v>
      </c>
      <c r="D22" s="979" t="s">
        <v>605</v>
      </c>
      <c r="E22" s="980">
        <v>0</v>
      </c>
      <c r="F22" s="979" t="s">
        <v>722</v>
      </c>
      <c r="G22" s="979" t="s">
        <v>605</v>
      </c>
      <c r="H22" s="980">
        <v>0</v>
      </c>
      <c r="I22" s="979" t="s">
        <v>835</v>
      </c>
      <c r="J22" s="979"/>
      <c r="K22" s="980">
        <v>123.82000000000001</v>
      </c>
      <c r="L22" s="980"/>
      <c r="M22" s="980"/>
      <c r="N22" s="980"/>
      <c r="O22" s="980"/>
      <c r="P22" s="981">
        <v>0.02</v>
      </c>
      <c r="Q22" s="981">
        <f t="shared" si="1"/>
        <v>2.4764000000000004</v>
      </c>
      <c r="R22" s="979" t="s">
        <v>713</v>
      </c>
      <c r="S22" s="979" t="s">
        <v>605</v>
      </c>
      <c r="T22" s="980">
        <v>0</v>
      </c>
      <c r="U22" s="979" t="s">
        <v>722</v>
      </c>
      <c r="V22" s="979" t="s">
        <v>605</v>
      </c>
      <c r="W22" s="980">
        <v>0</v>
      </c>
      <c r="X22" s="979" t="s">
        <v>835</v>
      </c>
      <c r="Y22" s="979"/>
      <c r="Z22" s="979"/>
      <c r="AA22" s="980">
        <v>1</v>
      </c>
      <c r="AB22" s="980">
        <f t="shared" si="2"/>
        <v>123.82000000000001</v>
      </c>
      <c r="AC22" s="982" t="s">
        <v>939</v>
      </c>
      <c r="AD22" s="953"/>
      <c r="AE22" s="983" t="str">
        <f t="shared" si="3"/>
        <v/>
      </c>
      <c r="AF22" s="984" t="str">
        <f t="shared" si="4"/>
        <v>REC</v>
      </c>
      <c r="AG22" s="963"/>
      <c r="AH22" s="985" t="str">
        <f t="shared" si="177"/>
        <v/>
      </c>
      <c r="AI22" s="985" t="str">
        <f t="shared" si="177"/>
        <v/>
      </c>
      <c r="AJ22" s="985" t="str">
        <f t="shared" si="177"/>
        <v/>
      </c>
      <c r="AK22" s="985" t="str">
        <f t="shared" si="177"/>
        <v/>
      </c>
      <c r="AL22" s="985" t="str">
        <f t="shared" si="177"/>
        <v/>
      </c>
      <c r="AM22" s="985" t="str">
        <f t="shared" si="177"/>
        <v/>
      </c>
      <c r="AN22" s="985" t="str">
        <f t="shared" si="177"/>
        <v/>
      </c>
      <c r="AO22" s="985" t="str">
        <f t="shared" si="177"/>
        <v/>
      </c>
      <c r="AP22" s="986"/>
      <c r="AQ22" s="985" t="str">
        <f t="shared" ref="AQ22:BD22" si="213">IF(AND($I22&lt;&gt;"",$AF22="C"),IF(AND($P22&gt;AP$8,$P22&lt;=AQ$8),$K22,""),"")</f>
        <v/>
      </c>
      <c r="AR22" s="985" t="str">
        <f t="shared" si="213"/>
        <v/>
      </c>
      <c r="AS22" s="985" t="str">
        <f t="shared" si="213"/>
        <v/>
      </c>
      <c r="AT22" s="985" t="str">
        <f t="shared" si="213"/>
        <v/>
      </c>
      <c r="AU22" s="985" t="str">
        <f t="shared" si="213"/>
        <v/>
      </c>
      <c r="AV22" s="985" t="str">
        <f t="shared" si="213"/>
        <v/>
      </c>
      <c r="AW22" s="985" t="str">
        <f t="shared" si="213"/>
        <v/>
      </c>
      <c r="AX22" s="985" t="str">
        <f t="shared" si="213"/>
        <v/>
      </c>
      <c r="AY22" s="985" t="str">
        <f t="shared" si="213"/>
        <v/>
      </c>
      <c r="AZ22" s="985" t="str">
        <f t="shared" si="213"/>
        <v/>
      </c>
      <c r="BA22" s="985" t="str">
        <f t="shared" si="213"/>
        <v/>
      </c>
      <c r="BB22" s="985" t="str">
        <f t="shared" si="213"/>
        <v/>
      </c>
      <c r="BC22" s="985" t="str">
        <f t="shared" si="213"/>
        <v/>
      </c>
      <c r="BD22" s="985" t="str">
        <f t="shared" si="213"/>
        <v/>
      </c>
      <c r="BE22" s="987"/>
      <c r="BF22" s="985" t="str">
        <f t="shared" ref="BF22:BS22" si="214">IF(AND($I22&lt;&gt;"",$AF22="C"),IF(AND($P22&gt;BE$8,$P22&lt;=BF$8),$L22,""),"")</f>
        <v/>
      </c>
      <c r="BG22" s="985" t="str">
        <f t="shared" si="214"/>
        <v/>
      </c>
      <c r="BH22" s="985" t="str">
        <f t="shared" si="214"/>
        <v/>
      </c>
      <c r="BI22" s="985" t="str">
        <f t="shared" si="214"/>
        <v/>
      </c>
      <c r="BJ22" s="985" t="str">
        <f t="shared" si="214"/>
        <v/>
      </c>
      <c r="BK22" s="985" t="str">
        <f t="shared" si="214"/>
        <v/>
      </c>
      <c r="BL22" s="985" t="str">
        <f t="shared" si="214"/>
        <v/>
      </c>
      <c r="BM22" s="985" t="str">
        <f t="shared" si="214"/>
        <v/>
      </c>
      <c r="BN22" s="985" t="str">
        <f t="shared" si="214"/>
        <v/>
      </c>
      <c r="BO22" s="985" t="str">
        <f t="shared" si="214"/>
        <v/>
      </c>
      <c r="BP22" s="985" t="str">
        <f t="shared" si="214"/>
        <v/>
      </c>
      <c r="BQ22" s="985" t="str">
        <f t="shared" si="214"/>
        <v/>
      </c>
      <c r="BR22" s="985" t="str">
        <f t="shared" si="214"/>
        <v/>
      </c>
      <c r="BS22" s="985" t="str">
        <f t="shared" si="214"/>
        <v/>
      </c>
      <c r="BU22" s="985" t="str">
        <f t="shared" ref="BU22:CF22" si="215">IF(AND($I22&lt;&gt;"",$AF22="C"),IF(AND($P22&gt;BT$8,$P22&lt;=BU$8),$M22,""),"")</f>
        <v/>
      </c>
      <c r="BV22" s="985" t="str">
        <f t="shared" si="215"/>
        <v/>
      </c>
      <c r="BW22" s="985" t="str">
        <f t="shared" si="215"/>
        <v/>
      </c>
      <c r="BX22" s="985" t="str">
        <f t="shared" si="215"/>
        <v/>
      </c>
      <c r="BY22" s="985" t="str">
        <f t="shared" si="215"/>
        <v/>
      </c>
      <c r="BZ22" s="985" t="str">
        <f t="shared" si="215"/>
        <v/>
      </c>
      <c r="CA22" s="985" t="str">
        <f t="shared" si="215"/>
        <v/>
      </c>
      <c r="CB22" s="985" t="str">
        <f t="shared" si="215"/>
        <v/>
      </c>
      <c r="CC22" s="985" t="str">
        <f t="shared" si="215"/>
        <v/>
      </c>
      <c r="CD22" s="985" t="str">
        <f t="shared" si="215"/>
        <v/>
      </c>
      <c r="CE22" s="985" t="str">
        <f t="shared" si="215"/>
        <v/>
      </c>
      <c r="CF22" s="985" t="str">
        <f t="shared" si="215"/>
        <v/>
      </c>
      <c r="CG22" s="987"/>
      <c r="CH22" s="985" t="str">
        <f t="shared" si="181"/>
        <v/>
      </c>
      <c r="CI22" s="985" t="str">
        <f t="shared" si="181"/>
        <v/>
      </c>
      <c r="CJ22" s="985" t="str">
        <f t="shared" si="181"/>
        <v/>
      </c>
      <c r="CK22" s="985" t="str">
        <f t="shared" si="181"/>
        <v/>
      </c>
      <c r="CL22" s="985" t="str">
        <f t="shared" si="181"/>
        <v/>
      </c>
      <c r="CM22" s="985" t="str">
        <f t="shared" si="181"/>
        <v/>
      </c>
      <c r="CN22" s="985" t="str">
        <f t="shared" si="181"/>
        <v/>
      </c>
      <c r="CP22" s="988" t="str">
        <f t="shared" ref="CP22:DC22" si="216">IF(AND($I22&lt;&gt;"",OR($AF22="ELE",$AF22="ELD",$AF22="CX")),IF(AND($P22&gt;CO$8,$P22&lt;=CP$8),$K22,""),"")</f>
        <v/>
      </c>
      <c r="CQ22" s="988" t="str">
        <f t="shared" si="216"/>
        <v/>
      </c>
      <c r="CR22" s="988" t="str">
        <f t="shared" si="216"/>
        <v/>
      </c>
      <c r="CS22" s="988" t="str">
        <f t="shared" si="216"/>
        <v/>
      </c>
      <c r="CT22" s="988" t="str">
        <f t="shared" si="216"/>
        <v/>
      </c>
      <c r="CU22" s="988" t="str">
        <f t="shared" si="216"/>
        <v/>
      </c>
      <c r="CV22" s="988" t="str">
        <f t="shared" si="216"/>
        <v/>
      </c>
      <c r="CW22" s="988" t="str">
        <f t="shared" si="216"/>
        <v/>
      </c>
      <c r="CX22" s="988" t="str">
        <f t="shared" si="216"/>
        <v/>
      </c>
      <c r="CY22" s="988" t="str">
        <f t="shared" si="216"/>
        <v/>
      </c>
      <c r="CZ22" s="988" t="str">
        <f t="shared" si="216"/>
        <v/>
      </c>
      <c r="DA22" s="988" t="str">
        <f t="shared" si="216"/>
        <v/>
      </c>
      <c r="DB22" s="988" t="str">
        <f t="shared" si="216"/>
        <v/>
      </c>
      <c r="DC22" s="988" t="str">
        <f t="shared" si="216"/>
        <v/>
      </c>
      <c r="DE22" s="988">
        <f t="shared" ref="DE22:DR22" si="217">IF(AND($X22&lt;&gt;"",$AC22="CF"),IF(AND($P22&gt;DD$8,$P22&lt;=DE$8),$AB22,""),"")</f>
        <v>123.82000000000001</v>
      </c>
      <c r="DF22" s="988" t="str">
        <f t="shared" si="217"/>
        <v/>
      </c>
      <c r="DG22" s="988" t="str">
        <f t="shared" si="217"/>
        <v/>
      </c>
      <c r="DH22" s="988" t="str">
        <f t="shared" si="217"/>
        <v/>
      </c>
      <c r="DI22" s="988" t="str">
        <f t="shared" si="217"/>
        <v/>
      </c>
      <c r="DJ22" s="988" t="str">
        <f t="shared" si="217"/>
        <v/>
      </c>
      <c r="DK22" s="988" t="str">
        <f t="shared" si="217"/>
        <v/>
      </c>
      <c r="DL22" s="988" t="str">
        <f t="shared" si="217"/>
        <v/>
      </c>
      <c r="DM22" s="988" t="str">
        <f t="shared" si="217"/>
        <v/>
      </c>
      <c r="DN22" s="988" t="str">
        <f t="shared" si="217"/>
        <v/>
      </c>
      <c r="DO22" s="988" t="str">
        <f t="shared" si="217"/>
        <v/>
      </c>
      <c r="DP22" s="988" t="str">
        <f t="shared" si="217"/>
        <v/>
      </c>
      <c r="DQ22" s="988" t="str">
        <f t="shared" si="217"/>
        <v/>
      </c>
      <c r="DR22" s="988" t="str">
        <f t="shared" si="217"/>
        <v/>
      </c>
      <c r="DT22" s="988" t="str">
        <f t="shared" ref="DT22:EG22" si="218">IF(AND($X22&lt;&gt;"",$AC22="CA"),IF(AND($P22&gt;DS$8,$P22&lt;=DT$8),$AB22,""),"")</f>
        <v/>
      </c>
      <c r="DU22" s="988" t="str">
        <f t="shared" si="218"/>
        <v/>
      </c>
      <c r="DV22" s="988" t="str">
        <f t="shared" si="218"/>
        <v/>
      </c>
      <c r="DW22" s="988" t="str">
        <f t="shared" si="218"/>
        <v/>
      </c>
      <c r="DX22" s="988" t="str">
        <f t="shared" si="218"/>
        <v/>
      </c>
      <c r="DY22" s="988" t="str">
        <f t="shared" si="218"/>
        <v/>
      </c>
      <c r="DZ22" s="988" t="str">
        <f t="shared" si="218"/>
        <v/>
      </c>
      <c r="EA22" s="988" t="str">
        <f t="shared" si="218"/>
        <v/>
      </c>
      <c r="EB22" s="988" t="str">
        <f t="shared" si="218"/>
        <v/>
      </c>
      <c r="EC22" s="988" t="str">
        <f t="shared" si="218"/>
        <v/>
      </c>
      <c r="ED22" s="988" t="str">
        <f t="shared" si="218"/>
        <v/>
      </c>
      <c r="EE22" s="988" t="str">
        <f t="shared" si="218"/>
        <v/>
      </c>
      <c r="EF22" s="988" t="str">
        <f t="shared" si="218"/>
        <v/>
      </c>
      <c r="EG22" s="988" t="str">
        <f t="shared" si="218"/>
        <v/>
      </c>
      <c r="EI22" s="988" t="str">
        <f t="shared" ref="EI22:EV22" si="219">IF($AE22="BFC",IF(AND($P22&gt;EH$8,$P22&lt;=EI$8),$AB22,""),"")</f>
        <v/>
      </c>
      <c r="EJ22" s="988" t="str">
        <f t="shared" si="219"/>
        <v/>
      </c>
      <c r="EK22" s="988" t="str">
        <f t="shared" si="219"/>
        <v/>
      </c>
      <c r="EL22" s="988" t="str">
        <f t="shared" si="219"/>
        <v/>
      </c>
      <c r="EM22" s="988" t="str">
        <f t="shared" si="219"/>
        <v/>
      </c>
      <c r="EN22" s="988" t="str">
        <f t="shared" si="219"/>
        <v/>
      </c>
      <c r="EO22" s="988" t="str">
        <f t="shared" si="219"/>
        <v/>
      </c>
      <c r="EP22" s="988" t="str">
        <f t="shared" si="219"/>
        <v/>
      </c>
      <c r="EQ22" s="988" t="str">
        <f t="shared" si="219"/>
        <v/>
      </c>
      <c r="ER22" s="988" t="str">
        <f t="shared" si="219"/>
        <v/>
      </c>
      <c r="ES22" s="988" t="str">
        <f t="shared" si="219"/>
        <v/>
      </c>
      <c r="ET22" s="988" t="str">
        <f t="shared" si="219"/>
        <v/>
      </c>
      <c r="EU22" s="988" t="str">
        <f t="shared" si="219"/>
        <v/>
      </c>
      <c r="EV22" s="988" t="str">
        <f t="shared" si="219"/>
        <v/>
      </c>
      <c r="EX22" s="988" t="str">
        <f t="shared" ref="EX22:FK22" si="220">IF($AE22="BFN",IF(AND($P22&gt;EW$8,$P22&lt;=EX$8),$AB22,""),"")</f>
        <v/>
      </c>
      <c r="EY22" s="988" t="str">
        <f t="shared" si="220"/>
        <v/>
      </c>
      <c r="EZ22" s="988" t="str">
        <f t="shared" si="220"/>
        <v/>
      </c>
      <c r="FA22" s="988" t="str">
        <f t="shared" si="220"/>
        <v/>
      </c>
      <c r="FB22" s="988" t="str">
        <f t="shared" si="220"/>
        <v/>
      </c>
      <c r="FC22" s="988" t="str">
        <f t="shared" si="220"/>
        <v/>
      </c>
      <c r="FD22" s="988" t="str">
        <f t="shared" si="220"/>
        <v/>
      </c>
      <c r="FE22" s="988" t="str">
        <f t="shared" si="220"/>
        <v/>
      </c>
      <c r="FF22" s="988" t="str">
        <f t="shared" si="220"/>
        <v/>
      </c>
      <c r="FG22" s="988" t="str">
        <f t="shared" si="220"/>
        <v/>
      </c>
      <c r="FH22" s="988" t="str">
        <f t="shared" si="220"/>
        <v/>
      </c>
      <c r="FI22" s="988" t="str">
        <f t="shared" si="220"/>
        <v/>
      </c>
      <c r="FJ22" s="988" t="str">
        <f t="shared" si="220"/>
        <v/>
      </c>
      <c r="FK22" s="988" t="str">
        <f t="shared" si="220"/>
        <v/>
      </c>
      <c r="FM22" s="988" t="str">
        <f t="shared" ref="FM22:FZ22" si="221">IF(AND($I22&lt;&gt;"",$AF22="RCS"),IF(AND($P22&gt;FL$8,$P22&lt;=FM$8),SUM($K22:$M22),""),"")</f>
        <v/>
      </c>
      <c r="FN22" s="988" t="str">
        <f t="shared" si="221"/>
        <v/>
      </c>
      <c r="FO22" s="988" t="str">
        <f t="shared" si="221"/>
        <v/>
      </c>
      <c r="FP22" s="988" t="str">
        <f t="shared" si="221"/>
        <v/>
      </c>
      <c r="FQ22" s="988" t="str">
        <f t="shared" si="221"/>
        <v/>
      </c>
      <c r="FR22" s="988" t="str">
        <f t="shared" si="221"/>
        <v/>
      </c>
      <c r="FS22" s="988" t="str">
        <f t="shared" si="221"/>
        <v/>
      </c>
      <c r="FT22" s="988" t="str">
        <f t="shared" si="221"/>
        <v/>
      </c>
      <c r="FU22" s="988" t="str">
        <f t="shared" si="221"/>
        <v/>
      </c>
      <c r="FV22" s="988" t="str">
        <f t="shared" si="221"/>
        <v/>
      </c>
      <c r="FW22" s="988" t="str">
        <f t="shared" si="221"/>
        <v/>
      </c>
      <c r="FX22" s="988" t="str">
        <f t="shared" si="221"/>
        <v/>
      </c>
      <c r="FY22" s="988" t="str">
        <f t="shared" si="221"/>
        <v/>
      </c>
      <c r="FZ22" s="988" t="str">
        <f t="shared" si="221"/>
        <v/>
      </c>
      <c r="GB22" s="988">
        <f t="shared" ref="GB22:GO22" si="222">IF(AND($I22&lt;&gt;"",$AF22="REC"),IF(AND($P22&gt;GA$8,$P22&lt;=GB$8),SUM($K22:$M22),""),"")</f>
        <v>123.82000000000001</v>
      </c>
      <c r="GC22" s="988" t="str">
        <f t="shared" si="222"/>
        <v/>
      </c>
      <c r="GD22" s="988" t="str">
        <f t="shared" si="222"/>
        <v/>
      </c>
      <c r="GE22" s="988" t="str">
        <f t="shared" si="222"/>
        <v/>
      </c>
      <c r="GF22" s="988" t="str">
        <f t="shared" si="222"/>
        <v/>
      </c>
      <c r="GG22" s="988" t="str">
        <f t="shared" si="222"/>
        <v/>
      </c>
      <c r="GH22" s="988" t="str">
        <f t="shared" si="222"/>
        <v/>
      </c>
      <c r="GI22" s="988" t="str">
        <f t="shared" si="222"/>
        <v/>
      </c>
      <c r="GJ22" s="988" t="str">
        <f t="shared" si="222"/>
        <v/>
      </c>
      <c r="GK22" s="988" t="str">
        <f t="shared" si="222"/>
        <v/>
      </c>
      <c r="GL22" s="988" t="str">
        <f t="shared" si="222"/>
        <v/>
      </c>
      <c r="GM22" s="988" t="str">
        <f t="shared" si="222"/>
        <v/>
      </c>
      <c r="GN22" s="988" t="str">
        <f t="shared" si="222"/>
        <v/>
      </c>
      <c r="GO22" s="988" t="str">
        <f t="shared" si="222"/>
        <v/>
      </c>
      <c r="GQ22" s="988" t="str">
        <f t="shared" ref="GQ22:HD22" si="223">IF(AND($I22&lt;&gt;"",$AF22="REB"),IF(AND($P22&gt;GP$8,$P22&lt;=GQ$8),SUM($K22:$M22),""),"")</f>
        <v/>
      </c>
      <c r="GR22" s="988" t="str">
        <f t="shared" si="223"/>
        <v/>
      </c>
      <c r="GS22" s="988" t="str">
        <f t="shared" si="223"/>
        <v/>
      </c>
      <c r="GT22" s="988" t="str">
        <f t="shared" si="223"/>
        <v/>
      </c>
      <c r="GU22" s="988" t="str">
        <f t="shared" si="223"/>
        <v/>
      </c>
      <c r="GV22" s="988" t="str">
        <f t="shared" si="223"/>
        <v/>
      </c>
      <c r="GW22" s="988" t="str">
        <f t="shared" si="223"/>
        <v/>
      </c>
      <c r="GX22" s="988" t="str">
        <f t="shared" si="223"/>
        <v/>
      </c>
      <c r="GY22" s="988" t="str">
        <f t="shared" si="223"/>
        <v/>
      </c>
      <c r="GZ22" s="988" t="str">
        <f t="shared" si="223"/>
        <v/>
      </c>
      <c r="HA22" s="988" t="str">
        <f t="shared" si="223"/>
        <v/>
      </c>
      <c r="HB22" s="988" t="str">
        <f t="shared" si="223"/>
        <v/>
      </c>
      <c r="HC22" s="988" t="str">
        <f t="shared" si="223"/>
        <v/>
      </c>
      <c r="HD22" s="988" t="str">
        <f t="shared" si="223"/>
        <v/>
      </c>
      <c r="HF22" s="988" t="str">
        <f t="shared" ref="HF22:HS22" si="224">IF(AND($I22&lt;&gt;"",$AF22="RBS"),IF(AND($P22&gt;HE$8,$P22&lt;=HF$8),SUM($K22:$M22),""),"")</f>
        <v/>
      </c>
      <c r="HG22" s="988" t="str">
        <f t="shared" si="224"/>
        <v/>
      </c>
      <c r="HH22" s="988" t="str">
        <f t="shared" si="224"/>
        <v/>
      </c>
      <c r="HI22" s="988" t="str">
        <f t="shared" si="224"/>
        <v/>
      </c>
      <c r="HJ22" s="988" t="str">
        <f t="shared" si="224"/>
        <v/>
      </c>
      <c r="HK22" s="988" t="str">
        <f t="shared" si="224"/>
        <v/>
      </c>
      <c r="HL22" s="988" t="str">
        <f t="shared" si="224"/>
        <v/>
      </c>
      <c r="HM22" s="988" t="str">
        <f t="shared" si="224"/>
        <v/>
      </c>
      <c r="HN22" s="988" t="str">
        <f t="shared" si="224"/>
        <v/>
      </c>
      <c r="HO22" s="988" t="str">
        <f t="shared" si="224"/>
        <v/>
      </c>
      <c r="HP22" s="988" t="str">
        <f t="shared" si="224"/>
        <v/>
      </c>
      <c r="HQ22" s="988" t="str">
        <f t="shared" si="224"/>
        <v/>
      </c>
      <c r="HR22" s="988" t="str">
        <f t="shared" si="224"/>
        <v/>
      </c>
      <c r="HS22" s="988" t="str">
        <f t="shared" si="224"/>
        <v/>
      </c>
      <c r="HU22" s="988" t="str">
        <f t="shared" ref="HU22:IH22" si="225">IF(AND($I22&lt;&gt;"",$AF22="RCD"),IF(AND($P22&gt;HT$8,$P22&lt;=HU$8),SUM($K22:$M22),""),"")</f>
        <v/>
      </c>
      <c r="HV22" s="988" t="str">
        <f t="shared" si="225"/>
        <v/>
      </c>
      <c r="HW22" s="988" t="str">
        <f t="shared" si="225"/>
        <v/>
      </c>
      <c r="HX22" s="988" t="str">
        <f t="shared" si="225"/>
        <v/>
      </c>
      <c r="HY22" s="988" t="str">
        <f t="shared" si="225"/>
        <v/>
      </c>
      <c r="HZ22" s="988" t="str">
        <f t="shared" si="225"/>
        <v/>
      </c>
      <c r="IA22" s="988" t="str">
        <f t="shared" si="225"/>
        <v/>
      </c>
      <c r="IB22" s="988" t="str">
        <f t="shared" si="225"/>
        <v/>
      </c>
      <c r="IC22" s="988" t="str">
        <f t="shared" si="225"/>
        <v/>
      </c>
      <c r="ID22" s="988" t="str">
        <f t="shared" si="225"/>
        <v/>
      </c>
      <c r="IE22" s="988" t="str">
        <f t="shared" si="225"/>
        <v/>
      </c>
      <c r="IF22" s="988" t="str">
        <f t="shared" si="225"/>
        <v/>
      </c>
      <c r="IG22" s="988" t="str">
        <f t="shared" si="225"/>
        <v/>
      </c>
      <c r="IH22" s="988" t="str">
        <f t="shared" si="225"/>
        <v/>
      </c>
      <c r="IJ22" s="985">
        <f t="shared" ref="IJ22:IW22" si="226">IF(AND($I22&lt;&gt;""),IF(AND($P22&gt;II$8,$P22&lt;=IJ$8),$K22,""),"")</f>
        <v>123.82000000000001</v>
      </c>
      <c r="IK22" s="985" t="str">
        <f t="shared" si="226"/>
        <v/>
      </c>
      <c r="IL22" s="985" t="str">
        <f t="shared" si="226"/>
        <v/>
      </c>
      <c r="IM22" s="985" t="str">
        <f t="shared" si="226"/>
        <v/>
      </c>
      <c r="IN22" s="985" t="str">
        <f t="shared" si="226"/>
        <v/>
      </c>
      <c r="IO22" s="985" t="str">
        <f t="shared" si="226"/>
        <v/>
      </c>
      <c r="IP22" s="985" t="str">
        <f t="shared" si="226"/>
        <v/>
      </c>
      <c r="IQ22" s="985" t="str">
        <f t="shared" si="226"/>
        <v/>
      </c>
      <c r="IR22" s="985" t="str">
        <f t="shared" si="226"/>
        <v/>
      </c>
      <c r="IS22" s="985" t="str">
        <f t="shared" si="226"/>
        <v/>
      </c>
      <c r="IT22" s="985" t="str">
        <f t="shared" si="226"/>
        <v/>
      </c>
      <c r="IU22" s="985" t="str">
        <f t="shared" si="226"/>
        <v/>
      </c>
      <c r="IV22" s="985" t="str">
        <f t="shared" si="226"/>
        <v/>
      </c>
      <c r="IW22" s="985" t="str">
        <f t="shared" si="226"/>
        <v/>
      </c>
      <c r="IX22" s="987"/>
      <c r="IY22" s="985">
        <f t="shared" ref="IY22:JL22" si="227">IF(AND($I22&lt;&gt;""),IF(AND($P22&gt;IX$8,$P22&lt;=IY$8),$L22,""),"")</f>
        <v>0</v>
      </c>
      <c r="IZ22" s="985" t="str">
        <f t="shared" si="227"/>
        <v/>
      </c>
      <c r="JA22" s="985" t="str">
        <f t="shared" si="227"/>
        <v/>
      </c>
      <c r="JB22" s="985" t="str">
        <f t="shared" si="227"/>
        <v/>
      </c>
      <c r="JC22" s="985" t="str">
        <f t="shared" si="227"/>
        <v/>
      </c>
      <c r="JD22" s="985" t="str">
        <f t="shared" si="227"/>
        <v/>
      </c>
      <c r="JE22" s="985" t="str">
        <f t="shared" si="227"/>
        <v/>
      </c>
      <c r="JF22" s="985" t="str">
        <f t="shared" si="227"/>
        <v/>
      </c>
      <c r="JG22" s="985" t="str">
        <f t="shared" si="227"/>
        <v/>
      </c>
      <c r="JH22" s="985" t="str">
        <f t="shared" si="227"/>
        <v/>
      </c>
      <c r="JI22" s="985" t="str">
        <f t="shared" si="227"/>
        <v/>
      </c>
      <c r="JJ22" s="985" t="str">
        <f t="shared" si="227"/>
        <v/>
      </c>
      <c r="JK22" s="985" t="str">
        <f t="shared" si="227"/>
        <v/>
      </c>
      <c r="JL22" s="985" t="str">
        <f t="shared" si="227"/>
        <v/>
      </c>
      <c r="JM22" s="987"/>
      <c r="JN22" s="985">
        <f t="shared" ref="JN22:KA22" si="228">IF(AND($I22&lt;&gt;""),IF(AND($P22&gt;JM$8,$P22&lt;=JN$8),$M22,""),"")</f>
        <v>0</v>
      </c>
      <c r="JO22" s="985" t="str">
        <f t="shared" si="228"/>
        <v/>
      </c>
      <c r="JP22" s="985" t="str">
        <f t="shared" si="228"/>
        <v/>
      </c>
      <c r="JQ22" s="985" t="str">
        <f t="shared" si="228"/>
        <v/>
      </c>
      <c r="JR22" s="985" t="str">
        <f t="shared" si="228"/>
        <v/>
      </c>
      <c r="JS22" s="985" t="str">
        <f t="shared" si="228"/>
        <v/>
      </c>
      <c r="JT22" s="985" t="str">
        <f t="shared" si="228"/>
        <v/>
      </c>
      <c r="JU22" s="985" t="str">
        <f t="shared" si="228"/>
        <v/>
      </c>
      <c r="JV22" s="985" t="str">
        <f t="shared" si="228"/>
        <v/>
      </c>
      <c r="JW22" s="985" t="str">
        <f t="shared" si="228"/>
        <v/>
      </c>
      <c r="JX22" s="985" t="str">
        <f t="shared" si="228"/>
        <v/>
      </c>
      <c r="JY22" s="985" t="str">
        <f t="shared" si="228"/>
        <v/>
      </c>
      <c r="JZ22" s="985" t="str">
        <f t="shared" si="228"/>
        <v/>
      </c>
      <c r="KA22" s="985" t="str">
        <f t="shared" si="228"/>
        <v/>
      </c>
      <c r="KB22" s="987"/>
      <c r="KC22" s="985">
        <f t="shared" ref="KC22:KP22" si="229">IF(AND($I22&lt;&gt;""),IF(AND($P22&gt;KB$8,$P22&lt;=KC$8),$N22,""),"")</f>
        <v>0</v>
      </c>
      <c r="KD22" s="985" t="str">
        <f t="shared" si="229"/>
        <v/>
      </c>
      <c r="KE22" s="985" t="str">
        <f t="shared" si="229"/>
        <v/>
      </c>
      <c r="KF22" s="985" t="str">
        <f t="shared" si="229"/>
        <v/>
      </c>
      <c r="KG22" s="985" t="str">
        <f t="shared" si="229"/>
        <v/>
      </c>
      <c r="KH22" s="985" t="str">
        <f t="shared" si="229"/>
        <v/>
      </c>
      <c r="KI22" s="985" t="str">
        <f t="shared" si="229"/>
        <v/>
      </c>
      <c r="KJ22" s="985" t="str">
        <f t="shared" si="229"/>
        <v/>
      </c>
      <c r="KK22" s="985" t="str">
        <f t="shared" si="229"/>
        <v/>
      </c>
      <c r="KL22" s="985" t="str">
        <f t="shared" si="229"/>
        <v/>
      </c>
      <c r="KM22" s="985" t="str">
        <f t="shared" si="229"/>
        <v/>
      </c>
      <c r="KN22" s="985" t="str">
        <f t="shared" si="229"/>
        <v/>
      </c>
      <c r="KO22" s="985" t="str">
        <f t="shared" si="229"/>
        <v/>
      </c>
      <c r="KP22" s="985" t="str">
        <f t="shared" si="229"/>
        <v/>
      </c>
    </row>
    <row r="23" spans="2:302" ht="18" customHeight="1">
      <c r="B23" s="978">
        <f t="shared" si="0"/>
        <v>43</v>
      </c>
      <c r="C23" s="979" t="s">
        <v>716</v>
      </c>
      <c r="D23" s="979" t="s">
        <v>605</v>
      </c>
      <c r="E23" s="980">
        <v>0</v>
      </c>
      <c r="F23" s="979" t="s">
        <v>722</v>
      </c>
      <c r="G23" s="979" t="s">
        <v>605</v>
      </c>
      <c r="H23" s="980">
        <v>0</v>
      </c>
      <c r="I23" s="979" t="s">
        <v>836</v>
      </c>
      <c r="J23" s="979"/>
      <c r="K23" s="980">
        <v>78.319999999999993</v>
      </c>
      <c r="L23" s="980"/>
      <c r="M23" s="980"/>
      <c r="N23" s="980"/>
      <c r="O23" s="980">
        <v>0.22999999999999998</v>
      </c>
      <c r="P23" s="981">
        <v>0.22999999999999998</v>
      </c>
      <c r="Q23" s="981">
        <f t="shared" si="1"/>
        <v>18.013599999999997</v>
      </c>
      <c r="R23" s="979" t="s">
        <v>675</v>
      </c>
      <c r="S23" s="979" t="s">
        <v>605</v>
      </c>
      <c r="T23" s="980">
        <v>10</v>
      </c>
      <c r="U23" s="979" t="s">
        <v>701</v>
      </c>
      <c r="V23" s="979" t="s">
        <v>605</v>
      </c>
      <c r="W23" s="980">
        <v>10</v>
      </c>
      <c r="X23" s="989" t="s">
        <v>821</v>
      </c>
      <c r="Y23" s="979"/>
      <c r="Z23" s="979"/>
      <c r="AA23" s="980">
        <v>1.3</v>
      </c>
      <c r="AB23" s="980">
        <f t="shared" si="2"/>
        <v>60.246153846153838</v>
      </c>
      <c r="AC23" s="982" t="str" cm="1">
        <f t="array" ref="AC23">IF(X23&lt;&gt;"",IF(LEFT(X23,SEARCH("-",X23,1)-1)="A.CF","CF",IF(LEFT(X23,SEARCH("-",X23,1)-1)="A.CA","CA",IF(LEFT(X23,SEARCH("-",X23,1)-1)="CL","CL","-"))),IF(Y23&lt;&gt;"",BF,"-"))</f>
        <v>CF</v>
      </c>
      <c r="AD23" s="953"/>
      <c r="AE23" s="983" t="str">
        <f t="shared" si="3"/>
        <v>A</v>
      </c>
      <c r="AF23" s="984" t="str">
        <f t="shared" si="4"/>
        <v>C</v>
      </c>
      <c r="AG23" s="963"/>
      <c r="AH23" s="985" t="str">
        <f t="shared" si="177"/>
        <v/>
      </c>
      <c r="AI23" s="985" t="str">
        <f t="shared" si="177"/>
        <v/>
      </c>
      <c r="AJ23" s="985" t="str">
        <f t="shared" si="177"/>
        <v/>
      </c>
      <c r="AK23" s="985" t="str">
        <f t="shared" si="177"/>
        <v/>
      </c>
      <c r="AL23" s="985" t="str">
        <f t="shared" si="177"/>
        <v/>
      </c>
      <c r="AM23" s="985" t="str">
        <f t="shared" si="177"/>
        <v/>
      </c>
      <c r="AN23" s="985" t="str">
        <f t="shared" si="177"/>
        <v/>
      </c>
      <c r="AO23" s="985" t="str">
        <f t="shared" si="177"/>
        <v/>
      </c>
      <c r="AP23" s="986"/>
      <c r="AQ23" s="985" t="str">
        <f t="shared" ref="AQ23:BD23" si="230">IF(AND($I23&lt;&gt;"",$AF23="C"),IF(AND($P23&gt;AP$8,$P23&lt;=AQ$8),$K23,""),"")</f>
        <v/>
      </c>
      <c r="AR23" s="985" t="str">
        <f t="shared" si="230"/>
        <v/>
      </c>
      <c r="AS23" s="985">
        <f t="shared" si="230"/>
        <v>78.319999999999993</v>
      </c>
      <c r="AT23" s="985" t="str">
        <f t="shared" si="230"/>
        <v/>
      </c>
      <c r="AU23" s="985" t="str">
        <f t="shared" si="230"/>
        <v/>
      </c>
      <c r="AV23" s="985" t="str">
        <f t="shared" si="230"/>
        <v/>
      </c>
      <c r="AW23" s="985" t="str">
        <f t="shared" si="230"/>
        <v/>
      </c>
      <c r="AX23" s="985" t="str">
        <f t="shared" si="230"/>
        <v/>
      </c>
      <c r="AY23" s="985" t="str">
        <f t="shared" si="230"/>
        <v/>
      </c>
      <c r="AZ23" s="985" t="str">
        <f t="shared" si="230"/>
        <v/>
      </c>
      <c r="BA23" s="985" t="str">
        <f t="shared" si="230"/>
        <v/>
      </c>
      <c r="BB23" s="985" t="str">
        <f t="shared" si="230"/>
        <v/>
      </c>
      <c r="BC23" s="985" t="str">
        <f t="shared" si="230"/>
        <v/>
      </c>
      <c r="BD23" s="985" t="str">
        <f t="shared" si="230"/>
        <v/>
      </c>
      <c r="BE23" s="987"/>
      <c r="BF23" s="985" t="str">
        <f t="shared" ref="BF23:BS23" si="231">IF(AND($I23&lt;&gt;"",$AF23="C"),IF(AND($P23&gt;BE$8,$P23&lt;=BF$8),$L23,""),"")</f>
        <v/>
      </c>
      <c r="BG23" s="985" t="str">
        <f t="shared" si="231"/>
        <v/>
      </c>
      <c r="BH23" s="985">
        <f t="shared" si="231"/>
        <v>0</v>
      </c>
      <c r="BI23" s="985" t="str">
        <f t="shared" si="231"/>
        <v/>
      </c>
      <c r="BJ23" s="985" t="str">
        <f t="shared" si="231"/>
        <v/>
      </c>
      <c r="BK23" s="985" t="str">
        <f t="shared" si="231"/>
        <v/>
      </c>
      <c r="BL23" s="985" t="str">
        <f t="shared" si="231"/>
        <v/>
      </c>
      <c r="BM23" s="985" t="str">
        <f t="shared" si="231"/>
        <v/>
      </c>
      <c r="BN23" s="985" t="str">
        <f t="shared" si="231"/>
        <v/>
      </c>
      <c r="BO23" s="985" t="str">
        <f t="shared" si="231"/>
        <v/>
      </c>
      <c r="BP23" s="985" t="str">
        <f t="shared" si="231"/>
        <v/>
      </c>
      <c r="BQ23" s="985" t="str">
        <f t="shared" si="231"/>
        <v/>
      </c>
      <c r="BR23" s="985" t="str">
        <f t="shared" si="231"/>
        <v/>
      </c>
      <c r="BS23" s="985" t="str">
        <f t="shared" si="231"/>
        <v/>
      </c>
      <c r="BU23" s="985" t="str">
        <f t="shared" ref="BU23:CF23" si="232">IF(AND($I23&lt;&gt;"",$AF23="C"),IF(AND($P23&gt;BT$8,$P23&lt;=BU$8),$M23,""),"")</f>
        <v/>
      </c>
      <c r="BV23" s="985" t="str">
        <f t="shared" si="232"/>
        <v/>
      </c>
      <c r="BW23" s="985">
        <f t="shared" si="232"/>
        <v>0</v>
      </c>
      <c r="BX23" s="985" t="str">
        <f t="shared" si="232"/>
        <v/>
      </c>
      <c r="BY23" s="985" t="str">
        <f t="shared" si="232"/>
        <v/>
      </c>
      <c r="BZ23" s="985" t="str">
        <f t="shared" si="232"/>
        <v/>
      </c>
      <c r="CA23" s="985" t="str">
        <f t="shared" si="232"/>
        <v/>
      </c>
      <c r="CB23" s="985" t="str">
        <f t="shared" si="232"/>
        <v/>
      </c>
      <c r="CC23" s="985" t="str">
        <f t="shared" si="232"/>
        <v/>
      </c>
      <c r="CD23" s="985" t="str">
        <f t="shared" si="232"/>
        <v/>
      </c>
      <c r="CE23" s="985" t="str">
        <f t="shared" si="232"/>
        <v/>
      </c>
      <c r="CF23" s="985" t="str">
        <f t="shared" si="232"/>
        <v/>
      </c>
      <c r="CG23" s="987"/>
      <c r="CH23" s="985" t="str">
        <f t="shared" si="181"/>
        <v/>
      </c>
      <c r="CI23" s="985" t="str">
        <f t="shared" si="181"/>
        <v/>
      </c>
      <c r="CJ23" s="985" t="str">
        <f t="shared" si="181"/>
        <v/>
      </c>
      <c r="CK23" s="985" t="str">
        <f t="shared" si="181"/>
        <v/>
      </c>
      <c r="CL23" s="985" t="str">
        <f t="shared" si="181"/>
        <v/>
      </c>
      <c r="CM23" s="985" t="str">
        <f t="shared" si="181"/>
        <v/>
      </c>
      <c r="CN23" s="985" t="str">
        <f t="shared" si="181"/>
        <v/>
      </c>
      <c r="CP23" s="988" t="str">
        <f t="shared" ref="CP23:DC23" si="233">IF(AND($I23&lt;&gt;"",OR($AF23="ELE",$AF23="ELD",$AF23="CX")),IF(AND($P23&gt;CO$8,$P23&lt;=CP$8),$K23,""),"")</f>
        <v/>
      </c>
      <c r="CQ23" s="988" t="str">
        <f t="shared" si="233"/>
        <v/>
      </c>
      <c r="CR23" s="988" t="str">
        <f t="shared" si="233"/>
        <v/>
      </c>
      <c r="CS23" s="988" t="str">
        <f t="shared" si="233"/>
        <v/>
      </c>
      <c r="CT23" s="988" t="str">
        <f t="shared" si="233"/>
        <v/>
      </c>
      <c r="CU23" s="988" t="str">
        <f t="shared" si="233"/>
        <v/>
      </c>
      <c r="CV23" s="988" t="str">
        <f t="shared" si="233"/>
        <v/>
      </c>
      <c r="CW23" s="988" t="str">
        <f t="shared" si="233"/>
        <v/>
      </c>
      <c r="CX23" s="988" t="str">
        <f t="shared" si="233"/>
        <v/>
      </c>
      <c r="CY23" s="988" t="str">
        <f t="shared" si="233"/>
        <v/>
      </c>
      <c r="CZ23" s="988" t="str">
        <f t="shared" si="233"/>
        <v/>
      </c>
      <c r="DA23" s="988" t="str">
        <f t="shared" si="233"/>
        <v/>
      </c>
      <c r="DB23" s="988" t="str">
        <f t="shared" si="233"/>
        <v/>
      </c>
      <c r="DC23" s="988" t="str">
        <f t="shared" si="233"/>
        <v/>
      </c>
      <c r="DE23" s="988" t="str">
        <f t="shared" ref="DE23:DR23" si="234">IF(AND($X23&lt;&gt;"",$AC23="CF"),IF(AND($P23&gt;DD$8,$P23&lt;=DE$8),$AB23,""),"")</f>
        <v/>
      </c>
      <c r="DF23" s="988" t="str">
        <f t="shared" si="234"/>
        <v/>
      </c>
      <c r="DG23" s="988">
        <f t="shared" si="234"/>
        <v>60.246153846153838</v>
      </c>
      <c r="DH23" s="988" t="str">
        <f t="shared" si="234"/>
        <v/>
      </c>
      <c r="DI23" s="988" t="str">
        <f t="shared" si="234"/>
        <v/>
      </c>
      <c r="DJ23" s="988" t="str">
        <f t="shared" si="234"/>
        <v/>
      </c>
      <c r="DK23" s="988" t="str">
        <f t="shared" si="234"/>
        <v/>
      </c>
      <c r="DL23" s="988" t="str">
        <f t="shared" si="234"/>
        <v/>
      </c>
      <c r="DM23" s="988" t="str">
        <f t="shared" si="234"/>
        <v/>
      </c>
      <c r="DN23" s="988" t="str">
        <f t="shared" si="234"/>
        <v/>
      </c>
      <c r="DO23" s="988" t="str">
        <f t="shared" si="234"/>
        <v/>
      </c>
      <c r="DP23" s="988" t="str">
        <f t="shared" si="234"/>
        <v/>
      </c>
      <c r="DQ23" s="988" t="str">
        <f t="shared" si="234"/>
        <v/>
      </c>
      <c r="DR23" s="988" t="str">
        <f t="shared" si="234"/>
        <v/>
      </c>
      <c r="DT23" s="988" t="str">
        <f t="shared" ref="DT23:EG23" si="235">IF(AND($X23&lt;&gt;"",$AC23="CA"),IF(AND($P23&gt;DS$8,$P23&lt;=DT$8),$AB23,""),"")</f>
        <v/>
      </c>
      <c r="DU23" s="988" t="str">
        <f t="shared" si="235"/>
        <v/>
      </c>
      <c r="DV23" s="988" t="str">
        <f t="shared" si="235"/>
        <v/>
      </c>
      <c r="DW23" s="988" t="str">
        <f t="shared" si="235"/>
        <v/>
      </c>
      <c r="DX23" s="988" t="str">
        <f t="shared" si="235"/>
        <v/>
      </c>
      <c r="DY23" s="988" t="str">
        <f t="shared" si="235"/>
        <v/>
      </c>
      <c r="DZ23" s="988" t="str">
        <f t="shared" si="235"/>
        <v/>
      </c>
      <c r="EA23" s="988" t="str">
        <f t="shared" si="235"/>
        <v/>
      </c>
      <c r="EB23" s="988" t="str">
        <f t="shared" si="235"/>
        <v/>
      </c>
      <c r="EC23" s="988" t="str">
        <f t="shared" si="235"/>
        <v/>
      </c>
      <c r="ED23" s="988" t="str">
        <f t="shared" si="235"/>
        <v/>
      </c>
      <c r="EE23" s="988" t="str">
        <f t="shared" si="235"/>
        <v/>
      </c>
      <c r="EF23" s="988" t="str">
        <f t="shared" si="235"/>
        <v/>
      </c>
      <c r="EG23" s="988" t="str">
        <f t="shared" si="235"/>
        <v/>
      </c>
      <c r="EI23" s="988" t="str">
        <f t="shared" ref="EI23:EV23" si="236">IF($AE23="BFC",IF(AND($P23&gt;EH$8,$P23&lt;=EI$8),$AB23,""),"")</f>
        <v/>
      </c>
      <c r="EJ23" s="988" t="str">
        <f t="shared" si="236"/>
        <v/>
      </c>
      <c r="EK23" s="988" t="str">
        <f t="shared" si="236"/>
        <v/>
      </c>
      <c r="EL23" s="988" t="str">
        <f t="shared" si="236"/>
        <v/>
      </c>
      <c r="EM23" s="988" t="str">
        <f t="shared" si="236"/>
        <v/>
      </c>
      <c r="EN23" s="988" t="str">
        <f t="shared" si="236"/>
        <v/>
      </c>
      <c r="EO23" s="988" t="str">
        <f t="shared" si="236"/>
        <v/>
      </c>
      <c r="EP23" s="988" t="str">
        <f t="shared" si="236"/>
        <v/>
      </c>
      <c r="EQ23" s="988" t="str">
        <f t="shared" si="236"/>
        <v/>
      </c>
      <c r="ER23" s="988" t="str">
        <f t="shared" si="236"/>
        <v/>
      </c>
      <c r="ES23" s="988" t="str">
        <f t="shared" si="236"/>
        <v/>
      </c>
      <c r="ET23" s="988" t="str">
        <f t="shared" si="236"/>
        <v/>
      </c>
      <c r="EU23" s="988" t="str">
        <f t="shared" si="236"/>
        <v/>
      </c>
      <c r="EV23" s="988" t="str">
        <f t="shared" si="236"/>
        <v/>
      </c>
      <c r="EX23" s="988" t="str">
        <f t="shared" ref="EX23:FK23" si="237">IF($AE23="BFN",IF(AND($P23&gt;EW$8,$P23&lt;=EX$8),$AB23,""),"")</f>
        <v/>
      </c>
      <c r="EY23" s="988" t="str">
        <f t="shared" si="237"/>
        <v/>
      </c>
      <c r="EZ23" s="988" t="str">
        <f t="shared" si="237"/>
        <v/>
      </c>
      <c r="FA23" s="988" t="str">
        <f t="shared" si="237"/>
        <v/>
      </c>
      <c r="FB23" s="988" t="str">
        <f t="shared" si="237"/>
        <v/>
      </c>
      <c r="FC23" s="988" t="str">
        <f t="shared" si="237"/>
        <v/>
      </c>
      <c r="FD23" s="988" t="str">
        <f t="shared" si="237"/>
        <v/>
      </c>
      <c r="FE23" s="988" t="str">
        <f t="shared" si="237"/>
        <v/>
      </c>
      <c r="FF23" s="988" t="str">
        <f t="shared" si="237"/>
        <v/>
      </c>
      <c r="FG23" s="988" t="str">
        <f t="shared" si="237"/>
        <v/>
      </c>
      <c r="FH23" s="988" t="str">
        <f t="shared" si="237"/>
        <v/>
      </c>
      <c r="FI23" s="988" t="str">
        <f t="shared" si="237"/>
        <v/>
      </c>
      <c r="FJ23" s="988" t="str">
        <f t="shared" si="237"/>
        <v/>
      </c>
      <c r="FK23" s="988" t="str">
        <f t="shared" si="237"/>
        <v/>
      </c>
      <c r="FM23" s="988" t="str">
        <f t="shared" ref="FM23:FZ23" si="238">IF(AND($I23&lt;&gt;"",$AF23="RCS"),IF(AND($P23&gt;FL$8,$P23&lt;=FM$8),SUM($K23:$M23),""),"")</f>
        <v/>
      </c>
      <c r="FN23" s="988" t="str">
        <f t="shared" si="238"/>
        <v/>
      </c>
      <c r="FO23" s="988" t="str">
        <f t="shared" si="238"/>
        <v/>
      </c>
      <c r="FP23" s="988" t="str">
        <f t="shared" si="238"/>
        <v/>
      </c>
      <c r="FQ23" s="988" t="str">
        <f t="shared" si="238"/>
        <v/>
      </c>
      <c r="FR23" s="988" t="str">
        <f t="shared" si="238"/>
        <v/>
      </c>
      <c r="FS23" s="988" t="str">
        <f t="shared" si="238"/>
        <v/>
      </c>
      <c r="FT23" s="988" t="str">
        <f t="shared" si="238"/>
        <v/>
      </c>
      <c r="FU23" s="988" t="str">
        <f t="shared" si="238"/>
        <v/>
      </c>
      <c r="FV23" s="988" t="str">
        <f t="shared" si="238"/>
        <v/>
      </c>
      <c r="FW23" s="988" t="str">
        <f t="shared" si="238"/>
        <v/>
      </c>
      <c r="FX23" s="988" t="str">
        <f t="shared" si="238"/>
        <v/>
      </c>
      <c r="FY23" s="988" t="str">
        <f t="shared" si="238"/>
        <v/>
      </c>
      <c r="FZ23" s="988" t="str">
        <f t="shared" si="238"/>
        <v/>
      </c>
      <c r="GB23" s="988" t="str">
        <f t="shared" ref="GB23:GO23" si="239">IF(AND($I23&lt;&gt;"",$AF23="REC"),IF(AND($P23&gt;GA$8,$P23&lt;=GB$8),SUM($K23:$M23),""),"")</f>
        <v/>
      </c>
      <c r="GC23" s="988" t="str">
        <f t="shared" si="239"/>
        <v/>
      </c>
      <c r="GD23" s="988" t="str">
        <f t="shared" si="239"/>
        <v/>
      </c>
      <c r="GE23" s="988" t="str">
        <f t="shared" si="239"/>
        <v/>
      </c>
      <c r="GF23" s="988" t="str">
        <f t="shared" si="239"/>
        <v/>
      </c>
      <c r="GG23" s="988" t="str">
        <f t="shared" si="239"/>
        <v/>
      </c>
      <c r="GH23" s="988" t="str">
        <f t="shared" si="239"/>
        <v/>
      </c>
      <c r="GI23" s="988" t="str">
        <f t="shared" si="239"/>
        <v/>
      </c>
      <c r="GJ23" s="988" t="str">
        <f t="shared" si="239"/>
        <v/>
      </c>
      <c r="GK23" s="988" t="str">
        <f t="shared" si="239"/>
        <v/>
      </c>
      <c r="GL23" s="988" t="str">
        <f t="shared" si="239"/>
        <v/>
      </c>
      <c r="GM23" s="988" t="str">
        <f t="shared" si="239"/>
        <v/>
      </c>
      <c r="GN23" s="988" t="str">
        <f t="shared" si="239"/>
        <v/>
      </c>
      <c r="GO23" s="988" t="str">
        <f t="shared" si="239"/>
        <v/>
      </c>
      <c r="GQ23" s="988" t="str">
        <f t="shared" ref="GQ23:HD23" si="240">IF(AND($I23&lt;&gt;"",$AF23="REB"),IF(AND($P23&gt;GP$8,$P23&lt;=GQ$8),SUM($K23:$M23),""),"")</f>
        <v/>
      </c>
      <c r="GR23" s="988" t="str">
        <f t="shared" si="240"/>
        <v/>
      </c>
      <c r="GS23" s="988" t="str">
        <f t="shared" si="240"/>
        <v/>
      </c>
      <c r="GT23" s="988" t="str">
        <f t="shared" si="240"/>
        <v/>
      </c>
      <c r="GU23" s="988" t="str">
        <f t="shared" si="240"/>
        <v/>
      </c>
      <c r="GV23" s="988" t="str">
        <f t="shared" si="240"/>
        <v/>
      </c>
      <c r="GW23" s="988" t="str">
        <f t="shared" si="240"/>
        <v/>
      </c>
      <c r="GX23" s="988" t="str">
        <f t="shared" si="240"/>
        <v/>
      </c>
      <c r="GY23" s="988" t="str">
        <f t="shared" si="240"/>
        <v/>
      </c>
      <c r="GZ23" s="988" t="str">
        <f t="shared" si="240"/>
        <v/>
      </c>
      <c r="HA23" s="988" t="str">
        <f t="shared" si="240"/>
        <v/>
      </c>
      <c r="HB23" s="988" t="str">
        <f t="shared" si="240"/>
        <v/>
      </c>
      <c r="HC23" s="988" t="str">
        <f t="shared" si="240"/>
        <v/>
      </c>
      <c r="HD23" s="988" t="str">
        <f t="shared" si="240"/>
        <v/>
      </c>
      <c r="HF23" s="988" t="str">
        <f t="shared" ref="HF23:HS23" si="241">IF(AND($I23&lt;&gt;"",$AF23="RBS"),IF(AND($P23&gt;HE$8,$P23&lt;=HF$8),SUM($K23:$M23),""),"")</f>
        <v/>
      </c>
      <c r="HG23" s="988" t="str">
        <f t="shared" si="241"/>
        <v/>
      </c>
      <c r="HH23" s="988" t="str">
        <f t="shared" si="241"/>
        <v/>
      </c>
      <c r="HI23" s="988" t="str">
        <f t="shared" si="241"/>
        <v/>
      </c>
      <c r="HJ23" s="988" t="str">
        <f t="shared" si="241"/>
        <v/>
      </c>
      <c r="HK23" s="988" t="str">
        <f t="shared" si="241"/>
        <v/>
      </c>
      <c r="HL23" s="988" t="str">
        <f t="shared" si="241"/>
        <v/>
      </c>
      <c r="HM23" s="988" t="str">
        <f t="shared" si="241"/>
        <v/>
      </c>
      <c r="HN23" s="988" t="str">
        <f t="shared" si="241"/>
        <v/>
      </c>
      <c r="HO23" s="988" t="str">
        <f t="shared" si="241"/>
        <v/>
      </c>
      <c r="HP23" s="988" t="str">
        <f t="shared" si="241"/>
        <v/>
      </c>
      <c r="HQ23" s="988" t="str">
        <f t="shared" si="241"/>
        <v/>
      </c>
      <c r="HR23" s="988" t="str">
        <f t="shared" si="241"/>
        <v/>
      </c>
      <c r="HS23" s="988" t="str">
        <f t="shared" si="241"/>
        <v/>
      </c>
      <c r="HU23" s="988" t="str">
        <f t="shared" ref="HU23:IH23" si="242">IF(AND($I23&lt;&gt;"",$AF23="RCD"),IF(AND($P23&gt;HT$8,$P23&lt;=HU$8),SUM($K23:$M23),""),"")</f>
        <v/>
      </c>
      <c r="HV23" s="988" t="str">
        <f t="shared" si="242"/>
        <v/>
      </c>
      <c r="HW23" s="988" t="str">
        <f t="shared" si="242"/>
        <v/>
      </c>
      <c r="HX23" s="988" t="str">
        <f t="shared" si="242"/>
        <v/>
      </c>
      <c r="HY23" s="988" t="str">
        <f t="shared" si="242"/>
        <v/>
      </c>
      <c r="HZ23" s="988" t="str">
        <f t="shared" si="242"/>
        <v/>
      </c>
      <c r="IA23" s="988" t="str">
        <f t="shared" si="242"/>
        <v/>
      </c>
      <c r="IB23" s="988" t="str">
        <f t="shared" si="242"/>
        <v/>
      </c>
      <c r="IC23" s="988" t="str">
        <f t="shared" si="242"/>
        <v/>
      </c>
      <c r="ID23" s="988" t="str">
        <f t="shared" si="242"/>
        <v/>
      </c>
      <c r="IE23" s="988" t="str">
        <f t="shared" si="242"/>
        <v/>
      </c>
      <c r="IF23" s="988" t="str">
        <f t="shared" si="242"/>
        <v/>
      </c>
      <c r="IG23" s="988" t="str">
        <f t="shared" si="242"/>
        <v/>
      </c>
      <c r="IH23" s="988" t="str">
        <f t="shared" si="242"/>
        <v/>
      </c>
      <c r="IJ23" s="985" t="str">
        <f t="shared" ref="IJ23:IW23" si="243">IF(AND($I23&lt;&gt;""),IF(AND($P23&gt;II$8,$P23&lt;=IJ$8),$K23,""),"")</f>
        <v/>
      </c>
      <c r="IK23" s="985" t="str">
        <f t="shared" si="243"/>
        <v/>
      </c>
      <c r="IL23" s="985">
        <f t="shared" si="243"/>
        <v>78.319999999999993</v>
      </c>
      <c r="IM23" s="985" t="str">
        <f t="shared" si="243"/>
        <v/>
      </c>
      <c r="IN23" s="985" t="str">
        <f t="shared" si="243"/>
        <v/>
      </c>
      <c r="IO23" s="985" t="str">
        <f t="shared" si="243"/>
        <v/>
      </c>
      <c r="IP23" s="985" t="str">
        <f t="shared" si="243"/>
        <v/>
      </c>
      <c r="IQ23" s="985" t="str">
        <f t="shared" si="243"/>
        <v/>
      </c>
      <c r="IR23" s="985" t="str">
        <f t="shared" si="243"/>
        <v/>
      </c>
      <c r="IS23" s="985" t="str">
        <f t="shared" si="243"/>
        <v/>
      </c>
      <c r="IT23" s="985" t="str">
        <f t="shared" si="243"/>
        <v/>
      </c>
      <c r="IU23" s="985" t="str">
        <f t="shared" si="243"/>
        <v/>
      </c>
      <c r="IV23" s="985" t="str">
        <f t="shared" si="243"/>
        <v/>
      </c>
      <c r="IW23" s="985" t="str">
        <f t="shared" si="243"/>
        <v/>
      </c>
      <c r="IX23" s="987"/>
      <c r="IY23" s="985" t="str">
        <f t="shared" ref="IY23:JL23" si="244">IF(AND($I23&lt;&gt;""),IF(AND($P23&gt;IX$8,$P23&lt;=IY$8),$L23,""),"")</f>
        <v/>
      </c>
      <c r="IZ23" s="985" t="str">
        <f t="shared" si="244"/>
        <v/>
      </c>
      <c r="JA23" s="985">
        <f t="shared" si="244"/>
        <v>0</v>
      </c>
      <c r="JB23" s="985" t="str">
        <f t="shared" si="244"/>
        <v/>
      </c>
      <c r="JC23" s="985" t="str">
        <f t="shared" si="244"/>
        <v/>
      </c>
      <c r="JD23" s="985" t="str">
        <f t="shared" si="244"/>
        <v/>
      </c>
      <c r="JE23" s="985" t="str">
        <f t="shared" si="244"/>
        <v/>
      </c>
      <c r="JF23" s="985" t="str">
        <f t="shared" si="244"/>
        <v/>
      </c>
      <c r="JG23" s="985" t="str">
        <f t="shared" si="244"/>
        <v/>
      </c>
      <c r="JH23" s="985" t="str">
        <f t="shared" si="244"/>
        <v/>
      </c>
      <c r="JI23" s="985" t="str">
        <f t="shared" si="244"/>
        <v/>
      </c>
      <c r="JJ23" s="985" t="str">
        <f t="shared" si="244"/>
        <v/>
      </c>
      <c r="JK23" s="985" t="str">
        <f t="shared" si="244"/>
        <v/>
      </c>
      <c r="JL23" s="985" t="str">
        <f t="shared" si="244"/>
        <v/>
      </c>
      <c r="JM23" s="987"/>
      <c r="JN23" s="985" t="str">
        <f t="shared" ref="JN23:KA23" si="245">IF(AND($I23&lt;&gt;""),IF(AND($P23&gt;JM$8,$P23&lt;=JN$8),$M23,""),"")</f>
        <v/>
      </c>
      <c r="JO23" s="985" t="str">
        <f t="shared" si="245"/>
        <v/>
      </c>
      <c r="JP23" s="985">
        <f t="shared" si="245"/>
        <v>0</v>
      </c>
      <c r="JQ23" s="985" t="str">
        <f t="shared" si="245"/>
        <v/>
      </c>
      <c r="JR23" s="985" t="str">
        <f t="shared" si="245"/>
        <v/>
      </c>
      <c r="JS23" s="985" t="str">
        <f t="shared" si="245"/>
        <v/>
      </c>
      <c r="JT23" s="985" t="str">
        <f t="shared" si="245"/>
        <v/>
      </c>
      <c r="JU23" s="985" t="str">
        <f t="shared" si="245"/>
        <v/>
      </c>
      <c r="JV23" s="985" t="str">
        <f t="shared" si="245"/>
        <v/>
      </c>
      <c r="JW23" s="985" t="str">
        <f t="shared" si="245"/>
        <v/>
      </c>
      <c r="JX23" s="985" t="str">
        <f t="shared" si="245"/>
        <v/>
      </c>
      <c r="JY23" s="985" t="str">
        <f t="shared" si="245"/>
        <v/>
      </c>
      <c r="JZ23" s="985" t="str">
        <f t="shared" si="245"/>
        <v/>
      </c>
      <c r="KA23" s="985" t="str">
        <f t="shared" si="245"/>
        <v/>
      </c>
      <c r="KB23" s="987"/>
      <c r="KC23" s="985" t="str">
        <f t="shared" ref="KC23:KP23" si="246">IF(AND($I23&lt;&gt;""),IF(AND($P23&gt;KB$8,$P23&lt;=KC$8),$N23,""),"")</f>
        <v/>
      </c>
      <c r="KD23" s="985" t="str">
        <f t="shared" si="246"/>
        <v/>
      </c>
      <c r="KE23" s="985">
        <f t="shared" si="246"/>
        <v>0</v>
      </c>
      <c r="KF23" s="985" t="str">
        <f t="shared" si="246"/>
        <v/>
      </c>
      <c r="KG23" s="985" t="str">
        <f t="shared" si="246"/>
        <v/>
      </c>
      <c r="KH23" s="985" t="str">
        <f t="shared" si="246"/>
        <v/>
      </c>
      <c r="KI23" s="985" t="str">
        <f t="shared" si="246"/>
        <v/>
      </c>
      <c r="KJ23" s="985" t="str">
        <f t="shared" si="246"/>
        <v/>
      </c>
      <c r="KK23" s="985" t="str">
        <f t="shared" si="246"/>
        <v/>
      </c>
      <c r="KL23" s="985" t="str">
        <f t="shared" si="246"/>
        <v/>
      </c>
      <c r="KM23" s="985" t="str">
        <f t="shared" si="246"/>
        <v/>
      </c>
      <c r="KN23" s="985" t="str">
        <f t="shared" si="246"/>
        <v/>
      </c>
      <c r="KO23" s="985" t="str">
        <f t="shared" si="246"/>
        <v/>
      </c>
      <c r="KP23" s="985" t="str">
        <f t="shared" si="246"/>
        <v/>
      </c>
    </row>
    <row r="24" spans="2:302" ht="18" customHeight="1">
      <c r="B24" s="978">
        <f t="shared" si="0"/>
        <v>46</v>
      </c>
      <c r="C24" s="979" t="s">
        <v>608</v>
      </c>
      <c r="D24" s="979" t="s">
        <v>605</v>
      </c>
      <c r="E24" s="980">
        <v>0</v>
      </c>
      <c r="F24" s="979" t="s">
        <v>608</v>
      </c>
      <c r="G24" s="979" t="s">
        <v>605</v>
      </c>
      <c r="H24" s="980">
        <v>0</v>
      </c>
      <c r="I24" s="979" t="s">
        <v>811</v>
      </c>
      <c r="J24" s="979"/>
      <c r="K24" s="980">
        <v>1.85</v>
      </c>
      <c r="L24" s="980"/>
      <c r="M24" s="980"/>
      <c r="N24" s="980"/>
      <c r="O24" s="980"/>
      <c r="P24" s="981">
        <v>0.02</v>
      </c>
      <c r="Q24" s="981">
        <f t="shared" si="1"/>
        <v>3.7000000000000005E-2</v>
      </c>
      <c r="R24" s="979" t="s">
        <v>608</v>
      </c>
      <c r="S24" s="979" t="s">
        <v>605</v>
      </c>
      <c r="T24" s="980">
        <v>0</v>
      </c>
      <c r="U24" s="979" t="s">
        <v>608</v>
      </c>
      <c r="V24" s="979" t="s">
        <v>605</v>
      </c>
      <c r="W24" s="980">
        <v>0</v>
      </c>
      <c r="X24" s="979" t="s">
        <v>811</v>
      </c>
      <c r="Y24" s="979"/>
      <c r="Z24" s="979"/>
      <c r="AA24" s="980">
        <v>1.3</v>
      </c>
      <c r="AB24" s="980">
        <f t="shared" si="2"/>
        <v>1.4230769230769231</v>
      </c>
      <c r="AC24" s="982" t="s">
        <v>939</v>
      </c>
      <c r="AD24" s="953"/>
      <c r="AE24" s="983" t="str">
        <f t="shared" si="3"/>
        <v/>
      </c>
      <c r="AF24" s="984" t="str">
        <f t="shared" si="4"/>
        <v>CL</v>
      </c>
      <c r="AG24" s="963"/>
      <c r="AH24" s="985">
        <f t="shared" si="177"/>
        <v>1.85</v>
      </c>
      <c r="AI24" s="985" t="str">
        <f t="shared" si="177"/>
        <v/>
      </c>
      <c r="AJ24" s="985" t="str">
        <f t="shared" si="177"/>
        <v/>
      </c>
      <c r="AK24" s="985" t="str">
        <f t="shared" si="177"/>
        <v/>
      </c>
      <c r="AL24" s="985" t="str">
        <f t="shared" si="177"/>
        <v/>
      </c>
      <c r="AM24" s="985" t="str">
        <f t="shared" si="177"/>
        <v/>
      </c>
      <c r="AN24" s="985" t="str">
        <f t="shared" si="177"/>
        <v/>
      </c>
      <c r="AO24" s="985" t="str">
        <f t="shared" si="177"/>
        <v/>
      </c>
      <c r="AP24" s="986"/>
      <c r="AQ24" s="985" t="str">
        <f t="shared" ref="AQ24:BD24" si="247">IF(AND($I24&lt;&gt;"",$AF24="C"),IF(AND($P24&gt;AP$8,$P24&lt;=AQ$8),$K24,""),"")</f>
        <v/>
      </c>
      <c r="AR24" s="985" t="str">
        <f t="shared" si="247"/>
        <v/>
      </c>
      <c r="AS24" s="985" t="str">
        <f t="shared" si="247"/>
        <v/>
      </c>
      <c r="AT24" s="985" t="str">
        <f t="shared" si="247"/>
        <v/>
      </c>
      <c r="AU24" s="985" t="str">
        <f t="shared" si="247"/>
        <v/>
      </c>
      <c r="AV24" s="985" t="str">
        <f t="shared" si="247"/>
        <v/>
      </c>
      <c r="AW24" s="985" t="str">
        <f t="shared" si="247"/>
        <v/>
      </c>
      <c r="AX24" s="985" t="str">
        <f t="shared" si="247"/>
        <v/>
      </c>
      <c r="AY24" s="985" t="str">
        <f t="shared" si="247"/>
        <v/>
      </c>
      <c r="AZ24" s="985" t="str">
        <f t="shared" si="247"/>
        <v/>
      </c>
      <c r="BA24" s="985" t="str">
        <f t="shared" si="247"/>
        <v/>
      </c>
      <c r="BB24" s="985" t="str">
        <f t="shared" si="247"/>
        <v/>
      </c>
      <c r="BC24" s="985" t="str">
        <f t="shared" si="247"/>
        <v/>
      </c>
      <c r="BD24" s="985" t="str">
        <f t="shared" si="247"/>
        <v/>
      </c>
      <c r="BE24" s="987"/>
      <c r="BF24" s="985" t="str">
        <f t="shared" ref="BF24:BS24" si="248">IF(AND($I24&lt;&gt;"",$AF24="C"),IF(AND($P24&gt;BE$8,$P24&lt;=BF$8),$L24,""),"")</f>
        <v/>
      </c>
      <c r="BG24" s="985" t="str">
        <f t="shared" si="248"/>
        <v/>
      </c>
      <c r="BH24" s="985" t="str">
        <f t="shared" si="248"/>
        <v/>
      </c>
      <c r="BI24" s="985" t="str">
        <f t="shared" si="248"/>
        <v/>
      </c>
      <c r="BJ24" s="985" t="str">
        <f t="shared" si="248"/>
        <v/>
      </c>
      <c r="BK24" s="985" t="str">
        <f t="shared" si="248"/>
        <v/>
      </c>
      <c r="BL24" s="985" t="str">
        <f t="shared" si="248"/>
        <v/>
      </c>
      <c r="BM24" s="985" t="str">
        <f t="shared" si="248"/>
        <v/>
      </c>
      <c r="BN24" s="985" t="str">
        <f t="shared" si="248"/>
        <v/>
      </c>
      <c r="BO24" s="985" t="str">
        <f t="shared" si="248"/>
        <v/>
      </c>
      <c r="BP24" s="985" t="str">
        <f t="shared" si="248"/>
        <v/>
      </c>
      <c r="BQ24" s="985" t="str">
        <f t="shared" si="248"/>
        <v/>
      </c>
      <c r="BR24" s="985" t="str">
        <f t="shared" si="248"/>
        <v/>
      </c>
      <c r="BS24" s="985" t="str">
        <f t="shared" si="248"/>
        <v/>
      </c>
      <c r="BU24" s="985" t="str">
        <f t="shared" ref="BU24:CF24" si="249">IF(AND($I24&lt;&gt;"",$AF24="C"),IF(AND($P24&gt;BT$8,$P24&lt;=BU$8),$M24,""),"")</f>
        <v/>
      </c>
      <c r="BV24" s="985" t="str">
        <f t="shared" si="249"/>
        <v/>
      </c>
      <c r="BW24" s="985" t="str">
        <f t="shared" si="249"/>
        <v/>
      </c>
      <c r="BX24" s="985" t="str">
        <f t="shared" si="249"/>
        <v/>
      </c>
      <c r="BY24" s="985" t="str">
        <f t="shared" si="249"/>
        <v/>
      </c>
      <c r="BZ24" s="985" t="str">
        <f t="shared" si="249"/>
        <v/>
      </c>
      <c r="CA24" s="985" t="str">
        <f t="shared" si="249"/>
        <v/>
      </c>
      <c r="CB24" s="985" t="str">
        <f t="shared" si="249"/>
        <v/>
      </c>
      <c r="CC24" s="985" t="str">
        <f t="shared" si="249"/>
        <v/>
      </c>
      <c r="CD24" s="985" t="str">
        <f t="shared" si="249"/>
        <v/>
      </c>
      <c r="CE24" s="985" t="str">
        <f t="shared" si="249"/>
        <v/>
      </c>
      <c r="CF24" s="985" t="str">
        <f t="shared" si="249"/>
        <v/>
      </c>
      <c r="CG24" s="987"/>
      <c r="CH24" s="985" t="str">
        <f t="shared" si="181"/>
        <v/>
      </c>
      <c r="CI24" s="985" t="str">
        <f t="shared" si="181"/>
        <v/>
      </c>
      <c r="CJ24" s="985" t="str">
        <f t="shared" si="181"/>
        <v/>
      </c>
      <c r="CK24" s="985" t="str">
        <f t="shared" si="181"/>
        <v/>
      </c>
      <c r="CL24" s="985" t="str">
        <f t="shared" si="181"/>
        <v/>
      </c>
      <c r="CM24" s="985" t="str">
        <f t="shared" si="181"/>
        <v/>
      </c>
      <c r="CN24" s="985" t="str">
        <f t="shared" si="181"/>
        <v/>
      </c>
      <c r="CP24" s="988" t="str">
        <f t="shared" ref="CP24:DC24" si="250">IF(AND($I24&lt;&gt;"",OR($AF24="ELE",$AF24="ELD",$AF24="CX")),IF(AND($P24&gt;CO$8,$P24&lt;=CP$8),$K24,""),"")</f>
        <v/>
      </c>
      <c r="CQ24" s="988" t="str">
        <f t="shared" si="250"/>
        <v/>
      </c>
      <c r="CR24" s="988" t="str">
        <f t="shared" si="250"/>
        <v/>
      </c>
      <c r="CS24" s="988" t="str">
        <f t="shared" si="250"/>
        <v/>
      </c>
      <c r="CT24" s="988" t="str">
        <f t="shared" si="250"/>
        <v/>
      </c>
      <c r="CU24" s="988" t="str">
        <f t="shared" si="250"/>
        <v/>
      </c>
      <c r="CV24" s="988" t="str">
        <f t="shared" si="250"/>
        <v/>
      </c>
      <c r="CW24" s="988" t="str">
        <f t="shared" si="250"/>
        <v/>
      </c>
      <c r="CX24" s="988" t="str">
        <f t="shared" si="250"/>
        <v/>
      </c>
      <c r="CY24" s="988" t="str">
        <f t="shared" si="250"/>
        <v/>
      </c>
      <c r="CZ24" s="988" t="str">
        <f t="shared" si="250"/>
        <v/>
      </c>
      <c r="DA24" s="988" t="str">
        <f t="shared" si="250"/>
        <v/>
      </c>
      <c r="DB24" s="988" t="str">
        <f t="shared" si="250"/>
        <v/>
      </c>
      <c r="DC24" s="988" t="str">
        <f t="shared" si="250"/>
        <v/>
      </c>
      <c r="DE24" s="988">
        <f t="shared" ref="DE24:DR24" si="251">IF(AND($X24&lt;&gt;"",$AC24="CF"),IF(AND($P24&gt;DD$8,$P24&lt;=DE$8),$AB24,""),"")</f>
        <v>1.4230769230769231</v>
      </c>
      <c r="DF24" s="988" t="str">
        <f t="shared" si="251"/>
        <v/>
      </c>
      <c r="DG24" s="988" t="str">
        <f t="shared" si="251"/>
        <v/>
      </c>
      <c r="DH24" s="988" t="str">
        <f t="shared" si="251"/>
        <v/>
      </c>
      <c r="DI24" s="988" t="str">
        <f t="shared" si="251"/>
        <v/>
      </c>
      <c r="DJ24" s="988" t="str">
        <f t="shared" si="251"/>
        <v/>
      </c>
      <c r="DK24" s="988" t="str">
        <f t="shared" si="251"/>
        <v/>
      </c>
      <c r="DL24" s="988" t="str">
        <f t="shared" si="251"/>
        <v/>
      </c>
      <c r="DM24" s="988" t="str">
        <f t="shared" si="251"/>
        <v/>
      </c>
      <c r="DN24" s="988" t="str">
        <f t="shared" si="251"/>
        <v/>
      </c>
      <c r="DO24" s="988" t="str">
        <f t="shared" si="251"/>
        <v/>
      </c>
      <c r="DP24" s="988" t="str">
        <f t="shared" si="251"/>
        <v/>
      </c>
      <c r="DQ24" s="988" t="str">
        <f t="shared" si="251"/>
        <v/>
      </c>
      <c r="DR24" s="988" t="str">
        <f t="shared" si="251"/>
        <v/>
      </c>
      <c r="DT24" s="988" t="str">
        <f t="shared" ref="DT24:EG24" si="252">IF(AND($X24&lt;&gt;"",$AC24="CA"),IF(AND($P24&gt;DS$8,$P24&lt;=DT$8),$AB24,""),"")</f>
        <v/>
      </c>
      <c r="DU24" s="988" t="str">
        <f t="shared" si="252"/>
        <v/>
      </c>
      <c r="DV24" s="988" t="str">
        <f t="shared" si="252"/>
        <v/>
      </c>
      <c r="DW24" s="988" t="str">
        <f t="shared" si="252"/>
        <v/>
      </c>
      <c r="DX24" s="988" t="str">
        <f t="shared" si="252"/>
        <v/>
      </c>
      <c r="DY24" s="988" t="str">
        <f t="shared" si="252"/>
        <v/>
      </c>
      <c r="DZ24" s="988" t="str">
        <f t="shared" si="252"/>
        <v/>
      </c>
      <c r="EA24" s="988" t="str">
        <f t="shared" si="252"/>
        <v/>
      </c>
      <c r="EB24" s="988" t="str">
        <f t="shared" si="252"/>
        <v/>
      </c>
      <c r="EC24" s="988" t="str">
        <f t="shared" si="252"/>
        <v/>
      </c>
      <c r="ED24" s="988" t="str">
        <f t="shared" si="252"/>
        <v/>
      </c>
      <c r="EE24" s="988" t="str">
        <f t="shared" si="252"/>
        <v/>
      </c>
      <c r="EF24" s="988" t="str">
        <f t="shared" si="252"/>
        <v/>
      </c>
      <c r="EG24" s="988" t="str">
        <f t="shared" si="252"/>
        <v/>
      </c>
      <c r="EI24" s="988" t="str">
        <f t="shared" ref="EI24:EV24" si="253">IF($AE24="BFC",IF(AND($P24&gt;EH$8,$P24&lt;=EI$8),$AB24,""),"")</f>
        <v/>
      </c>
      <c r="EJ24" s="988" t="str">
        <f t="shared" si="253"/>
        <v/>
      </c>
      <c r="EK24" s="988" t="str">
        <f t="shared" si="253"/>
        <v/>
      </c>
      <c r="EL24" s="988" t="str">
        <f t="shared" si="253"/>
        <v/>
      </c>
      <c r="EM24" s="988" t="str">
        <f t="shared" si="253"/>
        <v/>
      </c>
      <c r="EN24" s="988" t="str">
        <f t="shared" si="253"/>
        <v/>
      </c>
      <c r="EO24" s="988" t="str">
        <f t="shared" si="253"/>
        <v/>
      </c>
      <c r="EP24" s="988" t="str">
        <f t="shared" si="253"/>
        <v/>
      </c>
      <c r="EQ24" s="988" t="str">
        <f t="shared" si="253"/>
        <v/>
      </c>
      <c r="ER24" s="988" t="str">
        <f t="shared" si="253"/>
        <v/>
      </c>
      <c r="ES24" s="988" t="str">
        <f t="shared" si="253"/>
        <v/>
      </c>
      <c r="ET24" s="988" t="str">
        <f t="shared" si="253"/>
        <v/>
      </c>
      <c r="EU24" s="988" t="str">
        <f t="shared" si="253"/>
        <v/>
      </c>
      <c r="EV24" s="988" t="str">
        <f t="shared" si="253"/>
        <v/>
      </c>
      <c r="EX24" s="988" t="str">
        <f t="shared" ref="EX24:FK24" si="254">IF($AE24="BFN",IF(AND($P24&gt;EW$8,$P24&lt;=EX$8),$AB24,""),"")</f>
        <v/>
      </c>
      <c r="EY24" s="988" t="str">
        <f t="shared" si="254"/>
        <v/>
      </c>
      <c r="EZ24" s="988" t="str">
        <f t="shared" si="254"/>
        <v/>
      </c>
      <c r="FA24" s="988" t="str">
        <f t="shared" si="254"/>
        <v/>
      </c>
      <c r="FB24" s="988" t="str">
        <f t="shared" si="254"/>
        <v/>
      </c>
      <c r="FC24" s="988" t="str">
        <f t="shared" si="254"/>
        <v/>
      </c>
      <c r="FD24" s="988" t="str">
        <f t="shared" si="254"/>
        <v/>
      </c>
      <c r="FE24" s="988" t="str">
        <f t="shared" si="254"/>
        <v/>
      </c>
      <c r="FF24" s="988" t="str">
        <f t="shared" si="254"/>
        <v/>
      </c>
      <c r="FG24" s="988" t="str">
        <f t="shared" si="254"/>
        <v/>
      </c>
      <c r="FH24" s="988" t="str">
        <f t="shared" si="254"/>
        <v/>
      </c>
      <c r="FI24" s="988" t="str">
        <f t="shared" si="254"/>
        <v/>
      </c>
      <c r="FJ24" s="988" t="str">
        <f t="shared" si="254"/>
        <v/>
      </c>
      <c r="FK24" s="988" t="str">
        <f t="shared" si="254"/>
        <v/>
      </c>
      <c r="FM24" s="988" t="str">
        <f t="shared" ref="FM24:FZ24" si="255">IF(AND($I24&lt;&gt;"",$AF24="RCS"),IF(AND($P24&gt;FL$8,$P24&lt;=FM$8),SUM($K24:$M24),""),"")</f>
        <v/>
      </c>
      <c r="FN24" s="988" t="str">
        <f t="shared" si="255"/>
        <v/>
      </c>
      <c r="FO24" s="988" t="str">
        <f t="shared" si="255"/>
        <v/>
      </c>
      <c r="FP24" s="988" t="str">
        <f t="shared" si="255"/>
        <v/>
      </c>
      <c r="FQ24" s="988" t="str">
        <f t="shared" si="255"/>
        <v/>
      </c>
      <c r="FR24" s="988" t="str">
        <f t="shared" si="255"/>
        <v/>
      </c>
      <c r="FS24" s="988" t="str">
        <f t="shared" si="255"/>
        <v/>
      </c>
      <c r="FT24" s="988" t="str">
        <f t="shared" si="255"/>
        <v/>
      </c>
      <c r="FU24" s="988" t="str">
        <f t="shared" si="255"/>
        <v/>
      </c>
      <c r="FV24" s="988" t="str">
        <f t="shared" si="255"/>
        <v/>
      </c>
      <c r="FW24" s="988" t="str">
        <f t="shared" si="255"/>
        <v/>
      </c>
      <c r="FX24" s="988" t="str">
        <f t="shared" si="255"/>
        <v/>
      </c>
      <c r="FY24" s="988" t="str">
        <f t="shared" si="255"/>
        <v/>
      </c>
      <c r="FZ24" s="988" t="str">
        <f t="shared" si="255"/>
        <v/>
      </c>
      <c r="GB24" s="988" t="str">
        <f t="shared" ref="GB24:GO24" si="256">IF(AND($I24&lt;&gt;"",$AF24="REC"),IF(AND($P24&gt;GA$8,$P24&lt;=GB$8),SUM($K24:$M24),""),"")</f>
        <v/>
      </c>
      <c r="GC24" s="988" t="str">
        <f t="shared" si="256"/>
        <v/>
      </c>
      <c r="GD24" s="988" t="str">
        <f t="shared" si="256"/>
        <v/>
      </c>
      <c r="GE24" s="988" t="str">
        <f t="shared" si="256"/>
        <v/>
      </c>
      <c r="GF24" s="988" t="str">
        <f t="shared" si="256"/>
        <v/>
      </c>
      <c r="GG24" s="988" t="str">
        <f t="shared" si="256"/>
        <v/>
      </c>
      <c r="GH24" s="988" t="str">
        <f t="shared" si="256"/>
        <v/>
      </c>
      <c r="GI24" s="988" t="str">
        <f t="shared" si="256"/>
        <v/>
      </c>
      <c r="GJ24" s="988" t="str">
        <f t="shared" si="256"/>
        <v/>
      </c>
      <c r="GK24" s="988" t="str">
        <f t="shared" si="256"/>
        <v/>
      </c>
      <c r="GL24" s="988" t="str">
        <f t="shared" si="256"/>
        <v/>
      </c>
      <c r="GM24" s="988" t="str">
        <f t="shared" si="256"/>
        <v/>
      </c>
      <c r="GN24" s="988" t="str">
        <f t="shared" si="256"/>
        <v/>
      </c>
      <c r="GO24" s="988" t="str">
        <f t="shared" si="256"/>
        <v/>
      </c>
      <c r="GQ24" s="988" t="str">
        <f t="shared" ref="GQ24:HD24" si="257">IF(AND($I24&lt;&gt;"",$AF24="REB"),IF(AND($P24&gt;GP$8,$P24&lt;=GQ$8),SUM($K24:$M24),""),"")</f>
        <v/>
      </c>
      <c r="GR24" s="988" t="str">
        <f t="shared" si="257"/>
        <v/>
      </c>
      <c r="GS24" s="988" t="str">
        <f t="shared" si="257"/>
        <v/>
      </c>
      <c r="GT24" s="988" t="str">
        <f t="shared" si="257"/>
        <v/>
      </c>
      <c r="GU24" s="988" t="str">
        <f t="shared" si="257"/>
        <v/>
      </c>
      <c r="GV24" s="988" t="str">
        <f t="shared" si="257"/>
        <v/>
      </c>
      <c r="GW24" s="988" t="str">
        <f t="shared" si="257"/>
        <v/>
      </c>
      <c r="GX24" s="988" t="str">
        <f t="shared" si="257"/>
        <v/>
      </c>
      <c r="GY24" s="988" t="str">
        <f t="shared" si="257"/>
        <v/>
      </c>
      <c r="GZ24" s="988" t="str">
        <f t="shared" si="257"/>
        <v/>
      </c>
      <c r="HA24" s="988" t="str">
        <f t="shared" si="257"/>
        <v/>
      </c>
      <c r="HB24" s="988" t="str">
        <f t="shared" si="257"/>
        <v/>
      </c>
      <c r="HC24" s="988" t="str">
        <f t="shared" si="257"/>
        <v/>
      </c>
      <c r="HD24" s="988" t="str">
        <f t="shared" si="257"/>
        <v/>
      </c>
      <c r="HF24" s="988" t="str">
        <f t="shared" ref="HF24:HS24" si="258">IF(AND($I24&lt;&gt;"",$AF24="RBS"),IF(AND($P24&gt;HE$8,$P24&lt;=HF$8),SUM($K24:$M24),""),"")</f>
        <v/>
      </c>
      <c r="HG24" s="988" t="str">
        <f t="shared" si="258"/>
        <v/>
      </c>
      <c r="HH24" s="988" t="str">
        <f t="shared" si="258"/>
        <v/>
      </c>
      <c r="HI24" s="988" t="str">
        <f t="shared" si="258"/>
        <v/>
      </c>
      <c r="HJ24" s="988" t="str">
        <f t="shared" si="258"/>
        <v/>
      </c>
      <c r="HK24" s="988" t="str">
        <f t="shared" si="258"/>
        <v/>
      </c>
      <c r="HL24" s="988" t="str">
        <f t="shared" si="258"/>
        <v/>
      </c>
      <c r="HM24" s="988" t="str">
        <f t="shared" si="258"/>
        <v/>
      </c>
      <c r="HN24" s="988" t="str">
        <f t="shared" si="258"/>
        <v/>
      </c>
      <c r="HO24" s="988" t="str">
        <f t="shared" si="258"/>
        <v/>
      </c>
      <c r="HP24" s="988" t="str">
        <f t="shared" si="258"/>
        <v/>
      </c>
      <c r="HQ24" s="988" t="str">
        <f t="shared" si="258"/>
        <v/>
      </c>
      <c r="HR24" s="988" t="str">
        <f t="shared" si="258"/>
        <v/>
      </c>
      <c r="HS24" s="988" t="str">
        <f t="shared" si="258"/>
        <v/>
      </c>
      <c r="HU24" s="988" t="str">
        <f t="shared" ref="HU24:IH24" si="259">IF(AND($I24&lt;&gt;"",$AF24="RCD"),IF(AND($P24&gt;HT$8,$P24&lt;=HU$8),SUM($K24:$M24),""),"")</f>
        <v/>
      </c>
      <c r="HV24" s="988" t="str">
        <f t="shared" si="259"/>
        <v/>
      </c>
      <c r="HW24" s="988" t="str">
        <f t="shared" si="259"/>
        <v/>
      </c>
      <c r="HX24" s="988" t="str">
        <f t="shared" si="259"/>
        <v/>
      </c>
      <c r="HY24" s="988" t="str">
        <f t="shared" si="259"/>
        <v/>
      </c>
      <c r="HZ24" s="988" t="str">
        <f t="shared" si="259"/>
        <v/>
      </c>
      <c r="IA24" s="988" t="str">
        <f t="shared" si="259"/>
        <v/>
      </c>
      <c r="IB24" s="988" t="str">
        <f t="shared" si="259"/>
        <v/>
      </c>
      <c r="IC24" s="988" t="str">
        <f t="shared" si="259"/>
        <v/>
      </c>
      <c r="ID24" s="988" t="str">
        <f t="shared" si="259"/>
        <v/>
      </c>
      <c r="IE24" s="988" t="str">
        <f t="shared" si="259"/>
        <v/>
      </c>
      <c r="IF24" s="988" t="str">
        <f t="shared" si="259"/>
        <v/>
      </c>
      <c r="IG24" s="988" t="str">
        <f t="shared" si="259"/>
        <v/>
      </c>
      <c r="IH24" s="988" t="str">
        <f t="shared" si="259"/>
        <v/>
      </c>
      <c r="IJ24" s="985">
        <f t="shared" ref="IJ24:IW24" si="260">IF(AND($I24&lt;&gt;""),IF(AND($P24&gt;II$8,$P24&lt;=IJ$8),$K24,""),"")</f>
        <v>1.85</v>
      </c>
      <c r="IK24" s="985" t="str">
        <f t="shared" si="260"/>
        <v/>
      </c>
      <c r="IL24" s="985" t="str">
        <f t="shared" si="260"/>
        <v/>
      </c>
      <c r="IM24" s="985" t="str">
        <f t="shared" si="260"/>
        <v/>
      </c>
      <c r="IN24" s="985" t="str">
        <f t="shared" si="260"/>
        <v/>
      </c>
      <c r="IO24" s="985" t="str">
        <f t="shared" si="260"/>
        <v/>
      </c>
      <c r="IP24" s="985" t="str">
        <f t="shared" si="260"/>
        <v/>
      </c>
      <c r="IQ24" s="985" t="str">
        <f t="shared" si="260"/>
        <v/>
      </c>
      <c r="IR24" s="985" t="str">
        <f t="shared" si="260"/>
        <v/>
      </c>
      <c r="IS24" s="985" t="str">
        <f t="shared" si="260"/>
        <v/>
      </c>
      <c r="IT24" s="985" t="str">
        <f t="shared" si="260"/>
        <v/>
      </c>
      <c r="IU24" s="985" t="str">
        <f t="shared" si="260"/>
        <v/>
      </c>
      <c r="IV24" s="985" t="str">
        <f t="shared" si="260"/>
        <v/>
      </c>
      <c r="IW24" s="985" t="str">
        <f t="shared" si="260"/>
        <v/>
      </c>
      <c r="IX24" s="987"/>
      <c r="IY24" s="985">
        <f t="shared" ref="IY24:JL24" si="261">IF(AND($I24&lt;&gt;""),IF(AND($P24&gt;IX$8,$P24&lt;=IY$8),$L24,""),"")</f>
        <v>0</v>
      </c>
      <c r="IZ24" s="985" t="str">
        <f t="shared" si="261"/>
        <v/>
      </c>
      <c r="JA24" s="985" t="str">
        <f t="shared" si="261"/>
        <v/>
      </c>
      <c r="JB24" s="985" t="str">
        <f t="shared" si="261"/>
        <v/>
      </c>
      <c r="JC24" s="985" t="str">
        <f t="shared" si="261"/>
        <v/>
      </c>
      <c r="JD24" s="985" t="str">
        <f t="shared" si="261"/>
        <v/>
      </c>
      <c r="JE24" s="985" t="str">
        <f t="shared" si="261"/>
        <v/>
      </c>
      <c r="JF24" s="985" t="str">
        <f t="shared" si="261"/>
        <v/>
      </c>
      <c r="JG24" s="985" t="str">
        <f t="shared" si="261"/>
        <v/>
      </c>
      <c r="JH24" s="985" t="str">
        <f t="shared" si="261"/>
        <v/>
      </c>
      <c r="JI24" s="985" t="str">
        <f t="shared" si="261"/>
        <v/>
      </c>
      <c r="JJ24" s="985" t="str">
        <f t="shared" si="261"/>
        <v/>
      </c>
      <c r="JK24" s="985" t="str">
        <f t="shared" si="261"/>
        <v/>
      </c>
      <c r="JL24" s="985" t="str">
        <f t="shared" si="261"/>
        <v/>
      </c>
      <c r="JM24" s="987"/>
      <c r="JN24" s="985">
        <f t="shared" ref="JN24:KA24" si="262">IF(AND($I24&lt;&gt;""),IF(AND($P24&gt;JM$8,$P24&lt;=JN$8),$M24,""),"")</f>
        <v>0</v>
      </c>
      <c r="JO24" s="985" t="str">
        <f t="shared" si="262"/>
        <v/>
      </c>
      <c r="JP24" s="985" t="str">
        <f t="shared" si="262"/>
        <v/>
      </c>
      <c r="JQ24" s="985" t="str">
        <f t="shared" si="262"/>
        <v/>
      </c>
      <c r="JR24" s="985" t="str">
        <f t="shared" si="262"/>
        <v/>
      </c>
      <c r="JS24" s="985" t="str">
        <f t="shared" si="262"/>
        <v/>
      </c>
      <c r="JT24" s="985" t="str">
        <f t="shared" si="262"/>
        <v/>
      </c>
      <c r="JU24" s="985" t="str">
        <f t="shared" si="262"/>
        <v/>
      </c>
      <c r="JV24" s="985" t="str">
        <f t="shared" si="262"/>
        <v/>
      </c>
      <c r="JW24" s="985" t="str">
        <f t="shared" si="262"/>
        <v/>
      </c>
      <c r="JX24" s="985" t="str">
        <f t="shared" si="262"/>
        <v/>
      </c>
      <c r="JY24" s="985" t="str">
        <f t="shared" si="262"/>
        <v/>
      </c>
      <c r="JZ24" s="985" t="str">
        <f t="shared" si="262"/>
        <v/>
      </c>
      <c r="KA24" s="985" t="str">
        <f t="shared" si="262"/>
        <v/>
      </c>
      <c r="KB24" s="987"/>
      <c r="KC24" s="985">
        <f t="shared" ref="KC24:KP24" si="263">IF(AND($I24&lt;&gt;""),IF(AND($P24&gt;KB$8,$P24&lt;=KC$8),$N24,""),"")</f>
        <v>0</v>
      </c>
      <c r="KD24" s="985" t="str">
        <f t="shared" si="263"/>
        <v/>
      </c>
      <c r="KE24" s="985" t="str">
        <f t="shared" si="263"/>
        <v/>
      </c>
      <c r="KF24" s="985" t="str">
        <f t="shared" si="263"/>
        <v/>
      </c>
      <c r="KG24" s="985" t="str">
        <f t="shared" si="263"/>
        <v/>
      </c>
      <c r="KH24" s="985" t="str">
        <f t="shared" si="263"/>
        <v/>
      </c>
      <c r="KI24" s="985" t="str">
        <f t="shared" si="263"/>
        <v/>
      </c>
      <c r="KJ24" s="985" t="str">
        <f t="shared" si="263"/>
        <v/>
      </c>
      <c r="KK24" s="985" t="str">
        <f t="shared" si="263"/>
        <v/>
      </c>
      <c r="KL24" s="985" t="str">
        <f t="shared" si="263"/>
        <v/>
      </c>
      <c r="KM24" s="985" t="str">
        <f t="shared" si="263"/>
        <v/>
      </c>
      <c r="KN24" s="985" t="str">
        <f t="shared" si="263"/>
        <v/>
      </c>
      <c r="KO24" s="985" t="str">
        <f t="shared" si="263"/>
        <v/>
      </c>
      <c r="KP24" s="985" t="str">
        <f t="shared" si="263"/>
        <v/>
      </c>
    </row>
    <row r="25" spans="2:302" ht="18" customHeight="1">
      <c r="B25" s="978">
        <f t="shared" si="0"/>
        <v>49</v>
      </c>
      <c r="C25" s="979" t="s">
        <v>608</v>
      </c>
      <c r="D25" s="979" t="s">
        <v>605</v>
      </c>
      <c r="E25" s="980">
        <v>0</v>
      </c>
      <c r="F25" s="979" t="s">
        <v>627</v>
      </c>
      <c r="G25" s="979" t="s">
        <v>605</v>
      </c>
      <c r="H25" s="980">
        <v>10</v>
      </c>
      <c r="I25" s="979" t="s">
        <v>810</v>
      </c>
      <c r="J25" s="979"/>
      <c r="K25" s="980">
        <v>426.40000000000003</v>
      </c>
      <c r="L25" s="980"/>
      <c r="M25" s="980"/>
      <c r="N25" s="980"/>
      <c r="O25" s="980"/>
      <c r="P25" s="981">
        <v>0.02</v>
      </c>
      <c r="Q25" s="981">
        <f t="shared" si="1"/>
        <v>8.5280000000000005</v>
      </c>
      <c r="R25" s="979" t="s">
        <v>608</v>
      </c>
      <c r="S25" s="979" t="s">
        <v>605</v>
      </c>
      <c r="T25" s="980">
        <v>0</v>
      </c>
      <c r="U25" s="979" t="s">
        <v>627</v>
      </c>
      <c r="V25" s="979" t="s">
        <v>605</v>
      </c>
      <c r="W25" s="980">
        <v>10</v>
      </c>
      <c r="X25" s="989" t="s">
        <v>810</v>
      </c>
      <c r="Y25" s="979"/>
      <c r="Z25" s="979"/>
      <c r="AA25" s="980">
        <v>1</v>
      </c>
      <c r="AB25" s="980">
        <f t="shared" si="2"/>
        <v>426.40000000000003</v>
      </c>
      <c r="AC25" s="982" t="s">
        <v>939</v>
      </c>
      <c r="AD25" s="953"/>
      <c r="AE25" s="983" t="str">
        <f t="shared" si="3"/>
        <v/>
      </c>
      <c r="AF25" s="984" t="str">
        <f t="shared" si="4"/>
        <v>REB</v>
      </c>
      <c r="AG25" s="963"/>
      <c r="AH25" s="985" t="str">
        <f t="shared" si="177"/>
        <v/>
      </c>
      <c r="AI25" s="985" t="str">
        <f t="shared" si="177"/>
        <v/>
      </c>
      <c r="AJ25" s="985" t="str">
        <f t="shared" si="177"/>
        <v/>
      </c>
      <c r="AK25" s="985" t="str">
        <f t="shared" si="177"/>
        <v/>
      </c>
      <c r="AL25" s="985" t="str">
        <f t="shared" si="177"/>
        <v/>
      </c>
      <c r="AM25" s="985" t="str">
        <f t="shared" si="177"/>
        <v/>
      </c>
      <c r="AN25" s="985" t="str">
        <f t="shared" si="177"/>
        <v/>
      </c>
      <c r="AO25" s="985" t="str">
        <f t="shared" si="177"/>
        <v/>
      </c>
      <c r="AP25" s="986"/>
      <c r="AQ25" s="985" t="str">
        <f t="shared" ref="AQ25:BD25" si="264">IF(AND($I25&lt;&gt;"",$AF25="C"),IF(AND($P25&gt;AP$8,$P25&lt;=AQ$8),$K25,""),"")</f>
        <v/>
      </c>
      <c r="AR25" s="985" t="str">
        <f t="shared" si="264"/>
        <v/>
      </c>
      <c r="AS25" s="985" t="str">
        <f t="shared" si="264"/>
        <v/>
      </c>
      <c r="AT25" s="985" t="str">
        <f t="shared" si="264"/>
        <v/>
      </c>
      <c r="AU25" s="985" t="str">
        <f t="shared" si="264"/>
        <v/>
      </c>
      <c r="AV25" s="985" t="str">
        <f t="shared" si="264"/>
        <v/>
      </c>
      <c r="AW25" s="985" t="str">
        <f t="shared" si="264"/>
        <v/>
      </c>
      <c r="AX25" s="985" t="str">
        <f t="shared" si="264"/>
        <v/>
      </c>
      <c r="AY25" s="985" t="str">
        <f t="shared" si="264"/>
        <v/>
      </c>
      <c r="AZ25" s="985" t="str">
        <f t="shared" si="264"/>
        <v/>
      </c>
      <c r="BA25" s="985" t="str">
        <f t="shared" si="264"/>
        <v/>
      </c>
      <c r="BB25" s="985" t="str">
        <f t="shared" si="264"/>
        <v/>
      </c>
      <c r="BC25" s="985" t="str">
        <f t="shared" si="264"/>
        <v/>
      </c>
      <c r="BD25" s="985" t="str">
        <f t="shared" si="264"/>
        <v/>
      </c>
      <c r="BE25" s="987"/>
      <c r="BF25" s="985" t="str">
        <f t="shared" ref="BF25:BS25" si="265">IF(AND($I25&lt;&gt;"",$AF25="C"),IF(AND($P25&gt;BE$8,$P25&lt;=BF$8),$L25,""),"")</f>
        <v/>
      </c>
      <c r="BG25" s="985" t="str">
        <f t="shared" si="265"/>
        <v/>
      </c>
      <c r="BH25" s="985" t="str">
        <f t="shared" si="265"/>
        <v/>
      </c>
      <c r="BI25" s="985" t="str">
        <f t="shared" si="265"/>
        <v/>
      </c>
      <c r="BJ25" s="985" t="str">
        <f t="shared" si="265"/>
        <v/>
      </c>
      <c r="BK25" s="985" t="str">
        <f t="shared" si="265"/>
        <v/>
      </c>
      <c r="BL25" s="985" t="str">
        <f t="shared" si="265"/>
        <v/>
      </c>
      <c r="BM25" s="985" t="str">
        <f t="shared" si="265"/>
        <v/>
      </c>
      <c r="BN25" s="985" t="str">
        <f t="shared" si="265"/>
        <v/>
      </c>
      <c r="BO25" s="985" t="str">
        <f t="shared" si="265"/>
        <v/>
      </c>
      <c r="BP25" s="985" t="str">
        <f t="shared" si="265"/>
        <v/>
      </c>
      <c r="BQ25" s="985" t="str">
        <f t="shared" si="265"/>
        <v/>
      </c>
      <c r="BR25" s="985" t="str">
        <f t="shared" si="265"/>
        <v/>
      </c>
      <c r="BS25" s="985" t="str">
        <f t="shared" si="265"/>
        <v/>
      </c>
      <c r="BU25" s="985" t="str">
        <f t="shared" ref="BU25:CF25" si="266">IF(AND($I25&lt;&gt;"",$AF25="C"),IF(AND($P25&gt;BT$8,$P25&lt;=BU$8),$M25,""),"")</f>
        <v/>
      </c>
      <c r="BV25" s="985" t="str">
        <f t="shared" si="266"/>
        <v/>
      </c>
      <c r="BW25" s="985" t="str">
        <f t="shared" si="266"/>
        <v/>
      </c>
      <c r="BX25" s="985" t="str">
        <f t="shared" si="266"/>
        <v/>
      </c>
      <c r="BY25" s="985" t="str">
        <f t="shared" si="266"/>
        <v/>
      </c>
      <c r="BZ25" s="985" t="str">
        <f t="shared" si="266"/>
        <v/>
      </c>
      <c r="CA25" s="985" t="str">
        <f t="shared" si="266"/>
        <v/>
      </c>
      <c r="CB25" s="985" t="str">
        <f t="shared" si="266"/>
        <v/>
      </c>
      <c r="CC25" s="985" t="str">
        <f t="shared" si="266"/>
        <v/>
      </c>
      <c r="CD25" s="985" t="str">
        <f t="shared" si="266"/>
        <v/>
      </c>
      <c r="CE25" s="985" t="str">
        <f t="shared" si="266"/>
        <v/>
      </c>
      <c r="CF25" s="985" t="str">
        <f t="shared" si="266"/>
        <v/>
      </c>
      <c r="CG25" s="987"/>
      <c r="CH25" s="985" t="str">
        <f t="shared" si="181"/>
        <v/>
      </c>
      <c r="CI25" s="985" t="str">
        <f t="shared" si="181"/>
        <v/>
      </c>
      <c r="CJ25" s="985" t="str">
        <f t="shared" si="181"/>
        <v/>
      </c>
      <c r="CK25" s="985" t="str">
        <f t="shared" si="181"/>
        <v/>
      </c>
      <c r="CL25" s="985" t="str">
        <f t="shared" si="181"/>
        <v/>
      </c>
      <c r="CM25" s="985" t="str">
        <f t="shared" si="181"/>
        <v/>
      </c>
      <c r="CN25" s="985" t="str">
        <f t="shared" si="181"/>
        <v/>
      </c>
      <c r="CP25" s="988" t="str">
        <f t="shared" ref="CP25:DC25" si="267">IF(AND($I25&lt;&gt;"",OR($AF25="ELE",$AF25="ELD",$AF25="CX")),IF(AND($P25&gt;CO$8,$P25&lt;=CP$8),$K25,""),"")</f>
        <v/>
      </c>
      <c r="CQ25" s="988" t="str">
        <f t="shared" si="267"/>
        <v/>
      </c>
      <c r="CR25" s="988" t="str">
        <f t="shared" si="267"/>
        <v/>
      </c>
      <c r="CS25" s="988" t="str">
        <f t="shared" si="267"/>
        <v/>
      </c>
      <c r="CT25" s="988" t="str">
        <f t="shared" si="267"/>
        <v/>
      </c>
      <c r="CU25" s="988" t="str">
        <f t="shared" si="267"/>
        <v/>
      </c>
      <c r="CV25" s="988" t="str">
        <f t="shared" si="267"/>
        <v/>
      </c>
      <c r="CW25" s="988" t="str">
        <f t="shared" si="267"/>
        <v/>
      </c>
      <c r="CX25" s="988" t="str">
        <f t="shared" si="267"/>
        <v/>
      </c>
      <c r="CY25" s="988" t="str">
        <f t="shared" si="267"/>
        <v/>
      </c>
      <c r="CZ25" s="988" t="str">
        <f t="shared" si="267"/>
        <v/>
      </c>
      <c r="DA25" s="988" t="str">
        <f t="shared" si="267"/>
        <v/>
      </c>
      <c r="DB25" s="988" t="str">
        <f t="shared" si="267"/>
        <v/>
      </c>
      <c r="DC25" s="988" t="str">
        <f t="shared" si="267"/>
        <v/>
      </c>
      <c r="DE25" s="988">
        <f t="shared" ref="DE25:DR25" si="268">IF(AND($X25&lt;&gt;"",$AC25="CF"),IF(AND($P25&gt;DD$8,$P25&lt;=DE$8),$AB25,""),"")</f>
        <v>426.40000000000003</v>
      </c>
      <c r="DF25" s="988" t="str">
        <f t="shared" si="268"/>
        <v/>
      </c>
      <c r="DG25" s="988" t="str">
        <f t="shared" si="268"/>
        <v/>
      </c>
      <c r="DH25" s="988" t="str">
        <f t="shared" si="268"/>
        <v/>
      </c>
      <c r="DI25" s="988" t="str">
        <f t="shared" si="268"/>
        <v/>
      </c>
      <c r="DJ25" s="988" t="str">
        <f t="shared" si="268"/>
        <v/>
      </c>
      <c r="DK25" s="988" t="str">
        <f t="shared" si="268"/>
        <v/>
      </c>
      <c r="DL25" s="988" t="str">
        <f t="shared" si="268"/>
        <v/>
      </c>
      <c r="DM25" s="988" t="str">
        <f t="shared" si="268"/>
        <v/>
      </c>
      <c r="DN25" s="988" t="str">
        <f t="shared" si="268"/>
        <v/>
      </c>
      <c r="DO25" s="988" t="str">
        <f t="shared" si="268"/>
        <v/>
      </c>
      <c r="DP25" s="988" t="str">
        <f t="shared" si="268"/>
        <v/>
      </c>
      <c r="DQ25" s="988" t="str">
        <f t="shared" si="268"/>
        <v/>
      </c>
      <c r="DR25" s="988" t="str">
        <f t="shared" si="268"/>
        <v/>
      </c>
      <c r="DT25" s="988" t="str">
        <f t="shared" ref="DT25:EG25" si="269">IF(AND($X25&lt;&gt;"",$AC25="CA"),IF(AND($P25&gt;DS$8,$P25&lt;=DT$8),$AB25,""),"")</f>
        <v/>
      </c>
      <c r="DU25" s="988" t="str">
        <f t="shared" si="269"/>
        <v/>
      </c>
      <c r="DV25" s="988" t="str">
        <f t="shared" si="269"/>
        <v/>
      </c>
      <c r="DW25" s="988" t="str">
        <f t="shared" si="269"/>
        <v/>
      </c>
      <c r="DX25" s="988" t="str">
        <f t="shared" si="269"/>
        <v/>
      </c>
      <c r="DY25" s="988" t="str">
        <f t="shared" si="269"/>
        <v/>
      </c>
      <c r="DZ25" s="988" t="str">
        <f t="shared" si="269"/>
        <v/>
      </c>
      <c r="EA25" s="988" t="str">
        <f t="shared" si="269"/>
        <v/>
      </c>
      <c r="EB25" s="988" t="str">
        <f t="shared" si="269"/>
        <v/>
      </c>
      <c r="EC25" s="988" t="str">
        <f t="shared" si="269"/>
        <v/>
      </c>
      <c r="ED25" s="988" t="str">
        <f t="shared" si="269"/>
        <v/>
      </c>
      <c r="EE25" s="988" t="str">
        <f t="shared" si="269"/>
        <v/>
      </c>
      <c r="EF25" s="988" t="str">
        <f t="shared" si="269"/>
        <v/>
      </c>
      <c r="EG25" s="988" t="str">
        <f t="shared" si="269"/>
        <v/>
      </c>
      <c r="EI25" s="988" t="str">
        <f t="shared" ref="EI25:EV25" si="270">IF($AE25="BFC",IF(AND($P25&gt;EH$8,$P25&lt;=EI$8),$AB25,""),"")</f>
        <v/>
      </c>
      <c r="EJ25" s="988" t="str">
        <f t="shared" si="270"/>
        <v/>
      </c>
      <c r="EK25" s="988" t="str">
        <f t="shared" si="270"/>
        <v/>
      </c>
      <c r="EL25" s="988" t="str">
        <f t="shared" si="270"/>
        <v/>
      </c>
      <c r="EM25" s="988" t="str">
        <f t="shared" si="270"/>
        <v/>
      </c>
      <c r="EN25" s="988" t="str">
        <f t="shared" si="270"/>
        <v/>
      </c>
      <c r="EO25" s="988" t="str">
        <f t="shared" si="270"/>
        <v/>
      </c>
      <c r="EP25" s="988" t="str">
        <f t="shared" si="270"/>
        <v/>
      </c>
      <c r="EQ25" s="988" t="str">
        <f t="shared" si="270"/>
        <v/>
      </c>
      <c r="ER25" s="988" t="str">
        <f t="shared" si="270"/>
        <v/>
      </c>
      <c r="ES25" s="988" t="str">
        <f t="shared" si="270"/>
        <v/>
      </c>
      <c r="ET25" s="988" t="str">
        <f t="shared" si="270"/>
        <v/>
      </c>
      <c r="EU25" s="988" t="str">
        <f t="shared" si="270"/>
        <v/>
      </c>
      <c r="EV25" s="988" t="str">
        <f t="shared" si="270"/>
        <v/>
      </c>
      <c r="EX25" s="988" t="str">
        <f t="shared" ref="EX25:FK25" si="271">IF($AE25="BFN",IF(AND($P25&gt;EW$8,$P25&lt;=EX$8),$AB25,""),"")</f>
        <v/>
      </c>
      <c r="EY25" s="988" t="str">
        <f t="shared" si="271"/>
        <v/>
      </c>
      <c r="EZ25" s="988" t="str">
        <f t="shared" si="271"/>
        <v/>
      </c>
      <c r="FA25" s="988" t="str">
        <f t="shared" si="271"/>
        <v/>
      </c>
      <c r="FB25" s="988" t="str">
        <f t="shared" si="271"/>
        <v/>
      </c>
      <c r="FC25" s="988" t="str">
        <f t="shared" si="271"/>
        <v/>
      </c>
      <c r="FD25" s="988" t="str">
        <f t="shared" si="271"/>
        <v/>
      </c>
      <c r="FE25" s="988" t="str">
        <f t="shared" si="271"/>
        <v/>
      </c>
      <c r="FF25" s="988" t="str">
        <f t="shared" si="271"/>
        <v/>
      </c>
      <c r="FG25" s="988" t="str">
        <f t="shared" si="271"/>
        <v/>
      </c>
      <c r="FH25" s="988" t="str">
        <f t="shared" si="271"/>
        <v/>
      </c>
      <c r="FI25" s="988" t="str">
        <f t="shared" si="271"/>
        <v/>
      </c>
      <c r="FJ25" s="988" t="str">
        <f t="shared" si="271"/>
        <v/>
      </c>
      <c r="FK25" s="988" t="str">
        <f t="shared" si="271"/>
        <v/>
      </c>
      <c r="FM25" s="988" t="str">
        <f t="shared" ref="FM25:FZ25" si="272">IF(AND($I25&lt;&gt;"",$AF25="RCS"),IF(AND($P25&gt;FL$8,$P25&lt;=FM$8),SUM($K25:$M25),""),"")</f>
        <v/>
      </c>
      <c r="FN25" s="988" t="str">
        <f t="shared" si="272"/>
        <v/>
      </c>
      <c r="FO25" s="988" t="str">
        <f t="shared" si="272"/>
        <v/>
      </c>
      <c r="FP25" s="988" t="str">
        <f t="shared" si="272"/>
        <v/>
      </c>
      <c r="FQ25" s="988" t="str">
        <f t="shared" si="272"/>
        <v/>
      </c>
      <c r="FR25" s="988" t="str">
        <f t="shared" si="272"/>
        <v/>
      </c>
      <c r="FS25" s="988" t="str">
        <f t="shared" si="272"/>
        <v/>
      </c>
      <c r="FT25" s="988" t="str">
        <f t="shared" si="272"/>
        <v/>
      </c>
      <c r="FU25" s="988" t="str">
        <f t="shared" si="272"/>
        <v/>
      </c>
      <c r="FV25" s="988" t="str">
        <f t="shared" si="272"/>
        <v/>
      </c>
      <c r="FW25" s="988" t="str">
        <f t="shared" si="272"/>
        <v/>
      </c>
      <c r="FX25" s="988" t="str">
        <f t="shared" si="272"/>
        <v/>
      </c>
      <c r="FY25" s="988" t="str">
        <f t="shared" si="272"/>
        <v/>
      </c>
      <c r="FZ25" s="988" t="str">
        <f t="shared" si="272"/>
        <v/>
      </c>
      <c r="GB25" s="988" t="str">
        <f t="shared" ref="GB25:GO25" si="273">IF(AND($I25&lt;&gt;"",$AF25="REC"),IF(AND($P25&gt;GA$8,$P25&lt;=GB$8),SUM($K25:$M25),""),"")</f>
        <v/>
      </c>
      <c r="GC25" s="988" t="str">
        <f t="shared" si="273"/>
        <v/>
      </c>
      <c r="GD25" s="988" t="str">
        <f t="shared" si="273"/>
        <v/>
      </c>
      <c r="GE25" s="988" t="str">
        <f t="shared" si="273"/>
        <v/>
      </c>
      <c r="GF25" s="988" t="str">
        <f t="shared" si="273"/>
        <v/>
      </c>
      <c r="GG25" s="988" t="str">
        <f t="shared" si="273"/>
        <v/>
      </c>
      <c r="GH25" s="988" t="str">
        <f t="shared" si="273"/>
        <v/>
      </c>
      <c r="GI25" s="988" t="str">
        <f t="shared" si="273"/>
        <v/>
      </c>
      <c r="GJ25" s="988" t="str">
        <f t="shared" si="273"/>
        <v/>
      </c>
      <c r="GK25" s="988" t="str">
        <f t="shared" si="273"/>
        <v/>
      </c>
      <c r="GL25" s="988" t="str">
        <f t="shared" si="273"/>
        <v/>
      </c>
      <c r="GM25" s="988" t="str">
        <f t="shared" si="273"/>
        <v/>
      </c>
      <c r="GN25" s="988" t="str">
        <f t="shared" si="273"/>
        <v/>
      </c>
      <c r="GO25" s="988" t="str">
        <f t="shared" si="273"/>
        <v/>
      </c>
      <c r="GQ25" s="988">
        <f t="shared" ref="GQ25:HD25" si="274">IF(AND($I25&lt;&gt;"",$AF25="REB"),IF(AND($P25&gt;GP$8,$P25&lt;=GQ$8),SUM($K25:$M25),""),"")</f>
        <v>426.40000000000003</v>
      </c>
      <c r="GR25" s="988" t="str">
        <f t="shared" si="274"/>
        <v/>
      </c>
      <c r="GS25" s="988" t="str">
        <f t="shared" si="274"/>
        <v/>
      </c>
      <c r="GT25" s="988" t="str">
        <f t="shared" si="274"/>
        <v/>
      </c>
      <c r="GU25" s="988" t="str">
        <f t="shared" si="274"/>
        <v/>
      </c>
      <c r="GV25" s="988" t="str">
        <f t="shared" si="274"/>
        <v/>
      </c>
      <c r="GW25" s="988" t="str">
        <f t="shared" si="274"/>
        <v/>
      </c>
      <c r="GX25" s="988" t="str">
        <f t="shared" si="274"/>
        <v/>
      </c>
      <c r="GY25" s="988" t="str">
        <f t="shared" si="274"/>
        <v/>
      </c>
      <c r="GZ25" s="988" t="str">
        <f t="shared" si="274"/>
        <v/>
      </c>
      <c r="HA25" s="988" t="str">
        <f t="shared" si="274"/>
        <v/>
      </c>
      <c r="HB25" s="988" t="str">
        <f t="shared" si="274"/>
        <v/>
      </c>
      <c r="HC25" s="988" t="str">
        <f t="shared" si="274"/>
        <v/>
      </c>
      <c r="HD25" s="988" t="str">
        <f t="shared" si="274"/>
        <v/>
      </c>
      <c r="HF25" s="988" t="str">
        <f t="shared" ref="HF25:HS25" si="275">IF(AND($I25&lt;&gt;"",$AF25="RBS"),IF(AND($P25&gt;HE$8,$P25&lt;=HF$8),SUM($K25:$M25),""),"")</f>
        <v/>
      </c>
      <c r="HG25" s="988" t="str">
        <f t="shared" si="275"/>
        <v/>
      </c>
      <c r="HH25" s="988" t="str">
        <f t="shared" si="275"/>
        <v/>
      </c>
      <c r="HI25" s="988" t="str">
        <f t="shared" si="275"/>
        <v/>
      </c>
      <c r="HJ25" s="988" t="str">
        <f t="shared" si="275"/>
        <v/>
      </c>
      <c r="HK25" s="988" t="str">
        <f t="shared" si="275"/>
        <v/>
      </c>
      <c r="HL25" s="988" t="str">
        <f t="shared" si="275"/>
        <v/>
      </c>
      <c r="HM25" s="988" t="str">
        <f t="shared" si="275"/>
        <v/>
      </c>
      <c r="HN25" s="988" t="str">
        <f t="shared" si="275"/>
        <v/>
      </c>
      <c r="HO25" s="988" t="str">
        <f t="shared" si="275"/>
        <v/>
      </c>
      <c r="HP25" s="988" t="str">
        <f t="shared" si="275"/>
        <v/>
      </c>
      <c r="HQ25" s="988" t="str">
        <f t="shared" si="275"/>
        <v/>
      </c>
      <c r="HR25" s="988" t="str">
        <f t="shared" si="275"/>
        <v/>
      </c>
      <c r="HS25" s="988" t="str">
        <f t="shared" si="275"/>
        <v/>
      </c>
      <c r="HU25" s="988" t="str">
        <f t="shared" ref="HU25:IH25" si="276">IF(AND($I25&lt;&gt;"",$AF25="RCD"),IF(AND($P25&gt;HT$8,$P25&lt;=HU$8),SUM($K25:$M25),""),"")</f>
        <v/>
      </c>
      <c r="HV25" s="988" t="str">
        <f t="shared" si="276"/>
        <v/>
      </c>
      <c r="HW25" s="988" t="str">
        <f t="shared" si="276"/>
        <v/>
      </c>
      <c r="HX25" s="988" t="str">
        <f t="shared" si="276"/>
        <v/>
      </c>
      <c r="HY25" s="988" t="str">
        <f t="shared" si="276"/>
        <v/>
      </c>
      <c r="HZ25" s="988" t="str">
        <f t="shared" si="276"/>
        <v/>
      </c>
      <c r="IA25" s="988" t="str">
        <f t="shared" si="276"/>
        <v/>
      </c>
      <c r="IB25" s="988" t="str">
        <f t="shared" si="276"/>
        <v/>
      </c>
      <c r="IC25" s="988" t="str">
        <f t="shared" si="276"/>
        <v/>
      </c>
      <c r="ID25" s="988" t="str">
        <f t="shared" si="276"/>
        <v/>
      </c>
      <c r="IE25" s="988" t="str">
        <f t="shared" si="276"/>
        <v/>
      </c>
      <c r="IF25" s="988" t="str">
        <f t="shared" si="276"/>
        <v/>
      </c>
      <c r="IG25" s="988" t="str">
        <f t="shared" si="276"/>
        <v/>
      </c>
      <c r="IH25" s="988" t="str">
        <f t="shared" si="276"/>
        <v/>
      </c>
      <c r="IJ25" s="985">
        <f t="shared" ref="IJ25:IW25" si="277">IF(AND($I25&lt;&gt;""),IF(AND($P25&gt;II$8,$P25&lt;=IJ$8),$K25,""),"")</f>
        <v>426.40000000000003</v>
      </c>
      <c r="IK25" s="985" t="str">
        <f t="shared" si="277"/>
        <v/>
      </c>
      <c r="IL25" s="985" t="str">
        <f t="shared" si="277"/>
        <v/>
      </c>
      <c r="IM25" s="985" t="str">
        <f t="shared" si="277"/>
        <v/>
      </c>
      <c r="IN25" s="985" t="str">
        <f t="shared" si="277"/>
        <v/>
      </c>
      <c r="IO25" s="985" t="str">
        <f t="shared" si="277"/>
        <v/>
      </c>
      <c r="IP25" s="985" t="str">
        <f t="shared" si="277"/>
        <v/>
      </c>
      <c r="IQ25" s="985" t="str">
        <f t="shared" si="277"/>
        <v/>
      </c>
      <c r="IR25" s="985" t="str">
        <f t="shared" si="277"/>
        <v/>
      </c>
      <c r="IS25" s="985" t="str">
        <f t="shared" si="277"/>
        <v/>
      </c>
      <c r="IT25" s="985" t="str">
        <f t="shared" si="277"/>
        <v/>
      </c>
      <c r="IU25" s="985" t="str">
        <f t="shared" si="277"/>
        <v/>
      </c>
      <c r="IV25" s="985" t="str">
        <f t="shared" si="277"/>
        <v/>
      </c>
      <c r="IW25" s="985" t="str">
        <f t="shared" si="277"/>
        <v/>
      </c>
      <c r="IX25" s="987"/>
      <c r="IY25" s="985">
        <f t="shared" ref="IY25:JL25" si="278">IF(AND($I25&lt;&gt;""),IF(AND($P25&gt;IX$8,$P25&lt;=IY$8),$L25,""),"")</f>
        <v>0</v>
      </c>
      <c r="IZ25" s="985" t="str">
        <f t="shared" si="278"/>
        <v/>
      </c>
      <c r="JA25" s="985" t="str">
        <f t="shared" si="278"/>
        <v/>
      </c>
      <c r="JB25" s="985" t="str">
        <f t="shared" si="278"/>
        <v/>
      </c>
      <c r="JC25" s="985" t="str">
        <f t="shared" si="278"/>
        <v/>
      </c>
      <c r="JD25" s="985" t="str">
        <f t="shared" si="278"/>
        <v/>
      </c>
      <c r="JE25" s="985" t="str">
        <f t="shared" si="278"/>
        <v/>
      </c>
      <c r="JF25" s="985" t="str">
        <f t="shared" si="278"/>
        <v/>
      </c>
      <c r="JG25" s="985" t="str">
        <f t="shared" si="278"/>
        <v/>
      </c>
      <c r="JH25" s="985" t="str">
        <f t="shared" si="278"/>
        <v/>
      </c>
      <c r="JI25" s="985" t="str">
        <f t="shared" si="278"/>
        <v/>
      </c>
      <c r="JJ25" s="985" t="str">
        <f t="shared" si="278"/>
        <v/>
      </c>
      <c r="JK25" s="985" t="str">
        <f t="shared" si="278"/>
        <v/>
      </c>
      <c r="JL25" s="985" t="str">
        <f t="shared" si="278"/>
        <v/>
      </c>
      <c r="JM25" s="987"/>
      <c r="JN25" s="985">
        <f t="shared" ref="JN25:KA25" si="279">IF(AND($I25&lt;&gt;""),IF(AND($P25&gt;JM$8,$P25&lt;=JN$8),$M25,""),"")</f>
        <v>0</v>
      </c>
      <c r="JO25" s="985" t="str">
        <f t="shared" si="279"/>
        <v/>
      </c>
      <c r="JP25" s="985" t="str">
        <f t="shared" si="279"/>
        <v/>
      </c>
      <c r="JQ25" s="985" t="str">
        <f t="shared" si="279"/>
        <v/>
      </c>
      <c r="JR25" s="985" t="str">
        <f t="shared" si="279"/>
        <v/>
      </c>
      <c r="JS25" s="985" t="str">
        <f t="shared" si="279"/>
        <v/>
      </c>
      <c r="JT25" s="985" t="str">
        <f t="shared" si="279"/>
        <v/>
      </c>
      <c r="JU25" s="985" t="str">
        <f t="shared" si="279"/>
        <v/>
      </c>
      <c r="JV25" s="985" t="str">
        <f t="shared" si="279"/>
        <v/>
      </c>
      <c r="JW25" s="985" t="str">
        <f t="shared" si="279"/>
        <v/>
      </c>
      <c r="JX25" s="985" t="str">
        <f t="shared" si="279"/>
        <v/>
      </c>
      <c r="JY25" s="985" t="str">
        <f t="shared" si="279"/>
        <v/>
      </c>
      <c r="JZ25" s="985" t="str">
        <f t="shared" si="279"/>
        <v/>
      </c>
      <c r="KA25" s="985" t="str">
        <f t="shared" si="279"/>
        <v/>
      </c>
      <c r="KB25" s="987"/>
      <c r="KC25" s="985">
        <f t="shared" ref="KC25:KP25" si="280">IF(AND($I25&lt;&gt;""),IF(AND($P25&gt;KB$8,$P25&lt;=KC$8),$N25,""),"")</f>
        <v>0</v>
      </c>
      <c r="KD25" s="985" t="str">
        <f t="shared" si="280"/>
        <v/>
      </c>
      <c r="KE25" s="985" t="str">
        <f t="shared" si="280"/>
        <v/>
      </c>
      <c r="KF25" s="985" t="str">
        <f t="shared" si="280"/>
        <v/>
      </c>
      <c r="KG25" s="985" t="str">
        <f t="shared" si="280"/>
        <v/>
      </c>
      <c r="KH25" s="985" t="str">
        <f t="shared" si="280"/>
        <v/>
      </c>
      <c r="KI25" s="985" t="str">
        <f t="shared" si="280"/>
        <v/>
      </c>
      <c r="KJ25" s="985" t="str">
        <f t="shared" si="280"/>
        <v/>
      </c>
      <c r="KK25" s="985" t="str">
        <f t="shared" si="280"/>
        <v/>
      </c>
      <c r="KL25" s="985" t="str">
        <f t="shared" si="280"/>
        <v/>
      </c>
      <c r="KM25" s="985" t="str">
        <f t="shared" si="280"/>
        <v/>
      </c>
      <c r="KN25" s="985" t="str">
        <f t="shared" si="280"/>
        <v/>
      </c>
      <c r="KO25" s="985" t="str">
        <f t="shared" si="280"/>
        <v/>
      </c>
      <c r="KP25" s="985" t="str">
        <f t="shared" si="280"/>
        <v/>
      </c>
    </row>
    <row r="26" spans="2:302" ht="18" customHeight="1">
      <c r="B26" s="978">
        <f t="shared" si="0"/>
        <v>50</v>
      </c>
      <c r="C26" s="979" t="s">
        <v>621</v>
      </c>
      <c r="D26" s="979" t="s">
        <v>605</v>
      </c>
      <c r="E26" s="980">
        <v>0</v>
      </c>
      <c r="F26" s="979" t="s">
        <v>621</v>
      </c>
      <c r="G26" s="979" t="s">
        <v>605</v>
      </c>
      <c r="H26" s="980">
        <v>10</v>
      </c>
      <c r="I26" s="979" t="s">
        <v>812</v>
      </c>
      <c r="J26" s="979"/>
      <c r="K26" s="980">
        <v>0.2</v>
      </c>
      <c r="L26" s="980"/>
      <c r="M26" s="980"/>
      <c r="N26" s="980"/>
      <c r="O26" s="980"/>
      <c r="P26" s="981">
        <v>0.02</v>
      </c>
      <c r="Q26" s="981">
        <f t="shared" si="1"/>
        <v>4.0000000000000001E-3</v>
      </c>
      <c r="R26" s="979" t="s">
        <v>621</v>
      </c>
      <c r="S26" s="979" t="s">
        <v>605</v>
      </c>
      <c r="T26" s="980">
        <v>0</v>
      </c>
      <c r="U26" s="979" t="s">
        <v>621</v>
      </c>
      <c r="V26" s="979" t="s">
        <v>605</v>
      </c>
      <c r="W26" s="980">
        <v>10</v>
      </c>
      <c r="X26" s="979" t="s">
        <v>812</v>
      </c>
      <c r="Y26" s="979"/>
      <c r="Z26" s="979"/>
      <c r="AA26" s="980">
        <v>1.3</v>
      </c>
      <c r="AB26" s="980">
        <f t="shared" si="2"/>
        <v>0.15384615384615385</v>
      </c>
      <c r="AC26" s="982" t="s">
        <v>939</v>
      </c>
      <c r="AD26" s="953"/>
      <c r="AE26" s="983" t="str">
        <f t="shared" si="3"/>
        <v/>
      </c>
      <c r="AF26" s="984" t="str">
        <f t="shared" si="4"/>
        <v>CL</v>
      </c>
      <c r="AG26" s="963"/>
      <c r="AH26" s="985">
        <f t="shared" si="177"/>
        <v>0.2</v>
      </c>
      <c r="AI26" s="985" t="str">
        <f t="shared" si="177"/>
        <v/>
      </c>
      <c r="AJ26" s="985" t="str">
        <f t="shared" si="177"/>
        <v/>
      </c>
      <c r="AK26" s="985" t="str">
        <f t="shared" si="177"/>
        <v/>
      </c>
      <c r="AL26" s="985" t="str">
        <f t="shared" si="177"/>
        <v/>
      </c>
      <c r="AM26" s="985" t="str">
        <f t="shared" si="177"/>
        <v/>
      </c>
      <c r="AN26" s="985" t="str">
        <f t="shared" si="177"/>
        <v/>
      </c>
      <c r="AO26" s="985" t="str">
        <f t="shared" si="177"/>
        <v/>
      </c>
      <c r="AP26" s="986"/>
      <c r="AQ26" s="985" t="str">
        <f t="shared" ref="AQ26:BD26" si="281">IF(AND($I26&lt;&gt;"",$AF26="C"),IF(AND($P26&gt;AP$8,$P26&lt;=AQ$8),$K26,""),"")</f>
        <v/>
      </c>
      <c r="AR26" s="985" t="str">
        <f t="shared" si="281"/>
        <v/>
      </c>
      <c r="AS26" s="985" t="str">
        <f t="shared" si="281"/>
        <v/>
      </c>
      <c r="AT26" s="985" t="str">
        <f t="shared" si="281"/>
        <v/>
      </c>
      <c r="AU26" s="985" t="str">
        <f t="shared" si="281"/>
        <v/>
      </c>
      <c r="AV26" s="985" t="str">
        <f t="shared" si="281"/>
        <v/>
      </c>
      <c r="AW26" s="985" t="str">
        <f t="shared" si="281"/>
        <v/>
      </c>
      <c r="AX26" s="985" t="str">
        <f t="shared" si="281"/>
        <v/>
      </c>
      <c r="AY26" s="985" t="str">
        <f t="shared" si="281"/>
        <v/>
      </c>
      <c r="AZ26" s="985" t="str">
        <f t="shared" si="281"/>
        <v/>
      </c>
      <c r="BA26" s="985" t="str">
        <f t="shared" si="281"/>
        <v/>
      </c>
      <c r="BB26" s="985" t="str">
        <f t="shared" si="281"/>
        <v/>
      </c>
      <c r="BC26" s="985" t="str">
        <f t="shared" si="281"/>
        <v/>
      </c>
      <c r="BD26" s="985" t="str">
        <f t="shared" si="281"/>
        <v/>
      </c>
      <c r="BE26" s="987"/>
      <c r="BF26" s="985" t="str">
        <f t="shared" ref="BF26:BS26" si="282">IF(AND($I26&lt;&gt;"",$AF26="C"),IF(AND($P26&gt;BE$8,$P26&lt;=BF$8),$L26,""),"")</f>
        <v/>
      </c>
      <c r="BG26" s="985" t="str">
        <f t="shared" si="282"/>
        <v/>
      </c>
      <c r="BH26" s="985" t="str">
        <f t="shared" si="282"/>
        <v/>
      </c>
      <c r="BI26" s="985" t="str">
        <f t="shared" si="282"/>
        <v/>
      </c>
      <c r="BJ26" s="985" t="str">
        <f t="shared" si="282"/>
        <v/>
      </c>
      <c r="BK26" s="985" t="str">
        <f t="shared" si="282"/>
        <v/>
      </c>
      <c r="BL26" s="985" t="str">
        <f t="shared" si="282"/>
        <v/>
      </c>
      <c r="BM26" s="985" t="str">
        <f t="shared" si="282"/>
        <v/>
      </c>
      <c r="BN26" s="985" t="str">
        <f t="shared" si="282"/>
        <v/>
      </c>
      <c r="BO26" s="985" t="str">
        <f t="shared" si="282"/>
        <v/>
      </c>
      <c r="BP26" s="985" t="str">
        <f t="shared" si="282"/>
        <v/>
      </c>
      <c r="BQ26" s="985" t="str">
        <f t="shared" si="282"/>
        <v/>
      </c>
      <c r="BR26" s="985" t="str">
        <f t="shared" si="282"/>
        <v/>
      </c>
      <c r="BS26" s="985" t="str">
        <f t="shared" si="282"/>
        <v/>
      </c>
      <c r="BU26" s="985" t="str">
        <f t="shared" ref="BU26:CF26" si="283">IF(AND($I26&lt;&gt;"",$AF26="C"),IF(AND($P26&gt;BT$8,$P26&lt;=BU$8),$M26,""),"")</f>
        <v/>
      </c>
      <c r="BV26" s="985" t="str">
        <f t="shared" si="283"/>
        <v/>
      </c>
      <c r="BW26" s="985" t="str">
        <f t="shared" si="283"/>
        <v/>
      </c>
      <c r="BX26" s="985" t="str">
        <f t="shared" si="283"/>
        <v/>
      </c>
      <c r="BY26" s="985" t="str">
        <f t="shared" si="283"/>
        <v/>
      </c>
      <c r="BZ26" s="985" t="str">
        <f t="shared" si="283"/>
        <v/>
      </c>
      <c r="CA26" s="985" t="str">
        <f t="shared" si="283"/>
        <v/>
      </c>
      <c r="CB26" s="985" t="str">
        <f t="shared" si="283"/>
        <v/>
      </c>
      <c r="CC26" s="985" t="str">
        <f t="shared" si="283"/>
        <v/>
      </c>
      <c r="CD26" s="985" t="str">
        <f t="shared" si="283"/>
        <v/>
      </c>
      <c r="CE26" s="985" t="str">
        <f t="shared" si="283"/>
        <v/>
      </c>
      <c r="CF26" s="985" t="str">
        <f t="shared" si="283"/>
        <v/>
      </c>
      <c r="CG26" s="987"/>
      <c r="CH26" s="985" t="str">
        <f t="shared" si="181"/>
        <v/>
      </c>
      <c r="CI26" s="985" t="str">
        <f t="shared" si="181"/>
        <v/>
      </c>
      <c r="CJ26" s="985" t="str">
        <f t="shared" si="181"/>
        <v/>
      </c>
      <c r="CK26" s="985" t="str">
        <f t="shared" si="181"/>
        <v/>
      </c>
      <c r="CL26" s="985" t="str">
        <f t="shared" si="181"/>
        <v/>
      </c>
      <c r="CM26" s="985" t="str">
        <f t="shared" si="181"/>
        <v/>
      </c>
      <c r="CN26" s="985" t="str">
        <f t="shared" si="181"/>
        <v/>
      </c>
      <c r="CP26" s="988" t="str">
        <f t="shared" ref="CP26:DC26" si="284">IF(AND($I26&lt;&gt;"",OR($AF26="ELE",$AF26="ELD",$AF26="CX")),IF(AND($P26&gt;CO$8,$P26&lt;=CP$8),$K26,""),"")</f>
        <v/>
      </c>
      <c r="CQ26" s="988" t="str">
        <f t="shared" si="284"/>
        <v/>
      </c>
      <c r="CR26" s="988" t="str">
        <f t="shared" si="284"/>
        <v/>
      </c>
      <c r="CS26" s="988" t="str">
        <f t="shared" si="284"/>
        <v/>
      </c>
      <c r="CT26" s="988" t="str">
        <f t="shared" si="284"/>
        <v/>
      </c>
      <c r="CU26" s="988" t="str">
        <f t="shared" si="284"/>
        <v/>
      </c>
      <c r="CV26" s="988" t="str">
        <f t="shared" si="284"/>
        <v/>
      </c>
      <c r="CW26" s="988" t="str">
        <f t="shared" si="284"/>
        <v/>
      </c>
      <c r="CX26" s="988" t="str">
        <f t="shared" si="284"/>
        <v/>
      </c>
      <c r="CY26" s="988" t="str">
        <f t="shared" si="284"/>
        <v/>
      </c>
      <c r="CZ26" s="988" t="str">
        <f t="shared" si="284"/>
        <v/>
      </c>
      <c r="DA26" s="988" t="str">
        <f t="shared" si="284"/>
        <v/>
      </c>
      <c r="DB26" s="988" t="str">
        <f t="shared" si="284"/>
        <v/>
      </c>
      <c r="DC26" s="988" t="str">
        <f t="shared" si="284"/>
        <v/>
      </c>
      <c r="DE26" s="988">
        <f t="shared" ref="DE26:DR26" si="285">IF(AND($X26&lt;&gt;"",$AC26="CF"),IF(AND($P26&gt;DD$8,$P26&lt;=DE$8),$AB26,""),"")</f>
        <v>0.15384615384615385</v>
      </c>
      <c r="DF26" s="988" t="str">
        <f t="shared" si="285"/>
        <v/>
      </c>
      <c r="DG26" s="988" t="str">
        <f t="shared" si="285"/>
        <v/>
      </c>
      <c r="DH26" s="988" t="str">
        <f t="shared" si="285"/>
        <v/>
      </c>
      <c r="DI26" s="988" t="str">
        <f t="shared" si="285"/>
        <v/>
      </c>
      <c r="DJ26" s="988" t="str">
        <f t="shared" si="285"/>
        <v/>
      </c>
      <c r="DK26" s="988" t="str">
        <f t="shared" si="285"/>
        <v/>
      </c>
      <c r="DL26" s="988" t="str">
        <f t="shared" si="285"/>
        <v/>
      </c>
      <c r="DM26" s="988" t="str">
        <f t="shared" si="285"/>
        <v/>
      </c>
      <c r="DN26" s="988" t="str">
        <f t="shared" si="285"/>
        <v/>
      </c>
      <c r="DO26" s="988" t="str">
        <f t="shared" si="285"/>
        <v/>
      </c>
      <c r="DP26" s="988" t="str">
        <f t="shared" si="285"/>
        <v/>
      </c>
      <c r="DQ26" s="988" t="str">
        <f t="shared" si="285"/>
        <v/>
      </c>
      <c r="DR26" s="988" t="str">
        <f t="shared" si="285"/>
        <v/>
      </c>
      <c r="DT26" s="988" t="str">
        <f t="shared" ref="DT26:EG26" si="286">IF(AND($X26&lt;&gt;"",$AC26="CA"),IF(AND($P26&gt;DS$8,$P26&lt;=DT$8),$AB26,""),"")</f>
        <v/>
      </c>
      <c r="DU26" s="988" t="str">
        <f t="shared" si="286"/>
        <v/>
      </c>
      <c r="DV26" s="988" t="str">
        <f t="shared" si="286"/>
        <v/>
      </c>
      <c r="DW26" s="988" t="str">
        <f t="shared" si="286"/>
        <v/>
      </c>
      <c r="DX26" s="988" t="str">
        <f t="shared" si="286"/>
        <v/>
      </c>
      <c r="DY26" s="988" t="str">
        <f t="shared" si="286"/>
        <v/>
      </c>
      <c r="DZ26" s="988" t="str">
        <f t="shared" si="286"/>
        <v/>
      </c>
      <c r="EA26" s="988" t="str">
        <f t="shared" si="286"/>
        <v/>
      </c>
      <c r="EB26" s="988" t="str">
        <f t="shared" si="286"/>
        <v/>
      </c>
      <c r="EC26" s="988" t="str">
        <f t="shared" si="286"/>
        <v/>
      </c>
      <c r="ED26" s="988" t="str">
        <f t="shared" si="286"/>
        <v/>
      </c>
      <c r="EE26" s="988" t="str">
        <f t="shared" si="286"/>
        <v/>
      </c>
      <c r="EF26" s="988" t="str">
        <f t="shared" si="286"/>
        <v/>
      </c>
      <c r="EG26" s="988" t="str">
        <f t="shared" si="286"/>
        <v/>
      </c>
      <c r="EI26" s="988" t="str">
        <f t="shared" ref="EI26:EV26" si="287">IF($AE26="BFC",IF(AND($P26&gt;EH$8,$P26&lt;=EI$8),$AB26,""),"")</f>
        <v/>
      </c>
      <c r="EJ26" s="988" t="str">
        <f t="shared" si="287"/>
        <v/>
      </c>
      <c r="EK26" s="988" t="str">
        <f t="shared" si="287"/>
        <v/>
      </c>
      <c r="EL26" s="988" t="str">
        <f t="shared" si="287"/>
        <v/>
      </c>
      <c r="EM26" s="988" t="str">
        <f t="shared" si="287"/>
        <v/>
      </c>
      <c r="EN26" s="988" t="str">
        <f t="shared" si="287"/>
        <v/>
      </c>
      <c r="EO26" s="988" t="str">
        <f t="shared" si="287"/>
        <v/>
      </c>
      <c r="EP26" s="988" t="str">
        <f t="shared" si="287"/>
        <v/>
      </c>
      <c r="EQ26" s="988" t="str">
        <f t="shared" si="287"/>
        <v/>
      </c>
      <c r="ER26" s="988" t="str">
        <f t="shared" si="287"/>
        <v/>
      </c>
      <c r="ES26" s="988" t="str">
        <f t="shared" si="287"/>
        <v/>
      </c>
      <c r="ET26" s="988" t="str">
        <f t="shared" si="287"/>
        <v/>
      </c>
      <c r="EU26" s="988" t="str">
        <f t="shared" si="287"/>
        <v/>
      </c>
      <c r="EV26" s="988" t="str">
        <f t="shared" si="287"/>
        <v/>
      </c>
      <c r="EX26" s="988" t="str">
        <f t="shared" ref="EX26:FK26" si="288">IF($AE26="BFN",IF(AND($P26&gt;EW$8,$P26&lt;=EX$8),$AB26,""),"")</f>
        <v/>
      </c>
      <c r="EY26" s="988" t="str">
        <f t="shared" si="288"/>
        <v/>
      </c>
      <c r="EZ26" s="988" t="str">
        <f t="shared" si="288"/>
        <v/>
      </c>
      <c r="FA26" s="988" t="str">
        <f t="shared" si="288"/>
        <v/>
      </c>
      <c r="FB26" s="988" t="str">
        <f t="shared" si="288"/>
        <v/>
      </c>
      <c r="FC26" s="988" t="str">
        <f t="shared" si="288"/>
        <v/>
      </c>
      <c r="FD26" s="988" t="str">
        <f t="shared" si="288"/>
        <v/>
      </c>
      <c r="FE26" s="988" t="str">
        <f t="shared" si="288"/>
        <v/>
      </c>
      <c r="FF26" s="988" t="str">
        <f t="shared" si="288"/>
        <v/>
      </c>
      <c r="FG26" s="988" t="str">
        <f t="shared" si="288"/>
        <v/>
      </c>
      <c r="FH26" s="988" t="str">
        <f t="shared" si="288"/>
        <v/>
      </c>
      <c r="FI26" s="988" t="str">
        <f t="shared" si="288"/>
        <v/>
      </c>
      <c r="FJ26" s="988" t="str">
        <f t="shared" si="288"/>
        <v/>
      </c>
      <c r="FK26" s="988" t="str">
        <f t="shared" si="288"/>
        <v/>
      </c>
      <c r="FM26" s="988" t="str">
        <f t="shared" ref="FM26:FZ26" si="289">IF(AND($I26&lt;&gt;"",$AF26="RCS"),IF(AND($P26&gt;FL$8,$P26&lt;=FM$8),SUM($K26:$M26),""),"")</f>
        <v/>
      </c>
      <c r="FN26" s="988" t="str">
        <f t="shared" si="289"/>
        <v/>
      </c>
      <c r="FO26" s="988" t="str">
        <f t="shared" si="289"/>
        <v/>
      </c>
      <c r="FP26" s="988" t="str">
        <f t="shared" si="289"/>
        <v/>
      </c>
      <c r="FQ26" s="988" t="str">
        <f t="shared" si="289"/>
        <v/>
      </c>
      <c r="FR26" s="988" t="str">
        <f t="shared" si="289"/>
        <v/>
      </c>
      <c r="FS26" s="988" t="str">
        <f t="shared" si="289"/>
        <v/>
      </c>
      <c r="FT26" s="988" t="str">
        <f t="shared" si="289"/>
        <v/>
      </c>
      <c r="FU26" s="988" t="str">
        <f t="shared" si="289"/>
        <v/>
      </c>
      <c r="FV26" s="988" t="str">
        <f t="shared" si="289"/>
        <v/>
      </c>
      <c r="FW26" s="988" t="str">
        <f t="shared" si="289"/>
        <v/>
      </c>
      <c r="FX26" s="988" t="str">
        <f t="shared" si="289"/>
        <v/>
      </c>
      <c r="FY26" s="988" t="str">
        <f t="shared" si="289"/>
        <v/>
      </c>
      <c r="FZ26" s="988" t="str">
        <f t="shared" si="289"/>
        <v/>
      </c>
      <c r="GB26" s="988" t="str">
        <f t="shared" ref="GB26:GO26" si="290">IF(AND($I26&lt;&gt;"",$AF26="REC"),IF(AND($P26&gt;GA$8,$P26&lt;=GB$8),SUM($K26:$M26),""),"")</f>
        <v/>
      </c>
      <c r="GC26" s="988" t="str">
        <f t="shared" si="290"/>
        <v/>
      </c>
      <c r="GD26" s="988" t="str">
        <f t="shared" si="290"/>
        <v/>
      </c>
      <c r="GE26" s="988" t="str">
        <f t="shared" si="290"/>
        <v/>
      </c>
      <c r="GF26" s="988" t="str">
        <f t="shared" si="290"/>
        <v/>
      </c>
      <c r="GG26" s="988" t="str">
        <f t="shared" si="290"/>
        <v/>
      </c>
      <c r="GH26" s="988" t="str">
        <f t="shared" si="290"/>
        <v/>
      </c>
      <c r="GI26" s="988" t="str">
        <f t="shared" si="290"/>
        <v/>
      </c>
      <c r="GJ26" s="988" t="str">
        <f t="shared" si="290"/>
        <v/>
      </c>
      <c r="GK26" s="988" t="str">
        <f t="shared" si="290"/>
        <v/>
      </c>
      <c r="GL26" s="988" t="str">
        <f t="shared" si="290"/>
        <v/>
      </c>
      <c r="GM26" s="988" t="str">
        <f t="shared" si="290"/>
        <v/>
      </c>
      <c r="GN26" s="988" t="str">
        <f t="shared" si="290"/>
        <v/>
      </c>
      <c r="GO26" s="988" t="str">
        <f t="shared" si="290"/>
        <v/>
      </c>
      <c r="GQ26" s="988" t="str">
        <f t="shared" ref="GQ26:HD26" si="291">IF(AND($I26&lt;&gt;"",$AF26="REB"),IF(AND($P26&gt;GP$8,$P26&lt;=GQ$8),SUM($K26:$M26),""),"")</f>
        <v/>
      </c>
      <c r="GR26" s="988" t="str">
        <f t="shared" si="291"/>
        <v/>
      </c>
      <c r="GS26" s="988" t="str">
        <f t="shared" si="291"/>
        <v/>
      </c>
      <c r="GT26" s="988" t="str">
        <f t="shared" si="291"/>
        <v/>
      </c>
      <c r="GU26" s="988" t="str">
        <f t="shared" si="291"/>
        <v/>
      </c>
      <c r="GV26" s="988" t="str">
        <f t="shared" si="291"/>
        <v/>
      </c>
      <c r="GW26" s="988" t="str">
        <f t="shared" si="291"/>
        <v/>
      </c>
      <c r="GX26" s="988" t="str">
        <f t="shared" si="291"/>
        <v/>
      </c>
      <c r="GY26" s="988" t="str">
        <f t="shared" si="291"/>
        <v/>
      </c>
      <c r="GZ26" s="988" t="str">
        <f t="shared" si="291"/>
        <v/>
      </c>
      <c r="HA26" s="988" t="str">
        <f t="shared" si="291"/>
        <v/>
      </c>
      <c r="HB26" s="988" t="str">
        <f t="shared" si="291"/>
        <v/>
      </c>
      <c r="HC26" s="988" t="str">
        <f t="shared" si="291"/>
        <v/>
      </c>
      <c r="HD26" s="988" t="str">
        <f t="shared" si="291"/>
        <v/>
      </c>
      <c r="HF26" s="988" t="str">
        <f t="shared" ref="HF26:HS26" si="292">IF(AND($I26&lt;&gt;"",$AF26="RBS"),IF(AND($P26&gt;HE$8,$P26&lt;=HF$8),SUM($K26:$M26),""),"")</f>
        <v/>
      </c>
      <c r="HG26" s="988" t="str">
        <f t="shared" si="292"/>
        <v/>
      </c>
      <c r="HH26" s="988" t="str">
        <f t="shared" si="292"/>
        <v/>
      </c>
      <c r="HI26" s="988" t="str">
        <f t="shared" si="292"/>
        <v/>
      </c>
      <c r="HJ26" s="988" t="str">
        <f t="shared" si="292"/>
        <v/>
      </c>
      <c r="HK26" s="988" t="str">
        <f t="shared" si="292"/>
        <v/>
      </c>
      <c r="HL26" s="988" t="str">
        <f t="shared" si="292"/>
        <v/>
      </c>
      <c r="HM26" s="988" t="str">
        <f t="shared" si="292"/>
        <v/>
      </c>
      <c r="HN26" s="988" t="str">
        <f t="shared" si="292"/>
        <v/>
      </c>
      <c r="HO26" s="988" t="str">
        <f t="shared" si="292"/>
        <v/>
      </c>
      <c r="HP26" s="988" t="str">
        <f t="shared" si="292"/>
        <v/>
      </c>
      <c r="HQ26" s="988" t="str">
        <f t="shared" si="292"/>
        <v/>
      </c>
      <c r="HR26" s="988" t="str">
        <f t="shared" si="292"/>
        <v/>
      </c>
      <c r="HS26" s="988" t="str">
        <f t="shared" si="292"/>
        <v/>
      </c>
      <c r="HU26" s="988" t="str">
        <f t="shared" ref="HU26:IH26" si="293">IF(AND($I26&lt;&gt;"",$AF26="RCD"),IF(AND($P26&gt;HT$8,$P26&lt;=HU$8),SUM($K26:$M26),""),"")</f>
        <v/>
      </c>
      <c r="HV26" s="988" t="str">
        <f t="shared" si="293"/>
        <v/>
      </c>
      <c r="HW26" s="988" t="str">
        <f t="shared" si="293"/>
        <v/>
      </c>
      <c r="HX26" s="988" t="str">
        <f t="shared" si="293"/>
        <v/>
      </c>
      <c r="HY26" s="988" t="str">
        <f t="shared" si="293"/>
        <v/>
      </c>
      <c r="HZ26" s="988" t="str">
        <f t="shared" si="293"/>
        <v/>
      </c>
      <c r="IA26" s="988" t="str">
        <f t="shared" si="293"/>
        <v/>
      </c>
      <c r="IB26" s="988" t="str">
        <f t="shared" si="293"/>
        <v/>
      </c>
      <c r="IC26" s="988" t="str">
        <f t="shared" si="293"/>
        <v/>
      </c>
      <c r="ID26" s="988" t="str">
        <f t="shared" si="293"/>
        <v/>
      </c>
      <c r="IE26" s="988" t="str">
        <f t="shared" si="293"/>
        <v/>
      </c>
      <c r="IF26" s="988" t="str">
        <f t="shared" si="293"/>
        <v/>
      </c>
      <c r="IG26" s="988" t="str">
        <f t="shared" si="293"/>
        <v/>
      </c>
      <c r="IH26" s="988" t="str">
        <f t="shared" si="293"/>
        <v/>
      </c>
      <c r="IJ26" s="985">
        <f t="shared" ref="IJ26:IW26" si="294">IF(AND($I26&lt;&gt;""),IF(AND($P26&gt;II$8,$P26&lt;=IJ$8),$K26,""),"")</f>
        <v>0.2</v>
      </c>
      <c r="IK26" s="985" t="str">
        <f t="shared" si="294"/>
        <v/>
      </c>
      <c r="IL26" s="985" t="str">
        <f t="shared" si="294"/>
        <v/>
      </c>
      <c r="IM26" s="985" t="str">
        <f t="shared" si="294"/>
        <v/>
      </c>
      <c r="IN26" s="985" t="str">
        <f t="shared" si="294"/>
        <v/>
      </c>
      <c r="IO26" s="985" t="str">
        <f t="shared" si="294"/>
        <v/>
      </c>
      <c r="IP26" s="985" t="str">
        <f t="shared" si="294"/>
        <v/>
      </c>
      <c r="IQ26" s="985" t="str">
        <f t="shared" si="294"/>
        <v/>
      </c>
      <c r="IR26" s="985" t="str">
        <f t="shared" si="294"/>
        <v/>
      </c>
      <c r="IS26" s="985" t="str">
        <f t="shared" si="294"/>
        <v/>
      </c>
      <c r="IT26" s="985" t="str">
        <f t="shared" si="294"/>
        <v/>
      </c>
      <c r="IU26" s="985" t="str">
        <f t="shared" si="294"/>
        <v/>
      </c>
      <c r="IV26" s="985" t="str">
        <f t="shared" si="294"/>
        <v/>
      </c>
      <c r="IW26" s="985" t="str">
        <f t="shared" si="294"/>
        <v/>
      </c>
      <c r="IX26" s="987"/>
      <c r="IY26" s="985">
        <f t="shared" ref="IY26:JL26" si="295">IF(AND($I26&lt;&gt;""),IF(AND($P26&gt;IX$8,$P26&lt;=IY$8),$L26,""),"")</f>
        <v>0</v>
      </c>
      <c r="IZ26" s="985" t="str">
        <f t="shared" si="295"/>
        <v/>
      </c>
      <c r="JA26" s="985" t="str">
        <f t="shared" si="295"/>
        <v/>
      </c>
      <c r="JB26" s="985" t="str">
        <f t="shared" si="295"/>
        <v/>
      </c>
      <c r="JC26" s="985" t="str">
        <f t="shared" si="295"/>
        <v/>
      </c>
      <c r="JD26" s="985" t="str">
        <f t="shared" si="295"/>
        <v/>
      </c>
      <c r="JE26" s="985" t="str">
        <f t="shared" si="295"/>
        <v/>
      </c>
      <c r="JF26" s="985" t="str">
        <f t="shared" si="295"/>
        <v/>
      </c>
      <c r="JG26" s="985" t="str">
        <f t="shared" si="295"/>
        <v/>
      </c>
      <c r="JH26" s="985" t="str">
        <f t="shared" si="295"/>
        <v/>
      </c>
      <c r="JI26" s="985" t="str">
        <f t="shared" si="295"/>
        <v/>
      </c>
      <c r="JJ26" s="985" t="str">
        <f t="shared" si="295"/>
        <v/>
      </c>
      <c r="JK26" s="985" t="str">
        <f t="shared" si="295"/>
        <v/>
      </c>
      <c r="JL26" s="985" t="str">
        <f t="shared" si="295"/>
        <v/>
      </c>
      <c r="JM26" s="987"/>
      <c r="JN26" s="985">
        <f t="shared" ref="JN26:KA26" si="296">IF(AND($I26&lt;&gt;""),IF(AND($P26&gt;JM$8,$P26&lt;=JN$8),$M26,""),"")</f>
        <v>0</v>
      </c>
      <c r="JO26" s="985" t="str">
        <f t="shared" si="296"/>
        <v/>
      </c>
      <c r="JP26" s="985" t="str">
        <f t="shared" si="296"/>
        <v/>
      </c>
      <c r="JQ26" s="985" t="str">
        <f t="shared" si="296"/>
        <v/>
      </c>
      <c r="JR26" s="985" t="str">
        <f t="shared" si="296"/>
        <v/>
      </c>
      <c r="JS26" s="985" t="str">
        <f t="shared" si="296"/>
        <v/>
      </c>
      <c r="JT26" s="985" t="str">
        <f t="shared" si="296"/>
        <v/>
      </c>
      <c r="JU26" s="985" t="str">
        <f t="shared" si="296"/>
        <v/>
      </c>
      <c r="JV26" s="985" t="str">
        <f t="shared" si="296"/>
        <v/>
      </c>
      <c r="JW26" s="985" t="str">
        <f t="shared" si="296"/>
        <v/>
      </c>
      <c r="JX26" s="985" t="str">
        <f t="shared" si="296"/>
        <v/>
      </c>
      <c r="JY26" s="985" t="str">
        <f t="shared" si="296"/>
        <v/>
      </c>
      <c r="JZ26" s="985" t="str">
        <f t="shared" si="296"/>
        <v/>
      </c>
      <c r="KA26" s="985" t="str">
        <f t="shared" si="296"/>
        <v/>
      </c>
      <c r="KB26" s="987"/>
      <c r="KC26" s="985">
        <f t="shared" ref="KC26:KP26" si="297">IF(AND($I26&lt;&gt;""),IF(AND($P26&gt;KB$8,$P26&lt;=KC$8),$N26,""),"")</f>
        <v>0</v>
      </c>
      <c r="KD26" s="985" t="str">
        <f t="shared" si="297"/>
        <v/>
      </c>
      <c r="KE26" s="985" t="str">
        <f t="shared" si="297"/>
        <v/>
      </c>
      <c r="KF26" s="985" t="str">
        <f t="shared" si="297"/>
        <v/>
      </c>
      <c r="KG26" s="985" t="str">
        <f t="shared" si="297"/>
        <v/>
      </c>
      <c r="KH26" s="985" t="str">
        <f t="shared" si="297"/>
        <v/>
      </c>
      <c r="KI26" s="985" t="str">
        <f t="shared" si="297"/>
        <v/>
      </c>
      <c r="KJ26" s="985" t="str">
        <f t="shared" si="297"/>
        <v/>
      </c>
      <c r="KK26" s="985" t="str">
        <f t="shared" si="297"/>
        <v/>
      </c>
      <c r="KL26" s="985" t="str">
        <f t="shared" si="297"/>
        <v/>
      </c>
      <c r="KM26" s="985" t="str">
        <f t="shared" si="297"/>
        <v/>
      </c>
      <c r="KN26" s="985" t="str">
        <f t="shared" si="297"/>
        <v/>
      </c>
      <c r="KO26" s="985" t="str">
        <f t="shared" si="297"/>
        <v/>
      </c>
      <c r="KP26" s="985" t="str">
        <f t="shared" si="297"/>
        <v/>
      </c>
    </row>
    <row r="27" spans="2:302" ht="18" customHeight="1">
      <c r="B27" s="978">
        <f t="shared" si="0"/>
        <v>56.5</v>
      </c>
      <c r="C27" s="979" t="s">
        <v>627</v>
      </c>
      <c r="D27" s="979" t="s">
        <v>605</v>
      </c>
      <c r="E27" s="980">
        <v>0</v>
      </c>
      <c r="F27" s="979" t="s">
        <v>658</v>
      </c>
      <c r="G27" s="979" t="s">
        <v>605</v>
      </c>
      <c r="H27" s="980">
        <v>0</v>
      </c>
      <c r="I27" s="979" t="s">
        <v>813</v>
      </c>
      <c r="J27" s="979"/>
      <c r="K27" s="980">
        <v>533.00999999999988</v>
      </c>
      <c r="L27" s="980"/>
      <c r="M27" s="980"/>
      <c r="N27" s="980"/>
      <c r="O27" s="980"/>
      <c r="P27" s="981">
        <v>0.02</v>
      </c>
      <c r="Q27" s="981">
        <f t="shared" si="1"/>
        <v>10.660199999999998</v>
      </c>
      <c r="R27" s="979" t="s">
        <v>627</v>
      </c>
      <c r="S27" s="979" t="s">
        <v>605</v>
      </c>
      <c r="T27" s="980">
        <v>0</v>
      </c>
      <c r="U27" s="979" t="s">
        <v>658</v>
      </c>
      <c r="V27" s="979" t="s">
        <v>605</v>
      </c>
      <c r="W27" s="980">
        <v>0</v>
      </c>
      <c r="X27" s="979" t="s">
        <v>813</v>
      </c>
      <c r="Y27" s="979"/>
      <c r="Z27" s="979"/>
      <c r="AA27" s="980">
        <v>1</v>
      </c>
      <c r="AB27" s="980">
        <f t="shared" si="2"/>
        <v>533.00999999999988</v>
      </c>
      <c r="AC27" s="982" t="s">
        <v>939</v>
      </c>
      <c r="AD27" s="953"/>
      <c r="AE27" s="983" t="str">
        <f t="shared" si="3"/>
        <v/>
      </c>
      <c r="AF27" s="984" t="str">
        <f t="shared" si="4"/>
        <v>REC</v>
      </c>
      <c r="AG27" s="963"/>
      <c r="AH27" s="985" t="str">
        <f t="shared" si="177"/>
        <v/>
      </c>
      <c r="AI27" s="985" t="str">
        <f t="shared" si="177"/>
        <v/>
      </c>
      <c r="AJ27" s="985" t="str">
        <f t="shared" si="177"/>
        <v/>
      </c>
      <c r="AK27" s="985" t="str">
        <f t="shared" si="177"/>
        <v/>
      </c>
      <c r="AL27" s="985" t="str">
        <f t="shared" si="177"/>
        <v/>
      </c>
      <c r="AM27" s="985" t="str">
        <f t="shared" si="177"/>
        <v/>
      </c>
      <c r="AN27" s="985" t="str">
        <f t="shared" si="177"/>
        <v/>
      </c>
      <c r="AO27" s="985" t="str">
        <f t="shared" si="177"/>
        <v/>
      </c>
      <c r="AP27" s="986"/>
      <c r="AQ27" s="985" t="str">
        <f t="shared" ref="AQ27:BD27" si="298">IF(AND($I27&lt;&gt;"",$AF27="C"),IF(AND($P27&gt;AP$8,$P27&lt;=AQ$8),$K27,""),"")</f>
        <v/>
      </c>
      <c r="AR27" s="985" t="str">
        <f t="shared" si="298"/>
        <v/>
      </c>
      <c r="AS27" s="985" t="str">
        <f t="shared" si="298"/>
        <v/>
      </c>
      <c r="AT27" s="985" t="str">
        <f t="shared" si="298"/>
        <v/>
      </c>
      <c r="AU27" s="985" t="str">
        <f t="shared" si="298"/>
        <v/>
      </c>
      <c r="AV27" s="985" t="str">
        <f t="shared" si="298"/>
        <v/>
      </c>
      <c r="AW27" s="985" t="str">
        <f t="shared" si="298"/>
        <v/>
      </c>
      <c r="AX27" s="985" t="str">
        <f t="shared" si="298"/>
        <v/>
      </c>
      <c r="AY27" s="985" t="str">
        <f t="shared" si="298"/>
        <v/>
      </c>
      <c r="AZ27" s="985" t="str">
        <f t="shared" si="298"/>
        <v/>
      </c>
      <c r="BA27" s="985" t="str">
        <f t="shared" si="298"/>
        <v/>
      </c>
      <c r="BB27" s="985" t="str">
        <f t="shared" si="298"/>
        <v/>
      </c>
      <c r="BC27" s="985" t="str">
        <f t="shared" si="298"/>
        <v/>
      </c>
      <c r="BD27" s="985" t="str">
        <f t="shared" si="298"/>
        <v/>
      </c>
      <c r="BE27" s="987"/>
      <c r="BF27" s="985" t="str">
        <f t="shared" ref="BF27:BS27" si="299">IF(AND($I27&lt;&gt;"",$AF27="C"),IF(AND($P27&gt;BE$8,$P27&lt;=BF$8),$L27,""),"")</f>
        <v/>
      </c>
      <c r="BG27" s="985" t="str">
        <f t="shared" si="299"/>
        <v/>
      </c>
      <c r="BH27" s="985" t="str">
        <f t="shared" si="299"/>
        <v/>
      </c>
      <c r="BI27" s="985" t="str">
        <f t="shared" si="299"/>
        <v/>
      </c>
      <c r="BJ27" s="985" t="str">
        <f t="shared" si="299"/>
        <v/>
      </c>
      <c r="BK27" s="985" t="str">
        <f t="shared" si="299"/>
        <v/>
      </c>
      <c r="BL27" s="985" t="str">
        <f t="shared" si="299"/>
        <v/>
      </c>
      <c r="BM27" s="985" t="str">
        <f t="shared" si="299"/>
        <v/>
      </c>
      <c r="BN27" s="985" t="str">
        <f t="shared" si="299"/>
        <v/>
      </c>
      <c r="BO27" s="985" t="str">
        <f t="shared" si="299"/>
        <v/>
      </c>
      <c r="BP27" s="985" t="str">
        <f t="shared" si="299"/>
        <v/>
      </c>
      <c r="BQ27" s="985" t="str">
        <f t="shared" si="299"/>
        <v/>
      </c>
      <c r="BR27" s="985" t="str">
        <f t="shared" si="299"/>
        <v/>
      </c>
      <c r="BS27" s="985" t="str">
        <f t="shared" si="299"/>
        <v/>
      </c>
      <c r="BU27" s="985" t="str">
        <f t="shared" ref="BU27:CF27" si="300">IF(AND($I27&lt;&gt;"",$AF27="C"),IF(AND($P27&gt;BT$8,$P27&lt;=BU$8),$M27,""),"")</f>
        <v/>
      </c>
      <c r="BV27" s="985" t="str">
        <f t="shared" si="300"/>
        <v/>
      </c>
      <c r="BW27" s="985" t="str">
        <f t="shared" si="300"/>
        <v/>
      </c>
      <c r="BX27" s="985" t="str">
        <f t="shared" si="300"/>
        <v/>
      </c>
      <c r="BY27" s="985" t="str">
        <f t="shared" si="300"/>
        <v/>
      </c>
      <c r="BZ27" s="985" t="str">
        <f t="shared" si="300"/>
        <v/>
      </c>
      <c r="CA27" s="985" t="str">
        <f t="shared" si="300"/>
        <v/>
      </c>
      <c r="CB27" s="985" t="str">
        <f t="shared" si="300"/>
        <v/>
      </c>
      <c r="CC27" s="985" t="str">
        <f t="shared" si="300"/>
        <v/>
      </c>
      <c r="CD27" s="985" t="str">
        <f t="shared" si="300"/>
        <v/>
      </c>
      <c r="CE27" s="985" t="str">
        <f t="shared" si="300"/>
        <v/>
      </c>
      <c r="CF27" s="985" t="str">
        <f t="shared" si="300"/>
        <v/>
      </c>
      <c r="CG27" s="987"/>
      <c r="CH27" s="985" t="str">
        <f t="shared" si="181"/>
        <v/>
      </c>
      <c r="CI27" s="985" t="str">
        <f t="shared" si="181"/>
        <v/>
      </c>
      <c r="CJ27" s="985" t="str">
        <f t="shared" si="181"/>
        <v/>
      </c>
      <c r="CK27" s="985" t="str">
        <f t="shared" si="181"/>
        <v/>
      </c>
      <c r="CL27" s="985" t="str">
        <f t="shared" si="181"/>
        <v/>
      </c>
      <c r="CM27" s="985" t="str">
        <f t="shared" si="181"/>
        <v/>
      </c>
      <c r="CN27" s="985" t="str">
        <f t="shared" si="181"/>
        <v/>
      </c>
      <c r="CP27" s="988" t="str">
        <f t="shared" ref="CP27:DC27" si="301">IF(AND($I27&lt;&gt;"",OR($AF27="ELE",$AF27="ELD",$AF27="CX")),IF(AND($P27&gt;CO$8,$P27&lt;=CP$8),$K27,""),"")</f>
        <v/>
      </c>
      <c r="CQ27" s="988" t="str">
        <f t="shared" si="301"/>
        <v/>
      </c>
      <c r="CR27" s="988" t="str">
        <f t="shared" si="301"/>
        <v/>
      </c>
      <c r="CS27" s="988" t="str">
        <f t="shared" si="301"/>
        <v/>
      </c>
      <c r="CT27" s="988" t="str">
        <f t="shared" si="301"/>
        <v/>
      </c>
      <c r="CU27" s="988" t="str">
        <f t="shared" si="301"/>
        <v/>
      </c>
      <c r="CV27" s="988" t="str">
        <f t="shared" si="301"/>
        <v/>
      </c>
      <c r="CW27" s="988" t="str">
        <f t="shared" si="301"/>
        <v/>
      </c>
      <c r="CX27" s="988" t="str">
        <f t="shared" si="301"/>
        <v/>
      </c>
      <c r="CY27" s="988" t="str">
        <f t="shared" si="301"/>
        <v/>
      </c>
      <c r="CZ27" s="988" t="str">
        <f t="shared" si="301"/>
        <v/>
      </c>
      <c r="DA27" s="988" t="str">
        <f t="shared" si="301"/>
        <v/>
      </c>
      <c r="DB27" s="988" t="str">
        <f t="shared" si="301"/>
        <v/>
      </c>
      <c r="DC27" s="988" t="str">
        <f t="shared" si="301"/>
        <v/>
      </c>
      <c r="DE27" s="988">
        <f t="shared" ref="DE27:DR27" si="302">IF(AND($X27&lt;&gt;"",$AC27="CF"),IF(AND($P27&gt;DD$8,$P27&lt;=DE$8),$AB27,""),"")</f>
        <v>533.00999999999988</v>
      </c>
      <c r="DF27" s="988" t="str">
        <f t="shared" si="302"/>
        <v/>
      </c>
      <c r="DG27" s="988" t="str">
        <f t="shared" si="302"/>
        <v/>
      </c>
      <c r="DH27" s="988" t="str">
        <f t="shared" si="302"/>
        <v/>
      </c>
      <c r="DI27" s="988" t="str">
        <f t="shared" si="302"/>
        <v/>
      </c>
      <c r="DJ27" s="988" t="str">
        <f t="shared" si="302"/>
        <v/>
      </c>
      <c r="DK27" s="988" t="str">
        <f t="shared" si="302"/>
        <v/>
      </c>
      <c r="DL27" s="988" t="str">
        <f t="shared" si="302"/>
        <v/>
      </c>
      <c r="DM27" s="988" t="str">
        <f t="shared" si="302"/>
        <v/>
      </c>
      <c r="DN27" s="988" t="str">
        <f t="shared" si="302"/>
        <v/>
      </c>
      <c r="DO27" s="988" t="str">
        <f t="shared" si="302"/>
        <v/>
      </c>
      <c r="DP27" s="988" t="str">
        <f t="shared" si="302"/>
        <v/>
      </c>
      <c r="DQ27" s="988" t="str">
        <f t="shared" si="302"/>
        <v/>
      </c>
      <c r="DR27" s="988" t="str">
        <f t="shared" si="302"/>
        <v/>
      </c>
      <c r="DT27" s="988" t="str">
        <f t="shared" ref="DT27:EG27" si="303">IF(AND($X27&lt;&gt;"",$AC27="CA"),IF(AND($P27&gt;DS$8,$P27&lt;=DT$8),$AB27,""),"")</f>
        <v/>
      </c>
      <c r="DU27" s="988" t="str">
        <f t="shared" si="303"/>
        <v/>
      </c>
      <c r="DV27" s="988" t="str">
        <f t="shared" si="303"/>
        <v/>
      </c>
      <c r="DW27" s="988" t="str">
        <f t="shared" si="303"/>
        <v/>
      </c>
      <c r="DX27" s="988" t="str">
        <f t="shared" si="303"/>
        <v/>
      </c>
      <c r="DY27" s="988" t="str">
        <f t="shared" si="303"/>
        <v/>
      </c>
      <c r="DZ27" s="988" t="str">
        <f t="shared" si="303"/>
        <v/>
      </c>
      <c r="EA27" s="988" t="str">
        <f t="shared" si="303"/>
        <v/>
      </c>
      <c r="EB27" s="988" t="str">
        <f t="shared" si="303"/>
        <v/>
      </c>
      <c r="EC27" s="988" t="str">
        <f t="shared" si="303"/>
        <v/>
      </c>
      <c r="ED27" s="988" t="str">
        <f t="shared" si="303"/>
        <v/>
      </c>
      <c r="EE27" s="988" t="str">
        <f t="shared" si="303"/>
        <v/>
      </c>
      <c r="EF27" s="988" t="str">
        <f t="shared" si="303"/>
        <v/>
      </c>
      <c r="EG27" s="988" t="str">
        <f t="shared" si="303"/>
        <v/>
      </c>
      <c r="EI27" s="988" t="str">
        <f t="shared" ref="EI27:EV27" si="304">IF($AE27="BFC",IF(AND($P27&gt;EH$8,$P27&lt;=EI$8),$AB27,""),"")</f>
        <v/>
      </c>
      <c r="EJ27" s="988" t="str">
        <f t="shared" si="304"/>
        <v/>
      </c>
      <c r="EK27" s="988" t="str">
        <f t="shared" si="304"/>
        <v/>
      </c>
      <c r="EL27" s="988" t="str">
        <f t="shared" si="304"/>
        <v/>
      </c>
      <c r="EM27" s="988" t="str">
        <f t="shared" si="304"/>
        <v/>
      </c>
      <c r="EN27" s="988" t="str">
        <f t="shared" si="304"/>
        <v/>
      </c>
      <c r="EO27" s="988" t="str">
        <f t="shared" si="304"/>
        <v/>
      </c>
      <c r="EP27" s="988" t="str">
        <f t="shared" si="304"/>
        <v/>
      </c>
      <c r="EQ27" s="988" t="str">
        <f t="shared" si="304"/>
        <v/>
      </c>
      <c r="ER27" s="988" t="str">
        <f t="shared" si="304"/>
        <v/>
      </c>
      <c r="ES27" s="988" t="str">
        <f t="shared" si="304"/>
        <v/>
      </c>
      <c r="ET27" s="988" t="str">
        <f t="shared" si="304"/>
        <v/>
      </c>
      <c r="EU27" s="988" t="str">
        <f t="shared" si="304"/>
        <v/>
      </c>
      <c r="EV27" s="988" t="str">
        <f t="shared" si="304"/>
        <v/>
      </c>
      <c r="EX27" s="988" t="str">
        <f t="shared" ref="EX27:FK27" si="305">IF($AE27="BFN",IF(AND($P27&gt;EW$8,$P27&lt;=EX$8),$AB27,""),"")</f>
        <v/>
      </c>
      <c r="EY27" s="988" t="str">
        <f t="shared" si="305"/>
        <v/>
      </c>
      <c r="EZ27" s="988" t="str">
        <f t="shared" si="305"/>
        <v/>
      </c>
      <c r="FA27" s="988" t="str">
        <f t="shared" si="305"/>
        <v/>
      </c>
      <c r="FB27" s="988" t="str">
        <f t="shared" si="305"/>
        <v/>
      </c>
      <c r="FC27" s="988" t="str">
        <f t="shared" si="305"/>
        <v/>
      </c>
      <c r="FD27" s="988" t="str">
        <f t="shared" si="305"/>
        <v/>
      </c>
      <c r="FE27" s="988" t="str">
        <f t="shared" si="305"/>
        <v/>
      </c>
      <c r="FF27" s="988" t="str">
        <f t="shared" si="305"/>
        <v/>
      </c>
      <c r="FG27" s="988" t="str">
        <f t="shared" si="305"/>
        <v/>
      </c>
      <c r="FH27" s="988" t="str">
        <f t="shared" si="305"/>
        <v/>
      </c>
      <c r="FI27" s="988" t="str">
        <f t="shared" si="305"/>
        <v/>
      </c>
      <c r="FJ27" s="988" t="str">
        <f t="shared" si="305"/>
        <v/>
      </c>
      <c r="FK27" s="988" t="str">
        <f t="shared" si="305"/>
        <v/>
      </c>
      <c r="FM27" s="988" t="str">
        <f t="shared" ref="FM27:FZ27" si="306">IF(AND($I27&lt;&gt;"",$AF27="RCS"),IF(AND($P27&gt;FL$8,$P27&lt;=FM$8),SUM($K27:$M27),""),"")</f>
        <v/>
      </c>
      <c r="FN27" s="988" t="str">
        <f t="shared" si="306"/>
        <v/>
      </c>
      <c r="FO27" s="988" t="str">
        <f t="shared" si="306"/>
        <v/>
      </c>
      <c r="FP27" s="988" t="str">
        <f t="shared" si="306"/>
        <v/>
      </c>
      <c r="FQ27" s="988" t="str">
        <f t="shared" si="306"/>
        <v/>
      </c>
      <c r="FR27" s="988" t="str">
        <f t="shared" si="306"/>
        <v/>
      </c>
      <c r="FS27" s="988" t="str">
        <f t="shared" si="306"/>
        <v/>
      </c>
      <c r="FT27" s="988" t="str">
        <f t="shared" si="306"/>
        <v/>
      </c>
      <c r="FU27" s="988" t="str">
        <f t="shared" si="306"/>
        <v/>
      </c>
      <c r="FV27" s="988" t="str">
        <f t="shared" si="306"/>
        <v/>
      </c>
      <c r="FW27" s="988" t="str">
        <f t="shared" si="306"/>
        <v/>
      </c>
      <c r="FX27" s="988" t="str">
        <f t="shared" si="306"/>
        <v/>
      </c>
      <c r="FY27" s="988" t="str">
        <f t="shared" si="306"/>
        <v/>
      </c>
      <c r="FZ27" s="988" t="str">
        <f t="shared" si="306"/>
        <v/>
      </c>
      <c r="GB27" s="988">
        <f t="shared" ref="GB27:GO27" si="307">IF(AND($I27&lt;&gt;"",$AF27="REC"),IF(AND($P27&gt;GA$8,$P27&lt;=GB$8),SUM($K27:$M27),""),"")</f>
        <v>533.00999999999988</v>
      </c>
      <c r="GC27" s="988" t="str">
        <f t="shared" si="307"/>
        <v/>
      </c>
      <c r="GD27" s="988" t="str">
        <f t="shared" si="307"/>
        <v/>
      </c>
      <c r="GE27" s="988" t="str">
        <f t="shared" si="307"/>
        <v/>
      </c>
      <c r="GF27" s="988" t="str">
        <f t="shared" si="307"/>
        <v/>
      </c>
      <c r="GG27" s="988" t="str">
        <f t="shared" si="307"/>
        <v/>
      </c>
      <c r="GH27" s="988" t="str">
        <f t="shared" si="307"/>
        <v/>
      </c>
      <c r="GI27" s="988" t="str">
        <f t="shared" si="307"/>
        <v/>
      </c>
      <c r="GJ27" s="988" t="str">
        <f t="shared" si="307"/>
        <v/>
      </c>
      <c r="GK27" s="988" t="str">
        <f t="shared" si="307"/>
        <v/>
      </c>
      <c r="GL27" s="988" t="str">
        <f t="shared" si="307"/>
        <v/>
      </c>
      <c r="GM27" s="988" t="str">
        <f t="shared" si="307"/>
        <v/>
      </c>
      <c r="GN27" s="988" t="str">
        <f t="shared" si="307"/>
        <v/>
      </c>
      <c r="GO27" s="988" t="str">
        <f t="shared" si="307"/>
        <v/>
      </c>
      <c r="GQ27" s="988" t="str">
        <f t="shared" ref="GQ27:HD27" si="308">IF(AND($I27&lt;&gt;"",$AF27="REB"),IF(AND($P27&gt;GP$8,$P27&lt;=GQ$8),SUM($K27:$M27),""),"")</f>
        <v/>
      </c>
      <c r="GR27" s="988" t="str">
        <f t="shared" si="308"/>
        <v/>
      </c>
      <c r="GS27" s="988" t="str">
        <f t="shared" si="308"/>
        <v/>
      </c>
      <c r="GT27" s="988" t="str">
        <f t="shared" si="308"/>
        <v/>
      </c>
      <c r="GU27" s="988" t="str">
        <f t="shared" si="308"/>
        <v/>
      </c>
      <c r="GV27" s="988" t="str">
        <f t="shared" si="308"/>
        <v/>
      </c>
      <c r="GW27" s="988" t="str">
        <f t="shared" si="308"/>
        <v/>
      </c>
      <c r="GX27" s="988" t="str">
        <f t="shared" si="308"/>
        <v/>
      </c>
      <c r="GY27" s="988" t="str">
        <f t="shared" si="308"/>
        <v/>
      </c>
      <c r="GZ27" s="988" t="str">
        <f t="shared" si="308"/>
        <v/>
      </c>
      <c r="HA27" s="988" t="str">
        <f t="shared" si="308"/>
        <v/>
      </c>
      <c r="HB27" s="988" t="str">
        <f t="shared" si="308"/>
        <v/>
      </c>
      <c r="HC27" s="988" t="str">
        <f t="shared" si="308"/>
        <v/>
      </c>
      <c r="HD27" s="988" t="str">
        <f t="shared" si="308"/>
        <v/>
      </c>
      <c r="HF27" s="988" t="str">
        <f t="shared" ref="HF27:HS27" si="309">IF(AND($I27&lt;&gt;"",$AF27="RBS"),IF(AND($P27&gt;HE$8,$P27&lt;=HF$8),SUM($K27:$M27),""),"")</f>
        <v/>
      </c>
      <c r="HG27" s="988" t="str">
        <f t="shared" si="309"/>
        <v/>
      </c>
      <c r="HH27" s="988" t="str">
        <f t="shared" si="309"/>
        <v/>
      </c>
      <c r="HI27" s="988" t="str">
        <f t="shared" si="309"/>
        <v/>
      </c>
      <c r="HJ27" s="988" t="str">
        <f t="shared" si="309"/>
        <v/>
      </c>
      <c r="HK27" s="988" t="str">
        <f t="shared" si="309"/>
        <v/>
      </c>
      <c r="HL27" s="988" t="str">
        <f t="shared" si="309"/>
        <v/>
      </c>
      <c r="HM27" s="988" t="str">
        <f t="shared" si="309"/>
        <v/>
      </c>
      <c r="HN27" s="988" t="str">
        <f t="shared" si="309"/>
        <v/>
      </c>
      <c r="HO27" s="988" t="str">
        <f t="shared" si="309"/>
        <v/>
      </c>
      <c r="HP27" s="988" t="str">
        <f t="shared" si="309"/>
        <v/>
      </c>
      <c r="HQ27" s="988" t="str">
        <f t="shared" si="309"/>
        <v/>
      </c>
      <c r="HR27" s="988" t="str">
        <f t="shared" si="309"/>
        <v/>
      </c>
      <c r="HS27" s="988" t="str">
        <f t="shared" si="309"/>
        <v/>
      </c>
      <c r="HU27" s="988" t="str">
        <f t="shared" ref="HU27:IH27" si="310">IF(AND($I27&lt;&gt;"",$AF27="RCD"),IF(AND($P27&gt;HT$8,$P27&lt;=HU$8),SUM($K27:$M27),""),"")</f>
        <v/>
      </c>
      <c r="HV27" s="988" t="str">
        <f t="shared" si="310"/>
        <v/>
      </c>
      <c r="HW27" s="988" t="str">
        <f t="shared" si="310"/>
        <v/>
      </c>
      <c r="HX27" s="988" t="str">
        <f t="shared" si="310"/>
        <v/>
      </c>
      <c r="HY27" s="988" t="str">
        <f t="shared" si="310"/>
        <v/>
      </c>
      <c r="HZ27" s="988" t="str">
        <f t="shared" si="310"/>
        <v/>
      </c>
      <c r="IA27" s="988" t="str">
        <f t="shared" si="310"/>
        <v/>
      </c>
      <c r="IB27" s="988" t="str">
        <f t="shared" si="310"/>
        <v/>
      </c>
      <c r="IC27" s="988" t="str">
        <f t="shared" si="310"/>
        <v/>
      </c>
      <c r="ID27" s="988" t="str">
        <f t="shared" si="310"/>
        <v/>
      </c>
      <c r="IE27" s="988" t="str">
        <f t="shared" si="310"/>
        <v/>
      </c>
      <c r="IF27" s="988" t="str">
        <f t="shared" si="310"/>
        <v/>
      </c>
      <c r="IG27" s="988" t="str">
        <f t="shared" si="310"/>
        <v/>
      </c>
      <c r="IH27" s="988" t="str">
        <f t="shared" si="310"/>
        <v/>
      </c>
      <c r="IJ27" s="985">
        <f t="shared" ref="IJ27:IW27" si="311">IF(AND($I27&lt;&gt;""),IF(AND($P27&gt;II$8,$P27&lt;=IJ$8),$K27,""),"")</f>
        <v>533.00999999999988</v>
      </c>
      <c r="IK27" s="985" t="str">
        <f t="shared" si="311"/>
        <v/>
      </c>
      <c r="IL27" s="985" t="str">
        <f t="shared" si="311"/>
        <v/>
      </c>
      <c r="IM27" s="985" t="str">
        <f t="shared" si="311"/>
        <v/>
      </c>
      <c r="IN27" s="985" t="str">
        <f t="shared" si="311"/>
        <v/>
      </c>
      <c r="IO27" s="985" t="str">
        <f t="shared" si="311"/>
        <v/>
      </c>
      <c r="IP27" s="985" t="str">
        <f t="shared" si="311"/>
        <v/>
      </c>
      <c r="IQ27" s="985" t="str">
        <f t="shared" si="311"/>
        <v/>
      </c>
      <c r="IR27" s="985" t="str">
        <f t="shared" si="311"/>
        <v/>
      </c>
      <c r="IS27" s="985" t="str">
        <f t="shared" si="311"/>
        <v/>
      </c>
      <c r="IT27" s="985" t="str">
        <f t="shared" si="311"/>
        <v/>
      </c>
      <c r="IU27" s="985" t="str">
        <f t="shared" si="311"/>
        <v/>
      </c>
      <c r="IV27" s="985" t="str">
        <f t="shared" si="311"/>
        <v/>
      </c>
      <c r="IW27" s="985" t="str">
        <f t="shared" si="311"/>
        <v/>
      </c>
      <c r="IX27" s="987"/>
      <c r="IY27" s="985">
        <f t="shared" ref="IY27:JL27" si="312">IF(AND($I27&lt;&gt;""),IF(AND($P27&gt;IX$8,$P27&lt;=IY$8),$L27,""),"")</f>
        <v>0</v>
      </c>
      <c r="IZ27" s="985" t="str">
        <f t="shared" si="312"/>
        <v/>
      </c>
      <c r="JA27" s="985" t="str">
        <f t="shared" si="312"/>
        <v/>
      </c>
      <c r="JB27" s="985" t="str">
        <f t="shared" si="312"/>
        <v/>
      </c>
      <c r="JC27" s="985" t="str">
        <f t="shared" si="312"/>
        <v/>
      </c>
      <c r="JD27" s="985" t="str">
        <f t="shared" si="312"/>
        <v/>
      </c>
      <c r="JE27" s="985" t="str">
        <f t="shared" si="312"/>
        <v/>
      </c>
      <c r="JF27" s="985" t="str">
        <f t="shared" si="312"/>
        <v/>
      </c>
      <c r="JG27" s="985" t="str">
        <f t="shared" si="312"/>
        <v/>
      </c>
      <c r="JH27" s="985" t="str">
        <f t="shared" si="312"/>
        <v/>
      </c>
      <c r="JI27" s="985" t="str">
        <f t="shared" si="312"/>
        <v/>
      </c>
      <c r="JJ27" s="985" t="str">
        <f t="shared" si="312"/>
        <v/>
      </c>
      <c r="JK27" s="985" t="str">
        <f t="shared" si="312"/>
        <v/>
      </c>
      <c r="JL27" s="985" t="str">
        <f t="shared" si="312"/>
        <v/>
      </c>
      <c r="JM27" s="987"/>
      <c r="JN27" s="985">
        <f t="shared" ref="JN27:KA27" si="313">IF(AND($I27&lt;&gt;""),IF(AND($P27&gt;JM$8,$P27&lt;=JN$8),$M27,""),"")</f>
        <v>0</v>
      </c>
      <c r="JO27" s="985" t="str">
        <f t="shared" si="313"/>
        <v/>
      </c>
      <c r="JP27" s="985" t="str">
        <f t="shared" si="313"/>
        <v/>
      </c>
      <c r="JQ27" s="985" t="str">
        <f t="shared" si="313"/>
        <v/>
      </c>
      <c r="JR27" s="985" t="str">
        <f t="shared" si="313"/>
        <v/>
      </c>
      <c r="JS27" s="985" t="str">
        <f t="shared" si="313"/>
        <v/>
      </c>
      <c r="JT27" s="985" t="str">
        <f t="shared" si="313"/>
        <v/>
      </c>
      <c r="JU27" s="985" t="str">
        <f t="shared" si="313"/>
        <v/>
      </c>
      <c r="JV27" s="985" t="str">
        <f t="shared" si="313"/>
        <v/>
      </c>
      <c r="JW27" s="985" t="str">
        <f t="shared" si="313"/>
        <v/>
      </c>
      <c r="JX27" s="985" t="str">
        <f t="shared" si="313"/>
        <v/>
      </c>
      <c r="JY27" s="985" t="str">
        <f t="shared" si="313"/>
        <v/>
      </c>
      <c r="JZ27" s="985" t="str">
        <f t="shared" si="313"/>
        <v/>
      </c>
      <c r="KA27" s="985" t="str">
        <f t="shared" si="313"/>
        <v/>
      </c>
      <c r="KB27" s="987"/>
      <c r="KC27" s="985">
        <f t="shared" ref="KC27:KP27" si="314">IF(AND($I27&lt;&gt;""),IF(AND($P27&gt;KB$8,$P27&lt;=KC$8),$N27,""),"")</f>
        <v>0</v>
      </c>
      <c r="KD27" s="985" t="str">
        <f t="shared" si="314"/>
        <v/>
      </c>
      <c r="KE27" s="985" t="str">
        <f t="shared" si="314"/>
        <v/>
      </c>
      <c r="KF27" s="985" t="str">
        <f t="shared" si="314"/>
        <v/>
      </c>
      <c r="KG27" s="985" t="str">
        <f t="shared" si="314"/>
        <v/>
      </c>
      <c r="KH27" s="985" t="str">
        <f t="shared" si="314"/>
        <v/>
      </c>
      <c r="KI27" s="985" t="str">
        <f t="shared" si="314"/>
        <v/>
      </c>
      <c r="KJ27" s="985" t="str">
        <f t="shared" si="314"/>
        <v/>
      </c>
      <c r="KK27" s="985" t="str">
        <f t="shared" si="314"/>
        <v/>
      </c>
      <c r="KL27" s="985" t="str">
        <f t="shared" si="314"/>
        <v/>
      </c>
      <c r="KM27" s="985" t="str">
        <f t="shared" si="314"/>
        <v/>
      </c>
      <c r="KN27" s="985" t="str">
        <f t="shared" si="314"/>
        <v/>
      </c>
      <c r="KO27" s="985" t="str">
        <f t="shared" si="314"/>
        <v/>
      </c>
      <c r="KP27" s="985" t="str">
        <f t="shared" si="314"/>
        <v/>
      </c>
    </row>
    <row r="28" spans="2:302" ht="18" customHeight="1">
      <c r="B28" s="978">
        <f t="shared" si="0"/>
        <v>58</v>
      </c>
      <c r="C28" s="979" t="s">
        <v>641</v>
      </c>
      <c r="D28" s="979" t="s">
        <v>605</v>
      </c>
      <c r="E28" s="980">
        <v>0</v>
      </c>
      <c r="F28" s="979" t="s">
        <v>654</v>
      </c>
      <c r="G28" s="979" t="s">
        <v>605</v>
      </c>
      <c r="H28" s="980">
        <v>0</v>
      </c>
      <c r="I28" s="979" t="s">
        <v>815</v>
      </c>
      <c r="J28" s="979"/>
      <c r="K28" s="980">
        <v>40.11</v>
      </c>
      <c r="L28" s="980"/>
      <c r="M28" s="980"/>
      <c r="N28" s="980"/>
      <c r="O28" s="980">
        <v>0.155</v>
      </c>
      <c r="P28" s="981">
        <v>0.155</v>
      </c>
      <c r="Q28" s="981">
        <f t="shared" si="1"/>
        <v>6.2170499999999995</v>
      </c>
      <c r="R28" s="979" t="s">
        <v>608</v>
      </c>
      <c r="S28" s="979" t="s">
        <v>605</v>
      </c>
      <c r="T28" s="980">
        <v>0</v>
      </c>
      <c r="U28" s="979" t="s">
        <v>637</v>
      </c>
      <c r="V28" s="979" t="s">
        <v>605</v>
      </c>
      <c r="W28" s="980">
        <v>10</v>
      </c>
      <c r="X28" s="989" t="s">
        <v>809</v>
      </c>
      <c r="Y28" s="979"/>
      <c r="Z28" s="979"/>
      <c r="AA28" s="980">
        <v>1.3</v>
      </c>
      <c r="AB28" s="980">
        <f t="shared" si="2"/>
        <v>30.853846153846153</v>
      </c>
      <c r="AC28" s="982" t="str" cm="1">
        <f t="array" ref="AC28">IF(X28&lt;&gt;"",IF(LEFT(X28,SEARCH("-",X28,1)-1)="A.CF","CF",IF(LEFT(X28,SEARCH("-",X28,1)-1)="A.CA","CA",IF(LEFT(X28,SEARCH("-",X28,1)-1)="CL","CL","-"))),IF(Y28&lt;&gt;"",BF,"-"))</f>
        <v>CF</v>
      </c>
      <c r="AD28" s="953"/>
      <c r="AE28" s="983" t="str">
        <f t="shared" si="3"/>
        <v>A</v>
      </c>
      <c r="AF28" s="984" t="str">
        <f t="shared" si="4"/>
        <v>C</v>
      </c>
      <c r="AG28" s="963"/>
      <c r="AH28" s="985" t="str">
        <f t="shared" si="177"/>
        <v/>
      </c>
      <c r="AI28" s="985" t="str">
        <f t="shared" si="177"/>
        <v/>
      </c>
      <c r="AJ28" s="985" t="str">
        <f t="shared" si="177"/>
        <v/>
      </c>
      <c r="AK28" s="985" t="str">
        <f t="shared" si="177"/>
        <v/>
      </c>
      <c r="AL28" s="985" t="str">
        <f t="shared" si="177"/>
        <v/>
      </c>
      <c r="AM28" s="985" t="str">
        <f t="shared" si="177"/>
        <v/>
      </c>
      <c r="AN28" s="985" t="str">
        <f t="shared" si="177"/>
        <v/>
      </c>
      <c r="AO28" s="985" t="str">
        <f t="shared" si="177"/>
        <v/>
      </c>
      <c r="AP28" s="986"/>
      <c r="AQ28" s="985" t="str">
        <f t="shared" ref="AQ28:BD28" si="315">IF(AND($I28&lt;&gt;"",$AF28="C"),IF(AND($P28&gt;AP$8,$P28&lt;=AQ$8),$K28,""),"")</f>
        <v/>
      </c>
      <c r="AR28" s="985">
        <f t="shared" si="315"/>
        <v>40.11</v>
      </c>
      <c r="AS28" s="985" t="str">
        <f t="shared" si="315"/>
        <v/>
      </c>
      <c r="AT28" s="985" t="str">
        <f t="shared" si="315"/>
        <v/>
      </c>
      <c r="AU28" s="985" t="str">
        <f t="shared" si="315"/>
        <v/>
      </c>
      <c r="AV28" s="985" t="str">
        <f t="shared" si="315"/>
        <v/>
      </c>
      <c r="AW28" s="985" t="str">
        <f t="shared" si="315"/>
        <v/>
      </c>
      <c r="AX28" s="985" t="str">
        <f t="shared" si="315"/>
        <v/>
      </c>
      <c r="AY28" s="985" t="str">
        <f t="shared" si="315"/>
        <v/>
      </c>
      <c r="AZ28" s="985" t="str">
        <f t="shared" si="315"/>
        <v/>
      </c>
      <c r="BA28" s="985" t="str">
        <f t="shared" si="315"/>
        <v/>
      </c>
      <c r="BB28" s="985" t="str">
        <f t="shared" si="315"/>
        <v/>
      </c>
      <c r="BC28" s="985" t="str">
        <f t="shared" si="315"/>
        <v/>
      </c>
      <c r="BD28" s="985" t="str">
        <f t="shared" si="315"/>
        <v/>
      </c>
      <c r="BE28" s="987"/>
      <c r="BF28" s="985" t="str">
        <f t="shared" ref="BF28:BS28" si="316">IF(AND($I28&lt;&gt;"",$AF28="C"),IF(AND($P28&gt;BE$8,$P28&lt;=BF$8),$L28,""),"")</f>
        <v/>
      </c>
      <c r="BG28" s="985">
        <f t="shared" si="316"/>
        <v>0</v>
      </c>
      <c r="BH28" s="985" t="str">
        <f t="shared" si="316"/>
        <v/>
      </c>
      <c r="BI28" s="985" t="str">
        <f t="shared" si="316"/>
        <v/>
      </c>
      <c r="BJ28" s="985" t="str">
        <f t="shared" si="316"/>
        <v/>
      </c>
      <c r="BK28" s="985" t="str">
        <f t="shared" si="316"/>
        <v/>
      </c>
      <c r="BL28" s="985" t="str">
        <f t="shared" si="316"/>
        <v/>
      </c>
      <c r="BM28" s="985" t="str">
        <f t="shared" si="316"/>
        <v/>
      </c>
      <c r="BN28" s="985" t="str">
        <f t="shared" si="316"/>
        <v/>
      </c>
      <c r="BO28" s="985" t="str">
        <f t="shared" si="316"/>
        <v/>
      </c>
      <c r="BP28" s="985" t="str">
        <f t="shared" si="316"/>
        <v/>
      </c>
      <c r="BQ28" s="985" t="str">
        <f t="shared" si="316"/>
        <v/>
      </c>
      <c r="BR28" s="985" t="str">
        <f t="shared" si="316"/>
        <v/>
      </c>
      <c r="BS28" s="985" t="str">
        <f t="shared" si="316"/>
        <v/>
      </c>
      <c r="BU28" s="985" t="str">
        <f t="shared" ref="BU28:CF28" si="317">IF(AND($I28&lt;&gt;"",$AF28="C"),IF(AND($P28&gt;BT$8,$P28&lt;=BU$8),$M28,""),"")</f>
        <v/>
      </c>
      <c r="BV28" s="985">
        <f t="shared" si="317"/>
        <v>0</v>
      </c>
      <c r="BW28" s="985" t="str">
        <f t="shared" si="317"/>
        <v/>
      </c>
      <c r="BX28" s="985" t="str">
        <f t="shared" si="317"/>
        <v/>
      </c>
      <c r="BY28" s="985" t="str">
        <f t="shared" si="317"/>
        <v/>
      </c>
      <c r="BZ28" s="985" t="str">
        <f t="shared" si="317"/>
        <v/>
      </c>
      <c r="CA28" s="985" t="str">
        <f t="shared" si="317"/>
        <v/>
      </c>
      <c r="CB28" s="985" t="str">
        <f t="shared" si="317"/>
        <v/>
      </c>
      <c r="CC28" s="985" t="str">
        <f t="shared" si="317"/>
        <v/>
      </c>
      <c r="CD28" s="985" t="str">
        <f t="shared" si="317"/>
        <v/>
      </c>
      <c r="CE28" s="985" t="str">
        <f t="shared" si="317"/>
        <v/>
      </c>
      <c r="CF28" s="985" t="str">
        <f t="shared" si="317"/>
        <v/>
      </c>
      <c r="CG28" s="987"/>
      <c r="CH28" s="985" t="str">
        <f t="shared" si="181"/>
        <v/>
      </c>
      <c r="CI28" s="985" t="str">
        <f t="shared" si="181"/>
        <v/>
      </c>
      <c r="CJ28" s="985" t="str">
        <f t="shared" si="181"/>
        <v/>
      </c>
      <c r="CK28" s="985" t="str">
        <f t="shared" si="181"/>
        <v/>
      </c>
      <c r="CL28" s="985" t="str">
        <f t="shared" si="181"/>
        <v/>
      </c>
      <c r="CM28" s="985" t="str">
        <f t="shared" si="181"/>
        <v/>
      </c>
      <c r="CN28" s="985" t="str">
        <f t="shared" si="181"/>
        <v/>
      </c>
      <c r="CP28" s="988" t="str">
        <f t="shared" ref="CP28:DC28" si="318">IF(AND($I28&lt;&gt;"",OR($AF28="ELE",$AF28="ELD",$AF28="CX")),IF(AND($P28&gt;CO$8,$P28&lt;=CP$8),$K28,""),"")</f>
        <v/>
      </c>
      <c r="CQ28" s="988" t="str">
        <f t="shared" si="318"/>
        <v/>
      </c>
      <c r="CR28" s="988" t="str">
        <f t="shared" si="318"/>
        <v/>
      </c>
      <c r="CS28" s="988" t="str">
        <f t="shared" si="318"/>
        <v/>
      </c>
      <c r="CT28" s="988" t="str">
        <f t="shared" si="318"/>
        <v/>
      </c>
      <c r="CU28" s="988" t="str">
        <f t="shared" si="318"/>
        <v/>
      </c>
      <c r="CV28" s="988" t="str">
        <f t="shared" si="318"/>
        <v/>
      </c>
      <c r="CW28" s="988" t="str">
        <f t="shared" si="318"/>
        <v/>
      </c>
      <c r="CX28" s="988" t="str">
        <f t="shared" si="318"/>
        <v/>
      </c>
      <c r="CY28" s="988" t="str">
        <f t="shared" si="318"/>
        <v/>
      </c>
      <c r="CZ28" s="988" t="str">
        <f t="shared" si="318"/>
        <v/>
      </c>
      <c r="DA28" s="988" t="str">
        <f t="shared" si="318"/>
        <v/>
      </c>
      <c r="DB28" s="988" t="str">
        <f t="shared" si="318"/>
        <v/>
      </c>
      <c r="DC28" s="988" t="str">
        <f t="shared" si="318"/>
        <v/>
      </c>
      <c r="DE28" s="988" t="str">
        <f t="shared" ref="DE28:DR28" si="319">IF(AND($X28&lt;&gt;"",$AC28="CF"),IF(AND($P28&gt;DD$8,$P28&lt;=DE$8),$AB28,""),"")</f>
        <v/>
      </c>
      <c r="DF28" s="988">
        <f t="shared" si="319"/>
        <v>30.853846153846153</v>
      </c>
      <c r="DG28" s="988" t="str">
        <f t="shared" si="319"/>
        <v/>
      </c>
      <c r="DH28" s="988" t="str">
        <f t="shared" si="319"/>
        <v/>
      </c>
      <c r="DI28" s="988" t="str">
        <f t="shared" si="319"/>
        <v/>
      </c>
      <c r="DJ28" s="988" t="str">
        <f t="shared" si="319"/>
        <v/>
      </c>
      <c r="DK28" s="988" t="str">
        <f t="shared" si="319"/>
        <v/>
      </c>
      <c r="DL28" s="988" t="str">
        <f t="shared" si="319"/>
        <v/>
      </c>
      <c r="DM28" s="988" t="str">
        <f t="shared" si="319"/>
        <v/>
      </c>
      <c r="DN28" s="988" t="str">
        <f t="shared" si="319"/>
        <v/>
      </c>
      <c r="DO28" s="988" t="str">
        <f t="shared" si="319"/>
        <v/>
      </c>
      <c r="DP28" s="988" t="str">
        <f t="shared" si="319"/>
        <v/>
      </c>
      <c r="DQ28" s="988" t="str">
        <f t="shared" si="319"/>
        <v/>
      </c>
      <c r="DR28" s="988" t="str">
        <f t="shared" si="319"/>
        <v/>
      </c>
      <c r="DT28" s="988" t="str">
        <f t="shared" ref="DT28:EG28" si="320">IF(AND($X28&lt;&gt;"",$AC28="CA"),IF(AND($P28&gt;DS$8,$P28&lt;=DT$8),$AB28,""),"")</f>
        <v/>
      </c>
      <c r="DU28" s="988" t="str">
        <f t="shared" si="320"/>
        <v/>
      </c>
      <c r="DV28" s="988" t="str">
        <f t="shared" si="320"/>
        <v/>
      </c>
      <c r="DW28" s="988" t="str">
        <f t="shared" si="320"/>
        <v/>
      </c>
      <c r="DX28" s="988" t="str">
        <f t="shared" si="320"/>
        <v/>
      </c>
      <c r="DY28" s="988" t="str">
        <f t="shared" si="320"/>
        <v/>
      </c>
      <c r="DZ28" s="988" t="str">
        <f t="shared" si="320"/>
        <v/>
      </c>
      <c r="EA28" s="988" t="str">
        <f t="shared" si="320"/>
        <v/>
      </c>
      <c r="EB28" s="988" t="str">
        <f t="shared" si="320"/>
        <v/>
      </c>
      <c r="EC28" s="988" t="str">
        <f t="shared" si="320"/>
        <v/>
      </c>
      <c r="ED28" s="988" t="str">
        <f t="shared" si="320"/>
        <v/>
      </c>
      <c r="EE28" s="988" t="str">
        <f t="shared" si="320"/>
        <v/>
      </c>
      <c r="EF28" s="988" t="str">
        <f t="shared" si="320"/>
        <v/>
      </c>
      <c r="EG28" s="988" t="str">
        <f t="shared" si="320"/>
        <v/>
      </c>
      <c r="EI28" s="988" t="str">
        <f t="shared" ref="EI28:EV28" si="321">IF($AE28="BFC",IF(AND($P28&gt;EH$8,$P28&lt;=EI$8),$AB28,""),"")</f>
        <v/>
      </c>
      <c r="EJ28" s="988" t="str">
        <f t="shared" si="321"/>
        <v/>
      </c>
      <c r="EK28" s="988" t="str">
        <f t="shared" si="321"/>
        <v/>
      </c>
      <c r="EL28" s="988" t="str">
        <f t="shared" si="321"/>
        <v/>
      </c>
      <c r="EM28" s="988" t="str">
        <f t="shared" si="321"/>
        <v/>
      </c>
      <c r="EN28" s="988" t="str">
        <f t="shared" si="321"/>
        <v/>
      </c>
      <c r="EO28" s="988" t="str">
        <f t="shared" si="321"/>
        <v/>
      </c>
      <c r="EP28" s="988" t="str">
        <f t="shared" si="321"/>
        <v/>
      </c>
      <c r="EQ28" s="988" t="str">
        <f t="shared" si="321"/>
        <v/>
      </c>
      <c r="ER28" s="988" t="str">
        <f t="shared" si="321"/>
        <v/>
      </c>
      <c r="ES28" s="988" t="str">
        <f t="shared" si="321"/>
        <v/>
      </c>
      <c r="ET28" s="988" t="str">
        <f t="shared" si="321"/>
        <v/>
      </c>
      <c r="EU28" s="988" t="str">
        <f t="shared" si="321"/>
        <v/>
      </c>
      <c r="EV28" s="988" t="str">
        <f t="shared" si="321"/>
        <v/>
      </c>
      <c r="EX28" s="988" t="str">
        <f t="shared" ref="EX28:FK28" si="322">IF($AE28="BFN",IF(AND($P28&gt;EW$8,$P28&lt;=EX$8),$AB28,""),"")</f>
        <v/>
      </c>
      <c r="EY28" s="988" t="str">
        <f t="shared" si="322"/>
        <v/>
      </c>
      <c r="EZ28" s="988" t="str">
        <f t="shared" si="322"/>
        <v/>
      </c>
      <c r="FA28" s="988" t="str">
        <f t="shared" si="322"/>
        <v/>
      </c>
      <c r="FB28" s="988" t="str">
        <f t="shared" si="322"/>
        <v/>
      </c>
      <c r="FC28" s="988" t="str">
        <f t="shared" si="322"/>
        <v/>
      </c>
      <c r="FD28" s="988" t="str">
        <f t="shared" si="322"/>
        <v/>
      </c>
      <c r="FE28" s="988" t="str">
        <f t="shared" si="322"/>
        <v/>
      </c>
      <c r="FF28" s="988" t="str">
        <f t="shared" si="322"/>
        <v/>
      </c>
      <c r="FG28" s="988" t="str">
        <f t="shared" si="322"/>
        <v/>
      </c>
      <c r="FH28" s="988" t="str">
        <f t="shared" si="322"/>
        <v/>
      </c>
      <c r="FI28" s="988" t="str">
        <f t="shared" si="322"/>
        <v/>
      </c>
      <c r="FJ28" s="988" t="str">
        <f t="shared" si="322"/>
        <v/>
      </c>
      <c r="FK28" s="988" t="str">
        <f t="shared" si="322"/>
        <v/>
      </c>
      <c r="FM28" s="988" t="str">
        <f t="shared" ref="FM28:FZ28" si="323">IF(AND($I28&lt;&gt;"",$AF28="RCS"),IF(AND($P28&gt;FL$8,$P28&lt;=FM$8),SUM($K28:$M28),""),"")</f>
        <v/>
      </c>
      <c r="FN28" s="988" t="str">
        <f t="shared" si="323"/>
        <v/>
      </c>
      <c r="FO28" s="988" t="str">
        <f t="shared" si="323"/>
        <v/>
      </c>
      <c r="FP28" s="988" t="str">
        <f t="shared" si="323"/>
        <v/>
      </c>
      <c r="FQ28" s="988" t="str">
        <f t="shared" si="323"/>
        <v/>
      </c>
      <c r="FR28" s="988" t="str">
        <f t="shared" si="323"/>
        <v/>
      </c>
      <c r="FS28" s="988" t="str">
        <f t="shared" si="323"/>
        <v/>
      </c>
      <c r="FT28" s="988" t="str">
        <f t="shared" si="323"/>
        <v/>
      </c>
      <c r="FU28" s="988" t="str">
        <f t="shared" si="323"/>
        <v/>
      </c>
      <c r="FV28" s="988" t="str">
        <f t="shared" si="323"/>
        <v/>
      </c>
      <c r="FW28" s="988" t="str">
        <f t="shared" si="323"/>
        <v/>
      </c>
      <c r="FX28" s="988" t="str">
        <f t="shared" si="323"/>
        <v/>
      </c>
      <c r="FY28" s="988" t="str">
        <f t="shared" si="323"/>
        <v/>
      </c>
      <c r="FZ28" s="988" t="str">
        <f t="shared" si="323"/>
        <v/>
      </c>
      <c r="GB28" s="988" t="str">
        <f t="shared" ref="GB28:GO28" si="324">IF(AND($I28&lt;&gt;"",$AF28="REC"),IF(AND($P28&gt;GA$8,$P28&lt;=GB$8),SUM($K28:$M28),""),"")</f>
        <v/>
      </c>
      <c r="GC28" s="988" t="str">
        <f t="shared" si="324"/>
        <v/>
      </c>
      <c r="GD28" s="988" t="str">
        <f t="shared" si="324"/>
        <v/>
      </c>
      <c r="GE28" s="988" t="str">
        <f t="shared" si="324"/>
        <v/>
      </c>
      <c r="GF28" s="988" t="str">
        <f t="shared" si="324"/>
        <v/>
      </c>
      <c r="GG28" s="988" t="str">
        <f t="shared" si="324"/>
        <v/>
      </c>
      <c r="GH28" s="988" t="str">
        <f t="shared" si="324"/>
        <v/>
      </c>
      <c r="GI28" s="988" t="str">
        <f t="shared" si="324"/>
        <v/>
      </c>
      <c r="GJ28" s="988" t="str">
        <f t="shared" si="324"/>
        <v/>
      </c>
      <c r="GK28" s="988" t="str">
        <f t="shared" si="324"/>
        <v/>
      </c>
      <c r="GL28" s="988" t="str">
        <f t="shared" si="324"/>
        <v/>
      </c>
      <c r="GM28" s="988" t="str">
        <f t="shared" si="324"/>
        <v/>
      </c>
      <c r="GN28" s="988" t="str">
        <f t="shared" si="324"/>
        <v/>
      </c>
      <c r="GO28" s="988" t="str">
        <f t="shared" si="324"/>
        <v/>
      </c>
      <c r="GQ28" s="988" t="str">
        <f t="shared" ref="GQ28:HD28" si="325">IF(AND($I28&lt;&gt;"",$AF28="REB"),IF(AND($P28&gt;GP$8,$P28&lt;=GQ$8),SUM($K28:$M28),""),"")</f>
        <v/>
      </c>
      <c r="GR28" s="988" t="str">
        <f t="shared" si="325"/>
        <v/>
      </c>
      <c r="GS28" s="988" t="str">
        <f t="shared" si="325"/>
        <v/>
      </c>
      <c r="GT28" s="988" t="str">
        <f t="shared" si="325"/>
        <v/>
      </c>
      <c r="GU28" s="988" t="str">
        <f t="shared" si="325"/>
        <v/>
      </c>
      <c r="GV28" s="988" t="str">
        <f t="shared" si="325"/>
        <v/>
      </c>
      <c r="GW28" s="988" t="str">
        <f t="shared" si="325"/>
        <v/>
      </c>
      <c r="GX28" s="988" t="str">
        <f t="shared" si="325"/>
        <v/>
      </c>
      <c r="GY28" s="988" t="str">
        <f t="shared" si="325"/>
        <v/>
      </c>
      <c r="GZ28" s="988" t="str">
        <f t="shared" si="325"/>
        <v/>
      </c>
      <c r="HA28" s="988" t="str">
        <f t="shared" si="325"/>
        <v/>
      </c>
      <c r="HB28" s="988" t="str">
        <f t="shared" si="325"/>
        <v/>
      </c>
      <c r="HC28" s="988" t="str">
        <f t="shared" si="325"/>
        <v/>
      </c>
      <c r="HD28" s="988" t="str">
        <f t="shared" si="325"/>
        <v/>
      </c>
      <c r="HF28" s="988" t="str">
        <f t="shared" ref="HF28:HS28" si="326">IF(AND($I28&lt;&gt;"",$AF28="RBS"),IF(AND($P28&gt;HE$8,$P28&lt;=HF$8),SUM($K28:$M28),""),"")</f>
        <v/>
      </c>
      <c r="HG28" s="988" t="str">
        <f t="shared" si="326"/>
        <v/>
      </c>
      <c r="HH28" s="988" t="str">
        <f t="shared" si="326"/>
        <v/>
      </c>
      <c r="HI28" s="988" t="str">
        <f t="shared" si="326"/>
        <v/>
      </c>
      <c r="HJ28" s="988" t="str">
        <f t="shared" si="326"/>
        <v/>
      </c>
      <c r="HK28" s="988" t="str">
        <f t="shared" si="326"/>
        <v/>
      </c>
      <c r="HL28" s="988" t="str">
        <f t="shared" si="326"/>
        <v/>
      </c>
      <c r="HM28" s="988" t="str">
        <f t="shared" si="326"/>
        <v/>
      </c>
      <c r="HN28" s="988" t="str">
        <f t="shared" si="326"/>
        <v/>
      </c>
      <c r="HO28" s="988" t="str">
        <f t="shared" si="326"/>
        <v/>
      </c>
      <c r="HP28" s="988" t="str">
        <f t="shared" si="326"/>
        <v/>
      </c>
      <c r="HQ28" s="988" t="str">
        <f t="shared" si="326"/>
        <v/>
      </c>
      <c r="HR28" s="988" t="str">
        <f t="shared" si="326"/>
        <v/>
      </c>
      <c r="HS28" s="988" t="str">
        <f t="shared" si="326"/>
        <v/>
      </c>
      <c r="HU28" s="988" t="str">
        <f t="shared" ref="HU28:IH28" si="327">IF(AND($I28&lt;&gt;"",$AF28="RCD"),IF(AND($P28&gt;HT$8,$P28&lt;=HU$8),SUM($K28:$M28),""),"")</f>
        <v/>
      </c>
      <c r="HV28" s="988" t="str">
        <f t="shared" si="327"/>
        <v/>
      </c>
      <c r="HW28" s="988" t="str">
        <f t="shared" si="327"/>
        <v/>
      </c>
      <c r="HX28" s="988" t="str">
        <f t="shared" si="327"/>
        <v/>
      </c>
      <c r="HY28" s="988" t="str">
        <f t="shared" si="327"/>
        <v/>
      </c>
      <c r="HZ28" s="988" t="str">
        <f t="shared" si="327"/>
        <v/>
      </c>
      <c r="IA28" s="988" t="str">
        <f t="shared" si="327"/>
        <v/>
      </c>
      <c r="IB28" s="988" t="str">
        <f t="shared" si="327"/>
        <v/>
      </c>
      <c r="IC28" s="988" t="str">
        <f t="shared" si="327"/>
        <v/>
      </c>
      <c r="ID28" s="988" t="str">
        <f t="shared" si="327"/>
        <v/>
      </c>
      <c r="IE28" s="988" t="str">
        <f t="shared" si="327"/>
        <v/>
      </c>
      <c r="IF28" s="988" t="str">
        <f t="shared" si="327"/>
        <v/>
      </c>
      <c r="IG28" s="988" t="str">
        <f t="shared" si="327"/>
        <v/>
      </c>
      <c r="IH28" s="988" t="str">
        <f t="shared" si="327"/>
        <v/>
      </c>
      <c r="IJ28" s="985" t="str">
        <f t="shared" ref="IJ28:IW28" si="328">IF(AND($I28&lt;&gt;""),IF(AND($P28&gt;II$8,$P28&lt;=IJ$8),$K28,""),"")</f>
        <v/>
      </c>
      <c r="IK28" s="985">
        <f t="shared" si="328"/>
        <v>40.11</v>
      </c>
      <c r="IL28" s="985" t="str">
        <f t="shared" si="328"/>
        <v/>
      </c>
      <c r="IM28" s="985" t="str">
        <f t="shared" si="328"/>
        <v/>
      </c>
      <c r="IN28" s="985" t="str">
        <f t="shared" si="328"/>
        <v/>
      </c>
      <c r="IO28" s="985" t="str">
        <f t="shared" si="328"/>
        <v/>
      </c>
      <c r="IP28" s="985" t="str">
        <f t="shared" si="328"/>
        <v/>
      </c>
      <c r="IQ28" s="985" t="str">
        <f t="shared" si="328"/>
        <v/>
      </c>
      <c r="IR28" s="985" t="str">
        <f t="shared" si="328"/>
        <v/>
      </c>
      <c r="IS28" s="985" t="str">
        <f t="shared" si="328"/>
        <v/>
      </c>
      <c r="IT28" s="985" t="str">
        <f t="shared" si="328"/>
        <v/>
      </c>
      <c r="IU28" s="985" t="str">
        <f t="shared" si="328"/>
        <v/>
      </c>
      <c r="IV28" s="985" t="str">
        <f t="shared" si="328"/>
        <v/>
      </c>
      <c r="IW28" s="985" t="str">
        <f t="shared" si="328"/>
        <v/>
      </c>
      <c r="IX28" s="987"/>
      <c r="IY28" s="985" t="str">
        <f t="shared" ref="IY28:JL28" si="329">IF(AND($I28&lt;&gt;""),IF(AND($P28&gt;IX$8,$P28&lt;=IY$8),$L28,""),"")</f>
        <v/>
      </c>
      <c r="IZ28" s="985">
        <f t="shared" si="329"/>
        <v>0</v>
      </c>
      <c r="JA28" s="985" t="str">
        <f t="shared" si="329"/>
        <v/>
      </c>
      <c r="JB28" s="985" t="str">
        <f t="shared" si="329"/>
        <v/>
      </c>
      <c r="JC28" s="985" t="str">
        <f t="shared" si="329"/>
        <v/>
      </c>
      <c r="JD28" s="985" t="str">
        <f t="shared" si="329"/>
        <v/>
      </c>
      <c r="JE28" s="985" t="str">
        <f t="shared" si="329"/>
        <v/>
      </c>
      <c r="JF28" s="985" t="str">
        <f t="shared" si="329"/>
        <v/>
      </c>
      <c r="JG28" s="985" t="str">
        <f t="shared" si="329"/>
        <v/>
      </c>
      <c r="JH28" s="985" t="str">
        <f t="shared" si="329"/>
        <v/>
      </c>
      <c r="JI28" s="985" t="str">
        <f t="shared" si="329"/>
        <v/>
      </c>
      <c r="JJ28" s="985" t="str">
        <f t="shared" si="329"/>
        <v/>
      </c>
      <c r="JK28" s="985" t="str">
        <f t="shared" si="329"/>
        <v/>
      </c>
      <c r="JL28" s="985" t="str">
        <f t="shared" si="329"/>
        <v/>
      </c>
      <c r="JM28" s="987"/>
      <c r="JN28" s="985" t="str">
        <f t="shared" ref="JN28:KA28" si="330">IF(AND($I28&lt;&gt;""),IF(AND($P28&gt;JM$8,$P28&lt;=JN$8),$M28,""),"")</f>
        <v/>
      </c>
      <c r="JO28" s="985">
        <f t="shared" si="330"/>
        <v>0</v>
      </c>
      <c r="JP28" s="985" t="str">
        <f t="shared" si="330"/>
        <v/>
      </c>
      <c r="JQ28" s="985" t="str">
        <f t="shared" si="330"/>
        <v/>
      </c>
      <c r="JR28" s="985" t="str">
        <f t="shared" si="330"/>
        <v/>
      </c>
      <c r="JS28" s="985" t="str">
        <f t="shared" si="330"/>
        <v/>
      </c>
      <c r="JT28" s="985" t="str">
        <f t="shared" si="330"/>
        <v/>
      </c>
      <c r="JU28" s="985" t="str">
        <f t="shared" si="330"/>
        <v/>
      </c>
      <c r="JV28" s="985" t="str">
        <f t="shared" si="330"/>
        <v/>
      </c>
      <c r="JW28" s="985" t="str">
        <f t="shared" si="330"/>
        <v/>
      </c>
      <c r="JX28" s="985" t="str">
        <f t="shared" si="330"/>
        <v/>
      </c>
      <c r="JY28" s="985" t="str">
        <f t="shared" si="330"/>
        <v/>
      </c>
      <c r="JZ28" s="985" t="str">
        <f t="shared" si="330"/>
        <v/>
      </c>
      <c r="KA28" s="985" t="str">
        <f t="shared" si="330"/>
        <v/>
      </c>
      <c r="KB28" s="987"/>
      <c r="KC28" s="985" t="str">
        <f t="shared" ref="KC28:KP28" si="331">IF(AND($I28&lt;&gt;""),IF(AND($P28&gt;KB$8,$P28&lt;=KC$8),$N28,""),"")</f>
        <v/>
      </c>
      <c r="KD28" s="985">
        <f t="shared" si="331"/>
        <v>0</v>
      </c>
      <c r="KE28" s="985" t="str">
        <f t="shared" si="331"/>
        <v/>
      </c>
      <c r="KF28" s="985" t="str">
        <f t="shared" si="331"/>
        <v/>
      </c>
      <c r="KG28" s="985" t="str">
        <f t="shared" si="331"/>
        <v/>
      </c>
      <c r="KH28" s="985" t="str">
        <f t="shared" si="331"/>
        <v/>
      </c>
      <c r="KI28" s="985" t="str">
        <f t="shared" si="331"/>
        <v/>
      </c>
      <c r="KJ28" s="985" t="str">
        <f t="shared" si="331"/>
        <v/>
      </c>
      <c r="KK28" s="985" t="str">
        <f t="shared" si="331"/>
        <v/>
      </c>
      <c r="KL28" s="985" t="str">
        <f t="shared" si="331"/>
        <v/>
      </c>
      <c r="KM28" s="985" t="str">
        <f t="shared" si="331"/>
        <v/>
      </c>
      <c r="KN28" s="985" t="str">
        <f t="shared" si="331"/>
        <v/>
      </c>
      <c r="KO28" s="985" t="str">
        <f t="shared" si="331"/>
        <v/>
      </c>
      <c r="KP28" s="985" t="str">
        <f t="shared" si="331"/>
        <v/>
      </c>
    </row>
    <row r="29" spans="2:302" ht="18" customHeight="1">
      <c r="B29" s="978">
        <f t="shared" si="0"/>
        <v>58.5</v>
      </c>
      <c r="C29" s="979" t="s">
        <v>627</v>
      </c>
      <c r="D29" s="979" t="s">
        <v>605</v>
      </c>
      <c r="E29" s="980">
        <v>0</v>
      </c>
      <c r="F29" s="979" t="s">
        <v>672</v>
      </c>
      <c r="G29" s="979" t="s">
        <v>605</v>
      </c>
      <c r="H29" s="980">
        <v>10</v>
      </c>
      <c r="I29" s="979" t="s">
        <v>814</v>
      </c>
      <c r="J29" s="979"/>
      <c r="K29" s="980">
        <v>161.01000000000002</v>
      </c>
      <c r="L29" s="980"/>
      <c r="M29" s="980"/>
      <c r="N29" s="980"/>
      <c r="O29" s="980"/>
      <c r="P29" s="981">
        <v>0.02</v>
      </c>
      <c r="Q29" s="981">
        <f t="shared" si="1"/>
        <v>3.2202000000000006</v>
      </c>
      <c r="R29" s="979" t="s">
        <v>627</v>
      </c>
      <c r="S29" s="979" t="s">
        <v>605</v>
      </c>
      <c r="T29" s="980">
        <v>0</v>
      </c>
      <c r="U29" s="979" t="s">
        <v>672</v>
      </c>
      <c r="V29" s="979" t="s">
        <v>605</v>
      </c>
      <c r="W29" s="980">
        <v>10</v>
      </c>
      <c r="X29" s="979" t="s">
        <v>814</v>
      </c>
      <c r="Y29" s="979"/>
      <c r="Z29" s="979"/>
      <c r="AA29" s="980">
        <v>1.3</v>
      </c>
      <c r="AB29" s="980">
        <f t="shared" si="2"/>
        <v>123.85384615384616</v>
      </c>
      <c r="AC29" s="982" t="s">
        <v>939</v>
      </c>
      <c r="AD29" s="953"/>
      <c r="AE29" s="983" t="str">
        <f t="shared" si="3"/>
        <v/>
      </c>
      <c r="AF29" s="984" t="str">
        <f t="shared" si="4"/>
        <v>CL</v>
      </c>
      <c r="AG29" s="963"/>
      <c r="AH29" s="985">
        <f t="shared" si="177"/>
        <v>161.01000000000002</v>
      </c>
      <c r="AI29" s="985" t="str">
        <f t="shared" si="177"/>
        <v/>
      </c>
      <c r="AJ29" s="985" t="str">
        <f t="shared" si="177"/>
        <v/>
      </c>
      <c r="AK29" s="985" t="str">
        <f t="shared" si="177"/>
        <v/>
      </c>
      <c r="AL29" s="985" t="str">
        <f t="shared" si="177"/>
        <v/>
      </c>
      <c r="AM29" s="985" t="str">
        <f t="shared" si="177"/>
        <v/>
      </c>
      <c r="AN29" s="985" t="str">
        <f t="shared" si="177"/>
        <v/>
      </c>
      <c r="AO29" s="985" t="str">
        <f t="shared" si="177"/>
        <v/>
      </c>
      <c r="AP29" s="986"/>
      <c r="AQ29" s="985" t="str">
        <f t="shared" ref="AQ29:BD29" si="332">IF(AND($I29&lt;&gt;"",$AF29="C"),IF(AND($P29&gt;AP$8,$P29&lt;=AQ$8),$K29,""),"")</f>
        <v/>
      </c>
      <c r="AR29" s="985" t="str">
        <f t="shared" si="332"/>
        <v/>
      </c>
      <c r="AS29" s="985" t="str">
        <f t="shared" si="332"/>
        <v/>
      </c>
      <c r="AT29" s="985" t="str">
        <f t="shared" si="332"/>
        <v/>
      </c>
      <c r="AU29" s="985" t="str">
        <f t="shared" si="332"/>
        <v/>
      </c>
      <c r="AV29" s="985" t="str">
        <f t="shared" si="332"/>
        <v/>
      </c>
      <c r="AW29" s="985" t="str">
        <f t="shared" si="332"/>
        <v/>
      </c>
      <c r="AX29" s="985" t="str">
        <f t="shared" si="332"/>
        <v/>
      </c>
      <c r="AY29" s="985" t="str">
        <f t="shared" si="332"/>
        <v/>
      </c>
      <c r="AZ29" s="985" t="str">
        <f t="shared" si="332"/>
        <v/>
      </c>
      <c r="BA29" s="985" t="str">
        <f t="shared" si="332"/>
        <v/>
      </c>
      <c r="BB29" s="985" t="str">
        <f t="shared" si="332"/>
        <v/>
      </c>
      <c r="BC29" s="985" t="str">
        <f t="shared" si="332"/>
        <v/>
      </c>
      <c r="BD29" s="985" t="str">
        <f t="shared" si="332"/>
        <v/>
      </c>
      <c r="BE29" s="987"/>
      <c r="BF29" s="985" t="str">
        <f t="shared" ref="BF29:BS29" si="333">IF(AND($I29&lt;&gt;"",$AF29="C"),IF(AND($P29&gt;BE$8,$P29&lt;=BF$8),$L29,""),"")</f>
        <v/>
      </c>
      <c r="BG29" s="985" t="str">
        <f t="shared" si="333"/>
        <v/>
      </c>
      <c r="BH29" s="985" t="str">
        <f t="shared" si="333"/>
        <v/>
      </c>
      <c r="BI29" s="985" t="str">
        <f t="shared" si="333"/>
        <v/>
      </c>
      <c r="BJ29" s="985" t="str">
        <f t="shared" si="333"/>
        <v/>
      </c>
      <c r="BK29" s="985" t="str">
        <f t="shared" si="333"/>
        <v/>
      </c>
      <c r="BL29" s="985" t="str">
        <f t="shared" si="333"/>
        <v/>
      </c>
      <c r="BM29" s="985" t="str">
        <f t="shared" si="333"/>
        <v/>
      </c>
      <c r="BN29" s="985" t="str">
        <f t="shared" si="333"/>
        <v/>
      </c>
      <c r="BO29" s="985" t="str">
        <f t="shared" si="333"/>
        <v/>
      </c>
      <c r="BP29" s="985" t="str">
        <f t="shared" si="333"/>
        <v/>
      </c>
      <c r="BQ29" s="985" t="str">
        <f t="shared" si="333"/>
        <v/>
      </c>
      <c r="BR29" s="985" t="str">
        <f t="shared" si="333"/>
        <v/>
      </c>
      <c r="BS29" s="985" t="str">
        <f t="shared" si="333"/>
        <v/>
      </c>
      <c r="BU29" s="985" t="str">
        <f t="shared" ref="BU29:CF29" si="334">IF(AND($I29&lt;&gt;"",$AF29="C"),IF(AND($P29&gt;BT$8,$P29&lt;=BU$8),$M29,""),"")</f>
        <v/>
      </c>
      <c r="BV29" s="985" t="str">
        <f t="shared" si="334"/>
        <v/>
      </c>
      <c r="BW29" s="985" t="str">
        <f t="shared" si="334"/>
        <v/>
      </c>
      <c r="BX29" s="985" t="str">
        <f t="shared" si="334"/>
        <v/>
      </c>
      <c r="BY29" s="985" t="str">
        <f t="shared" si="334"/>
        <v/>
      </c>
      <c r="BZ29" s="985" t="str">
        <f t="shared" si="334"/>
        <v/>
      </c>
      <c r="CA29" s="985" t="str">
        <f t="shared" si="334"/>
        <v/>
      </c>
      <c r="CB29" s="985" t="str">
        <f t="shared" si="334"/>
        <v/>
      </c>
      <c r="CC29" s="985" t="str">
        <f t="shared" si="334"/>
        <v/>
      </c>
      <c r="CD29" s="985" t="str">
        <f t="shared" si="334"/>
        <v/>
      </c>
      <c r="CE29" s="985" t="str">
        <f t="shared" si="334"/>
        <v/>
      </c>
      <c r="CF29" s="985" t="str">
        <f t="shared" si="334"/>
        <v/>
      </c>
      <c r="CG29" s="987"/>
      <c r="CH29" s="985" t="str">
        <f t="shared" si="181"/>
        <v/>
      </c>
      <c r="CI29" s="985" t="str">
        <f t="shared" si="181"/>
        <v/>
      </c>
      <c r="CJ29" s="985" t="str">
        <f t="shared" si="181"/>
        <v/>
      </c>
      <c r="CK29" s="985" t="str">
        <f t="shared" si="181"/>
        <v/>
      </c>
      <c r="CL29" s="985" t="str">
        <f t="shared" si="181"/>
        <v/>
      </c>
      <c r="CM29" s="985" t="str">
        <f t="shared" si="181"/>
        <v/>
      </c>
      <c r="CN29" s="985" t="str">
        <f t="shared" si="181"/>
        <v/>
      </c>
      <c r="CP29" s="988" t="str">
        <f t="shared" ref="CP29:DC29" si="335">IF(AND($I29&lt;&gt;"",OR($AF29="ELE",$AF29="ELD",$AF29="CX")),IF(AND($P29&gt;CO$8,$P29&lt;=CP$8),$K29,""),"")</f>
        <v/>
      </c>
      <c r="CQ29" s="988" t="str">
        <f t="shared" si="335"/>
        <v/>
      </c>
      <c r="CR29" s="988" t="str">
        <f t="shared" si="335"/>
        <v/>
      </c>
      <c r="CS29" s="988" t="str">
        <f t="shared" si="335"/>
        <v/>
      </c>
      <c r="CT29" s="988" t="str">
        <f t="shared" si="335"/>
        <v/>
      </c>
      <c r="CU29" s="988" t="str">
        <f t="shared" si="335"/>
        <v/>
      </c>
      <c r="CV29" s="988" t="str">
        <f t="shared" si="335"/>
        <v/>
      </c>
      <c r="CW29" s="988" t="str">
        <f t="shared" si="335"/>
        <v/>
      </c>
      <c r="CX29" s="988" t="str">
        <f t="shared" si="335"/>
        <v/>
      </c>
      <c r="CY29" s="988" t="str">
        <f t="shared" si="335"/>
        <v/>
      </c>
      <c r="CZ29" s="988" t="str">
        <f t="shared" si="335"/>
        <v/>
      </c>
      <c r="DA29" s="988" t="str">
        <f t="shared" si="335"/>
        <v/>
      </c>
      <c r="DB29" s="988" t="str">
        <f t="shared" si="335"/>
        <v/>
      </c>
      <c r="DC29" s="988" t="str">
        <f t="shared" si="335"/>
        <v/>
      </c>
      <c r="DE29" s="988">
        <f t="shared" ref="DE29:DR29" si="336">IF(AND($X29&lt;&gt;"",$AC29="CF"),IF(AND($P29&gt;DD$8,$P29&lt;=DE$8),$AB29,""),"")</f>
        <v>123.85384615384616</v>
      </c>
      <c r="DF29" s="988" t="str">
        <f t="shared" si="336"/>
        <v/>
      </c>
      <c r="DG29" s="988" t="str">
        <f t="shared" si="336"/>
        <v/>
      </c>
      <c r="DH29" s="988" t="str">
        <f t="shared" si="336"/>
        <v/>
      </c>
      <c r="DI29" s="988" t="str">
        <f t="shared" si="336"/>
        <v/>
      </c>
      <c r="DJ29" s="988" t="str">
        <f t="shared" si="336"/>
        <v/>
      </c>
      <c r="DK29" s="988" t="str">
        <f t="shared" si="336"/>
        <v/>
      </c>
      <c r="DL29" s="988" t="str">
        <f t="shared" si="336"/>
        <v/>
      </c>
      <c r="DM29" s="988" t="str">
        <f t="shared" si="336"/>
        <v/>
      </c>
      <c r="DN29" s="988" t="str">
        <f t="shared" si="336"/>
        <v/>
      </c>
      <c r="DO29" s="988" t="str">
        <f t="shared" si="336"/>
        <v/>
      </c>
      <c r="DP29" s="988" t="str">
        <f t="shared" si="336"/>
        <v/>
      </c>
      <c r="DQ29" s="988" t="str">
        <f t="shared" si="336"/>
        <v/>
      </c>
      <c r="DR29" s="988" t="str">
        <f t="shared" si="336"/>
        <v/>
      </c>
      <c r="DT29" s="988" t="str">
        <f t="shared" ref="DT29:EG29" si="337">IF(AND($X29&lt;&gt;"",$AC29="CA"),IF(AND($P29&gt;DS$8,$P29&lt;=DT$8),$AB29,""),"")</f>
        <v/>
      </c>
      <c r="DU29" s="988" t="str">
        <f t="shared" si="337"/>
        <v/>
      </c>
      <c r="DV29" s="988" t="str">
        <f t="shared" si="337"/>
        <v/>
      </c>
      <c r="DW29" s="988" t="str">
        <f t="shared" si="337"/>
        <v/>
      </c>
      <c r="DX29" s="988" t="str">
        <f t="shared" si="337"/>
        <v/>
      </c>
      <c r="DY29" s="988" t="str">
        <f t="shared" si="337"/>
        <v/>
      </c>
      <c r="DZ29" s="988" t="str">
        <f t="shared" si="337"/>
        <v/>
      </c>
      <c r="EA29" s="988" t="str">
        <f t="shared" si="337"/>
        <v/>
      </c>
      <c r="EB29" s="988" t="str">
        <f t="shared" si="337"/>
        <v/>
      </c>
      <c r="EC29" s="988" t="str">
        <f t="shared" si="337"/>
        <v/>
      </c>
      <c r="ED29" s="988" t="str">
        <f t="shared" si="337"/>
        <v/>
      </c>
      <c r="EE29" s="988" t="str">
        <f t="shared" si="337"/>
        <v/>
      </c>
      <c r="EF29" s="988" t="str">
        <f t="shared" si="337"/>
        <v/>
      </c>
      <c r="EG29" s="988" t="str">
        <f t="shared" si="337"/>
        <v/>
      </c>
      <c r="EI29" s="988" t="str">
        <f t="shared" ref="EI29:EV29" si="338">IF($AE29="BFC",IF(AND($P29&gt;EH$8,$P29&lt;=EI$8),$AB29,""),"")</f>
        <v/>
      </c>
      <c r="EJ29" s="988" t="str">
        <f t="shared" si="338"/>
        <v/>
      </c>
      <c r="EK29" s="988" t="str">
        <f t="shared" si="338"/>
        <v/>
      </c>
      <c r="EL29" s="988" t="str">
        <f t="shared" si="338"/>
        <v/>
      </c>
      <c r="EM29" s="988" t="str">
        <f t="shared" si="338"/>
        <v/>
      </c>
      <c r="EN29" s="988" t="str">
        <f t="shared" si="338"/>
        <v/>
      </c>
      <c r="EO29" s="988" t="str">
        <f t="shared" si="338"/>
        <v/>
      </c>
      <c r="EP29" s="988" t="str">
        <f t="shared" si="338"/>
        <v/>
      </c>
      <c r="EQ29" s="988" t="str">
        <f t="shared" si="338"/>
        <v/>
      </c>
      <c r="ER29" s="988" t="str">
        <f t="shared" si="338"/>
        <v/>
      </c>
      <c r="ES29" s="988" t="str">
        <f t="shared" si="338"/>
        <v/>
      </c>
      <c r="ET29" s="988" t="str">
        <f t="shared" si="338"/>
        <v/>
      </c>
      <c r="EU29" s="988" t="str">
        <f t="shared" si="338"/>
        <v/>
      </c>
      <c r="EV29" s="988" t="str">
        <f t="shared" si="338"/>
        <v/>
      </c>
      <c r="EX29" s="988" t="str">
        <f t="shared" ref="EX29:FK29" si="339">IF($AE29="BFN",IF(AND($P29&gt;EW$8,$P29&lt;=EX$8),$AB29,""),"")</f>
        <v/>
      </c>
      <c r="EY29" s="988" t="str">
        <f t="shared" si="339"/>
        <v/>
      </c>
      <c r="EZ29" s="988" t="str">
        <f t="shared" si="339"/>
        <v/>
      </c>
      <c r="FA29" s="988" t="str">
        <f t="shared" si="339"/>
        <v/>
      </c>
      <c r="FB29" s="988" t="str">
        <f t="shared" si="339"/>
        <v/>
      </c>
      <c r="FC29" s="988" t="str">
        <f t="shared" si="339"/>
        <v/>
      </c>
      <c r="FD29" s="988" t="str">
        <f t="shared" si="339"/>
        <v/>
      </c>
      <c r="FE29" s="988" t="str">
        <f t="shared" si="339"/>
        <v/>
      </c>
      <c r="FF29" s="988" t="str">
        <f t="shared" si="339"/>
        <v/>
      </c>
      <c r="FG29" s="988" t="str">
        <f t="shared" si="339"/>
        <v/>
      </c>
      <c r="FH29" s="988" t="str">
        <f t="shared" si="339"/>
        <v/>
      </c>
      <c r="FI29" s="988" t="str">
        <f t="shared" si="339"/>
        <v/>
      </c>
      <c r="FJ29" s="988" t="str">
        <f t="shared" si="339"/>
        <v/>
      </c>
      <c r="FK29" s="988" t="str">
        <f t="shared" si="339"/>
        <v/>
      </c>
      <c r="FM29" s="988" t="str">
        <f t="shared" ref="FM29:FZ29" si="340">IF(AND($I29&lt;&gt;"",$AF29="RCS"),IF(AND($P29&gt;FL$8,$P29&lt;=FM$8),SUM($K29:$M29),""),"")</f>
        <v/>
      </c>
      <c r="FN29" s="988" t="str">
        <f t="shared" si="340"/>
        <v/>
      </c>
      <c r="FO29" s="988" t="str">
        <f t="shared" si="340"/>
        <v/>
      </c>
      <c r="FP29" s="988" t="str">
        <f t="shared" si="340"/>
        <v/>
      </c>
      <c r="FQ29" s="988" t="str">
        <f t="shared" si="340"/>
        <v/>
      </c>
      <c r="FR29" s="988" t="str">
        <f t="shared" si="340"/>
        <v/>
      </c>
      <c r="FS29" s="988" t="str">
        <f t="shared" si="340"/>
        <v/>
      </c>
      <c r="FT29" s="988" t="str">
        <f t="shared" si="340"/>
        <v/>
      </c>
      <c r="FU29" s="988" t="str">
        <f t="shared" si="340"/>
        <v/>
      </c>
      <c r="FV29" s="988" t="str">
        <f t="shared" si="340"/>
        <v/>
      </c>
      <c r="FW29" s="988" t="str">
        <f t="shared" si="340"/>
        <v/>
      </c>
      <c r="FX29" s="988" t="str">
        <f t="shared" si="340"/>
        <v/>
      </c>
      <c r="FY29" s="988" t="str">
        <f t="shared" si="340"/>
        <v/>
      </c>
      <c r="FZ29" s="988" t="str">
        <f t="shared" si="340"/>
        <v/>
      </c>
      <c r="GB29" s="988" t="str">
        <f t="shared" ref="GB29:GO29" si="341">IF(AND($I29&lt;&gt;"",$AF29="REC"),IF(AND($P29&gt;GA$8,$P29&lt;=GB$8),SUM($K29:$M29),""),"")</f>
        <v/>
      </c>
      <c r="GC29" s="988" t="str">
        <f t="shared" si="341"/>
        <v/>
      </c>
      <c r="GD29" s="988" t="str">
        <f t="shared" si="341"/>
        <v/>
      </c>
      <c r="GE29" s="988" t="str">
        <f t="shared" si="341"/>
        <v/>
      </c>
      <c r="GF29" s="988" t="str">
        <f t="shared" si="341"/>
        <v/>
      </c>
      <c r="GG29" s="988" t="str">
        <f t="shared" si="341"/>
        <v/>
      </c>
      <c r="GH29" s="988" t="str">
        <f t="shared" si="341"/>
        <v/>
      </c>
      <c r="GI29" s="988" t="str">
        <f t="shared" si="341"/>
        <v/>
      </c>
      <c r="GJ29" s="988" t="str">
        <f t="shared" si="341"/>
        <v/>
      </c>
      <c r="GK29" s="988" t="str">
        <f t="shared" si="341"/>
        <v/>
      </c>
      <c r="GL29" s="988" t="str">
        <f t="shared" si="341"/>
        <v/>
      </c>
      <c r="GM29" s="988" t="str">
        <f t="shared" si="341"/>
        <v/>
      </c>
      <c r="GN29" s="988" t="str">
        <f t="shared" si="341"/>
        <v/>
      </c>
      <c r="GO29" s="988" t="str">
        <f t="shared" si="341"/>
        <v/>
      </c>
      <c r="GQ29" s="988" t="str">
        <f t="shared" ref="GQ29:HD29" si="342">IF(AND($I29&lt;&gt;"",$AF29="REB"),IF(AND($P29&gt;GP$8,$P29&lt;=GQ$8),SUM($K29:$M29),""),"")</f>
        <v/>
      </c>
      <c r="GR29" s="988" t="str">
        <f t="shared" si="342"/>
        <v/>
      </c>
      <c r="GS29" s="988" t="str">
        <f t="shared" si="342"/>
        <v/>
      </c>
      <c r="GT29" s="988" t="str">
        <f t="shared" si="342"/>
        <v/>
      </c>
      <c r="GU29" s="988" t="str">
        <f t="shared" si="342"/>
        <v/>
      </c>
      <c r="GV29" s="988" t="str">
        <f t="shared" si="342"/>
        <v/>
      </c>
      <c r="GW29" s="988" t="str">
        <f t="shared" si="342"/>
        <v/>
      </c>
      <c r="GX29" s="988" t="str">
        <f t="shared" si="342"/>
        <v/>
      </c>
      <c r="GY29" s="988" t="str">
        <f t="shared" si="342"/>
        <v/>
      </c>
      <c r="GZ29" s="988" t="str">
        <f t="shared" si="342"/>
        <v/>
      </c>
      <c r="HA29" s="988" t="str">
        <f t="shared" si="342"/>
        <v/>
      </c>
      <c r="HB29" s="988" t="str">
        <f t="shared" si="342"/>
        <v/>
      </c>
      <c r="HC29" s="988" t="str">
        <f t="shared" si="342"/>
        <v/>
      </c>
      <c r="HD29" s="988" t="str">
        <f t="shared" si="342"/>
        <v/>
      </c>
      <c r="HF29" s="988" t="str">
        <f t="shared" ref="HF29:HS29" si="343">IF(AND($I29&lt;&gt;"",$AF29="RBS"),IF(AND($P29&gt;HE$8,$P29&lt;=HF$8),SUM($K29:$M29),""),"")</f>
        <v/>
      </c>
      <c r="HG29" s="988" t="str">
        <f t="shared" si="343"/>
        <v/>
      </c>
      <c r="HH29" s="988" t="str">
        <f t="shared" si="343"/>
        <v/>
      </c>
      <c r="HI29" s="988" t="str">
        <f t="shared" si="343"/>
        <v/>
      </c>
      <c r="HJ29" s="988" t="str">
        <f t="shared" si="343"/>
        <v/>
      </c>
      <c r="HK29" s="988" t="str">
        <f t="shared" si="343"/>
        <v/>
      </c>
      <c r="HL29" s="988" t="str">
        <f t="shared" si="343"/>
        <v/>
      </c>
      <c r="HM29" s="988" t="str">
        <f t="shared" si="343"/>
        <v/>
      </c>
      <c r="HN29" s="988" t="str">
        <f t="shared" si="343"/>
        <v/>
      </c>
      <c r="HO29" s="988" t="str">
        <f t="shared" si="343"/>
        <v/>
      </c>
      <c r="HP29" s="988" t="str">
        <f t="shared" si="343"/>
        <v/>
      </c>
      <c r="HQ29" s="988" t="str">
        <f t="shared" si="343"/>
        <v/>
      </c>
      <c r="HR29" s="988" t="str">
        <f t="shared" si="343"/>
        <v/>
      </c>
      <c r="HS29" s="988" t="str">
        <f t="shared" si="343"/>
        <v/>
      </c>
      <c r="HU29" s="988" t="str">
        <f t="shared" ref="HU29:IH29" si="344">IF(AND($I29&lt;&gt;"",$AF29="RCD"),IF(AND($P29&gt;HT$8,$P29&lt;=HU$8),SUM($K29:$M29),""),"")</f>
        <v/>
      </c>
      <c r="HV29" s="988" t="str">
        <f t="shared" si="344"/>
        <v/>
      </c>
      <c r="HW29" s="988" t="str">
        <f t="shared" si="344"/>
        <v/>
      </c>
      <c r="HX29" s="988" t="str">
        <f t="shared" si="344"/>
        <v/>
      </c>
      <c r="HY29" s="988" t="str">
        <f t="shared" si="344"/>
        <v/>
      </c>
      <c r="HZ29" s="988" t="str">
        <f t="shared" si="344"/>
        <v/>
      </c>
      <c r="IA29" s="988" t="str">
        <f t="shared" si="344"/>
        <v/>
      </c>
      <c r="IB29" s="988" t="str">
        <f t="shared" si="344"/>
        <v/>
      </c>
      <c r="IC29" s="988" t="str">
        <f t="shared" si="344"/>
        <v/>
      </c>
      <c r="ID29" s="988" t="str">
        <f t="shared" si="344"/>
        <v/>
      </c>
      <c r="IE29" s="988" t="str">
        <f t="shared" si="344"/>
        <v/>
      </c>
      <c r="IF29" s="988" t="str">
        <f t="shared" si="344"/>
        <v/>
      </c>
      <c r="IG29" s="988" t="str">
        <f t="shared" si="344"/>
        <v/>
      </c>
      <c r="IH29" s="988" t="str">
        <f t="shared" si="344"/>
        <v/>
      </c>
      <c r="IJ29" s="985">
        <f t="shared" ref="IJ29:IW29" si="345">IF(AND($I29&lt;&gt;""),IF(AND($P29&gt;II$8,$P29&lt;=IJ$8),$K29,""),"")</f>
        <v>161.01000000000002</v>
      </c>
      <c r="IK29" s="985" t="str">
        <f t="shared" si="345"/>
        <v/>
      </c>
      <c r="IL29" s="985" t="str">
        <f t="shared" si="345"/>
        <v/>
      </c>
      <c r="IM29" s="985" t="str">
        <f t="shared" si="345"/>
        <v/>
      </c>
      <c r="IN29" s="985" t="str">
        <f t="shared" si="345"/>
        <v/>
      </c>
      <c r="IO29" s="985" t="str">
        <f t="shared" si="345"/>
        <v/>
      </c>
      <c r="IP29" s="985" t="str">
        <f t="shared" si="345"/>
        <v/>
      </c>
      <c r="IQ29" s="985" t="str">
        <f t="shared" si="345"/>
        <v/>
      </c>
      <c r="IR29" s="985" t="str">
        <f t="shared" si="345"/>
        <v/>
      </c>
      <c r="IS29" s="985" t="str">
        <f t="shared" si="345"/>
        <v/>
      </c>
      <c r="IT29" s="985" t="str">
        <f t="shared" si="345"/>
        <v/>
      </c>
      <c r="IU29" s="985" t="str">
        <f t="shared" si="345"/>
        <v/>
      </c>
      <c r="IV29" s="985" t="str">
        <f t="shared" si="345"/>
        <v/>
      </c>
      <c r="IW29" s="985" t="str">
        <f t="shared" si="345"/>
        <v/>
      </c>
      <c r="IX29" s="987"/>
      <c r="IY29" s="985">
        <f t="shared" ref="IY29:JL29" si="346">IF(AND($I29&lt;&gt;""),IF(AND($P29&gt;IX$8,$P29&lt;=IY$8),$L29,""),"")</f>
        <v>0</v>
      </c>
      <c r="IZ29" s="985" t="str">
        <f t="shared" si="346"/>
        <v/>
      </c>
      <c r="JA29" s="985" t="str">
        <f t="shared" si="346"/>
        <v/>
      </c>
      <c r="JB29" s="985" t="str">
        <f t="shared" si="346"/>
        <v/>
      </c>
      <c r="JC29" s="985" t="str">
        <f t="shared" si="346"/>
        <v/>
      </c>
      <c r="JD29" s="985" t="str">
        <f t="shared" si="346"/>
        <v/>
      </c>
      <c r="JE29" s="985" t="str">
        <f t="shared" si="346"/>
        <v/>
      </c>
      <c r="JF29" s="985" t="str">
        <f t="shared" si="346"/>
        <v/>
      </c>
      <c r="JG29" s="985" t="str">
        <f t="shared" si="346"/>
        <v/>
      </c>
      <c r="JH29" s="985" t="str">
        <f t="shared" si="346"/>
        <v/>
      </c>
      <c r="JI29" s="985" t="str">
        <f t="shared" si="346"/>
        <v/>
      </c>
      <c r="JJ29" s="985" t="str">
        <f t="shared" si="346"/>
        <v/>
      </c>
      <c r="JK29" s="985" t="str">
        <f t="shared" si="346"/>
        <v/>
      </c>
      <c r="JL29" s="985" t="str">
        <f t="shared" si="346"/>
        <v/>
      </c>
      <c r="JM29" s="987"/>
      <c r="JN29" s="985">
        <f t="shared" ref="JN29:KA29" si="347">IF(AND($I29&lt;&gt;""),IF(AND($P29&gt;JM$8,$P29&lt;=JN$8),$M29,""),"")</f>
        <v>0</v>
      </c>
      <c r="JO29" s="985" t="str">
        <f t="shared" si="347"/>
        <v/>
      </c>
      <c r="JP29" s="985" t="str">
        <f t="shared" si="347"/>
        <v/>
      </c>
      <c r="JQ29" s="985" t="str">
        <f t="shared" si="347"/>
        <v/>
      </c>
      <c r="JR29" s="985" t="str">
        <f t="shared" si="347"/>
        <v/>
      </c>
      <c r="JS29" s="985" t="str">
        <f t="shared" si="347"/>
        <v/>
      </c>
      <c r="JT29" s="985" t="str">
        <f t="shared" si="347"/>
        <v/>
      </c>
      <c r="JU29" s="985" t="str">
        <f t="shared" si="347"/>
        <v/>
      </c>
      <c r="JV29" s="985" t="str">
        <f t="shared" si="347"/>
        <v/>
      </c>
      <c r="JW29" s="985" t="str">
        <f t="shared" si="347"/>
        <v/>
      </c>
      <c r="JX29" s="985" t="str">
        <f t="shared" si="347"/>
        <v/>
      </c>
      <c r="JY29" s="985" t="str">
        <f t="shared" si="347"/>
        <v/>
      </c>
      <c r="JZ29" s="985" t="str">
        <f t="shared" si="347"/>
        <v/>
      </c>
      <c r="KA29" s="985" t="str">
        <f t="shared" si="347"/>
        <v/>
      </c>
      <c r="KB29" s="987"/>
      <c r="KC29" s="985">
        <f t="shared" ref="KC29:KP29" si="348">IF(AND($I29&lt;&gt;""),IF(AND($P29&gt;KB$8,$P29&lt;=KC$8),$N29,""),"")</f>
        <v>0</v>
      </c>
      <c r="KD29" s="985" t="str">
        <f t="shared" si="348"/>
        <v/>
      </c>
      <c r="KE29" s="985" t="str">
        <f t="shared" si="348"/>
        <v/>
      </c>
      <c r="KF29" s="985" t="str">
        <f t="shared" si="348"/>
        <v/>
      </c>
      <c r="KG29" s="985" t="str">
        <f t="shared" si="348"/>
        <v/>
      </c>
      <c r="KH29" s="985" t="str">
        <f t="shared" si="348"/>
        <v/>
      </c>
      <c r="KI29" s="985" t="str">
        <f t="shared" si="348"/>
        <v/>
      </c>
      <c r="KJ29" s="985" t="str">
        <f t="shared" si="348"/>
        <v/>
      </c>
      <c r="KK29" s="985" t="str">
        <f t="shared" si="348"/>
        <v/>
      </c>
      <c r="KL29" s="985" t="str">
        <f t="shared" si="348"/>
        <v/>
      </c>
      <c r="KM29" s="985" t="str">
        <f t="shared" si="348"/>
        <v/>
      </c>
      <c r="KN29" s="985" t="str">
        <f t="shared" si="348"/>
        <v/>
      </c>
      <c r="KO29" s="985" t="str">
        <f t="shared" si="348"/>
        <v/>
      </c>
      <c r="KP29" s="985" t="str">
        <f t="shared" si="348"/>
        <v/>
      </c>
    </row>
    <row r="30" spans="2:302" ht="18" customHeight="1">
      <c r="B30" s="978">
        <f t="shared" si="0"/>
        <v>62.5</v>
      </c>
      <c r="C30" s="979" t="s">
        <v>658</v>
      </c>
      <c r="D30" s="979" t="s">
        <v>605</v>
      </c>
      <c r="E30" s="980">
        <v>0</v>
      </c>
      <c r="F30" s="979" t="s">
        <v>668</v>
      </c>
      <c r="G30" s="979" t="s">
        <v>605</v>
      </c>
      <c r="H30" s="980">
        <v>0</v>
      </c>
      <c r="I30" s="979" t="s">
        <v>817</v>
      </c>
      <c r="J30" s="979"/>
      <c r="K30" s="980">
        <v>189.54</v>
      </c>
      <c r="L30" s="980"/>
      <c r="M30" s="980"/>
      <c r="N30" s="980"/>
      <c r="O30" s="980"/>
      <c r="P30" s="981">
        <v>0.02</v>
      </c>
      <c r="Q30" s="981">
        <f t="shared" si="1"/>
        <v>3.7907999999999999</v>
      </c>
      <c r="R30" s="979" t="s">
        <v>658</v>
      </c>
      <c r="S30" s="979" t="s">
        <v>605</v>
      </c>
      <c r="T30" s="980">
        <v>0</v>
      </c>
      <c r="U30" s="979" t="s">
        <v>668</v>
      </c>
      <c r="V30" s="979" t="s">
        <v>605</v>
      </c>
      <c r="W30" s="980">
        <v>0</v>
      </c>
      <c r="X30" s="989" t="s">
        <v>817</v>
      </c>
      <c r="Y30" s="979"/>
      <c r="Z30" s="979"/>
      <c r="AA30" s="980">
        <v>1</v>
      </c>
      <c r="AB30" s="980">
        <f t="shared" si="2"/>
        <v>189.54</v>
      </c>
      <c r="AC30" s="982" t="s">
        <v>939</v>
      </c>
      <c r="AD30" s="953"/>
      <c r="AE30" s="983" t="str">
        <f t="shared" si="3"/>
        <v/>
      </c>
      <c r="AF30" s="984" t="str">
        <f t="shared" si="4"/>
        <v>REB</v>
      </c>
      <c r="AG30" s="963"/>
      <c r="AH30" s="985" t="str">
        <f t="shared" ref="AH30:AO39" si="349">IF(AND($I30&lt;&gt;"",$AF30="CL"),IF(AND($P30&gt;AG$8,$P30&lt;=AH$8),$K30,""),"")</f>
        <v/>
      </c>
      <c r="AI30" s="985" t="str">
        <f t="shared" si="349"/>
        <v/>
      </c>
      <c r="AJ30" s="985" t="str">
        <f t="shared" si="349"/>
        <v/>
      </c>
      <c r="AK30" s="985" t="str">
        <f t="shared" si="349"/>
        <v/>
      </c>
      <c r="AL30" s="985" t="str">
        <f t="shared" si="349"/>
        <v/>
      </c>
      <c r="AM30" s="985" t="str">
        <f t="shared" si="349"/>
        <v/>
      </c>
      <c r="AN30" s="985" t="str">
        <f t="shared" si="349"/>
        <v/>
      </c>
      <c r="AO30" s="985" t="str">
        <f t="shared" si="349"/>
        <v/>
      </c>
      <c r="AP30" s="986"/>
      <c r="AQ30" s="985" t="str">
        <f t="shared" ref="AQ30:BD30" si="350">IF(AND($I30&lt;&gt;"",$AF30="C"),IF(AND($P30&gt;AP$8,$P30&lt;=AQ$8),$K30,""),"")</f>
        <v/>
      </c>
      <c r="AR30" s="985" t="str">
        <f t="shared" si="350"/>
        <v/>
      </c>
      <c r="AS30" s="985" t="str">
        <f t="shared" si="350"/>
        <v/>
      </c>
      <c r="AT30" s="985" t="str">
        <f t="shared" si="350"/>
        <v/>
      </c>
      <c r="AU30" s="985" t="str">
        <f t="shared" si="350"/>
        <v/>
      </c>
      <c r="AV30" s="985" t="str">
        <f t="shared" si="350"/>
        <v/>
      </c>
      <c r="AW30" s="985" t="str">
        <f t="shared" si="350"/>
        <v/>
      </c>
      <c r="AX30" s="985" t="str">
        <f t="shared" si="350"/>
        <v/>
      </c>
      <c r="AY30" s="985" t="str">
        <f t="shared" si="350"/>
        <v/>
      </c>
      <c r="AZ30" s="985" t="str">
        <f t="shared" si="350"/>
        <v/>
      </c>
      <c r="BA30" s="985" t="str">
        <f t="shared" si="350"/>
        <v/>
      </c>
      <c r="BB30" s="985" t="str">
        <f t="shared" si="350"/>
        <v/>
      </c>
      <c r="BC30" s="985" t="str">
        <f t="shared" si="350"/>
        <v/>
      </c>
      <c r="BD30" s="985" t="str">
        <f t="shared" si="350"/>
        <v/>
      </c>
      <c r="BE30" s="987"/>
      <c r="BF30" s="985" t="str">
        <f t="shared" ref="BF30:BS30" si="351">IF(AND($I30&lt;&gt;"",$AF30="C"),IF(AND($P30&gt;BE$8,$P30&lt;=BF$8),$L30,""),"")</f>
        <v/>
      </c>
      <c r="BG30" s="985" t="str">
        <f t="shared" si="351"/>
        <v/>
      </c>
      <c r="BH30" s="985" t="str">
        <f t="shared" si="351"/>
        <v/>
      </c>
      <c r="BI30" s="985" t="str">
        <f t="shared" si="351"/>
        <v/>
      </c>
      <c r="BJ30" s="985" t="str">
        <f t="shared" si="351"/>
        <v/>
      </c>
      <c r="BK30" s="985" t="str">
        <f t="shared" si="351"/>
        <v/>
      </c>
      <c r="BL30" s="985" t="str">
        <f t="shared" si="351"/>
        <v/>
      </c>
      <c r="BM30" s="985" t="str">
        <f t="shared" si="351"/>
        <v/>
      </c>
      <c r="BN30" s="985" t="str">
        <f t="shared" si="351"/>
        <v/>
      </c>
      <c r="BO30" s="985" t="str">
        <f t="shared" si="351"/>
        <v/>
      </c>
      <c r="BP30" s="985" t="str">
        <f t="shared" si="351"/>
        <v/>
      </c>
      <c r="BQ30" s="985" t="str">
        <f t="shared" si="351"/>
        <v/>
      </c>
      <c r="BR30" s="985" t="str">
        <f t="shared" si="351"/>
        <v/>
      </c>
      <c r="BS30" s="985" t="str">
        <f t="shared" si="351"/>
        <v/>
      </c>
      <c r="BU30" s="985" t="str">
        <f t="shared" ref="BU30:CF30" si="352">IF(AND($I30&lt;&gt;"",$AF30="C"),IF(AND($P30&gt;BT$8,$P30&lt;=BU$8),$M30,""),"")</f>
        <v/>
      </c>
      <c r="BV30" s="985" t="str">
        <f t="shared" si="352"/>
        <v/>
      </c>
      <c r="BW30" s="985" t="str">
        <f t="shared" si="352"/>
        <v/>
      </c>
      <c r="BX30" s="985" t="str">
        <f t="shared" si="352"/>
        <v/>
      </c>
      <c r="BY30" s="985" t="str">
        <f t="shared" si="352"/>
        <v/>
      </c>
      <c r="BZ30" s="985" t="str">
        <f t="shared" si="352"/>
        <v/>
      </c>
      <c r="CA30" s="985" t="str">
        <f t="shared" si="352"/>
        <v/>
      </c>
      <c r="CB30" s="985" t="str">
        <f t="shared" si="352"/>
        <v/>
      </c>
      <c r="CC30" s="985" t="str">
        <f t="shared" si="352"/>
        <v/>
      </c>
      <c r="CD30" s="985" t="str">
        <f t="shared" si="352"/>
        <v/>
      </c>
      <c r="CE30" s="985" t="str">
        <f t="shared" si="352"/>
        <v/>
      </c>
      <c r="CF30" s="985" t="str">
        <f t="shared" si="352"/>
        <v/>
      </c>
      <c r="CG30" s="987"/>
      <c r="CH30" s="985" t="str">
        <f t="shared" ref="CH30:CN39" si="353">IF(AND($I30&lt;&gt;"",$AF30="SM"),IF(AND($P30&gt;CG$8,$P30&lt;=CH$8),$N30,""),"")</f>
        <v/>
      </c>
      <c r="CI30" s="985" t="str">
        <f t="shared" si="353"/>
        <v/>
      </c>
      <c r="CJ30" s="985" t="str">
        <f t="shared" si="353"/>
        <v/>
      </c>
      <c r="CK30" s="985" t="str">
        <f t="shared" si="353"/>
        <v/>
      </c>
      <c r="CL30" s="985" t="str">
        <f t="shared" si="353"/>
        <v/>
      </c>
      <c r="CM30" s="985" t="str">
        <f t="shared" si="353"/>
        <v/>
      </c>
      <c r="CN30" s="985" t="str">
        <f t="shared" si="353"/>
        <v/>
      </c>
      <c r="CP30" s="988" t="str">
        <f t="shared" ref="CP30:DC30" si="354">IF(AND($I30&lt;&gt;"",OR($AF30="ELE",$AF30="ELD",$AF30="CX")),IF(AND($P30&gt;CO$8,$P30&lt;=CP$8),$K30,""),"")</f>
        <v/>
      </c>
      <c r="CQ30" s="988" t="str">
        <f t="shared" si="354"/>
        <v/>
      </c>
      <c r="CR30" s="988" t="str">
        <f t="shared" si="354"/>
        <v/>
      </c>
      <c r="CS30" s="988" t="str">
        <f t="shared" si="354"/>
        <v/>
      </c>
      <c r="CT30" s="988" t="str">
        <f t="shared" si="354"/>
        <v/>
      </c>
      <c r="CU30" s="988" t="str">
        <f t="shared" si="354"/>
        <v/>
      </c>
      <c r="CV30" s="988" t="str">
        <f t="shared" si="354"/>
        <v/>
      </c>
      <c r="CW30" s="988" t="str">
        <f t="shared" si="354"/>
        <v/>
      </c>
      <c r="CX30" s="988" t="str">
        <f t="shared" si="354"/>
        <v/>
      </c>
      <c r="CY30" s="988" t="str">
        <f t="shared" si="354"/>
        <v/>
      </c>
      <c r="CZ30" s="988" t="str">
        <f t="shared" si="354"/>
        <v/>
      </c>
      <c r="DA30" s="988" t="str">
        <f t="shared" si="354"/>
        <v/>
      </c>
      <c r="DB30" s="988" t="str">
        <f t="shared" si="354"/>
        <v/>
      </c>
      <c r="DC30" s="988" t="str">
        <f t="shared" si="354"/>
        <v/>
      </c>
      <c r="DE30" s="988">
        <f t="shared" ref="DE30:DR30" si="355">IF(AND($X30&lt;&gt;"",$AC30="CF"),IF(AND($P30&gt;DD$8,$P30&lt;=DE$8),$AB30,""),"")</f>
        <v>189.54</v>
      </c>
      <c r="DF30" s="988" t="str">
        <f t="shared" si="355"/>
        <v/>
      </c>
      <c r="DG30" s="988" t="str">
        <f t="shared" si="355"/>
        <v/>
      </c>
      <c r="DH30" s="988" t="str">
        <f t="shared" si="355"/>
        <v/>
      </c>
      <c r="DI30" s="988" t="str">
        <f t="shared" si="355"/>
        <v/>
      </c>
      <c r="DJ30" s="988" t="str">
        <f t="shared" si="355"/>
        <v/>
      </c>
      <c r="DK30" s="988" t="str">
        <f t="shared" si="355"/>
        <v/>
      </c>
      <c r="DL30" s="988" t="str">
        <f t="shared" si="355"/>
        <v/>
      </c>
      <c r="DM30" s="988" t="str">
        <f t="shared" si="355"/>
        <v/>
      </c>
      <c r="DN30" s="988" t="str">
        <f t="shared" si="355"/>
        <v/>
      </c>
      <c r="DO30" s="988" t="str">
        <f t="shared" si="355"/>
        <v/>
      </c>
      <c r="DP30" s="988" t="str">
        <f t="shared" si="355"/>
        <v/>
      </c>
      <c r="DQ30" s="988" t="str">
        <f t="shared" si="355"/>
        <v/>
      </c>
      <c r="DR30" s="988" t="str">
        <f t="shared" si="355"/>
        <v/>
      </c>
      <c r="DT30" s="988" t="str">
        <f t="shared" ref="DT30:EG30" si="356">IF(AND($X30&lt;&gt;"",$AC30="CA"),IF(AND($P30&gt;DS$8,$P30&lt;=DT$8),$AB30,""),"")</f>
        <v/>
      </c>
      <c r="DU30" s="988" t="str">
        <f t="shared" si="356"/>
        <v/>
      </c>
      <c r="DV30" s="988" t="str">
        <f t="shared" si="356"/>
        <v/>
      </c>
      <c r="DW30" s="988" t="str">
        <f t="shared" si="356"/>
        <v/>
      </c>
      <c r="DX30" s="988" t="str">
        <f t="shared" si="356"/>
        <v/>
      </c>
      <c r="DY30" s="988" t="str">
        <f t="shared" si="356"/>
        <v/>
      </c>
      <c r="DZ30" s="988" t="str">
        <f t="shared" si="356"/>
        <v/>
      </c>
      <c r="EA30" s="988" t="str">
        <f t="shared" si="356"/>
        <v/>
      </c>
      <c r="EB30" s="988" t="str">
        <f t="shared" si="356"/>
        <v/>
      </c>
      <c r="EC30" s="988" t="str">
        <f t="shared" si="356"/>
        <v/>
      </c>
      <c r="ED30" s="988" t="str">
        <f t="shared" si="356"/>
        <v/>
      </c>
      <c r="EE30" s="988" t="str">
        <f t="shared" si="356"/>
        <v/>
      </c>
      <c r="EF30" s="988" t="str">
        <f t="shared" si="356"/>
        <v/>
      </c>
      <c r="EG30" s="988" t="str">
        <f t="shared" si="356"/>
        <v/>
      </c>
      <c r="EI30" s="988" t="str">
        <f t="shared" ref="EI30:EV30" si="357">IF($AE30="BFC",IF(AND($P30&gt;EH$8,$P30&lt;=EI$8),$AB30,""),"")</f>
        <v/>
      </c>
      <c r="EJ30" s="988" t="str">
        <f t="shared" si="357"/>
        <v/>
      </c>
      <c r="EK30" s="988" t="str">
        <f t="shared" si="357"/>
        <v/>
      </c>
      <c r="EL30" s="988" t="str">
        <f t="shared" si="357"/>
        <v/>
      </c>
      <c r="EM30" s="988" t="str">
        <f t="shared" si="357"/>
        <v/>
      </c>
      <c r="EN30" s="988" t="str">
        <f t="shared" si="357"/>
        <v/>
      </c>
      <c r="EO30" s="988" t="str">
        <f t="shared" si="357"/>
        <v/>
      </c>
      <c r="EP30" s="988" t="str">
        <f t="shared" si="357"/>
        <v/>
      </c>
      <c r="EQ30" s="988" t="str">
        <f t="shared" si="357"/>
        <v/>
      </c>
      <c r="ER30" s="988" t="str">
        <f t="shared" si="357"/>
        <v/>
      </c>
      <c r="ES30" s="988" t="str">
        <f t="shared" si="357"/>
        <v/>
      </c>
      <c r="ET30" s="988" t="str">
        <f t="shared" si="357"/>
        <v/>
      </c>
      <c r="EU30" s="988" t="str">
        <f t="shared" si="357"/>
        <v/>
      </c>
      <c r="EV30" s="988" t="str">
        <f t="shared" si="357"/>
        <v/>
      </c>
      <c r="EX30" s="988" t="str">
        <f t="shared" ref="EX30:FK30" si="358">IF($AE30="BFN",IF(AND($P30&gt;EW$8,$P30&lt;=EX$8),$AB30,""),"")</f>
        <v/>
      </c>
      <c r="EY30" s="988" t="str">
        <f t="shared" si="358"/>
        <v/>
      </c>
      <c r="EZ30" s="988" t="str">
        <f t="shared" si="358"/>
        <v/>
      </c>
      <c r="FA30" s="988" t="str">
        <f t="shared" si="358"/>
        <v/>
      </c>
      <c r="FB30" s="988" t="str">
        <f t="shared" si="358"/>
        <v/>
      </c>
      <c r="FC30" s="988" t="str">
        <f t="shared" si="358"/>
        <v/>
      </c>
      <c r="FD30" s="988" t="str">
        <f t="shared" si="358"/>
        <v/>
      </c>
      <c r="FE30" s="988" t="str">
        <f t="shared" si="358"/>
        <v/>
      </c>
      <c r="FF30" s="988" t="str">
        <f t="shared" si="358"/>
        <v/>
      </c>
      <c r="FG30" s="988" t="str">
        <f t="shared" si="358"/>
        <v/>
      </c>
      <c r="FH30" s="988" t="str">
        <f t="shared" si="358"/>
        <v/>
      </c>
      <c r="FI30" s="988" t="str">
        <f t="shared" si="358"/>
        <v/>
      </c>
      <c r="FJ30" s="988" t="str">
        <f t="shared" si="358"/>
        <v/>
      </c>
      <c r="FK30" s="988" t="str">
        <f t="shared" si="358"/>
        <v/>
      </c>
      <c r="FM30" s="988" t="str">
        <f t="shared" ref="FM30:FZ30" si="359">IF(AND($I30&lt;&gt;"",$AF30="RCS"),IF(AND($P30&gt;FL$8,$P30&lt;=FM$8),SUM($K30:$M30),""),"")</f>
        <v/>
      </c>
      <c r="FN30" s="988" t="str">
        <f t="shared" si="359"/>
        <v/>
      </c>
      <c r="FO30" s="988" t="str">
        <f t="shared" si="359"/>
        <v/>
      </c>
      <c r="FP30" s="988" t="str">
        <f t="shared" si="359"/>
        <v/>
      </c>
      <c r="FQ30" s="988" t="str">
        <f t="shared" si="359"/>
        <v/>
      </c>
      <c r="FR30" s="988" t="str">
        <f t="shared" si="359"/>
        <v/>
      </c>
      <c r="FS30" s="988" t="str">
        <f t="shared" si="359"/>
        <v/>
      </c>
      <c r="FT30" s="988" t="str">
        <f t="shared" si="359"/>
        <v/>
      </c>
      <c r="FU30" s="988" t="str">
        <f t="shared" si="359"/>
        <v/>
      </c>
      <c r="FV30" s="988" t="str">
        <f t="shared" si="359"/>
        <v/>
      </c>
      <c r="FW30" s="988" t="str">
        <f t="shared" si="359"/>
        <v/>
      </c>
      <c r="FX30" s="988" t="str">
        <f t="shared" si="359"/>
        <v/>
      </c>
      <c r="FY30" s="988" t="str">
        <f t="shared" si="359"/>
        <v/>
      </c>
      <c r="FZ30" s="988" t="str">
        <f t="shared" si="359"/>
        <v/>
      </c>
      <c r="GB30" s="988" t="str">
        <f t="shared" ref="GB30:GO30" si="360">IF(AND($I30&lt;&gt;"",$AF30="REC"),IF(AND($P30&gt;GA$8,$P30&lt;=GB$8),SUM($K30:$M30),""),"")</f>
        <v/>
      </c>
      <c r="GC30" s="988" t="str">
        <f t="shared" si="360"/>
        <v/>
      </c>
      <c r="GD30" s="988" t="str">
        <f t="shared" si="360"/>
        <v/>
      </c>
      <c r="GE30" s="988" t="str">
        <f t="shared" si="360"/>
        <v/>
      </c>
      <c r="GF30" s="988" t="str">
        <f t="shared" si="360"/>
        <v/>
      </c>
      <c r="GG30" s="988" t="str">
        <f t="shared" si="360"/>
        <v/>
      </c>
      <c r="GH30" s="988" t="str">
        <f t="shared" si="360"/>
        <v/>
      </c>
      <c r="GI30" s="988" t="str">
        <f t="shared" si="360"/>
        <v/>
      </c>
      <c r="GJ30" s="988" t="str">
        <f t="shared" si="360"/>
        <v/>
      </c>
      <c r="GK30" s="988" t="str">
        <f t="shared" si="360"/>
        <v/>
      </c>
      <c r="GL30" s="988" t="str">
        <f t="shared" si="360"/>
        <v/>
      </c>
      <c r="GM30" s="988" t="str">
        <f t="shared" si="360"/>
        <v/>
      </c>
      <c r="GN30" s="988" t="str">
        <f t="shared" si="360"/>
        <v/>
      </c>
      <c r="GO30" s="988" t="str">
        <f t="shared" si="360"/>
        <v/>
      </c>
      <c r="GQ30" s="988">
        <f t="shared" ref="GQ30:HD30" si="361">IF(AND($I30&lt;&gt;"",$AF30="REB"),IF(AND($P30&gt;GP$8,$P30&lt;=GQ$8),SUM($K30:$M30),""),"")</f>
        <v>189.54</v>
      </c>
      <c r="GR30" s="988" t="str">
        <f t="shared" si="361"/>
        <v/>
      </c>
      <c r="GS30" s="988" t="str">
        <f t="shared" si="361"/>
        <v/>
      </c>
      <c r="GT30" s="988" t="str">
        <f t="shared" si="361"/>
        <v/>
      </c>
      <c r="GU30" s="988" t="str">
        <f t="shared" si="361"/>
        <v/>
      </c>
      <c r="GV30" s="988" t="str">
        <f t="shared" si="361"/>
        <v/>
      </c>
      <c r="GW30" s="988" t="str">
        <f t="shared" si="361"/>
        <v/>
      </c>
      <c r="GX30" s="988" t="str">
        <f t="shared" si="361"/>
        <v/>
      </c>
      <c r="GY30" s="988" t="str">
        <f t="shared" si="361"/>
        <v/>
      </c>
      <c r="GZ30" s="988" t="str">
        <f t="shared" si="361"/>
        <v/>
      </c>
      <c r="HA30" s="988" t="str">
        <f t="shared" si="361"/>
        <v/>
      </c>
      <c r="HB30" s="988" t="str">
        <f t="shared" si="361"/>
        <v/>
      </c>
      <c r="HC30" s="988" t="str">
        <f t="shared" si="361"/>
        <v/>
      </c>
      <c r="HD30" s="988" t="str">
        <f t="shared" si="361"/>
        <v/>
      </c>
      <c r="HF30" s="988" t="str">
        <f t="shared" ref="HF30:HS30" si="362">IF(AND($I30&lt;&gt;"",$AF30="RBS"),IF(AND($P30&gt;HE$8,$P30&lt;=HF$8),SUM($K30:$M30),""),"")</f>
        <v/>
      </c>
      <c r="HG30" s="988" t="str">
        <f t="shared" si="362"/>
        <v/>
      </c>
      <c r="HH30" s="988" t="str">
        <f t="shared" si="362"/>
        <v/>
      </c>
      <c r="HI30" s="988" t="str">
        <f t="shared" si="362"/>
        <v/>
      </c>
      <c r="HJ30" s="988" t="str">
        <f t="shared" si="362"/>
        <v/>
      </c>
      <c r="HK30" s="988" t="str">
        <f t="shared" si="362"/>
        <v/>
      </c>
      <c r="HL30" s="988" t="str">
        <f t="shared" si="362"/>
        <v/>
      </c>
      <c r="HM30" s="988" t="str">
        <f t="shared" si="362"/>
        <v/>
      </c>
      <c r="HN30" s="988" t="str">
        <f t="shared" si="362"/>
        <v/>
      </c>
      <c r="HO30" s="988" t="str">
        <f t="shared" si="362"/>
        <v/>
      </c>
      <c r="HP30" s="988" t="str">
        <f t="shared" si="362"/>
        <v/>
      </c>
      <c r="HQ30" s="988" t="str">
        <f t="shared" si="362"/>
        <v/>
      </c>
      <c r="HR30" s="988" t="str">
        <f t="shared" si="362"/>
        <v/>
      </c>
      <c r="HS30" s="988" t="str">
        <f t="shared" si="362"/>
        <v/>
      </c>
      <c r="HU30" s="988" t="str">
        <f t="shared" ref="HU30:IH30" si="363">IF(AND($I30&lt;&gt;"",$AF30="RCD"),IF(AND($P30&gt;HT$8,$P30&lt;=HU$8),SUM($K30:$M30),""),"")</f>
        <v/>
      </c>
      <c r="HV30" s="988" t="str">
        <f t="shared" si="363"/>
        <v/>
      </c>
      <c r="HW30" s="988" t="str">
        <f t="shared" si="363"/>
        <v/>
      </c>
      <c r="HX30" s="988" t="str">
        <f t="shared" si="363"/>
        <v/>
      </c>
      <c r="HY30" s="988" t="str">
        <f t="shared" si="363"/>
        <v/>
      </c>
      <c r="HZ30" s="988" t="str">
        <f t="shared" si="363"/>
        <v/>
      </c>
      <c r="IA30" s="988" t="str">
        <f t="shared" si="363"/>
        <v/>
      </c>
      <c r="IB30" s="988" t="str">
        <f t="shared" si="363"/>
        <v/>
      </c>
      <c r="IC30" s="988" t="str">
        <f t="shared" si="363"/>
        <v/>
      </c>
      <c r="ID30" s="988" t="str">
        <f t="shared" si="363"/>
        <v/>
      </c>
      <c r="IE30" s="988" t="str">
        <f t="shared" si="363"/>
        <v/>
      </c>
      <c r="IF30" s="988" t="str">
        <f t="shared" si="363"/>
        <v/>
      </c>
      <c r="IG30" s="988" t="str">
        <f t="shared" si="363"/>
        <v/>
      </c>
      <c r="IH30" s="988" t="str">
        <f t="shared" si="363"/>
        <v/>
      </c>
      <c r="IJ30" s="985">
        <f t="shared" ref="IJ30:IW30" si="364">IF(AND($I30&lt;&gt;""),IF(AND($P30&gt;II$8,$P30&lt;=IJ$8),$K30,""),"")</f>
        <v>189.54</v>
      </c>
      <c r="IK30" s="985" t="str">
        <f t="shared" si="364"/>
        <v/>
      </c>
      <c r="IL30" s="985" t="str">
        <f t="shared" si="364"/>
        <v/>
      </c>
      <c r="IM30" s="985" t="str">
        <f t="shared" si="364"/>
        <v/>
      </c>
      <c r="IN30" s="985" t="str">
        <f t="shared" si="364"/>
        <v/>
      </c>
      <c r="IO30" s="985" t="str">
        <f t="shared" si="364"/>
        <v/>
      </c>
      <c r="IP30" s="985" t="str">
        <f t="shared" si="364"/>
        <v/>
      </c>
      <c r="IQ30" s="985" t="str">
        <f t="shared" si="364"/>
        <v/>
      </c>
      <c r="IR30" s="985" t="str">
        <f t="shared" si="364"/>
        <v/>
      </c>
      <c r="IS30" s="985" t="str">
        <f t="shared" si="364"/>
        <v/>
      </c>
      <c r="IT30" s="985" t="str">
        <f t="shared" si="364"/>
        <v/>
      </c>
      <c r="IU30" s="985" t="str">
        <f t="shared" si="364"/>
        <v/>
      </c>
      <c r="IV30" s="985" t="str">
        <f t="shared" si="364"/>
        <v/>
      </c>
      <c r="IW30" s="985" t="str">
        <f t="shared" si="364"/>
        <v/>
      </c>
      <c r="IX30" s="987"/>
      <c r="IY30" s="985">
        <f t="shared" ref="IY30:JL30" si="365">IF(AND($I30&lt;&gt;""),IF(AND($P30&gt;IX$8,$P30&lt;=IY$8),$L30,""),"")</f>
        <v>0</v>
      </c>
      <c r="IZ30" s="985" t="str">
        <f t="shared" si="365"/>
        <v/>
      </c>
      <c r="JA30" s="985" t="str">
        <f t="shared" si="365"/>
        <v/>
      </c>
      <c r="JB30" s="985" t="str">
        <f t="shared" si="365"/>
        <v/>
      </c>
      <c r="JC30" s="985" t="str">
        <f t="shared" si="365"/>
        <v/>
      </c>
      <c r="JD30" s="985" t="str">
        <f t="shared" si="365"/>
        <v/>
      </c>
      <c r="JE30" s="985" t="str">
        <f t="shared" si="365"/>
        <v/>
      </c>
      <c r="JF30" s="985" t="str">
        <f t="shared" si="365"/>
        <v/>
      </c>
      <c r="JG30" s="985" t="str">
        <f t="shared" si="365"/>
        <v/>
      </c>
      <c r="JH30" s="985" t="str">
        <f t="shared" si="365"/>
        <v/>
      </c>
      <c r="JI30" s="985" t="str">
        <f t="shared" si="365"/>
        <v/>
      </c>
      <c r="JJ30" s="985" t="str">
        <f t="shared" si="365"/>
        <v/>
      </c>
      <c r="JK30" s="985" t="str">
        <f t="shared" si="365"/>
        <v/>
      </c>
      <c r="JL30" s="985" t="str">
        <f t="shared" si="365"/>
        <v/>
      </c>
      <c r="JM30" s="987"/>
      <c r="JN30" s="985">
        <f t="shared" ref="JN30:KA30" si="366">IF(AND($I30&lt;&gt;""),IF(AND($P30&gt;JM$8,$P30&lt;=JN$8),$M30,""),"")</f>
        <v>0</v>
      </c>
      <c r="JO30" s="985" t="str">
        <f t="shared" si="366"/>
        <v/>
      </c>
      <c r="JP30" s="985" t="str">
        <f t="shared" si="366"/>
        <v/>
      </c>
      <c r="JQ30" s="985" t="str">
        <f t="shared" si="366"/>
        <v/>
      </c>
      <c r="JR30" s="985" t="str">
        <f t="shared" si="366"/>
        <v/>
      </c>
      <c r="JS30" s="985" t="str">
        <f t="shared" si="366"/>
        <v/>
      </c>
      <c r="JT30" s="985" t="str">
        <f t="shared" si="366"/>
        <v/>
      </c>
      <c r="JU30" s="985" t="str">
        <f t="shared" si="366"/>
        <v/>
      </c>
      <c r="JV30" s="985" t="str">
        <f t="shared" si="366"/>
        <v/>
      </c>
      <c r="JW30" s="985" t="str">
        <f t="shared" si="366"/>
        <v/>
      </c>
      <c r="JX30" s="985" t="str">
        <f t="shared" si="366"/>
        <v/>
      </c>
      <c r="JY30" s="985" t="str">
        <f t="shared" si="366"/>
        <v/>
      </c>
      <c r="JZ30" s="985" t="str">
        <f t="shared" si="366"/>
        <v/>
      </c>
      <c r="KA30" s="985" t="str">
        <f t="shared" si="366"/>
        <v/>
      </c>
      <c r="KB30" s="987"/>
      <c r="KC30" s="985">
        <f t="shared" ref="KC30:KP30" si="367">IF(AND($I30&lt;&gt;""),IF(AND($P30&gt;KB$8,$P30&lt;=KC$8),$N30,""),"")</f>
        <v>0</v>
      </c>
      <c r="KD30" s="985" t="str">
        <f t="shared" si="367"/>
        <v/>
      </c>
      <c r="KE30" s="985" t="str">
        <f t="shared" si="367"/>
        <v/>
      </c>
      <c r="KF30" s="985" t="str">
        <f t="shared" si="367"/>
        <v/>
      </c>
      <c r="KG30" s="985" t="str">
        <f t="shared" si="367"/>
        <v/>
      </c>
      <c r="KH30" s="985" t="str">
        <f t="shared" si="367"/>
        <v/>
      </c>
      <c r="KI30" s="985" t="str">
        <f t="shared" si="367"/>
        <v/>
      </c>
      <c r="KJ30" s="985" t="str">
        <f t="shared" si="367"/>
        <v/>
      </c>
      <c r="KK30" s="985" t="str">
        <f t="shared" si="367"/>
        <v/>
      </c>
      <c r="KL30" s="985" t="str">
        <f t="shared" si="367"/>
        <v/>
      </c>
      <c r="KM30" s="985" t="str">
        <f t="shared" si="367"/>
        <v/>
      </c>
      <c r="KN30" s="985" t="str">
        <f t="shared" si="367"/>
        <v/>
      </c>
      <c r="KO30" s="985" t="str">
        <f t="shared" si="367"/>
        <v/>
      </c>
      <c r="KP30" s="985" t="str">
        <f t="shared" si="367"/>
        <v/>
      </c>
    </row>
    <row r="31" spans="2:302" ht="18" customHeight="1">
      <c r="B31" s="978">
        <f t="shared" si="0"/>
        <v>64</v>
      </c>
      <c r="C31" s="979" t="s">
        <v>665</v>
      </c>
      <c r="D31" s="979" t="s">
        <v>605</v>
      </c>
      <c r="E31" s="980">
        <v>10</v>
      </c>
      <c r="F31" s="979" t="s">
        <v>672</v>
      </c>
      <c r="G31" s="979" t="s">
        <v>605</v>
      </c>
      <c r="H31" s="980">
        <v>10</v>
      </c>
      <c r="I31" s="979" t="s">
        <v>818</v>
      </c>
      <c r="J31" s="979"/>
      <c r="K31" s="980">
        <v>76.34</v>
      </c>
      <c r="L31" s="980"/>
      <c r="M31" s="980"/>
      <c r="N31" s="980"/>
      <c r="O31" s="980"/>
      <c r="P31" s="981">
        <v>0.02</v>
      </c>
      <c r="Q31" s="981">
        <f t="shared" si="1"/>
        <v>1.5268000000000002</v>
      </c>
      <c r="R31" s="979" t="s">
        <v>665</v>
      </c>
      <c r="S31" s="979" t="s">
        <v>605</v>
      </c>
      <c r="T31" s="980">
        <v>10</v>
      </c>
      <c r="U31" s="979" t="s">
        <v>672</v>
      </c>
      <c r="V31" s="979" t="s">
        <v>605</v>
      </c>
      <c r="W31" s="980">
        <v>10</v>
      </c>
      <c r="X31" s="979" t="s">
        <v>818</v>
      </c>
      <c r="Y31" s="979"/>
      <c r="Z31" s="979"/>
      <c r="AA31" s="980">
        <v>1</v>
      </c>
      <c r="AB31" s="980">
        <f t="shared" si="2"/>
        <v>76.34</v>
      </c>
      <c r="AC31" s="982" t="s">
        <v>939</v>
      </c>
      <c r="AD31" s="953"/>
      <c r="AE31" s="983" t="str">
        <f t="shared" si="3"/>
        <v/>
      </c>
      <c r="AF31" s="984" t="str">
        <f t="shared" si="4"/>
        <v>REC</v>
      </c>
      <c r="AG31" s="963"/>
      <c r="AH31" s="985" t="str">
        <f t="shared" si="349"/>
        <v/>
      </c>
      <c r="AI31" s="985" t="str">
        <f t="shared" si="349"/>
        <v/>
      </c>
      <c r="AJ31" s="985" t="str">
        <f t="shared" si="349"/>
        <v/>
      </c>
      <c r="AK31" s="985" t="str">
        <f t="shared" si="349"/>
        <v/>
      </c>
      <c r="AL31" s="985" t="str">
        <f t="shared" si="349"/>
        <v/>
      </c>
      <c r="AM31" s="985" t="str">
        <f t="shared" si="349"/>
        <v/>
      </c>
      <c r="AN31" s="985" t="str">
        <f t="shared" si="349"/>
        <v/>
      </c>
      <c r="AO31" s="985" t="str">
        <f t="shared" si="349"/>
        <v/>
      </c>
      <c r="AP31" s="986"/>
      <c r="AQ31" s="985" t="str">
        <f t="shared" ref="AQ31:BD31" si="368">IF(AND($I31&lt;&gt;"",$AF31="C"),IF(AND($P31&gt;AP$8,$P31&lt;=AQ$8),$K31,""),"")</f>
        <v/>
      </c>
      <c r="AR31" s="985" t="str">
        <f t="shared" si="368"/>
        <v/>
      </c>
      <c r="AS31" s="985" t="str">
        <f t="shared" si="368"/>
        <v/>
      </c>
      <c r="AT31" s="985" t="str">
        <f t="shared" si="368"/>
        <v/>
      </c>
      <c r="AU31" s="985" t="str">
        <f t="shared" si="368"/>
        <v/>
      </c>
      <c r="AV31" s="985" t="str">
        <f t="shared" si="368"/>
        <v/>
      </c>
      <c r="AW31" s="985" t="str">
        <f t="shared" si="368"/>
        <v/>
      </c>
      <c r="AX31" s="985" t="str">
        <f t="shared" si="368"/>
        <v/>
      </c>
      <c r="AY31" s="985" t="str">
        <f t="shared" si="368"/>
        <v/>
      </c>
      <c r="AZ31" s="985" t="str">
        <f t="shared" si="368"/>
        <v/>
      </c>
      <c r="BA31" s="985" t="str">
        <f t="shared" si="368"/>
        <v/>
      </c>
      <c r="BB31" s="985" t="str">
        <f t="shared" si="368"/>
        <v/>
      </c>
      <c r="BC31" s="985" t="str">
        <f t="shared" si="368"/>
        <v/>
      </c>
      <c r="BD31" s="985" t="str">
        <f t="shared" si="368"/>
        <v/>
      </c>
      <c r="BE31" s="987"/>
      <c r="BF31" s="985" t="str">
        <f t="shared" ref="BF31:BS31" si="369">IF(AND($I31&lt;&gt;"",$AF31="C"),IF(AND($P31&gt;BE$8,$P31&lt;=BF$8),$L31,""),"")</f>
        <v/>
      </c>
      <c r="BG31" s="985" t="str">
        <f t="shared" si="369"/>
        <v/>
      </c>
      <c r="BH31" s="985" t="str">
        <f t="shared" si="369"/>
        <v/>
      </c>
      <c r="BI31" s="985" t="str">
        <f t="shared" si="369"/>
        <v/>
      </c>
      <c r="BJ31" s="985" t="str">
        <f t="shared" si="369"/>
        <v/>
      </c>
      <c r="BK31" s="985" t="str">
        <f t="shared" si="369"/>
        <v/>
      </c>
      <c r="BL31" s="985" t="str">
        <f t="shared" si="369"/>
        <v/>
      </c>
      <c r="BM31" s="985" t="str">
        <f t="shared" si="369"/>
        <v/>
      </c>
      <c r="BN31" s="985" t="str">
        <f t="shared" si="369"/>
        <v/>
      </c>
      <c r="BO31" s="985" t="str">
        <f t="shared" si="369"/>
        <v/>
      </c>
      <c r="BP31" s="985" t="str">
        <f t="shared" si="369"/>
        <v/>
      </c>
      <c r="BQ31" s="985" t="str">
        <f t="shared" si="369"/>
        <v/>
      </c>
      <c r="BR31" s="985" t="str">
        <f t="shared" si="369"/>
        <v/>
      </c>
      <c r="BS31" s="985" t="str">
        <f t="shared" si="369"/>
        <v/>
      </c>
      <c r="BU31" s="985" t="str">
        <f t="shared" ref="BU31:CF31" si="370">IF(AND($I31&lt;&gt;"",$AF31="C"),IF(AND($P31&gt;BT$8,$P31&lt;=BU$8),$M31,""),"")</f>
        <v/>
      </c>
      <c r="BV31" s="985" t="str">
        <f t="shared" si="370"/>
        <v/>
      </c>
      <c r="BW31" s="985" t="str">
        <f t="shared" si="370"/>
        <v/>
      </c>
      <c r="BX31" s="985" t="str">
        <f t="shared" si="370"/>
        <v/>
      </c>
      <c r="BY31" s="985" t="str">
        <f t="shared" si="370"/>
        <v/>
      </c>
      <c r="BZ31" s="985" t="str">
        <f t="shared" si="370"/>
        <v/>
      </c>
      <c r="CA31" s="985" t="str">
        <f t="shared" si="370"/>
        <v/>
      </c>
      <c r="CB31" s="985" t="str">
        <f t="shared" si="370"/>
        <v/>
      </c>
      <c r="CC31" s="985" t="str">
        <f t="shared" si="370"/>
        <v/>
      </c>
      <c r="CD31" s="985" t="str">
        <f t="shared" si="370"/>
        <v/>
      </c>
      <c r="CE31" s="985" t="str">
        <f t="shared" si="370"/>
        <v/>
      </c>
      <c r="CF31" s="985" t="str">
        <f t="shared" si="370"/>
        <v/>
      </c>
      <c r="CG31" s="987"/>
      <c r="CH31" s="985" t="str">
        <f t="shared" si="353"/>
        <v/>
      </c>
      <c r="CI31" s="985" t="str">
        <f t="shared" si="353"/>
        <v/>
      </c>
      <c r="CJ31" s="985" t="str">
        <f t="shared" si="353"/>
        <v/>
      </c>
      <c r="CK31" s="985" t="str">
        <f t="shared" si="353"/>
        <v/>
      </c>
      <c r="CL31" s="985" t="str">
        <f t="shared" si="353"/>
        <v/>
      </c>
      <c r="CM31" s="985" t="str">
        <f t="shared" si="353"/>
        <v/>
      </c>
      <c r="CN31" s="985" t="str">
        <f t="shared" si="353"/>
        <v/>
      </c>
      <c r="CP31" s="988" t="str">
        <f t="shared" ref="CP31:DC31" si="371">IF(AND($I31&lt;&gt;"",OR($AF31="ELE",$AF31="ELD",$AF31="CX")),IF(AND($P31&gt;CO$8,$P31&lt;=CP$8),$K31,""),"")</f>
        <v/>
      </c>
      <c r="CQ31" s="988" t="str">
        <f t="shared" si="371"/>
        <v/>
      </c>
      <c r="CR31" s="988" t="str">
        <f t="shared" si="371"/>
        <v/>
      </c>
      <c r="CS31" s="988" t="str">
        <f t="shared" si="371"/>
        <v/>
      </c>
      <c r="CT31" s="988" t="str">
        <f t="shared" si="371"/>
        <v/>
      </c>
      <c r="CU31" s="988" t="str">
        <f t="shared" si="371"/>
        <v/>
      </c>
      <c r="CV31" s="988" t="str">
        <f t="shared" si="371"/>
        <v/>
      </c>
      <c r="CW31" s="988" t="str">
        <f t="shared" si="371"/>
        <v/>
      </c>
      <c r="CX31" s="988" t="str">
        <f t="shared" si="371"/>
        <v/>
      </c>
      <c r="CY31" s="988" t="str">
        <f t="shared" si="371"/>
        <v/>
      </c>
      <c r="CZ31" s="988" t="str">
        <f t="shared" si="371"/>
        <v/>
      </c>
      <c r="DA31" s="988" t="str">
        <f t="shared" si="371"/>
        <v/>
      </c>
      <c r="DB31" s="988" t="str">
        <f t="shared" si="371"/>
        <v/>
      </c>
      <c r="DC31" s="988" t="str">
        <f t="shared" si="371"/>
        <v/>
      </c>
      <c r="DE31" s="988">
        <f t="shared" ref="DE31:DR31" si="372">IF(AND($X31&lt;&gt;"",$AC31="CF"),IF(AND($P31&gt;DD$8,$P31&lt;=DE$8),$AB31,""),"")</f>
        <v>76.34</v>
      </c>
      <c r="DF31" s="988" t="str">
        <f t="shared" si="372"/>
        <v/>
      </c>
      <c r="DG31" s="988" t="str">
        <f t="shared" si="372"/>
        <v/>
      </c>
      <c r="DH31" s="988" t="str">
        <f t="shared" si="372"/>
        <v/>
      </c>
      <c r="DI31" s="988" t="str">
        <f t="shared" si="372"/>
        <v/>
      </c>
      <c r="DJ31" s="988" t="str">
        <f t="shared" si="372"/>
        <v/>
      </c>
      <c r="DK31" s="988" t="str">
        <f t="shared" si="372"/>
        <v/>
      </c>
      <c r="DL31" s="988" t="str">
        <f t="shared" si="372"/>
        <v/>
      </c>
      <c r="DM31" s="988" t="str">
        <f t="shared" si="372"/>
        <v/>
      </c>
      <c r="DN31" s="988" t="str">
        <f t="shared" si="372"/>
        <v/>
      </c>
      <c r="DO31" s="988" t="str">
        <f t="shared" si="372"/>
        <v/>
      </c>
      <c r="DP31" s="988" t="str">
        <f t="shared" si="372"/>
        <v/>
      </c>
      <c r="DQ31" s="988" t="str">
        <f t="shared" si="372"/>
        <v/>
      </c>
      <c r="DR31" s="988" t="str">
        <f t="shared" si="372"/>
        <v/>
      </c>
      <c r="DT31" s="988" t="str">
        <f t="shared" ref="DT31:EG31" si="373">IF(AND($X31&lt;&gt;"",$AC31="CA"),IF(AND($P31&gt;DS$8,$P31&lt;=DT$8),$AB31,""),"")</f>
        <v/>
      </c>
      <c r="DU31" s="988" t="str">
        <f t="shared" si="373"/>
        <v/>
      </c>
      <c r="DV31" s="988" t="str">
        <f t="shared" si="373"/>
        <v/>
      </c>
      <c r="DW31" s="988" t="str">
        <f t="shared" si="373"/>
        <v/>
      </c>
      <c r="DX31" s="988" t="str">
        <f t="shared" si="373"/>
        <v/>
      </c>
      <c r="DY31" s="988" t="str">
        <f t="shared" si="373"/>
        <v/>
      </c>
      <c r="DZ31" s="988" t="str">
        <f t="shared" si="373"/>
        <v/>
      </c>
      <c r="EA31" s="988" t="str">
        <f t="shared" si="373"/>
        <v/>
      </c>
      <c r="EB31" s="988" t="str">
        <f t="shared" si="373"/>
        <v/>
      </c>
      <c r="EC31" s="988" t="str">
        <f t="shared" si="373"/>
        <v/>
      </c>
      <c r="ED31" s="988" t="str">
        <f t="shared" si="373"/>
        <v/>
      </c>
      <c r="EE31" s="988" t="str">
        <f t="shared" si="373"/>
        <v/>
      </c>
      <c r="EF31" s="988" t="str">
        <f t="shared" si="373"/>
        <v/>
      </c>
      <c r="EG31" s="988" t="str">
        <f t="shared" si="373"/>
        <v/>
      </c>
      <c r="EI31" s="988" t="str">
        <f t="shared" ref="EI31:EV31" si="374">IF($AE31="BFC",IF(AND($P31&gt;EH$8,$P31&lt;=EI$8),$AB31,""),"")</f>
        <v/>
      </c>
      <c r="EJ31" s="988" t="str">
        <f t="shared" si="374"/>
        <v/>
      </c>
      <c r="EK31" s="988" t="str">
        <f t="shared" si="374"/>
        <v/>
      </c>
      <c r="EL31" s="988" t="str">
        <f t="shared" si="374"/>
        <v/>
      </c>
      <c r="EM31" s="988" t="str">
        <f t="shared" si="374"/>
        <v/>
      </c>
      <c r="EN31" s="988" t="str">
        <f t="shared" si="374"/>
        <v/>
      </c>
      <c r="EO31" s="988" t="str">
        <f t="shared" si="374"/>
        <v/>
      </c>
      <c r="EP31" s="988" t="str">
        <f t="shared" si="374"/>
        <v/>
      </c>
      <c r="EQ31" s="988" t="str">
        <f t="shared" si="374"/>
        <v/>
      </c>
      <c r="ER31" s="988" t="str">
        <f t="shared" si="374"/>
        <v/>
      </c>
      <c r="ES31" s="988" t="str">
        <f t="shared" si="374"/>
        <v/>
      </c>
      <c r="ET31" s="988" t="str">
        <f t="shared" si="374"/>
        <v/>
      </c>
      <c r="EU31" s="988" t="str">
        <f t="shared" si="374"/>
        <v/>
      </c>
      <c r="EV31" s="988" t="str">
        <f t="shared" si="374"/>
        <v/>
      </c>
      <c r="EX31" s="988" t="str">
        <f t="shared" ref="EX31:FK31" si="375">IF($AE31="BFN",IF(AND($P31&gt;EW$8,$P31&lt;=EX$8),$AB31,""),"")</f>
        <v/>
      </c>
      <c r="EY31" s="988" t="str">
        <f t="shared" si="375"/>
        <v/>
      </c>
      <c r="EZ31" s="988" t="str">
        <f t="shared" si="375"/>
        <v/>
      </c>
      <c r="FA31" s="988" t="str">
        <f t="shared" si="375"/>
        <v/>
      </c>
      <c r="FB31" s="988" t="str">
        <f t="shared" si="375"/>
        <v/>
      </c>
      <c r="FC31" s="988" t="str">
        <f t="shared" si="375"/>
        <v/>
      </c>
      <c r="FD31" s="988" t="str">
        <f t="shared" si="375"/>
        <v/>
      </c>
      <c r="FE31" s="988" t="str">
        <f t="shared" si="375"/>
        <v/>
      </c>
      <c r="FF31" s="988" t="str">
        <f t="shared" si="375"/>
        <v/>
      </c>
      <c r="FG31" s="988" t="str">
        <f t="shared" si="375"/>
        <v/>
      </c>
      <c r="FH31" s="988" t="str">
        <f t="shared" si="375"/>
        <v/>
      </c>
      <c r="FI31" s="988" t="str">
        <f t="shared" si="375"/>
        <v/>
      </c>
      <c r="FJ31" s="988" t="str">
        <f t="shared" si="375"/>
        <v/>
      </c>
      <c r="FK31" s="988" t="str">
        <f t="shared" si="375"/>
        <v/>
      </c>
      <c r="FM31" s="988" t="str">
        <f t="shared" ref="FM31:FZ31" si="376">IF(AND($I31&lt;&gt;"",$AF31="RCS"),IF(AND($P31&gt;FL$8,$P31&lt;=FM$8),SUM($K31:$M31),""),"")</f>
        <v/>
      </c>
      <c r="FN31" s="988" t="str">
        <f t="shared" si="376"/>
        <v/>
      </c>
      <c r="FO31" s="988" t="str">
        <f t="shared" si="376"/>
        <v/>
      </c>
      <c r="FP31" s="988" t="str">
        <f t="shared" si="376"/>
        <v/>
      </c>
      <c r="FQ31" s="988" t="str">
        <f t="shared" si="376"/>
        <v/>
      </c>
      <c r="FR31" s="988" t="str">
        <f t="shared" si="376"/>
        <v/>
      </c>
      <c r="FS31" s="988" t="str">
        <f t="shared" si="376"/>
        <v/>
      </c>
      <c r="FT31" s="988" t="str">
        <f t="shared" si="376"/>
        <v/>
      </c>
      <c r="FU31" s="988" t="str">
        <f t="shared" si="376"/>
        <v/>
      </c>
      <c r="FV31" s="988" t="str">
        <f t="shared" si="376"/>
        <v/>
      </c>
      <c r="FW31" s="988" t="str">
        <f t="shared" si="376"/>
        <v/>
      </c>
      <c r="FX31" s="988" t="str">
        <f t="shared" si="376"/>
        <v/>
      </c>
      <c r="FY31" s="988" t="str">
        <f t="shared" si="376"/>
        <v/>
      </c>
      <c r="FZ31" s="988" t="str">
        <f t="shared" si="376"/>
        <v/>
      </c>
      <c r="GB31" s="988">
        <f t="shared" ref="GB31:GO31" si="377">IF(AND($I31&lt;&gt;"",$AF31="REC"),IF(AND($P31&gt;GA$8,$P31&lt;=GB$8),SUM($K31:$M31),""),"")</f>
        <v>76.34</v>
      </c>
      <c r="GC31" s="988" t="str">
        <f t="shared" si="377"/>
        <v/>
      </c>
      <c r="GD31" s="988" t="str">
        <f t="shared" si="377"/>
        <v/>
      </c>
      <c r="GE31" s="988" t="str">
        <f t="shared" si="377"/>
        <v/>
      </c>
      <c r="GF31" s="988" t="str">
        <f t="shared" si="377"/>
        <v/>
      </c>
      <c r="GG31" s="988" t="str">
        <f t="shared" si="377"/>
        <v/>
      </c>
      <c r="GH31" s="988" t="str">
        <f t="shared" si="377"/>
        <v/>
      </c>
      <c r="GI31" s="988" t="str">
        <f t="shared" si="377"/>
        <v/>
      </c>
      <c r="GJ31" s="988" t="str">
        <f t="shared" si="377"/>
        <v/>
      </c>
      <c r="GK31" s="988" t="str">
        <f t="shared" si="377"/>
        <v/>
      </c>
      <c r="GL31" s="988" t="str">
        <f t="shared" si="377"/>
        <v/>
      </c>
      <c r="GM31" s="988" t="str">
        <f t="shared" si="377"/>
        <v/>
      </c>
      <c r="GN31" s="988" t="str">
        <f t="shared" si="377"/>
        <v/>
      </c>
      <c r="GO31" s="988" t="str">
        <f t="shared" si="377"/>
        <v/>
      </c>
      <c r="GQ31" s="988" t="str">
        <f t="shared" ref="GQ31:HD31" si="378">IF(AND($I31&lt;&gt;"",$AF31="REB"),IF(AND($P31&gt;GP$8,$P31&lt;=GQ$8),SUM($K31:$M31),""),"")</f>
        <v/>
      </c>
      <c r="GR31" s="988" t="str">
        <f t="shared" si="378"/>
        <v/>
      </c>
      <c r="GS31" s="988" t="str">
        <f t="shared" si="378"/>
        <v/>
      </c>
      <c r="GT31" s="988" t="str">
        <f t="shared" si="378"/>
        <v/>
      </c>
      <c r="GU31" s="988" t="str">
        <f t="shared" si="378"/>
        <v/>
      </c>
      <c r="GV31" s="988" t="str">
        <f t="shared" si="378"/>
        <v/>
      </c>
      <c r="GW31" s="988" t="str">
        <f t="shared" si="378"/>
        <v/>
      </c>
      <c r="GX31" s="988" t="str">
        <f t="shared" si="378"/>
        <v/>
      </c>
      <c r="GY31" s="988" t="str">
        <f t="shared" si="378"/>
        <v/>
      </c>
      <c r="GZ31" s="988" t="str">
        <f t="shared" si="378"/>
        <v/>
      </c>
      <c r="HA31" s="988" t="str">
        <f t="shared" si="378"/>
        <v/>
      </c>
      <c r="HB31" s="988" t="str">
        <f t="shared" si="378"/>
        <v/>
      </c>
      <c r="HC31" s="988" t="str">
        <f t="shared" si="378"/>
        <v/>
      </c>
      <c r="HD31" s="988" t="str">
        <f t="shared" si="378"/>
        <v/>
      </c>
      <c r="HF31" s="988" t="str">
        <f t="shared" ref="HF31:HS31" si="379">IF(AND($I31&lt;&gt;"",$AF31="RBS"),IF(AND($P31&gt;HE$8,$P31&lt;=HF$8),SUM($K31:$M31),""),"")</f>
        <v/>
      </c>
      <c r="HG31" s="988" t="str">
        <f t="shared" si="379"/>
        <v/>
      </c>
      <c r="HH31" s="988" t="str">
        <f t="shared" si="379"/>
        <v/>
      </c>
      <c r="HI31" s="988" t="str">
        <f t="shared" si="379"/>
        <v/>
      </c>
      <c r="HJ31" s="988" t="str">
        <f t="shared" si="379"/>
        <v/>
      </c>
      <c r="HK31" s="988" t="str">
        <f t="shared" si="379"/>
        <v/>
      </c>
      <c r="HL31" s="988" t="str">
        <f t="shared" si="379"/>
        <v/>
      </c>
      <c r="HM31" s="988" t="str">
        <f t="shared" si="379"/>
        <v/>
      </c>
      <c r="HN31" s="988" t="str">
        <f t="shared" si="379"/>
        <v/>
      </c>
      <c r="HO31" s="988" t="str">
        <f t="shared" si="379"/>
        <v/>
      </c>
      <c r="HP31" s="988" t="str">
        <f t="shared" si="379"/>
        <v/>
      </c>
      <c r="HQ31" s="988" t="str">
        <f t="shared" si="379"/>
        <v/>
      </c>
      <c r="HR31" s="988" t="str">
        <f t="shared" si="379"/>
        <v/>
      </c>
      <c r="HS31" s="988" t="str">
        <f t="shared" si="379"/>
        <v/>
      </c>
      <c r="HU31" s="988" t="str">
        <f t="shared" ref="HU31:IH31" si="380">IF(AND($I31&lt;&gt;"",$AF31="RCD"),IF(AND($P31&gt;HT$8,$P31&lt;=HU$8),SUM($K31:$M31),""),"")</f>
        <v/>
      </c>
      <c r="HV31" s="988" t="str">
        <f t="shared" si="380"/>
        <v/>
      </c>
      <c r="HW31" s="988" t="str">
        <f t="shared" si="380"/>
        <v/>
      </c>
      <c r="HX31" s="988" t="str">
        <f t="shared" si="380"/>
        <v/>
      </c>
      <c r="HY31" s="988" t="str">
        <f t="shared" si="380"/>
        <v/>
      </c>
      <c r="HZ31" s="988" t="str">
        <f t="shared" si="380"/>
        <v/>
      </c>
      <c r="IA31" s="988" t="str">
        <f t="shared" si="380"/>
        <v/>
      </c>
      <c r="IB31" s="988" t="str">
        <f t="shared" si="380"/>
        <v/>
      </c>
      <c r="IC31" s="988" t="str">
        <f t="shared" si="380"/>
        <v/>
      </c>
      <c r="ID31" s="988" t="str">
        <f t="shared" si="380"/>
        <v/>
      </c>
      <c r="IE31" s="988" t="str">
        <f t="shared" si="380"/>
        <v/>
      </c>
      <c r="IF31" s="988" t="str">
        <f t="shared" si="380"/>
        <v/>
      </c>
      <c r="IG31" s="988" t="str">
        <f t="shared" si="380"/>
        <v/>
      </c>
      <c r="IH31" s="988" t="str">
        <f t="shared" si="380"/>
        <v/>
      </c>
      <c r="IJ31" s="985">
        <f t="shared" ref="IJ31:IW31" si="381">IF(AND($I31&lt;&gt;""),IF(AND($P31&gt;II$8,$P31&lt;=IJ$8),$K31,""),"")</f>
        <v>76.34</v>
      </c>
      <c r="IK31" s="985" t="str">
        <f t="shared" si="381"/>
        <v/>
      </c>
      <c r="IL31" s="985" t="str">
        <f t="shared" si="381"/>
        <v/>
      </c>
      <c r="IM31" s="985" t="str">
        <f t="shared" si="381"/>
        <v/>
      </c>
      <c r="IN31" s="985" t="str">
        <f t="shared" si="381"/>
        <v/>
      </c>
      <c r="IO31" s="985" t="str">
        <f t="shared" si="381"/>
        <v/>
      </c>
      <c r="IP31" s="985" t="str">
        <f t="shared" si="381"/>
        <v/>
      </c>
      <c r="IQ31" s="985" t="str">
        <f t="shared" si="381"/>
        <v/>
      </c>
      <c r="IR31" s="985" t="str">
        <f t="shared" si="381"/>
        <v/>
      </c>
      <c r="IS31" s="985" t="str">
        <f t="shared" si="381"/>
        <v/>
      </c>
      <c r="IT31" s="985" t="str">
        <f t="shared" si="381"/>
        <v/>
      </c>
      <c r="IU31" s="985" t="str">
        <f t="shared" si="381"/>
        <v/>
      </c>
      <c r="IV31" s="985" t="str">
        <f t="shared" si="381"/>
        <v/>
      </c>
      <c r="IW31" s="985" t="str">
        <f t="shared" si="381"/>
        <v/>
      </c>
      <c r="IX31" s="987"/>
      <c r="IY31" s="985">
        <f t="shared" ref="IY31:JL31" si="382">IF(AND($I31&lt;&gt;""),IF(AND($P31&gt;IX$8,$P31&lt;=IY$8),$L31,""),"")</f>
        <v>0</v>
      </c>
      <c r="IZ31" s="985" t="str">
        <f t="shared" si="382"/>
        <v/>
      </c>
      <c r="JA31" s="985" t="str">
        <f t="shared" si="382"/>
        <v/>
      </c>
      <c r="JB31" s="985" t="str">
        <f t="shared" si="382"/>
        <v/>
      </c>
      <c r="JC31" s="985" t="str">
        <f t="shared" si="382"/>
        <v/>
      </c>
      <c r="JD31" s="985" t="str">
        <f t="shared" si="382"/>
        <v/>
      </c>
      <c r="JE31" s="985" t="str">
        <f t="shared" si="382"/>
        <v/>
      </c>
      <c r="JF31" s="985" t="str">
        <f t="shared" si="382"/>
        <v/>
      </c>
      <c r="JG31" s="985" t="str">
        <f t="shared" si="382"/>
        <v/>
      </c>
      <c r="JH31" s="985" t="str">
        <f t="shared" si="382"/>
        <v/>
      </c>
      <c r="JI31" s="985" t="str">
        <f t="shared" si="382"/>
        <v/>
      </c>
      <c r="JJ31" s="985" t="str">
        <f t="shared" si="382"/>
        <v/>
      </c>
      <c r="JK31" s="985" t="str">
        <f t="shared" si="382"/>
        <v/>
      </c>
      <c r="JL31" s="985" t="str">
        <f t="shared" si="382"/>
        <v/>
      </c>
      <c r="JM31" s="987"/>
      <c r="JN31" s="985">
        <f t="shared" ref="JN31:KA31" si="383">IF(AND($I31&lt;&gt;""),IF(AND($P31&gt;JM$8,$P31&lt;=JN$8),$M31,""),"")</f>
        <v>0</v>
      </c>
      <c r="JO31" s="985" t="str">
        <f t="shared" si="383"/>
        <v/>
      </c>
      <c r="JP31" s="985" t="str">
        <f t="shared" si="383"/>
        <v/>
      </c>
      <c r="JQ31" s="985" t="str">
        <f t="shared" si="383"/>
        <v/>
      </c>
      <c r="JR31" s="985" t="str">
        <f t="shared" si="383"/>
        <v/>
      </c>
      <c r="JS31" s="985" t="str">
        <f t="shared" si="383"/>
        <v/>
      </c>
      <c r="JT31" s="985" t="str">
        <f t="shared" si="383"/>
        <v/>
      </c>
      <c r="JU31" s="985" t="str">
        <f t="shared" si="383"/>
        <v/>
      </c>
      <c r="JV31" s="985" t="str">
        <f t="shared" si="383"/>
        <v/>
      </c>
      <c r="JW31" s="985" t="str">
        <f t="shared" si="383"/>
        <v/>
      </c>
      <c r="JX31" s="985" t="str">
        <f t="shared" si="383"/>
        <v/>
      </c>
      <c r="JY31" s="985" t="str">
        <f t="shared" si="383"/>
        <v/>
      </c>
      <c r="JZ31" s="985" t="str">
        <f t="shared" si="383"/>
        <v/>
      </c>
      <c r="KA31" s="985" t="str">
        <f t="shared" si="383"/>
        <v/>
      </c>
      <c r="KB31" s="987"/>
      <c r="KC31" s="985">
        <f t="shared" ref="KC31:KP31" si="384">IF(AND($I31&lt;&gt;""),IF(AND($P31&gt;KB$8,$P31&lt;=KC$8),$N31,""),"")</f>
        <v>0</v>
      </c>
      <c r="KD31" s="985" t="str">
        <f t="shared" si="384"/>
        <v/>
      </c>
      <c r="KE31" s="985" t="str">
        <f t="shared" si="384"/>
        <v/>
      </c>
      <c r="KF31" s="985" t="str">
        <f t="shared" si="384"/>
        <v/>
      </c>
      <c r="KG31" s="985" t="str">
        <f t="shared" si="384"/>
        <v/>
      </c>
      <c r="KH31" s="985" t="str">
        <f t="shared" si="384"/>
        <v/>
      </c>
      <c r="KI31" s="985" t="str">
        <f t="shared" si="384"/>
        <v/>
      </c>
      <c r="KJ31" s="985" t="str">
        <f t="shared" si="384"/>
        <v/>
      </c>
      <c r="KK31" s="985" t="str">
        <f t="shared" si="384"/>
        <v/>
      </c>
      <c r="KL31" s="985" t="str">
        <f t="shared" si="384"/>
        <v/>
      </c>
      <c r="KM31" s="985" t="str">
        <f t="shared" si="384"/>
        <v/>
      </c>
      <c r="KN31" s="985" t="str">
        <f t="shared" si="384"/>
        <v/>
      </c>
      <c r="KO31" s="985" t="str">
        <f t="shared" si="384"/>
        <v/>
      </c>
      <c r="KP31" s="985" t="str">
        <f t="shared" si="384"/>
        <v/>
      </c>
    </row>
    <row r="32" spans="2:302" ht="18" customHeight="1">
      <c r="B32" s="978">
        <f t="shared" si="0"/>
        <v>64.5</v>
      </c>
      <c r="C32" s="979" t="s">
        <v>668</v>
      </c>
      <c r="D32" s="979" t="s">
        <v>605</v>
      </c>
      <c r="E32" s="980">
        <v>10</v>
      </c>
      <c r="F32" s="979" t="s">
        <v>672</v>
      </c>
      <c r="G32" s="979" t="s">
        <v>605</v>
      </c>
      <c r="H32" s="980">
        <v>10</v>
      </c>
      <c r="I32" s="979" t="s">
        <v>819</v>
      </c>
      <c r="J32" s="979"/>
      <c r="K32" s="980">
        <v>15.350000000000001</v>
      </c>
      <c r="L32" s="980"/>
      <c r="M32" s="980"/>
      <c r="N32" s="980"/>
      <c r="O32" s="980">
        <v>0.42500000000000004</v>
      </c>
      <c r="P32" s="981">
        <v>0.42500000000000004</v>
      </c>
      <c r="Q32" s="981">
        <f t="shared" si="1"/>
        <v>6.5237500000000015</v>
      </c>
      <c r="R32" s="979" t="s">
        <v>608</v>
      </c>
      <c r="S32" s="979" t="s">
        <v>605</v>
      </c>
      <c r="T32" s="980">
        <v>0</v>
      </c>
      <c r="U32" s="979" t="s">
        <v>637</v>
      </c>
      <c r="V32" s="979" t="s">
        <v>605</v>
      </c>
      <c r="W32" s="980">
        <v>10</v>
      </c>
      <c r="X32" s="989" t="s">
        <v>809</v>
      </c>
      <c r="Y32" s="979"/>
      <c r="Z32" s="979"/>
      <c r="AA32" s="980">
        <v>1.3</v>
      </c>
      <c r="AB32" s="980">
        <f t="shared" si="2"/>
        <v>11.807692307692308</v>
      </c>
      <c r="AC32" s="982" t="str" cm="1">
        <f t="array" ref="AC32">IF(X32&lt;&gt;"",IF(LEFT(X32,SEARCH("-",X32,1)-1)="A.CF","CF",IF(LEFT(X32,SEARCH("-",X32,1)-1)="A.CA","CA",IF(LEFT(X32,SEARCH("-",X32,1)-1)="CL","CL","-"))),IF(Y32&lt;&gt;"",BF,"-"))</f>
        <v>CF</v>
      </c>
      <c r="AD32" s="953"/>
      <c r="AE32" s="983" t="str">
        <f t="shared" si="3"/>
        <v>A</v>
      </c>
      <c r="AF32" s="984" t="str">
        <f t="shared" si="4"/>
        <v>C</v>
      </c>
      <c r="AG32" s="963"/>
      <c r="AH32" s="985" t="str">
        <f t="shared" si="349"/>
        <v/>
      </c>
      <c r="AI32" s="985" t="str">
        <f t="shared" si="349"/>
        <v/>
      </c>
      <c r="AJ32" s="985" t="str">
        <f t="shared" si="349"/>
        <v/>
      </c>
      <c r="AK32" s="985" t="str">
        <f t="shared" si="349"/>
        <v/>
      </c>
      <c r="AL32" s="985" t="str">
        <f t="shared" si="349"/>
        <v/>
      </c>
      <c r="AM32" s="985" t="str">
        <f t="shared" si="349"/>
        <v/>
      </c>
      <c r="AN32" s="985" t="str">
        <f t="shared" si="349"/>
        <v/>
      </c>
      <c r="AO32" s="985" t="str">
        <f t="shared" si="349"/>
        <v/>
      </c>
      <c r="AP32" s="986"/>
      <c r="AQ32" s="985" t="str">
        <f t="shared" ref="AQ32:BD32" si="385">IF(AND($I32&lt;&gt;"",$AF32="C"),IF(AND($P32&gt;AP$8,$P32&lt;=AQ$8),$K32,""),"")</f>
        <v/>
      </c>
      <c r="AR32" s="985" t="str">
        <f t="shared" si="385"/>
        <v/>
      </c>
      <c r="AS32" s="985" t="str">
        <f t="shared" si="385"/>
        <v/>
      </c>
      <c r="AT32" s="985">
        <f t="shared" si="385"/>
        <v>15.350000000000001</v>
      </c>
      <c r="AU32" s="985" t="str">
        <f t="shared" si="385"/>
        <v/>
      </c>
      <c r="AV32" s="985" t="str">
        <f t="shared" si="385"/>
        <v/>
      </c>
      <c r="AW32" s="985" t="str">
        <f t="shared" si="385"/>
        <v/>
      </c>
      <c r="AX32" s="985" t="str">
        <f t="shared" si="385"/>
        <v/>
      </c>
      <c r="AY32" s="985" t="str">
        <f t="shared" si="385"/>
        <v/>
      </c>
      <c r="AZ32" s="985" t="str">
        <f t="shared" si="385"/>
        <v/>
      </c>
      <c r="BA32" s="985" t="str">
        <f t="shared" si="385"/>
        <v/>
      </c>
      <c r="BB32" s="985" t="str">
        <f t="shared" si="385"/>
        <v/>
      </c>
      <c r="BC32" s="985" t="str">
        <f t="shared" si="385"/>
        <v/>
      </c>
      <c r="BD32" s="985" t="str">
        <f t="shared" si="385"/>
        <v/>
      </c>
      <c r="BE32" s="987"/>
      <c r="BF32" s="985" t="str">
        <f t="shared" ref="BF32:BS32" si="386">IF(AND($I32&lt;&gt;"",$AF32="C"),IF(AND($P32&gt;BE$8,$P32&lt;=BF$8),$L32,""),"")</f>
        <v/>
      </c>
      <c r="BG32" s="985" t="str">
        <f t="shared" si="386"/>
        <v/>
      </c>
      <c r="BH32" s="985" t="str">
        <f t="shared" si="386"/>
        <v/>
      </c>
      <c r="BI32" s="985">
        <f t="shared" si="386"/>
        <v>0</v>
      </c>
      <c r="BJ32" s="985" t="str">
        <f t="shared" si="386"/>
        <v/>
      </c>
      <c r="BK32" s="985" t="str">
        <f t="shared" si="386"/>
        <v/>
      </c>
      <c r="BL32" s="985" t="str">
        <f t="shared" si="386"/>
        <v/>
      </c>
      <c r="BM32" s="985" t="str">
        <f t="shared" si="386"/>
        <v/>
      </c>
      <c r="BN32" s="985" t="str">
        <f t="shared" si="386"/>
        <v/>
      </c>
      <c r="BO32" s="985" t="str">
        <f t="shared" si="386"/>
        <v/>
      </c>
      <c r="BP32" s="985" t="str">
        <f t="shared" si="386"/>
        <v/>
      </c>
      <c r="BQ32" s="985" t="str">
        <f t="shared" si="386"/>
        <v/>
      </c>
      <c r="BR32" s="985" t="str">
        <f t="shared" si="386"/>
        <v/>
      </c>
      <c r="BS32" s="985" t="str">
        <f t="shared" si="386"/>
        <v/>
      </c>
      <c r="BU32" s="985" t="str">
        <f t="shared" ref="BU32:CF32" si="387">IF(AND($I32&lt;&gt;"",$AF32="C"),IF(AND($P32&gt;BT$8,$P32&lt;=BU$8),$M32,""),"")</f>
        <v/>
      </c>
      <c r="BV32" s="985" t="str">
        <f t="shared" si="387"/>
        <v/>
      </c>
      <c r="BW32" s="985" t="str">
        <f t="shared" si="387"/>
        <v/>
      </c>
      <c r="BX32" s="985">
        <f t="shared" si="387"/>
        <v>0</v>
      </c>
      <c r="BY32" s="985" t="str">
        <f t="shared" si="387"/>
        <v/>
      </c>
      <c r="BZ32" s="985" t="str">
        <f t="shared" si="387"/>
        <v/>
      </c>
      <c r="CA32" s="985" t="str">
        <f t="shared" si="387"/>
        <v/>
      </c>
      <c r="CB32" s="985" t="str">
        <f t="shared" si="387"/>
        <v/>
      </c>
      <c r="CC32" s="985" t="str">
        <f t="shared" si="387"/>
        <v/>
      </c>
      <c r="CD32" s="985" t="str">
        <f t="shared" si="387"/>
        <v/>
      </c>
      <c r="CE32" s="985" t="str">
        <f t="shared" si="387"/>
        <v/>
      </c>
      <c r="CF32" s="985" t="str">
        <f t="shared" si="387"/>
        <v/>
      </c>
      <c r="CG32" s="987"/>
      <c r="CH32" s="985" t="str">
        <f t="shared" si="353"/>
        <v/>
      </c>
      <c r="CI32" s="985" t="str">
        <f t="shared" si="353"/>
        <v/>
      </c>
      <c r="CJ32" s="985" t="str">
        <f t="shared" si="353"/>
        <v/>
      </c>
      <c r="CK32" s="985" t="str">
        <f t="shared" si="353"/>
        <v/>
      </c>
      <c r="CL32" s="985" t="str">
        <f t="shared" si="353"/>
        <v/>
      </c>
      <c r="CM32" s="985" t="str">
        <f t="shared" si="353"/>
        <v/>
      </c>
      <c r="CN32" s="985" t="str">
        <f t="shared" si="353"/>
        <v/>
      </c>
      <c r="CP32" s="988" t="str">
        <f t="shared" ref="CP32:DC32" si="388">IF(AND($I32&lt;&gt;"",OR($AF32="ELE",$AF32="ELD",$AF32="CX")),IF(AND($P32&gt;CO$8,$P32&lt;=CP$8),$K32,""),"")</f>
        <v/>
      </c>
      <c r="CQ32" s="988" t="str">
        <f t="shared" si="388"/>
        <v/>
      </c>
      <c r="CR32" s="988" t="str">
        <f t="shared" si="388"/>
        <v/>
      </c>
      <c r="CS32" s="988" t="str">
        <f t="shared" si="388"/>
        <v/>
      </c>
      <c r="CT32" s="988" t="str">
        <f t="shared" si="388"/>
        <v/>
      </c>
      <c r="CU32" s="988" t="str">
        <f t="shared" si="388"/>
        <v/>
      </c>
      <c r="CV32" s="988" t="str">
        <f t="shared" si="388"/>
        <v/>
      </c>
      <c r="CW32" s="988" t="str">
        <f t="shared" si="388"/>
        <v/>
      </c>
      <c r="CX32" s="988" t="str">
        <f t="shared" si="388"/>
        <v/>
      </c>
      <c r="CY32" s="988" t="str">
        <f t="shared" si="388"/>
        <v/>
      </c>
      <c r="CZ32" s="988" t="str">
        <f t="shared" si="388"/>
        <v/>
      </c>
      <c r="DA32" s="988" t="str">
        <f t="shared" si="388"/>
        <v/>
      </c>
      <c r="DB32" s="988" t="str">
        <f t="shared" si="388"/>
        <v/>
      </c>
      <c r="DC32" s="988" t="str">
        <f t="shared" si="388"/>
        <v/>
      </c>
      <c r="DE32" s="988" t="str">
        <f t="shared" ref="DE32:DR32" si="389">IF(AND($X32&lt;&gt;"",$AC32="CF"),IF(AND($P32&gt;DD$8,$P32&lt;=DE$8),$AB32,""),"")</f>
        <v/>
      </c>
      <c r="DF32" s="988" t="str">
        <f t="shared" si="389"/>
        <v/>
      </c>
      <c r="DG32" s="988" t="str">
        <f t="shared" si="389"/>
        <v/>
      </c>
      <c r="DH32" s="988">
        <f t="shared" si="389"/>
        <v>11.807692307692308</v>
      </c>
      <c r="DI32" s="988" t="str">
        <f t="shared" si="389"/>
        <v/>
      </c>
      <c r="DJ32" s="988" t="str">
        <f t="shared" si="389"/>
        <v/>
      </c>
      <c r="DK32" s="988" t="str">
        <f t="shared" si="389"/>
        <v/>
      </c>
      <c r="DL32" s="988" t="str">
        <f t="shared" si="389"/>
        <v/>
      </c>
      <c r="DM32" s="988" t="str">
        <f t="shared" si="389"/>
        <v/>
      </c>
      <c r="DN32" s="988" t="str">
        <f t="shared" si="389"/>
        <v/>
      </c>
      <c r="DO32" s="988" t="str">
        <f t="shared" si="389"/>
        <v/>
      </c>
      <c r="DP32" s="988" t="str">
        <f t="shared" si="389"/>
        <v/>
      </c>
      <c r="DQ32" s="988" t="str">
        <f t="shared" si="389"/>
        <v/>
      </c>
      <c r="DR32" s="988" t="str">
        <f t="shared" si="389"/>
        <v/>
      </c>
      <c r="DT32" s="988" t="str">
        <f t="shared" ref="DT32:EG32" si="390">IF(AND($X32&lt;&gt;"",$AC32="CA"),IF(AND($P32&gt;DS$8,$P32&lt;=DT$8),$AB32,""),"")</f>
        <v/>
      </c>
      <c r="DU32" s="988" t="str">
        <f t="shared" si="390"/>
        <v/>
      </c>
      <c r="DV32" s="988" t="str">
        <f t="shared" si="390"/>
        <v/>
      </c>
      <c r="DW32" s="988" t="str">
        <f t="shared" si="390"/>
        <v/>
      </c>
      <c r="DX32" s="988" t="str">
        <f t="shared" si="390"/>
        <v/>
      </c>
      <c r="DY32" s="988" t="str">
        <f t="shared" si="390"/>
        <v/>
      </c>
      <c r="DZ32" s="988" t="str">
        <f t="shared" si="390"/>
        <v/>
      </c>
      <c r="EA32" s="988" t="str">
        <f t="shared" si="390"/>
        <v/>
      </c>
      <c r="EB32" s="988" t="str">
        <f t="shared" si="390"/>
        <v/>
      </c>
      <c r="EC32" s="988" t="str">
        <f t="shared" si="390"/>
        <v/>
      </c>
      <c r="ED32" s="988" t="str">
        <f t="shared" si="390"/>
        <v/>
      </c>
      <c r="EE32" s="988" t="str">
        <f t="shared" si="390"/>
        <v/>
      </c>
      <c r="EF32" s="988" t="str">
        <f t="shared" si="390"/>
        <v/>
      </c>
      <c r="EG32" s="988" t="str">
        <f t="shared" si="390"/>
        <v/>
      </c>
      <c r="EI32" s="988" t="str">
        <f t="shared" ref="EI32:EV32" si="391">IF($AE32="BFC",IF(AND($P32&gt;EH$8,$P32&lt;=EI$8),$AB32,""),"")</f>
        <v/>
      </c>
      <c r="EJ32" s="988" t="str">
        <f t="shared" si="391"/>
        <v/>
      </c>
      <c r="EK32" s="988" t="str">
        <f t="shared" si="391"/>
        <v/>
      </c>
      <c r="EL32" s="988" t="str">
        <f t="shared" si="391"/>
        <v/>
      </c>
      <c r="EM32" s="988" t="str">
        <f t="shared" si="391"/>
        <v/>
      </c>
      <c r="EN32" s="988" t="str">
        <f t="shared" si="391"/>
        <v/>
      </c>
      <c r="EO32" s="988" t="str">
        <f t="shared" si="391"/>
        <v/>
      </c>
      <c r="EP32" s="988" t="str">
        <f t="shared" si="391"/>
        <v/>
      </c>
      <c r="EQ32" s="988" t="str">
        <f t="shared" si="391"/>
        <v/>
      </c>
      <c r="ER32" s="988" t="str">
        <f t="shared" si="391"/>
        <v/>
      </c>
      <c r="ES32" s="988" t="str">
        <f t="shared" si="391"/>
        <v/>
      </c>
      <c r="ET32" s="988" t="str">
        <f t="shared" si="391"/>
        <v/>
      </c>
      <c r="EU32" s="988" t="str">
        <f t="shared" si="391"/>
        <v/>
      </c>
      <c r="EV32" s="988" t="str">
        <f t="shared" si="391"/>
        <v/>
      </c>
      <c r="EX32" s="988" t="str">
        <f t="shared" ref="EX32:FK32" si="392">IF($AE32="BFN",IF(AND($P32&gt;EW$8,$P32&lt;=EX$8),$AB32,""),"")</f>
        <v/>
      </c>
      <c r="EY32" s="988" t="str">
        <f t="shared" si="392"/>
        <v/>
      </c>
      <c r="EZ32" s="988" t="str">
        <f t="shared" si="392"/>
        <v/>
      </c>
      <c r="FA32" s="988" t="str">
        <f t="shared" si="392"/>
        <v/>
      </c>
      <c r="FB32" s="988" t="str">
        <f t="shared" si="392"/>
        <v/>
      </c>
      <c r="FC32" s="988" t="str">
        <f t="shared" si="392"/>
        <v/>
      </c>
      <c r="FD32" s="988" t="str">
        <f t="shared" si="392"/>
        <v/>
      </c>
      <c r="FE32" s="988" t="str">
        <f t="shared" si="392"/>
        <v/>
      </c>
      <c r="FF32" s="988" t="str">
        <f t="shared" si="392"/>
        <v/>
      </c>
      <c r="FG32" s="988" t="str">
        <f t="shared" si="392"/>
        <v/>
      </c>
      <c r="FH32" s="988" t="str">
        <f t="shared" si="392"/>
        <v/>
      </c>
      <c r="FI32" s="988" t="str">
        <f t="shared" si="392"/>
        <v/>
      </c>
      <c r="FJ32" s="988" t="str">
        <f t="shared" si="392"/>
        <v/>
      </c>
      <c r="FK32" s="988" t="str">
        <f t="shared" si="392"/>
        <v/>
      </c>
      <c r="FM32" s="988" t="str">
        <f t="shared" ref="FM32:FZ32" si="393">IF(AND($I32&lt;&gt;"",$AF32="RCS"),IF(AND($P32&gt;FL$8,$P32&lt;=FM$8),SUM($K32:$M32),""),"")</f>
        <v/>
      </c>
      <c r="FN32" s="988" t="str">
        <f t="shared" si="393"/>
        <v/>
      </c>
      <c r="FO32" s="988" t="str">
        <f t="shared" si="393"/>
        <v/>
      </c>
      <c r="FP32" s="988" t="str">
        <f t="shared" si="393"/>
        <v/>
      </c>
      <c r="FQ32" s="988" t="str">
        <f t="shared" si="393"/>
        <v/>
      </c>
      <c r="FR32" s="988" t="str">
        <f t="shared" si="393"/>
        <v/>
      </c>
      <c r="FS32" s="988" t="str">
        <f t="shared" si="393"/>
        <v/>
      </c>
      <c r="FT32" s="988" t="str">
        <f t="shared" si="393"/>
        <v/>
      </c>
      <c r="FU32" s="988" t="str">
        <f t="shared" si="393"/>
        <v/>
      </c>
      <c r="FV32" s="988" t="str">
        <f t="shared" si="393"/>
        <v/>
      </c>
      <c r="FW32" s="988" t="str">
        <f t="shared" si="393"/>
        <v/>
      </c>
      <c r="FX32" s="988" t="str">
        <f t="shared" si="393"/>
        <v/>
      </c>
      <c r="FY32" s="988" t="str">
        <f t="shared" si="393"/>
        <v/>
      </c>
      <c r="FZ32" s="988" t="str">
        <f t="shared" si="393"/>
        <v/>
      </c>
      <c r="GB32" s="988" t="str">
        <f t="shared" ref="GB32:GO32" si="394">IF(AND($I32&lt;&gt;"",$AF32="REC"),IF(AND($P32&gt;GA$8,$P32&lt;=GB$8),SUM($K32:$M32),""),"")</f>
        <v/>
      </c>
      <c r="GC32" s="988" t="str">
        <f t="shared" si="394"/>
        <v/>
      </c>
      <c r="GD32" s="988" t="str">
        <f t="shared" si="394"/>
        <v/>
      </c>
      <c r="GE32" s="988" t="str">
        <f t="shared" si="394"/>
        <v/>
      </c>
      <c r="GF32" s="988" t="str">
        <f t="shared" si="394"/>
        <v/>
      </c>
      <c r="GG32" s="988" t="str">
        <f t="shared" si="394"/>
        <v/>
      </c>
      <c r="GH32" s="988" t="str">
        <f t="shared" si="394"/>
        <v/>
      </c>
      <c r="GI32" s="988" t="str">
        <f t="shared" si="394"/>
        <v/>
      </c>
      <c r="GJ32" s="988" t="str">
        <f t="shared" si="394"/>
        <v/>
      </c>
      <c r="GK32" s="988" t="str">
        <f t="shared" si="394"/>
        <v/>
      </c>
      <c r="GL32" s="988" t="str">
        <f t="shared" si="394"/>
        <v/>
      </c>
      <c r="GM32" s="988" t="str">
        <f t="shared" si="394"/>
        <v/>
      </c>
      <c r="GN32" s="988" t="str">
        <f t="shared" si="394"/>
        <v/>
      </c>
      <c r="GO32" s="988" t="str">
        <f t="shared" si="394"/>
        <v/>
      </c>
      <c r="GQ32" s="988" t="str">
        <f t="shared" ref="GQ32:HD32" si="395">IF(AND($I32&lt;&gt;"",$AF32="REB"),IF(AND($P32&gt;GP$8,$P32&lt;=GQ$8),SUM($K32:$M32),""),"")</f>
        <v/>
      </c>
      <c r="GR32" s="988" t="str">
        <f t="shared" si="395"/>
        <v/>
      </c>
      <c r="GS32" s="988" t="str">
        <f t="shared" si="395"/>
        <v/>
      </c>
      <c r="GT32" s="988" t="str">
        <f t="shared" si="395"/>
        <v/>
      </c>
      <c r="GU32" s="988" t="str">
        <f t="shared" si="395"/>
        <v/>
      </c>
      <c r="GV32" s="988" t="str">
        <f t="shared" si="395"/>
        <v/>
      </c>
      <c r="GW32" s="988" t="str">
        <f t="shared" si="395"/>
        <v/>
      </c>
      <c r="GX32" s="988" t="str">
        <f t="shared" si="395"/>
        <v/>
      </c>
      <c r="GY32" s="988" t="str">
        <f t="shared" si="395"/>
        <v/>
      </c>
      <c r="GZ32" s="988" t="str">
        <f t="shared" si="395"/>
        <v/>
      </c>
      <c r="HA32" s="988" t="str">
        <f t="shared" si="395"/>
        <v/>
      </c>
      <c r="HB32" s="988" t="str">
        <f t="shared" si="395"/>
        <v/>
      </c>
      <c r="HC32" s="988" t="str">
        <f t="shared" si="395"/>
        <v/>
      </c>
      <c r="HD32" s="988" t="str">
        <f t="shared" si="395"/>
        <v/>
      </c>
      <c r="HF32" s="988" t="str">
        <f t="shared" ref="HF32:HS32" si="396">IF(AND($I32&lt;&gt;"",$AF32="RBS"),IF(AND($P32&gt;HE$8,$P32&lt;=HF$8),SUM($K32:$M32),""),"")</f>
        <v/>
      </c>
      <c r="HG32" s="988" t="str">
        <f t="shared" si="396"/>
        <v/>
      </c>
      <c r="HH32" s="988" t="str">
        <f t="shared" si="396"/>
        <v/>
      </c>
      <c r="HI32" s="988" t="str">
        <f t="shared" si="396"/>
        <v/>
      </c>
      <c r="HJ32" s="988" t="str">
        <f t="shared" si="396"/>
        <v/>
      </c>
      <c r="HK32" s="988" t="str">
        <f t="shared" si="396"/>
        <v/>
      </c>
      <c r="HL32" s="988" t="str">
        <f t="shared" si="396"/>
        <v/>
      </c>
      <c r="HM32" s="988" t="str">
        <f t="shared" si="396"/>
        <v/>
      </c>
      <c r="HN32" s="988" t="str">
        <f t="shared" si="396"/>
        <v/>
      </c>
      <c r="HO32" s="988" t="str">
        <f t="shared" si="396"/>
        <v/>
      </c>
      <c r="HP32" s="988" t="str">
        <f t="shared" si="396"/>
        <v/>
      </c>
      <c r="HQ32" s="988" t="str">
        <f t="shared" si="396"/>
        <v/>
      </c>
      <c r="HR32" s="988" t="str">
        <f t="shared" si="396"/>
        <v/>
      </c>
      <c r="HS32" s="988" t="str">
        <f t="shared" si="396"/>
        <v/>
      </c>
      <c r="HU32" s="988" t="str">
        <f t="shared" ref="HU32:IH32" si="397">IF(AND($I32&lt;&gt;"",$AF32="RCD"),IF(AND($P32&gt;HT$8,$P32&lt;=HU$8),SUM($K32:$M32),""),"")</f>
        <v/>
      </c>
      <c r="HV32" s="988" t="str">
        <f t="shared" si="397"/>
        <v/>
      </c>
      <c r="HW32" s="988" t="str">
        <f t="shared" si="397"/>
        <v/>
      </c>
      <c r="HX32" s="988" t="str">
        <f t="shared" si="397"/>
        <v/>
      </c>
      <c r="HY32" s="988" t="str">
        <f t="shared" si="397"/>
        <v/>
      </c>
      <c r="HZ32" s="988" t="str">
        <f t="shared" si="397"/>
        <v/>
      </c>
      <c r="IA32" s="988" t="str">
        <f t="shared" si="397"/>
        <v/>
      </c>
      <c r="IB32" s="988" t="str">
        <f t="shared" si="397"/>
        <v/>
      </c>
      <c r="IC32" s="988" t="str">
        <f t="shared" si="397"/>
        <v/>
      </c>
      <c r="ID32" s="988" t="str">
        <f t="shared" si="397"/>
        <v/>
      </c>
      <c r="IE32" s="988" t="str">
        <f t="shared" si="397"/>
        <v/>
      </c>
      <c r="IF32" s="988" t="str">
        <f t="shared" si="397"/>
        <v/>
      </c>
      <c r="IG32" s="988" t="str">
        <f t="shared" si="397"/>
        <v/>
      </c>
      <c r="IH32" s="988" t="str">
        <f t="shared" si="397"/>
        <v/>
      </c>
      <c r="IJ32" s="985" t="str">
        <f t="shared" ref="IJ32:IW32" si="398">IF(AND($I32&lt;&gt;""),IF(AND($P32&gt;II$8,$P32&lt;=IJ$8),$K32,""),"")</f>
        <v/>
      </c>
      <c r="IK32" s="985" t="str">
        <f t="shared" si="398"/>
        <v/>
      </c>
      <c r="IL32" s="985" t="str">
        <f t="shared" si="398"/>
        <v/>
      </c>
      <c r="IM32" s="985">
        <f t="shared" si="398"/>
        <v>15.350000000000001</v>
      </c>
      <c r="IN32" s="985" t="str">
        <f t="shared" si="398"/>
        <v/>
      </c>
      <c r="IO32" s="985" t="str">
        <f t="shared" si="398"/>
        <v/>
      </c>
      <c r="IP32" s="985" t="str">
        <f t="shared" si="398"/>
        <v/>
      </c>
      <c r="IQ32" s="985" t="str">
        <f t="shared" si="398"/>
        <v/>
      </c>
      <c r="IR32" s="985" t="str">
        <f t="shared" si="398"/>
        <v/>
      </c>
      <c r="IS32" s="985" t="str">
        <f t="shared" si="398"/>
        <v/>
      </c>
      <c r="IT32" s="985" t="str">
        <f t="shared" si="398"/>
        <v/>
      </c>
      <c r="IU32" s="985" t="str">
        <f t="shared" si="398"/>
        <v/>
      </c>
      <c r="IV32" s="985" t="str">
        <f t="shared" si="398"/>
        <v/>
      </c>
      <c r="IW32" s="985" t="str">
        <f t="shared" si="398"/>
        <v/>
      </c>
      <c r="IX32" s="987"/>
      <c r="IY32" s="985" t="str">
        <f t="shared" ref="IY32:JL32" si="399">IF(AND($I32&lt;&gt;""),IF(AND($P32&gt;IX$8,$P32&lt;=IY$8),$L32,""),"")</f>
        <v/>
      </c>
      <c r="IZ32" s="985" t="str">
        <f t="shared" si="399"/>
        <v/>
      </c>
      <c r="JA32" s="985" t="str">
        <f t="shared" si="399"/>
        <v/>
      </c>
      <c r="JB32" s="985">
        <f t="shared" si="399"/>
        <v>0</v>
      </c>
      <c r="JC32" s="985" t="str">
        <f t="shared" si="399"/>
        <v/>
      </c>
      <c r="JD32" s="985" t="str">
        <f t="shared" si="399"/>
        <v/>
      </c>
      <c r="JE32" s="985" t="str">
        <f t="shared" si="399"/>
        <v/>
      </c>
      <c r="JF32" s="985" t="str">
        <f t="shared" si="399"/>
        <v/>
      </c>
      <c r="JG32" s="985" t="str">
        <f t="shared" si="399"/>
        <v/>
      </c>
      <c r="JH32" s="985" t="str">
        <f t="shared" si="399"/>
        <v/>
      </c>
      <c r="JI32" s="985" t="str">
        <f t="shared" si="399"/>
        <v/>
      </c>
      <c r="JJ32" s="985" t="str">
        <f t="shared" si="399"/>
        <v/>
      </c>
      <c r="JK32" s="985" t="str">
        <f t="shared" si="399"/>
        <v/>
      </c>
      <c r="JL32" s="985" t="str">
        <f t="shared" si="399"/>
        <v/>
      </c>
      <c r="JM32" s="987"/>
      <c r="JN32" s="985" t="str">
        <f t="shared" ref="JN32:KA32" si="400">IF(AND($I32&lt;&gt;""),IF(AND($P32&gt;JM$8,$P32&lt;=JN$8),$M32,""),"")</f>
        <v/>
      </c>
      <c r="JO32" s="985" t="str">
        <f t="shared" si="400"/>
        <v/>
      </c>
      <c r="JP32" s="985" t="str">
        <f t="shared" si="400"/>
        <v/>
      </c>
      <c r="JQ32" s="985">
        <f t="shared" si="400"/>
        <v>0</v>
      </c>
      <c r="JR32" s="985" t="str">
        <f t="shared" si="400"/>
        <v/>
      </c>
      <c r="JS32" s="985" t="str">
        <f t="shared" si="400"/>
        <v/>
      </c>
      <c r="JT32" s="985" t="str">
        <f t="shared" si="400"/>
        <v/>
      </c>
      <c r="JU32" s="985" t="str">
        <f t="shared" si="400"/>
        <v/>
      </c>
      <c r="JV32" s="985" t="str">
        <f t="shared" si="400"/>
        <v/>
      </c>
      <c r="JW32" s="985" t="str">
        <f t="shared" si="400"/>
        <v/>
      </c>
      <c r="JX32" s="985" t="str">
        <f t="shared" si="400"/>
        <v/>
      </c>
      <c r="JY32" s="985" t="str">
        <f t="shared" si="400"/>
        <v/>
      </c>
      <c r="JZ32" s="985" t="str">
        <f t="shared" si="400"/>
        <v/>
      </c>
      <c r="KA32" s="985" t="str">
        <f t="shared" si="400"/>
        <v/>
      </c>
      <c r="KB32" s="987"/>
      <c r="KC32" s="985" t="str">
        <f t="shared" ref="KC32:KP32" si="401">IF(AND($I32&lt;&gt;""),IF(AND($P32&gt;KB$8,$P32&lt;=KC$8),$N32,""),"")</f>
        <v/>
      </c>
      <c r="KD32" s="985" t="str">
        <f t="shared" si="401"/>
        <v/>
      </c>
      <c r="KE32" s="985" t="str">
        <f t="shared" si="401"/>
        <v/>
      </c>
      <c r="KF32" s="985">
        <f t="shared" si="401"/>
        <v>0</v>
      </c>
      <c r="KG32" s="985" t="str">
        <f t="shared" si="401"/>
        <v/>
      </c>
      <c r="KH32" s="985" t="str">
        <f t="shared" si="401"/>
        <v/>
      </c>
      <c r="KI32" s="985" t="str">
        <f t="shared" si="401"/>
        <v/>
      </c>
      <c r="KJ32" s="985" t="str">
        <f t="shared" si="401"/>
        <v/>
      </c>
      <c r="KK32" s="985" t="str">
        <f t="shared" si="401"/>
        <v/>
      </c>
      <c r="KL32" s="985" t="str">
        <f t="shared" si="401"/>
        <v/>
      </c>
      <c r="KM32" s="985" t="str">
        <f t="shared" si="401"/>
        <v/>
      </c>
      <c r="KN32" s="985" t="str">
        <f t="shared" si="401"/>
        <v/>
      </c>
      <c r="KO32" s="985" t="str">
        <f t="shared" si="401"/>
        <v/>
      </c>
      <c r="KP32" s="985" t="str">
        <f t="shared" si="401"/>
        <v/>
      </c>
    </row>
    <row r="33" spans="2:302" ht="18" customHeight="1">
      <c r="B33" s="978">
        <f t="shared" si="0"/>
        <v>65</v>
      </c>
      <c r="C33" s="979" t="s">
        <v>672</v>
      </c>
      <c r="D33" s="979" t="s">
        <v>605</v>
      </c>
      <c r="E33" s="980">
        <v>0</v>
      </c>
      <c r="F33" s="979" t="s">
        <v>672</v>
      </c>
      <c r="G33" s="979" t="s">
        <v>605</v>
      </c>
      <c r="H33" s="980">
        <v>10</v>
      </c>
      <c r="I33" s="979" t="s">
        <v>820</v>
      </c>
      <c r="J33" s="979"/>
      <c r="K33" s="980">
        <v>30.83</v>
      </c>
      <c r="L33" s="980"/>
      <c r="M33" s="980"/>
      <c r="N33" s="980"/>
      <c r="O33" s="980"/>
      <c r="P33" s="981">
        <v>0.02</v>
      </c>
      <c r="Q33" s="981">
        <f t="shared" si="1"/>
        <v>0.61659999999999993</v>
      </c>
      <c r="R33" s="979" t="s">
        <v>672</v>
      </c>
      <c r="S33" s="979" t="s">
        <v>605</v>
      </c>
      <c r="T33" s="980">
        <v>0</v>
      </c>
      <c r="U33" s="979" t="s">
        <v>672</v>
      </c>
      <c r="V33" s="979" t="s">
        <v>605</v>
      </c>
      <c r="W33" s="980">
        <v>10</v>
      </c>
      <c r="X33" s="989" t="s">
        <v>820</v>
      </c>
      <c r="Y33" s="979"/>
      <c r="Z33" s="979"/>
      <c r="AA33" s="980">
        <v>1</v>
      </c>
      <c r="AB33" s="980">
        <f t="shared" si="2"/>
        <v>30.83</v>
      </c>
      <c r="AC33" s="982" t="s">
        <v>939</v>
      </c>
      <c r="AD33" s="953"/>
      <c r="AE33" s="983" t="str">
        <f t="shared" si="3"/>
        <v/>
      </c>
      <c r="AF33" s="984" t="str">
        <f t="shared" si="4"/>
        <v>REB</v>
      </c>
      <c r="AG33" s="963"/>
      <c r="AH33" s="985" t="str">
        <f t="shared" si="349"/>
        <v/>
      </c>
      <c r="AI33" s="985" t="str">
        <f t="shared" si="349"/>
        <v/>
      </c>
      <c r="AJ33" s="985" t="str">
        <f t="shared" si="349"/>
        <v/>
      </c>
      <c r="AK33" s="985" t="str">
        <f t="shared" si="349"/>
        <v/>
      </c>
      <c r="AL33" s="985" t="str">
        <f t="shared" si="349"/>
        <v/>
      </c>
      <c r="AM33" s="985" t="str">
        <f t="shared" si="349"/>
        <v/>
      </c>
      <c r="AN33" s="985" t="str">
        <f t="shared" si="349"/>
        <v/>
      </c>
      <c r="AO33" s="985" t="str">
        <f t="shared" si="349"/>
        <v/>
      </c>
      <c r="AP33" s="986"/>
      <c r="AQ33" s="985" t="str">
        <f t="shared" ref="AQ33:BD33" si="402">IF(AND($I33&lt;&gt;"",$AF33="C"),IF(AND($P33&gt;AP$8,$P33&lt;=AQ$8),$K33,""),"")</f>
        <v/>
      </c>
      <c r="AR33" s="985" t="str">
        <f t="shared" si="402"/>
        <v/>
      </c>
      <c r="AS33" s="985" t="str">
        <f t="shared" si="402"/>
        <v/>
      </c>
      <c r="AT33" s="985" t="str">
        <f t="shared" si="402"/>
        <v/>
      </c>
      <c r="AU33" s="985" t="str">
        <f t="shared" si="402"/>
        <v/>
      </c>
      <c r="AV33" s="985" t="str">
        <f t="shared" si="402"/>
        <v/>
      </c>
      <c r="AW33" s="985" t="str">
        <f t="shared" si="402"/>
        <v/>
      </c>
      <c r="AX33" s="985" t="str">
        <f t="shared" si="402"/>
        <v/>
      </c>
      <c r="AY33" s="985" t="str">
        <f t="shared" si="402"/>
        <v/>
      </c>
      <c r="AZ33" s="985" t="str">
        <f t="shared" si="402"/>
        <v/>
      </c>
      <c r="BA33" s="985" t="str">
        <f t="shared" si="402"/>
        <v/>
      </c>
      <c r="BB33" s="985" t="str">
        <f t="shared" si="402"/>
        <v/>
      </c>
      <c r="BC33" s="985" t="str">
        <f t="shared" si="402"/>
        <v/>
      </c>
      <c r="BD33" s="985" t="str">
        <f t="shared" si="402"/>
        <v/>
      </c>
      <c r="BE33" s="987"/>
      <c r="BF33" s="985" t="str">
        <f t="shared" ref="BF33:BS33" si="403">IF(AND($I33&lt;&gt;"",$AF33="C"),IF(AND($P33&gt;BE$8,$P33&lt;=BF$8),$L33,""),"")</f>
        <v/>
      </c>
      <c r="BG33" s="985" t="str">
        <f t="shared" si="403"/>
        <v/>
      </c>
      <c r="BH33" s="985" t="str">
        <f t="shared" si="403"/>
        <v/>
      </c>
      <c r="BI33" s="985" t="str">
        <f t="shared" si="403"/>
        <v/>
      </c>
      <c r="BJ33" s="985" t="str">
        <f t="shared" si="403"/>
        <v/>
      </c>
      <c r="BK33" s="985" t="str">
        <f t="shared" si="403"/>
        <v/>
      </c>
      <c r="BL33" s="985" t="str">
        <f t="shared" si="403"/>
        <v/>
      </c>
      <c r="BM33" s="985" t="str">
        <f t="shared" si="403"/>
        <v/>
      </c>
      <c r="BN33" s="985" t="str">
        <f t="shared" si="403"/>
        <v/>
      </c>
      <c r="BO33" s="985" t="str">
        <f t="shared" si="403"/>
        <v/>
      </c>
      <c r="BP33" s="985" t="str">
        <f t="shared" si="403"/>
        <v/>
      </c>
      <c r="BQ33" s="985" t="str">
        <f t="shared" si="403"/>
        <v/>
      </c>
      <c r="BR33" s="985" t="str">
        <f t="shared" si="403"/>
        <v/>
      </c>
      <c r="BS33" s="985" t="str">
        <f t="shared" si="403"/>
        <v/>
      </c>
      <c r="BU33" s="985" t="str">
        <f t="shared" ref="BU33:CF33" si="404">IF(AND($I33&lt;&gt;"",$AF33="C"),IF(AND($P33&gt;BT$8,$P33&lt;=BU$8),$M33,""),"")</f>
        <v/>
      </c>
      <c r="BV33" s="985" t="str">
        <f t="shared" si="404"/>
        <v/>
      </c>
      <c r="BW33" s="985" t="str">
        <f t="shared" si="404"/>
        <v/>
      </c>
      <c r="BX33" s="985" t="str">
        <f t="shared" si="404"/>
        <v/>
      </c>
      <c r="BY33" s="985" t="str">
        <f t="shared" si="404"/>
        <v/>
      </c>
      <c r="BZ33" s="985" t="str">
        <f t="shared" si="404"/>
        <v/>
      </c>
      <c r="CA33" s="985" t="str">
        <f t="shared" si="404"/>
        <v/>
      </c>
      <c r="CB33" s="985" t="str">
        <f t="shared" si="404"/>
        <v/>
      </c>
      <c r="CC33" s="985" t="str">
        <f t="shared" si="404"/>
        <v/>
      </c>
      <c r="CD33" s="985" t="str">
        <f t="shared" si="404"/>
        <v/>
      </c>
      <c r="CE33" s="985" t="str">
        <f t="shared" si="404"/>
        <v/>
      </c>
      <c r="CF33" s="985" t="str">
        <f t="shared" si="404"/>
        <v/>
      </c>
      <c r="CG33" s="987"/>
      <c r="CH33" s="985" t="str">
        <f t="shared" si="353"/>
        <v/>
      </c>
      <c r="CI33" s="985" t="str">
        <f t="shared" si="353"/>
        <v/>
      </c>
      <c r="CJ33" s="985" t="str">
        <f t="shared" si="353"/>
        <v/>
      </c>
      <c r="CK33" s="985" t="str">
        <f t="shared" si="353"/>
        <v/>
      </c>
      <c r="CL33" s="985" t="str">
        <f t="shared" si="353"/>
        <v/>
      </c>
      <c r="CM33" s="985" t="str">
        <f t="shared" si="353"/>
        <v/>
      </c>
      <c r="CN33" s="985" t="str">
        <f t="shared" si="353"/>
        <v/>
      </c>
      <c r="CP33" s="988" t="str">
        <f t="shared" ref="CP33:DC33" si="405">IF(AND($I33&lt;&gt;"",OR($AF33="ELE",$AF33="ELD",$AF33="CX")),IF(AND($P33&gt;CO$8,$P33&lt;=CP$8),$K33,""),"")</f>
        <v/>
      </c>
      <c r="CQ33" s="988" t="str">
        <f t="shared" si="405"/>
        <v/>
      </c>
      <c r="CR33" s="988" t="str">
        <f t="shared" si="405"/>
        <v/>
      </c>
      <c r="CS33" s="988" t="str">
        <f t="shared" si="405"/>
        <v/>
      </c>
      <c r="CT33" s="988" t="str">
        <f t="shared" si="405"/>
        <v/>
      </c>
      <c r="CU33" s="988" t="str">
        <f t="shared" si="405"/>
        <v/>
      </c>
      <c r="CV33" s="988" t="str">
        <f t="shared" si="405"/>
        <v/>
      </c>
      <c r="CW33" s="988" t="str">
        <f t="shared" si="405"/>
        <v/>
      </c>
      <c r="CX33" s="988" t="str">
        <f t="shared" si="405"/>
        <v/>
      </c>
      <c r="CY33" s="988" t="str">
        <f t="shared" si="405"/>
        <v/>
      </c>
      <c r="CZ33" s="988" t="str">
        <f t="shared" si="405"/>
        <v/>
      </c>
      <c r="DA33" s="988" t="str">
        <f t="shared" si="405"/>
        <v/>
      </c>
      <c r="DB33" s="988" t="str">
        <f t="shared" si="405"/>
        <v/>
      </c>
      <c r="DC33" s="988" t="str">
        <f t="shared" si="405"/>
        <v/>
      </c>
      <c r="DE33" s="988">
        <f t="shared" ref="DE33:DR33" si="406">IF(AND($X33&lt;&gt;"",$AC33="CF"),IF(AND($P33&gt;DD$8,$P33&lt;=DE$8),$AB33,""),"")</f>
        <v>30.83</v>
      </c>
      <c r="DF33" s="988" t="str">
        <f t="shared" si="406"/>
        <v/>
      </c>
      <c r="DG33" s="988" t="str">
        <f t="shared" si="406"/>
        <v/>
      </c>
      <c r="DH33" s="988" t="str">
        <f t="shared" si="406"/>
        <v/>
      </c>
      <c r="DI33" s="988" t="str">
        <f t="shared" si="406"/>
        <v/>
      </c>
      <c r="DJ33" s="988" t="str">
        <f t="shared" si="406"/>
        <v/>
      </c>
      <c r="DK33" s="988" t="str">
        <f t="shared" si="406"/>
        <v/>
      </c>
      <c r="DL33" s="988" t="str">
        <f t="shared" si="406"/>
        <v/>
      </c>
      <c r="DM33" s="988" t="str">
        <f t="shared" si="406"/>
        <v/>
      </c>
      <c r="DN33" s="988" t="str">
        <f t="shared" si="406"/>
        <v/>
      </c>
      <c r="DO33" s="988" t="str">
        <f t="shared" si="406"/>
        <v/>
      </c>
      <c r="DP33" s="988" t="str">
        <f t="shared" si="406"/>
        <v/>
      </c>
      <c r="DQ33" s="988" t="str">
        <f t="shared" si="406"/>
        <v/>
      </c>
      <c r="DR33" s="988" t="str">
        <f t="shared" si="406"/>
        <v/>
      </c>
      <c r="DT33" s="988" t="str">
        <f t="shared" ref="DT33:EG33" si="407">IF(AND($X33&lt;&gt;"",$AC33="CA"),IF(AND($P33&gt;DS$8,$P33&lt;=DT$8),$AB33,""),"")</f>
        <v/>
      </c>
      <c r="DU33" s="988" t="str">
        <f t="shared" si="407"/>
        <v/>
      </c>
      <c r="DV33" s="988" t="str">
        <f t="shared" si="407"/>
        <v/>
      </c>
      <c r="DW33" s="988" t="str">
        <f t="shared" si="407"/>
        <v/>
      </c>
      <c r="DX33" s="988" t="str">
        <f t="shared" si="407"/>
        <v/>
      </c>
      <c r="DY33" s="988" t="str">
        <f t="shared" si="407"/>
        <v/>
      </c>
      <c r="DZ33" s="988" t="str">
        <f t="shared" si="407"/>
        <v/>
      </c>
      <c r="EA33" s="988" t="str">
        <f t="shared" si="407"/>
        <v/>
      </c>
      <c r="EB33" s="988" t="str">
        <f t="shared" si="407"/>
        <v/>
      </c>
      <c r="EC33" s="988" t="str">
        <f t="shared" si="407"/>
        <v/>
      </c>
      <c r="ED33" s="988" t="str">
        <f t="shared" si="407"/>
        <v/>
      </c>
      <c r="EE33" s="988" t="str">
        <f t="shared" si="407"/>
        <v/>
      </c>
      <c r="EF33" s="988" t="str">
        <f t="shared" si="407"/>
        <v/>
      </c>
      <c r="EG33" s="988" t="str">
        <f t="shared" si="407"/>
        <v/>
      </c>
      <c r="EI33" s="988" t="str">
        <f t="shared" ref="EI33:EV33" si="408">IF($AE33="BFC",IF(AND($P33&gt;EH$8,$P33&lt;=EI$8),$AB33,""),"")</f>
        <v/>
      </c>
      <c r="EJ33" s="988" t="str">
        <f t="shared" si="408"/>
        <v/>
      </c>
      <c r="EK33" s="988" t="str">
        <f t="shared" si="408"/>
        <v/>
      </c>
      <c r="EL33" s="988" t="str">
        <f t="shared" si="408"/>
        <v/>
      </c>
      <c r="EM33" s="988" t="str">
        <f t="shared" si="408"/>
        <v/>
      </c>
      <c r="EN33" s="988" t="str">
        <f t="shared" si="408"/>
        <v/>
      </c>
      <c r="EO33" s="988" t="str">
        <f t="shared" si="408"/>
        <v/>
      </c>
      <c r="EP33" s="988" t="str">
        <f t="shared" si="408"/>
        <v/>
      </c>
      <c r="EQ33" s="988" t="str">
        <f t="shared" si="408"/>
        <v/>
      </c>
      <c r="ER33" s="988" t="str">
        <f t="shared" si="408"/>
        <v/>
      </c>
      <c r="ES33" s="988" t="str">
        <f t="shared" si="408"/>
        <v/>
      </c>
      <c r="ET33" s="988" t="str">
        <f t="shared" si="408"/>
        <v/>
      </c>
      <c r="EU33" s="988" t="str">
        <f t="shared" si="408"/>
        <v/>
      </c>
      <c r="EV33" s="988" t="str">
        <f t="shared" si="408"/>
        <v/>
      </c>
      <c r="EX33" s="988" t="str">
        <f t="shared" ref="EX33:FK33" si="409">IF($AE33="BFN",IF(AND($P33&gt;EW$8,$P33&lt;=EX$8),$AB33,""),"")</f>
        <v/>
      </c>
      <c r="EY33" s="988" t="str">
        <f t="shared" si="409"/>
        <v/>
      </c>
      <c r="EZ33" s="988" t="str">
        <f t="shared" si="409"/>
        <v/>
      </c>
      <c r="FA33" s="988" t="str">
        <f t="shared" si="409"/>
        <v/>
      </c>
      <c r="FB33" s="988" t="str">
        <f t="shared" si="409"/>
        <v/>
      </c>
      <c r="FC33" s="988" t="str">
        <f t="shared" si="409"/>
        <v/>
      </c>
      <c r="FD33" s="988" t="str">
        <f t="shared" si="409"/>
        <v/>
      </c>
      <c r="FE33" s="988" t="str">
        <f t="shared" si="409"/>
        <v/>
      </c>
      <c r="FF33" s="988" t="str">
        <f t="shared" si="409"/>
        <v/>
      </c>
      <c r="FG33" s="988" t="str">
        <f t="shared" si="409"/>
        <v/>
      </c>
      <c r="FH33" s="988" t="str">
        <f t="shared" si="409"/>
        <v/>
      </c>
      <c r="FI33" s="988" t="str">
        <f t="shared" si="409"/>
        <v/>
      </c>
      <c r="FJ33" s="988" t="str">
        <f t="shared" si="409"/>
        <v/>
      </c>
      <c r="FK33" s="988" t="str">
        <f t="shared" si="409"/>
        <v/>
      </c>
      <c r="FM33" s="988" t="str">
        <f t="shared" ref="FM33:FZ33" si="410">IF(AND($I33&lt;&gt;"",$AF33="RCS"),IF(AND($P33&gt;FL$8,$P33&lt;=FM$8),SUM($K33:$M33),""),"")</f>
        <v/>
      </c>
      <c r="FN33" s="988" t="str">
        <f t="shared" si="410"/>
        <v/>
      </c>
      <c r="FO33" s="988" t="str">
        <f t="shared" si="410"/>
        <v/>
      </c>
      <c r="FP33" s="988" t="str">
        <f t="shared" si="410"/>
        <v/>
      </c>
      <c r="FQ33" s="988" t="str">
        <f t="shared" si="410"/>
        <v/>
      </c>
      <c r="FR33" s="988" t="str">
        <f t="shared" si="410"/>
        <v/>
      </c>
      <c r="FS33" s="988" t="str">
        <f t="shared" si="410"/>
        <v/>
      </c>
      <c r="FT33" s="988" t="str">
        <f t="shared" si="410"/>
        <v/>
      </c>
      <c r="FU33" s="988" t="str">
        <f t="shared" si="410"/>
        <v/>
      </c>
      <c r="FV33" s="988" t="str">
        <f t="shared" si="410"/>
        <v/>
      </c>
      <c r="FW33" s="988" t="str">
        <f t="shared" si="410"/>
        <v/>
      </c>
      <c r="FX33" s="988" t="str">
        <f t="shared" si="410"/>
        <v/>
      </c>
      <c r="FY33" s="988" t="str">
        <f t="shared" si="410"/>
        <v/>
      </c>
      <c r="FZ33" s="988" t="str">
        <f t="shared" si="410"/>
        <v/>
      </c>
      <c r="GB33" s="988" t="str">
        <f t="shared" ref="GB33:GO33" si="411">IF(AND($I33&lt;&gt;"",$AF33="REC"),IF(AND($P33&gt;GA$8,$P33&lt;=GB$8),SUM($K33:$M33),""),"")</f>
        <v/>
      </c>
      <c r="GC33" s="988" t="str">
        <f t="shared" si="411"/>
        <v/>
      </c>
      <c r="GD33" s="988" t="str">
        <f t="shared" si="411"/>
        <v/>
      </c>
      <c r="GE33" s="988" t="str">
        <f t="shared" si="411"/>
        <v/>
      </c>
      <c r="GF33" s="988" t="str">
        <f t="shared" si="411"/>
        <v/>
      </c>
      <c r="GG33" s="988" t="str">
        <f t="shared" si="411"/>
        <v/>
      </c>
      <c r="GH33" s="988" t="str">
        <f t="shared" si="411"/>
        <v/>
      </c>
      <c r="GI33" s="988" t="str">
        <f t="shared" si="411"/>
        <v/>
      </c>
      <c r="GJ33" s="988" t="str">
        <f t="shared" si="411"/>
        <v/>
      </c>
      <c r="GK33" s="988" t="str">
        <f t="shared" si="411"/>
        <v/>
      </c>
      <c r="GL33" s="988" t="str">
        <f t="shared" si="411"/>
        <v/>
      </c>
      <c r="GM33" s="988" t="str">
        <f t="shared" si="411"/>
        <v/>
      </c>
      <c r="GN33" s="988" t="str">
        <f t="shared" si="411"/>
        <v/>
      </c>
      <c r="GO33" s="988" t="str">
        <f t="shared" si="411"/>
        <v/>
      </c>
      <c r="GQ33" s="988">
        <f t="shared" ref="GQ33:HD33" si="412">IF(AND($I33&lt;&gt;"",$AF33="REB"),IF(AND($P33&gt;GP$8,$P33&lt;=GQ$8),SUM($K33:$M33),""),"")</f>
        <v>30.83</v>
      </c>
      <c r="GR33" s="988" t="str">
        <f t="shared" si="412"/>
        <v/>
      </c>
      <c r="GS33" s="988" t="str">
        <f t="shared" si="412"/>
        <v/>
      </c>
      <c r="GT33" s="988" t="str">
        <f t="shared" si="412"/>
        <v/>
      </c>
      <c r="GU33" s="988" t="str">
        <f t="shared" si="412"/>
        <v/>
      </c>
      <c r="GV33" s="988" t="str">
        <f t="shared" si="412"/>
        <v/>
      </c>
      <c r="GW33" s="988" t="str">
        <f t="shared" si="412"/>
        <v/>
      </c>
      <c r="GX33" s="988" t="str">
        <f t="shared" si="412"/>
        <v/>
      </c>
      <c r="GY33" s="988" t="str">
        <f t="shared" si="412"/>
        <v/>
      </c>
      <c r="GZ33" s="988" t="str">
        <f t="shared" si="412"/>
        <v/>
      </c>
      <c r="HA33" s="988" t="str">
        <f t="shared" si="412"/>
        <v/>
      </c>
      <c r="HB33" s="988" t="str">
        <f t="shared" si="412"/>
        <v/>
      </c>
      <c r="HC33" s="988" t="str">
        <f t="shared" si="412"/>
        <v/>
      </c>
      <c r="HD33" s="988" t="str">
        <f t="shared" si="412"/>
        <v/>
      </c>
      <c r="HF33" s="988" t="str">
        <f t="shared" ref="HF33:HS33" si="413">IF(AND($I33&lt;&gt;"",$AF33="RBS"),IF(AND($P33&gt;HE$8,$P33&lt;=HF$8),SUM($K33:$M33),""),"")</f>
        <v/>
      </c>
      <c r="HG33" s="988" t="str">
        <f t="shared" si="413"/>
        <v/>
      </c>
      <c r="HH33" s="988" t="str">
        <f t="shared" si="413"/>
        <v/>
      </c>
      <c r="HI33" s="988" t="str">
        <f t="shared" si="413"/>
        <v/>
      </c>
      <c r="HJ33" s="988" t="str">
        <f t="shared" si="413"/>
        <v/>
      </c>
      <c r="HK33" s="988" t="str">
        <f t="shared" si="413"/>
        <v/>
      </c>
      <c r="HL33" s="988" t="str">
        <f t="shared" si="413"/>
        <v/>
      </c>
      <c r="HM33" s="988" t="str">
        <f t="shared" si="413"/>
        <v/>
      </c>
      <c r="HN33" s="988" t="str">
        <f t="shared" si="413"/>
        <v/>
      </c>
      <c r="HO33" s="988" t="str">
        <f t="shared" si="413"/>
        <v/>
      </c>
      <c r="HP33" s="988" t="str">
        <f t="shared" si="413"/>
        <v/>
      </c>
      <c r="HQ33" s="988" t="str">
        <f t="shared" si="413"/>
        <v/>
      </c>
      <c r="HR33" s="988" t="str">
        <f t="shared" si="413"/>
        <v/>
      </c>
      <c r="HS33" s="988" t="str">
        <f t="shared" si="413"/>
        <v/>
      </c>
      <c r="HU33" s="988" t="str">
        <f t="shared" ref="HU33:IH33" si="414">IF(AND($I33&lt;&gt;"",$AF33="RCD"),IF(AND($P33&gt;HT$8,$P33&lt;=HU$8),SUM($K33:$M33),""),"")</f>
        <v/>
      </c>
      <c r="HV33" s="988" t="str">
        <f t="shared" si="414"/>
        <v/>
      </c>
      <c r="HW33" s="988" t="str">
        <f t="shared" si="414"/>
        <v/>
      </c>
      <c r="HX33" s="988" t="str">
        <f t="shared" si="414"/>
        <v/>
      </c>
      <c r="HY33" s="988" t="str">
        <f t="shared" si="414"/>
        <v/>
      </c>
      <c r="HZ33" s="988" t="str">
        <f t="shared" si="414"/>
        <v/>
      </c>
      <c r="IA33" s="988" t="str">
        <f t="shared" si="414"/>
        <v/>
      </c>
      <c r="IB33" s="988" t="str">
        <f t="shared" si="414"/>
        <v/>
      </c>
      <c r="IC33" s="988" t="str">
        <f t="shared" si="414"/>
        <v/>
      </c>
      <c r="ID33" s="988" t="str">
        <f t="shared" si="414"/>
        <v/>
      </c>
      <c r="IE33" s="988" t="str">
        <f t="shared" si="414"/>
        <v/>
      </c>
      <c r="IF33" s="988" t="str">
        <f t="shared" si="414"/>
        <v/>
      </c>
      <c r="IG33" s="988" t="str">
        <f t="shared" si="414"/>
        <v/>
      </c>
      <c r="IH33" s="988" t="str">
        <f t="shared" si="414"/>
        <v/>
      </c>
      <c r="IJ33" s="985">
        <f t="shared" ref="IJ33:IW33" si="415">IF(AND($I33&lt;&gt;""),IF(AND($P33&gt;II$8,$P33&lt;=IJ$8),$K33,""),"")</f>
        <v>30.83</v>
      </c>
      <c r="IK33" s="985" t="str">
        <f t="shared" si="415"/>
        <v/>
      </c>
      <c r="IL33" s="985" t="str">
        <f t="shared" si="415"/>
        <v/>
      </c>
      <c r="IM33" s="985" t="str">
        <f t="shared" si="415"/>
        <v/>
      </c>
      <c r="IN33" s="985" t="str">
        <f t="shared" si="415"/>
        <v/>
      </c>
      <c r="IO33" s="985" t="str">
        <f t="shared" si="415"/>
        <v/>
      </c>
      <c r="IP33" s="985" t="str">
        <f t="shared" si="415"/>
        <v/>
      </c>
      <c r="IQ33" s="985" t="str">
        <f t="shared" si="415"/>
        <v/>
      </c>
      <c r="IR33" s="985" t="str">
        <f t="shared" si="415"/>
        <v/>
      </c>
      <c r="IS33" s="985" t="str">
        <f t="shared" si="415"/>
        <v/>
      </c>
      <c r="IT33" s="985" t="str">
        <f t="shared" si="415"/>
        <v/>
      </c>
      <c r="IU33" s="985" t="str">
        <f t="shared" si="415"/>
        <v/>
      </c>
      <c r="IV33" s="985" t="str">
        <f t="shared" si="415"/>
        <v/>
      </c>
      <c r="IW33" s="985" t="str">
        <f t="shared" si="415"/>
        <v/>
      </c>
      <c r="IX33" s="987"/>
      <c r="IY33" s="985">
        <f t="shared" ref="IY33:JL33" si="416">IF(AND($I33&lt;&gt;""),IF(AND($P33&gt;IX$8,$P33&lt;=IY$8),$L33,""),"")</f>
        <v>0</v>
      </c>
      <c r="IZ33" s="985" t="str">
        <f t="shared" si="416"/>
        <v/>
      </c>
      <c r="JA33" s="985" t="str">
        <f t="shared" si="416"/>
        <v/>
      </c>
      <c r="JB33" s="985" t="str">
        <f t="shared" si="416"/>
        <v/>
      </c>
      <c r="JC33" s="985" t="str">
        <f t="shared" si="416"/>
        <v/>
      </c>
      <c r="JD33" s="985" t="str">
        <f t="shared" si="416"/>
        <v/>
      </c>
      <c r="JE33" s="985" t="str">
        <f t="shared" si="416"/>
        <v/>
      </c>
      <c r="JF33" s="985" t="str">
        <f t="shared" si="416"/>
        <v/>
      </c>
      <c r="JG33" s="985" t="str">
        <f t="shared" si="416"/>
        <v/>
      </c>
      <c r="JH33" s="985" t="str">
        <f t="shared" si="416"/>
        <v/>
      </c>
      <c r="JI33" s="985" t="str">
        <f t="shared" si="416"/>
        <v/>
      </c>
      <c r="JJ33" s="985" t="str">
        <f t="shared" si="416"/>
        <v/>
      </c>
      <c r="JK33" s="985" t="str">
        <f t="shared" si="416"/>
        <v/>
      </c>
      <c r="JL33" s="985" t="str">
        <f t="shared" si="416"/>
        <v/>
      </c>
      <c r="JM33" s="987"/>
      <c r="JN33" s="985">
        <f t="shared" ref="JN33:KA33" si="417">IF(AND($I33&lt;&gt;""),IF(AND($P33&gt;JM$8,$P33&lt;=JN$8),$M33,""),"")</f>
        <v>0</v>
      </c>
      <c r="JO33" s="985" t="str">
        <f t="shared" si="417"/>
        <v/>
      </c>
      <c r="JP33" s="985" t="str">
        <f t="shared" si="417"/>
        <v/>
      </c>
      <c r="JQ33" s="985" t="str">
        <f t="shared" si="417"/>
        <v/>
      </c>
      <c r="JR33" s="985" t="str">
        <f t="shared" si="417"/>
        <v/>
      </c>
      <c r="JS33" s="985" t="str">
        <f t="shared" si="417"/>
        <v/>
      </c>
      <c r="JT33" s="985" t="str">
        <f t="shared" si="417"/>
        <v/>
      </c>
      <c r="JU33" s="985" t="str">
        <f t="shared" si="417"/>
        <v/>
      </c>
      <c r="JV33" s="985" t="str">
        <f t="shared" si="417"/>
        <v/>
      </c>
      <c r="JW33" s="985" t="str">
        <f t="shared" si="417"/>
        <v/>
      </c>
      <c r="JX33" s="985" t="str">
        <f t="shared" si="417"/>
        <v/>
      </c>
      <c r="JY33" s="985" t="str">
        <f t="shared" si="417"/>
        <v/>
      </c>
      <c r="JZ33" s="985" t="str">
        <f t="shared" si="417"/>
        <v/>
      </c>
      <c r="KA33" s="985" t="str">
        <f t="shared" si="417"/>
        <v/>
      </c>
      <c r="KB33" s="987"/>
      <c r="KC33" s="985">
        <f t="shared" ref="KC33:KP33" si="418">IF(AND($I33&lt;&gt;""),IF(AND($P33&gt;KB$8,$P33&lt;=KC$8),$N33,""),"")</f>
        <v>0</v>
      </c>
      <c r="KD33" s="985" t="str">
        <f t="shared" si="418"/>
        <v/>
      </c>
      <c r="KE33" s="985" t="str">
        <f t="shared" si="418"/>
        <v/>
      </c>
      <c r="KF33" s="985" t="str">
        <f t="shared" si="418"/>
        <v/>
      </c>
      <c r="KG33" s="985" t="str">
        <f t="shared" si="418"/>
        <v/>
      </c>
      <c r="KH33" s="985" t="str">
        <f t="shared" si="418"/>
        <v/>
      </c>
      <c r="KI33" s="985" t="str">
        <f t="shared" si="418"/>
        <v/>
      </c>
      <c r="KJ33" s="985" t="str">
        <f t="shared" si="418"/>
        <v/>
      </c>
      <c r="KK33" s="985" t="str">
        <f t="shared" si="418"/>
        <v/>
      </c>
      <c r="KL33" s="985" t="str">
        <f t="shared" si="418"/>
        <v/>
      </c>
      <c r="KM33" s="985" t="str">
        <f t="shared" si="418"/>
        <v/>
      </c>
      <c r="KN33" s="985" t="str">
        <f t="shared" si="418"/>
        <v/>
      </c>
      <c r="KO33" s="985" t="str">
        <f t="shared" si="418"/>
        <v/>
      </c>
      <c r="KP33" s="985" t="str">
        <f t="shared" si="418"/>
        <v/>
      </c>
    </row>
    <row r="34" spans="2:302" ht="18" customHeight="1">
      <c r="B34" s="978">
        <f t="shared" si="0"/>
        <v>120</v>
      </c>
      <c r="C34" s="979" t="s">
        <v>724</v>
      </c>
      <c r="D34" s="979" t="s">
        <v>605</v>
      </c>
      <c r="E34" s="980">
        <v>0</v>
      </c>
      <c r="F34" s="979" t="s">
        <v>724</v>
      </c>
      <c r="G34" s="979" t="s">
        <v>605</v>
      </c>
      <c r="H34" s="980">
        <v>10</v>
      </c>
      <c r="I34" s="979" t="s">
        <v>838</v>
      </c>
      <c r="J34" s="979"/>
      <c r="K34" s="980">
        <v>3084.8</v>
      </c>
      <c r="L34" s="980"/>
      <c r="M34" s="980"/>
      <c r="N34" s="980"/>
      <c r="O34" s="980"/>
      <c r="P34" s="981">
        <v>0.02</v>
      </c>
      <c r="Q34" s="981">
        <f t="shared" si="1"/>
        <v>61.696000000000005</v>
      </c>
      <c r="R34" s="979" t="s">
        <v>724</v>
      </c>
      <c r="S34" s="979" t="s">
        <v>605</v>
      </c>
      <c r="T34" s="980">
        <v>0</v>
      </c>
      <c r="U34" s="979" t="s">
        <v>724</v>
      </c>
      <c r="V34" s="979" t="s">
        <v>605</v>
      </c>
      <c r="W34" s="980">
        <v>10</v>
      </c>
      <c r="X34" s="989" t="s">
        <v>838</v>
      </c>
      <c r="Y34" s="979"/>
      <c r="Z34" s="979"/>
      <c r="AA34" s="980">
        <v>1</v>
      </c>
      <c r="AB34" s="980">
        <f t="shared" si="2"/>
        <v>3084.8</v>
      </c>
      <c r="AC34" s="982" t="s">
        <v>939</v>
      </c>
      <c r="AD34" s="953"/>
      <c r="AE34" s="983" t="str">
        <f t="shared" si="3"/>
        <v/>
      </c>
      <c r="AF34" s="984" t="str">
        <f t="shared" si="4"/>
        <v>REB</v>
      </c>
      <c r="AG34" s="963"/>
      <c r="AH34" s="985" t="str">
        <f t="shared" si="349"/>
        <v/>
      </c>
      <c r="AI34" s="985" t="str">
        <f t="shared" si="349"/>
        <v/>
      </c>
      <c r="AJ34" s="985" t="str">
        <f t="shared" si="349"/>
        <v/>
      </c>
      <c r="AK34" s="985" t="str">
        <f t="shared" si="349"/>
        <v/>
      </c>
      <c r="AL34" s="985" t="str">
        <f t="shared" si="349"/>
        <v/>
      </c>
      <c r="AM34" s="985" t="str">
        <f t="shared" si="349"/>
        <v/>
      </c>
      <c r="AN34" s="985" t="str">
        <f t="shared" si="349"/>
        <v/>
      </c>
      <c r="AO34" s="985" t="str">
        <f t="shared" si="349"/>
        <v/>
      </c>
      <c r="AP34" s="986"/>
      <c r="AQ34" s="985" t="str">
        <f t="shared" ref="AQ34:BD34" si="419">IF(AND($I34&lt;&gt;"",$AF34="C"),IF(AND($P34&gt;AP$8,$P34&lt;=AQ$8),$K34,""),"")</f>
        <v/>
      </c>
      <c r="AR34" s="985" t="str">
        <f t="shared" si="419"/>
        <v/>
      </c>
      <c r="AS34" s="985" t="str">
        <f t="shared" si="419"/>
        <v/>
      </c>
      <c r="AT34" s="985" t="str">
        <f t="shared" si="419"/>
        <v/>
      </c>
      <c r="AU34" s="985" t="str">
        <f t="shared" si="419"/>
        <v/>
      </c>
      <c r="AV34" s="985" t="str">
        <f t="shared" si="419"/>
        <v/>
      </c>
      <c r="AW34" s="985" t="str">
        <f t="shared" si="419"/>
        <v/>
      </c>
      <c r="AX34" s="985" t="str">
        <f t="shared" si="419"/>
        <v/>
      </c>
      <c r="AY34" s="985" t="str">
        <f t="shared" si="419"/>
        <v/>
      </c>
      <c r="AZ34" s="985" t="str">
        <f t="shared" si="419"/>
        <v/>
      </c>
      <c r="BA34" s="985" t="str">
        <f t="shared" si="419"/>
        <v/>
      </c>
      <c r="BB34" s="985" t="str">
        <f t="shared" si="419"/>
        <v/>
      </c>
      <c r="BC34" s="985" t="str">
        <f t="shared" si="419"/>
        <v/>
      </c>
      <c r="BD34" s="985" t="str">
        <f t="shared" si="419"/>
        <v/>
      </c>
      <c r="BE34" s="987"/>
      <c r="BF34" s="985" t="str">
        <f t="shared" ref="BF34:BS34" si="420">IF(AND($I34&lt;&gt;"",$AF34="C"),IF(AND($P34&gt;BE$8,$P34&lt;=BF$8),$L34,""),"")</f>
        <v/>
      </c>
      <c r="BG34" s="985" t="str">
        <f t="shared" si="420"/>
        <v/>
      </c>
      <c r="BH34" s="985" t="str">
        <f t="shared" si="420"/>
        <v/>
      </c>
      <c r="BI34" s="985" t="str">
        <f t="shared" si="420"/>
        <v/>
      </c>
      <c r="BJ34" s="985" t="str">
        <f t="shared" si="420"/>
        <v/>
      </c>
      <c r="BK34" s="985" t="str">
        <f t="shared" si="420"/>
        <v/>
      </c>
      <c r="BL34" s="985" t="str">
        <f t="shared" si="420"/>
        <v/>
      </c>
      <c r="BM34" s="985" t="str">
        <f t="shared" si="420"/>
        <v/>
      </c>
      <c r="BN34" s="985" t="str">
        <f t="shared" si="420"/>
        <v/>
      </c>
      <c r="BO34" s="985" t="str">
        <f t="shared" si="420"/>
        <v/>
      </c>
      <c r="BP34" s="985" t="str">
        <f t="shared" si="420"/>
        <v/>
      </c>
      <c r="BQ34" s="985" t="str">
        <f t="shared" si="420"/>
        <v/>
      </c>
      <c r="BR34" s="985" t="str">
        <f t="shared" si="420"/>
        <v/>
      </c>
      <c r="BS34" s="985" t="str">
        <f t="shared" si="420"/>
        <v/>
      </c>
      <c r="BU34" s="985" t="str">
        <f t="shared" ref="BU34:CF34" si="421">IF(AND($I34&lt;&gt;"",$AF34="C"),IF(AND($P34&gt;BT$8,$P34&lt;=BU$8),$M34,""),"")</f>
        <v/>
      </c>
      <c r="BV34" s="985" t="str">
        <f t="shared" si="421"/>
        <v/>
      </c>
      <c r="BW34" s="985" t="str">
        <f t="shared" si="421"/>
        <v/>
      </c>
      <c r="BX34" s="985" t="str">
        <f t="shared" si="421"/>
        <v/>
      </c>
      <c r="BY34" s="985" t="str">
        <f t="shared" si="421"/>
        <v/>
      </c>
      <c r="BZ34" s="985" t="str">
        <f t="shared" si="421"/>
        <v/>
      </c>
      <c r="CA34" s="985" t="str">
        <f t="shared" si="421"/>
        <v/>
      </c>
      <c r="CB34" s="985" t="str">
        <f t="shared" si="421"/>
        <v/>
      </c>
      <c r="CC34" s="985" t="str">
        <f t="shared" si="421"/>
        <v/>
      </c>
      <c r="CD34" s="985" t="str">
        <f t="shared" si="421"/>
        <v/>
      </c>
      <c r="CE34" s="985" t="str">
        <f t="shared" si="421"/>
        <v/>
      </c>
      <c r="CF34" s="985" t="str">
        <f t="shared" si="421"/>
        <v/>
      </c>
      <c r="CG34" s="987"/>
      <c r="CH34" s="985" t="str">
        <f t="shared" si="353"/>
        <v/>
      </c>
      <c r="CI34" s="985" t="str">
        <f t="shared" si="353"/>
        <v/>
      </c>
      <c r="CJ34" s="985" t="str">
        <f t="shared" si="353"/>
        <v/>
      </c>
      <c r="CK34" s="985" t="str">
        <f t="shared" si="353"/>
        <v/>
      </c>
      <c r="CL34" s="985" t="str">
        <f t="shared" si="353"/>
        <v/>
      </c>
      <c r="CM34" s="985" t="str">
        <f t="shared" si="353"/>
        <v/>
      </c>
      <c r="CN34" s="985" t="str">
        <f t="shared" si="353"/>
        <v/>
      </c>
      <c r="CP34" s="988" t="str">
        <f t="shared" ref="CP34:DC34" si="422">IF(AND($I34&lt;&gt;"",OR($AF34="ELE",$AF34="ELD",$AF34="CX")),IF(AND($P34&gt;CO$8,$P34&lt;=CP$8),$K34,""),"")</f>
        <v/>
      </c>
      <c r="CQ34" s="988" t="str">
        <f t="shared" si="422"/>
        <v/>
      </c>
      <c r="CR34" s="988" t="str">
        <f t="shared" si="422"/>
        <v/>
      </c>
      <c r="CS34" s="988" t="str">
        <f t="shared" si="422"/>
        <v/>
      </c>
      <c r="CT34" s="988" t="str">
        <f t="shared" si="422"/>
        <v/>
      </c>
      <c r="CU34" s="988" t="str">
        <f t="shared" si="422"/>
        <v/>
      </c>
      <c r="CV34" s="988" t="str">
        <f t="shared" si="422"/>
        <v/>
      </c>
      <c r="CW34" s="988" t="str">
        <f t="shared" si="422"/>
        <v/>
      </c>
      <c r="CX34" s="988" t="str">
        <f t="shared" si="422"/>
        <v/>
      </c>
      <c r="CY34" s="988" t="str">
        <f t="shared" si="422"/>
        <v/>
      </c>
      <c r="CZ34" s="988" t="str">
        <f t="shared" si="422"/>
        <v/>
      </c>
      <c r="DA34" s="988" t="str">
        <f t="shared" si="422"/>
        <v/>
      </c>
      <c r="DB34" s="988" t="str">
        <f t="shared" si="422"/>
        <v/>
      </c>
      <c r="DC34" s="988" t="str">
        <f t="shared" si="422"/>
        <v/>
      </c>
      <c r="DE34" s="988">
        <f t="shared" ref="DE34:DR34" si="423">IF(AND($X34&lt;&gt;"",$AC34="CF"),IF(AND($P34&gt;DD$8,$P34&lt;=DE$8),$AB34,""),"")</f>
        <v>3084.8</v>
      </c>
      <c r="DF34" s="988" t="str">
        <f t="shared" si="423"/>
        <v/>
      </c>
      <c r="DG34" s="988" t="str">
        <f t="shared" si="423"/>
        <v/>
      </c>
      <c r="DH34" s="988" t="str">
        <f t="shared" si="423"/>
        <v/>
      </c>
      <c r="DI34" s="988" t="str">
        <f t="shared" si="423"/>
        <v/>
      </c>
      <c r="DJ34" s="988" t="str">
        <f t="shared" si="423"/>
        <v/>
      </c>
      <c r="DK34" s="988" t="str">
        <f t="shared" si="423"/>
        <v/>
      </c>
      <c r="DL34" s="988" t="str">
        <f t="shared" si="423"/>
        <v/>
      </c>
      <c r="DM34" s="988" t="str">
        <f t="shared" si="423"/>
        <v/>
      </c>
      <c r="DN34" s="988" t="str">
        <f t="shared" si="423"/>
        <v/>
      </c>
      <c r="DO34" s="988" t="str">
        <f t="shared" si="423"/>
        <v/>
      </c>
      <c r="DP34" s="988" t="str">
        <f t="shared" si="423"/>
        <v/>
      </c>
      <c r="DQ34" s="988" t="str">
        <f t="shared" si="423"/>
        <v/>
      </c>
      <c r="DR34" s="988" t="str">
        <f t="shared" si="423"/>
        <v/>
      </c>
      <c r="DT34" s="988" t="str">
        <f t="shared" ref="DT34:EG34" si="424">IF(AND($X34&lt;&gt;"",$AC34="CA"),IF(AND($P34&gt;DS$8,$P34&lt;=DT$8),$AB34,""),"")</f>
        <v/>
      </c>
      <c r="DU34" s="988" t="str">
        <f t="shared" si="424"/>
        <v/>
      </c>
      <c r="DV34" s="988" t="str">
        <f t="shared" si="424"/>
        <v/>
      </c>
      <c r="DW34" s="988" t="str">
        <f t="shared" si="424"/>
        <v/>
      </c>
      <c r="DX34" s="988" t="str">
        <f t="shared" si="424"/>
        <v/>
      </c>
      <c r="DY34" s="988" t="str">
        <f t="shared" si="424"/>
        <v/>
      </c>
      <c r="DZ34" s="988" t="str">
        <f t="shared" si="424"/>
        <v/>
      </c>
      <c r="EA34" s="988" t="str">
        <f t="shared" si="424"/>
        <v/>
      </c>
      <c r="EB34" s="988" t="str">
        <f t="shared" si="424"/>
        <v/>
      </c>
      <c r="EC34" s="988" t="str">
        <f t="shared" si="424"/>
        <v/>
      </c>
      <c r="ED34" s="988" t="str">
        <f t="shared" si="424"/>
        <v/>
      </c>
      <c r="EE34" s="988" t="str">
        <f t="shared" si="424"/>
        <v/>
      </c>
      <c r="EF34" s="988" t="str">
        <f t="shared" si="424"/>
        <v/>
      </c>
      <c r="EG34" s="988" t="str">
        <f t="shared" si="424"/>
        <v/>
      </c>
      <c r="EI34" s="988" t="str">
        <f t="shared" ref="EI34:EV34" si="425">IF($AE34="BFC",IF(AND($P34&gt;EH$8,$P34&lt;=EI$8),$AB34,""),"")</f>
        <v/>
      </c>
      <c r="EJ34" s="988" t="str">
        <f t="shared" si="425"/>
        <v/>
      </c>
      <c r="EK34" s="988" t="str">
        <f t="shared" si="425"/>
        <v/>
      </c>
      <c r="EL34" s="988" t="str">
        <f t="shared" si="425"/>
        <v/>
      </c>
      <c r="EM34" s="988" t="str">
        <f t="shared" si="425"/>
        <v/>
      </c>
      <c r="EN34" s="988" t="str">
        <f t="shared" si="425"/>
        <v/>
      </c>
      <c r="EO34" s="988" t="str">
        <f t="shared" si="425"/>
        <v/>
      </c>
      <c r="EP34" s="988" t="str">
        <f t="shared" si="425"/>
        <v/>
      </c>
      <c r="EQ34" s="988" t="str">
        <f t="shared" si="425"/>
        <v/>
      </c>
      <c r="ER34" s="988" t="str">
        <f t="shared" si="425"/>
        <v/>
      </c>
      <c r="ES34" s="988" t="str">
        <f t="shared" si="425"/>
        <v/>
      </c>
      <c r="ET34" s="988" t="str">
        <f t="shared" si="425"/>
        <v/>
      </c>
      <c r="EU34" s="988" t="str">
        <f t="shared" si="425"/>
        <v/>
      </c>
      <c r="EV34" s="988" t="str">
        <f t="shared" si="425"/>
        <v/>
      </c>
      <c r="EX34" s="988" t="str">
        <f t="shared" ref="EX34:FK34" si="426">IF($AE34="BFN",IF(AND($P34&gt;EW$8,$P34&lt;=EX$8),$AB34,""),"")</f>
        <v/>
      </c>
      <c r="EY34" s="988" t="str">
        <f t="shared" si="426"/>
        <v/>
      </c>
      <c r="EZ34" s="988" t="str">
        <f t="shared" si="426"/>
        <v/>
      </c>
      <c r="FA34" s="988" t="str">
        <f t="shared" si="426"/>
        <v/>
      </c>
      <c r="FB34" s="988" t="str">
        <f t="shared" si="426"/>
        <v/>
      </c>
      <c r="FC34" s="988" t="str">
        <f t="shared" si="426"/>
        <v/>
      </c>
      <c r="FD34" s="988" t="str">
        <f t="shared" si="426"/>
        <v/>
      </c>
      <c r="FE34" s="988" t="str">
        <f t="shared" si="426"/>
        <v/>
      </c>
      <c r="FF34" s="988" t="str">
        <f t="shared" si="426"/>
        <v/>
      </c>
      <c r="FG34" s="988" t="str">
        <f t="shared" si="426"/>
        <v/>
      </c>
      <c r="FH34" s="988" t="str">
        <f t="shared" si="426"/>
        <v/>
      </c>
      <c r="FI34" s="988" t="str">
        <f t="shared" si="426"/>
        <v/>
      </c>
      <c r="FJ34" s="988" t="str">
        <f t="shared" si="426"/>
        <v/>
      </c>
      <c r="FK34" s="988" t="str">
        <f t="shared" si="426"/>
        <v/>
      </c>
      <c r="FM34" s="988" t="str">
        <f t="shared" ref="FM34:FZ34" si="427">IF(AND($I34&lt;&gt;"",$AF34="RCS"),IF(AND($P34&gt;FL$8,$P34&lt;=FM$8),SUM($K34:$M34),""),"")</f>
        <v/>
      </c>
      <c r="FN34" s="988" t="str">
        <f t="shared" si="427"/>
        <v/>
      </c>
      <c r="FO34" s="988" t="str">
        <f t="shared" si="427"/>
        <v/>
      </c>
      <c r="FP34" s="988" t="str">
        <f t="shared" si="427"/>
        <v/>
      </c>
      <c r="FQ34" s="988" t="str">
        <f t="shared" si="427"/>
        <v/>
      </c>
      <c r="FR34" s="988" t="str">
        <f t="shared" si="427"/>
        <v/>
      </c>
      <c r="FS34" s="988" t="str">
        <f t="shared" si="427"/>
        <v/>
      </c>
      <c r="FT34" s="988" t="str">
        <f t="shared" si="427"/>
        <v/>
      </c>
      <c r="FU34" s="988" t="str">
        <f t="shared" si="427"/>
        <v/>
      </c>
      <c r="FV34" s="988" t="str">
        <f t="shared" si="427"/>
        <v/>
      </c>
      <c r="FW34" s="988" t="str">
        <f t="shared" si="427"/>
        <v/>
      </c>
      <c r="FX34" s="988" t="str">
        <f t="shared" si="427"/>
        <v/>
      </c>
      <c r="FY34" s="988" t="str">
        <f t="shared" si="427"/>
        <v/>
      </c>
      <c r="FZ34" s="988" t="str">
        <f t="shared" si="427"/>
        <v/>
      </c>
      <c r="GB34" s="988" t="str">
        <f t="shared" ref="GB34:GO34" si="428">IF(AND($I34&lt;&gt;"",$AF34="REC"),IF(AND($P34&gt;GA$8,$P34&lt;=GB$8),SUM($K34:$M34),""),"")</f>
        <v/>
      </c>
      <c r="GC34" s="988" t="str">
        <f t="shared" si="428"/>
        <v/>
      </c>
      <c r="GD34" s="988" t="str">
        <f t="shared" si="428"/>
        <v/>
      </c>
      <c r="GE34" s="988" t="str">
        <f t="shared" si="428"/>
        <v/>
      </c>
      <c r="GF34" s="988" t="str">
        <f t="shared" si="428"/>
        <v/>
      </c>
      <c r="GG34" s="988" t="str">
        <f t="shared" si="428"/>
        <v/>
      </c>
      <c r="GH34" s="988" t="str">
        <f t="shared" si="428"/>
        <v/>
      </c>
      <c r="GI34" s="988" t="str">
        <f t="shared" si="428"/>
        <v/>
      </c>
      <c r="GJ34" s="988" t="str">
        <f t="shared" si="428"/>
        <v/>
      </c>
      <c r="GK34" s="988" t="str">
        <f t="shared" si="428"/>
        <v/>
      </c>
      <c r="GL34" s="988" t="str">
        <f t="shared" si="428"/>
        <v/>
      </c>
      <c r="GM34" s="988" t="str">
        <f t="shared" si="428"/>
        <v/>
      </c>
      <c r="GN34" s="988" t="str">
        <f t="shared" si="428"/>
        <v/>
      </c>
      <c r="GO34" s="988" t="str">
        <f t="shared" si="428"/>
        <v/>
      </c>
      <c r="GQ34" s="988">
        <f t="shared" ref="GQ34:HD34" si="429">IF(AND($I34&lt;&gt;"",$AF34="REB"),IF(AND($P34&gt;GP$8,$P34&lt;=GQ$8),SUM($K34:$M34),""),"")</f>
        <v>3084.8</v>
      </c>
      <c r="GR34" s="988" t="str">
        <f t="shared" si="429"/>
        <v/>
      </c>
      <c r="GS34" s="988" t="str">
        <f t="shared" si="429"/>
        <v/>
      </c>
      <c r="GT34" s="988" t="str">
        <f t="shared" si="429"/>
        <v/>
      </c>
      <c r="GU34" s="988" t="str">
        <f t="shared" si="429"/>
        <v/>
      </c>
      <c r="GV34" s="988" t="str">
        <f t="shared" si="429"/>
        <v/>
      </c>
      <c r="GW34" s="988" t="str">
        <f t="shared" si="429"/>
        <v/>
      </c>
      <c r="GX34" s="988" t="str">
        <f t="shared" si="429"/>
        <v/>
      </c>
      <c r="GY34" s="988" t="str">
        <f t="shared" si="429"/>
        <v/>
      </c>
      <c r="GZ34" s="988" t="str">
        <f t="shared" si="429"/>
        <v/>
      </c>
      <c r="HA34" s="988" t="str">
        <f t="shared" si="429"/>
        <v/>
      </c>
      <c r="HB34" s="988" t="str">
        <f t="shared" si="429"/>
        <v/>
      </c>
      <c r="HC34" s="988" t="str">
        <f t="shared" si="429"/>
        <v/>
      </c>
      <c r="HD34" s="988" t="str">
        <f t="shared" si="429"/>
        <v/>
      </c>
      <c r="HF34" s="988" t="str">
        <f t="shared" ref="HF34:HS34" si="430">IF(AND($I34&lt;&gt;"",$AF34="RBS"),IF(AND($P34&gt;HE$8,$P34&lt;=HF$8),SUM($K34:$M34),""),"")</f>
        <v/>
      </c>
      <c r="HG34" s="988" t="str">
        <f t="shared" si="430"/>
        <v/>
      </c>
      <c r="HH34" s="988" t="str">
        <f t="shared" si="430"/>
        <v/>
      </c>
      <c r="HI34" s="988" t="str">
        <f t="shared" si="430"/>
        <v/>
      </c>
      <c r="HJ34" s="988" t="str">
        <f t="shared" si="430"/>
        <v/>
      </c>
      <c r="HK34" s="988" t="str">
        <f t="shared" si="430"/>
        <v/>
      </c>
      <c r="HL34" s="988" t="str">
        <f t="shared" si="430"/>
        <v/>
      </c>
      <c r="HM34" s="988" t="str">
        <f t="shared" si="430"/>
        <v/>
      </c>
      <c r="HN34" s="988" t="str">
        <f t="shared" si="430"/>
        <v/>
      </c>
      <c r="HO34" s="988" t="str">
        <f t="shared" si="430"/>
        <v/>
      </c>
      <c r="HP34" s="988" t="str">
        <f t="shared" si="430"/>
        <v/>
      </c>
      <c r="HQ34" s="988" t="str">
        <f t="shared" si="430"/>
        <v/>
      </c>
      <c r="HR34" s="988" t="str">
        <f t="shared" si="430"/>
        <v/>
      </c>
      <c r="HS34" s="988" t="str">
        <f t="shared" si="430"/>
        <v/>
      </c>
      <c r="HU34" s="988" t="str">
        <f t="shared" ref="HU34:IH34" si="431">IF(AND($I34&lt;&gt;"",$AF34="RCD"),IF(AND($P34&gt;HT$8,$P34&lt;=HU$8),SUM($K34:$M34),""),"")</f>
        <v/>
      </c>
      <c r="HV34" s="988" t="str">
        <f t="shared" si="431"/>
        <v/>
      </c>
      <c r="HW34" s="988" t="str">
        <f t="shared" si="431"/>
        <v/>
      </c>
      <c r="HX34" s="988" t="str">
        <f t="shared" si="431"/>
        <v/>
      </c>
      <c r="HY34" s="988" t="str">
        <f t="shared" si="431"/>
        <v/>
      </c>
      <c r="HZ34" s="988" t="str">
        <f t="shared" si="431"/>
        <v/>
      </c>
      <c r="IA34" s="988" t="str">
        <f t="shared" si="431"/>
        <v/>
      </c>
      <c r="IB34" s="988" t="str">
        <f t="shared" si="431"/>
        <v/>
      </c>
      <c r="IC34" s="988" t="str">
        <f t="shared" si="431"/>
        <v/>
      </c>
      <c r="ID34" s="988" t="str">
        <f t="shared" si="431"/>
        <v/>
      </c>
      <c r="IE34" s="988" t="str">
        <f t="shared" si="431"/>
        <v/>
      </c>
      <c r="IF34" s="988" t="str">
        <f t="shared" si="431"/>
        <v/>
      </c>
      <c r="IG34" s="988" t="str">
        <f t="shared" si="431"/>
        <v/>
      </c>
      <c r="IH34" s="988" t="str">
        <f t="shared" si="431"/>
        <v/>
      </c>
      <c r="IJ34" s="985">
        <f t="shared" ref="IJ34:IW34" si="432">IF(AND($I34&lt;&gt;""),IF(AND($P34&gt;II$8,$P34&lt;=IJ$8),$K34,""),"")</f>
        <v>3084.8</v>
      </c>
      <c r="IK34" s="985" t="str">
        <f t="shared" si="432"/>
        <v/>
      </c>
      <c r="IL34" s="985" t="str">
        <f t="shared" si="432"/>
        <v/>
      </c>
      <c r="IM34" s="985" t="str">
        <f t="shared" si="432"/>
        <v/>
      </c>
      <c r="IN34" s="985" t="str">
        <f t="shared" si="432"/>
        <v/>
      </c>
      <c r="IO34" s="985" t="str">
        <f t="shared" si="432"/>
        <v/>
      </c>
      <c r="IP34" s="985" t="str">
        <f t="shared" si="432"/>
        <v/>
      </c>
      <c r="IQ34" s="985" t="str">
        <f t="shared" si="432"/>
        <v/>
      </c>
      <c r="IR34" s="985" t="str">
        <f t="shared" si="432"/>
        <v/>
      </c>
      <c r="IS34" s="985" t="str">
        <f t="shared" si="432"/>
        <v/>
      </c>
      <c r="IT34" s="985" t="str">
        <f t="shared" si="432"/>
        <v/>
      </c>
      <c r="IU34" s="985" t="str">
        <f t="shared" si="432"/>
        <v/>
      </c>
      <c r="IV34" s="985" t="str">
        <f t="shared" si="432"/>
        <v/>
      </c>
      <c r="IW34" s="985" t="str">
        <f t="shared" si="432"/>
        <v/>
      </c>
      <c r="IX34" s="987"/>
      <c r="IY34" s="985">
        <f t="shared" ref="IY34:JL34" si="433">IF(AND($I34&lt;&gt;""),IF(AND($P34&gt;IX$8,$P34&lt;=IY$8),$L34,""),"")</f>
        <v>0</v>
      </c>
      <c r="IZ34" s="985" t="str">
        <f t="shared" si="433"/>
        <v/>
      </c>
      <c r="JA34" s="985" t="str">
        <f t="shared" si="433"/>
        <v/>
      </c>
      <c r="JB34" s="985" t="str">
        <f t="shared" si="433"/>
        <v/>
      </c>
      <c r="JC34" s="985" t="str">
        <f t="shared" si="433"/>
        <v/>
      </c>
      <c r="JD34" s="985" t="str">
        <f t="shared" si="433"/>
        <v/>
      </c>
      <c r="JE34" s="985" t="str">
        <f t="shared" si="433"/>
        <v/>
      </c>
      <c r="JF34" s="985" t="str">
        <f t="shared" si="433"/>
        <v/>
      </c>
      <c r="JG34" s="985" t="str">
        <f t="shared" si="433"/>
        <v/>
      </c>
      <c r="JH34" s="985" t="str">
        <f t="shared" si="433"/>
        <v/>
      </c>
      <c r="JI34" s="985" t="str">
        <f t="shared" si="433"/>
        <v/>
      </c>
      <c r="JJ34" s="985" t="str">
        <f t="shared" si="433"/>
        <v/>
      </c>
      <c r="JK34" s="985" t="str">
        <f t="shared" si="433"/>
        <v/>
      </c>
      <c r="JL34" s="985" t="str">
        <f t="shared" si="433"/>
        <v/>
      </c>
      <c r="JM34" s="987"/>
      <c r="JN34" s="985">
        <f t="shared" ref="JN34:KA34" si="434">IF(AND($I34&lt;&gt;""),IF(AND($P34&gt;JM$8,$P34&lt;=JN$8),$M34,""),"")</f>
        <v>0</v>
      </c>
      <c r="JO34" s="985" t="str">
        <f t="shared" si="434"/>
        <v/>
      </c>
      <c r="JP34" s="985" t="str">
        <f t="shared" si="434"/>
        <v/>
      </c>
      <c r="JQ34" s="985" t="str">
        <f t="shared" si="434"/>
        <v/>
      </c>
      <c r="JR34" s="985" t="str">
        <f t="shared" si="434"/>
        <v/>
      </c>
      <c r="JS34" s="985" t="str">
        <f t="shared" si="434"/>
        <v/>
      </c>
      <c r="JT34" s="985" t="str">
        <f t="shared" si="434"/>
        <v/>
      </c>
      <c r="JU34" s="985" t="str">
        <f t="shared" si="434"/>
        <v/>
      </c>
      <c r="JV34" s="985" t="str">
        <f t="shared" si="434"/>
        <v/>
      </c>
      <c r="JW34" s="985" t="str">
        <f t="shared" si="434"/>
        <v/>
      </c>
      <c r="JX34" s="985" t="str">
        <f t="shared" si="434"/>
        <v/>
      </c>
      <c r="JY34" s="985" t="str">
        <f t="shared" si="434"/>
        <v/>
      </c>
      <c r="JZ34" s="985" t="str">
        <f t="shared" si="434"/>
        <v/>
      </c>
      <c r="KA34" s="985" t="str">
        <f t="shared" si="434"/>
        <v/>
      </c>
      <c r="KB34" s="987"/>
      <c r="KC34" s="985">
        <f t="shared" ref="KC34:KP34" si="435">IF(AND($I34&lt;&gt;""),IF(AND($P34&gt;KB$8,$P34&lt;=KC$8),$N34,""),"")</f>
        <v>0</v>
      </c>
      <c r="KD34" s="985" t="str">
        <f t="shared" si="435"/>
        <v/>
      </c>
      <c r="KE34" s="985" t="str">
        <f t="shared" si="435"/>
        <v/>
      </c>
      <c r="KF34" s="985" t="str">
        <f t="shared" si="435"/>
        <v/>
      </c>
      <c r="KG34" s="985" t="str">
        <f t="shared" si="435"/>
        <v/>
      </c>
      <c r="KH34" s="985" t="str">
        <f t="shared" si="435"/>
        <v/>
      </c>
      <c r="KI34" s="985" t="str">
        <f t="shared" si="435"/>
        <v/>
      </c>
      <c r="KJ34" s="985" t="str">
        <f t="shared" si="435"/>
        <v/>
      </c>
      <c r="KK34" s="985" t="str">
        <f t="shared" si="435"/>
        <v/>
      </c>
      <c r="KL34" s="985" t="str">
        <f t="shared" si="435"/>
        <v/>
      </c>
      <c r="KM34" s="985" t="str">
        <f t="shared" si="435"/>
        <v/>
      </c>
      <c r="KN34" s="985" t="str">
        <f t="shared" si="435"/>
        <v/>
      </c>
      <c r="KO34" s="985" t="str">
        <f t="shared" si="435"/>
        <v/>
      </c>
      <c r="KP34" s="985" t="str">
        <f t="shared" si="435"/>
        <v/>
      </c>
    </row>
    <row r="35" spans="2:302" ht="18" customHeight="1">
      <c r="B35" s="978">
        <f t="shared" si="0"/>
        <v>120.5</v>
      </c>
      <c r="C35" s="979" t="s">
        <v>724</v>
      </c>
      <c r="D35" s="979" t="s">
        <v>605</v>
      </c>
      <c r="E35" s="980">
        <v>10</v>
      </c>
      <c r="F35" s="979" t="s">
        <v>728</v>
      </c>
      <c r="G35" s="979" t="s">
        <v>605</v>
      </c>
      <c r="H35" s="980">
        <v>10</v>
      </c>
      <c r="I35" s="979" t="s">
        <v>840</v>
      </c>
      <c r="J35" s="979"/>
      <c r="K35" s="980">
        <v>1.31</v>
      </c>
      <c r="L35" s="980"/>
      <c r="M35" s="980"/>
      <c r="N35" s="980"/>
      <c r="O35" s="980"/>
      <c r="P35" s="981">
        <v>0.02</v>
      </c>
      <c r="Q35" s="981">
        <f t="shared" si="1"/>
        <v>2.6200000000000001E-2</v>
      </c>
      <c r="R35" s="979" t="s">
        <v>724</v>
      </c>
      <c r="S35" s="979" t="s">
        <v>605</v>
      </c>
      <c r="T35" s="980">
        <v>10</v>
      </c>
      <c r="U35" s="979" t="s">
        <v>728</v>
      </c>
      <c r="V35" s="979" t="s">
        <v>605</v>
      </c>
      <c r="W35" s="980">
        <v>10</v>
      </c>
      <c r="X35" s="979" t="s">
        <v>840</v>
      </c>
      <c r="Y35" s="979"/>
      <c r="Z35" s="979"/>
      <c r="AA35" s="980">
        <v>1.3</v>
      </c>
      <c r="AB35" s="980">
        <f t="shared" si="2"/>
        <v>1.0076923076923077</v>
      </c>
      <c r="AC35" s="982" t="s">
        <v>939</v>
      </c>
      <c r="AD35" s="953"/>
      <c r="AE35" s="983" t="str">
        <f t="shared" si="3"/>
        <v/>
      </c>
      <c r="AF35" s="984" t="str">
        <f t="shared" si="4"/>
        <v>CL</v>
      </c>
      <c r="AG35" s="963"/>
      <c r="AH35" s="985">
        <f t="shared" si="349"/>
        <v>1.31</v>
      </c>
      <c r="AI35" s="985" t="str">
        <f t="shared" si="349"/>
        <v/>
      </c>
      <c r="AJ35" s="985" t="str">
        <f t="shared" si="349"/>
        <v/>
      </c>
      <c r="AK35" s="985" t="str">
        <f t="shared" si="349"/>
        <v/>
      </c>
      <c r="AL35" s="985" t="str">
        <f t="shared" si="349"/>
        <v/>
      </c>
      <c r="AM35" s="985" t="str">
        <f t="shared" si="349"/>
        <v/>
      </c>
      <c r="AN35" s="985" t="str">
        <f t="shared" si="349"/>
        <v/>
      </c>
      <c r="AO35" s="985" t="str">
        <f t="shared" si="349"/>
        <v/>
      </c>
      <c r="AP35" s="986"/>
      <c r="AQ35" s="985" t="str">
        <f t="shared" ref="AQ35:BD35" si="436">IF(AND($I35&lt;&gt;"",$AF35="C"),IF(AND($P35&gt;AP$8,$P35&lt;=AQ$8),$K35,""),"")</f>
        <v/>
      </c>
      <c r="AR35" s="985" t="str">
        <f t="shared" si="436"/>
        <v/>
      </c>
      <c r="AS35" s="985" t="str">
        <f t="shared" si="436"/>
        <v/>
      </c>
      <c r="AT35" s="985" t="str">
        <f t="shared" si="436"/>
        <v/>
      </c>
      <c r="AU35" s="985" t="str">
        <f t="shared" si="436"/>
        <v/>
      </c>
      <c r="AV35" s="985" t="str">
        <f t="shared" si="436"/>
        <v/>
      </c>
      <c r="AW35" s="985" t="str">
        <f t="shared" si="436"/>
        <v/>
      </c>
      <c r="AX35" s="985" t="str">
        <f t="shared" si="436"/>
        <v/>
      </c>
      <c r="AY35" s="985" t="str">
        <f t="shared" si="436"/>
        <v/>
      </c>
      <c r="AZ35" s="985" t="str">
        <f t="shared" si="436"/>
        <v/>
      </c>
      <c r="BA35" s="985" t="str">
        <f t="shared" si="436"/>
        <v/>
      </c>
      <c r="BB35" s="985" t="str">
        <f t="shared" si="436"/>
        <v/>
      </c>
      <c r="BC35" s="985" t="str">
        <f t="shared" si="436"/>
        <v/>
      </c>
      <c r="BD35" s="985" t="str">
        <f t="shared" si="436"/>
        <v/>
      </c>
      <c r="BE35" s="987"/>
      <c r="BF35" s="985" t="str">
        <f t="shared" ref="BF35:BS35" si="437">IF(AND($I35&lt;&gt;"",$AF35="C"),IF(AND($P35&gt;BE$8,$P35&lt;=BF$8),$L35,""),"")</f>
        <v/>
      </c>
      <c r="BG35" s="985" t="str">
        <f t="shared" si="437"/>
        <v/>
      </c>
      <c r="BH35" s="985" t="str">
        <f t="shared" si="437"/>
        <v/>
      </c>
      <c r="BI35" s="985" t="str">
        <f t="shared" si="437"/>
        <v/>
      </c>
      <c r="BJ35" s="985" t="str">
        <f t="shared" si="437"/>
        <v/>
      </c>
      <c r="BK35" s="985" t="str">
        <f t="shared" si="437"/>
        <v/>
      </c>
      <c r="BL35" s="985" t="str">
        <f t="shared" si="437"/>
        <v/>
      </c>
      <c r="BM35" s="985" t="str">
        <f t="shared" si="437"/>
        <v/>
      </c>
      <c r="BN35" s="985" t="str">
        <f t="shared" si="437"/>
        <v/>
      </c>
      <c r="BO35" s="985" t="str">
        <f t="shared" si="437"/>
        <v/>
      </c>
      <c r="BP35" s="985" t="str">
        <f t="shared" si="437"/>
        <v/>
      </c>
      <c r="BQ35" s="985" t="str">
        <f t="shared" si="437"/>
        <v/>
      </c>
      <c r="BR35" s="985" t="str">
        <f t="shared" si="437"/>
        <v/>
      </c>
      <c r="BS35" s="985" t="str">
        <f t="shared" si="437"/>
        <v/>
      </c>
      <c r="BU35" s="985" t="str">
        <f t="shared" ref="BU35:CF35" si="438">IF(AND($I35&lt;&gt;"",$AF35="C"),IF(AND($P35&gt;BT$8,$P35&lt;=BU$8),$M35,""),"")</f>
        <v/>
      </c>
      <c r="BV35" s="985" t="str">
        <f t="shared" si="438"/>
        <v/>
      </c>
      <c r="BW35" s="985" t="str">
        <f t="shared" si="438"/>
        <v/>
      </c>
      <c r="BX35" s="985" t="str">
        <f t="shared" si="438"/>
        <v/>
      </c>
      <c r="BY35" s="985" t="str">
        <f t="shared" si="438"/>
        <v/>
      </c>
      <c r="BZ35" s="985" t="str">
        <f t="shared" si="438"/>
        <v/>
      </c>
      <c r="CA35" s="985" t="str">
        <f t="shared" si="438"/>
        <v/>
      </c>
      <c r="CB35" s="985" t="str">
        <f t="shared" si="438"/>
        <v/>
      </c>
      <c r="CC35" s="985" t="str">
        <f t="shared" si="438"/>
        <v/>
      </c>
      <c r="CD35" s="985" t="str">
        <f t="shared" si="438"/>
        <v/>
      </c>
      <c r="CE35" s="985" t="str">
        <f t="shared" si="438"/>
        <v/>
      </c>
      <c r="CF35" s="985" t="str">
        <f t="shared" si="438"/>
        <v/>
      </c>
      <c r="CG35" s="987"/>
      <c r="CH35" s="985" t="str">
        <f t="shared" si="353"/>
        <v/>
      </c>
      <c r="CI35" s="985" t="str">
        <f t="shared" si="353"/>
        <v/>
      </c>
      <c r="CJ35" s="985" t="str">
        <f t="shared" si="353"/>
        <v/>
      </c>
      <c r="CK35" s="985" t="str">
        <f t="shared" si="353"/>
        <v/>
      </c>
      <c r="CL35" s="985" t="str">
        <f t="shared" si="353"/>
        <v/>
      </c>
      <c r="CM35" s="985" t="str">
        <f t="shared" si="353"/>
        <v/>
      </c>
      <c r="CN35" s="985" t="str">
        <f t="shared" si="353"/>
        <v/>
      </c>
      <c r="CP35" s="988" t="str">
        <f t="shared" ref="CP35:DC35" si="439">IF(AND($I35&lt;&gt;"",OR($AF35="ELE",$AF35="ELD",$AF35="CX")),IF(AND($P35&gt;CO$8,$P35&lt;=CP$8),$K35,""),"")</f>
        <v/>
      </c>
      <c r="CQ35" s="988" t="str">
        <f t="shared" si="439"/>
        <v/>
      </c>
      <c r="CR35" s="988" t="str">
        <f t="shared" si="439"/>
        <v/>
      </c>
      <c r="CS35" s="988" t="str">
        <f t="shared" si="439"/>
        <v/>
      </c>
      <c r="CT35" s="988" t="str">
        <f t="shared" si="439"/>
        <v/>
      </c>
      <c r="CU35" s="988" t="str">
        <f t="shared" si="439"/>
        <v/>
      </c>
      <c r="CV35" s="988" t="str">
        <f t="shared" si="439"/>
        <v/>
      </c>
      <c r="CW35" s="988" t="str">
        <f t="shared" si="439"/>
        <v/>
      </c>
      <c r="CX35" s="988" t="str">
        <f t="shared" si="439"/>
        <v/>
      </c>
      <c r="CY35" s="988" t="str">
        <f t="shared" si="439"/>
        <v/>
      </c>
      <c r="CZ35" s="988" t="str">
        <f t="shared" si="439"/>
        <v/>
      </c>
      <c r="DA35" s="988" t="str">
        <f t="shared" si="439"/>
        <v/>
      </c>
      <c r="DB35" s="988" t="str">
        <f t="shared" si="439"/>
        <v/>
      </c>
      <c r="DC35" s="988" t="str">
        <f t="shared" si="439"/>
        <v/>
      </c>
      <c r="DE35" s="988">
        <f t="shared" ref="DE35:DR35" si="440">IF(AND($X35&lt;&gt;"",$AC35="CF"),IF(AND($P35&gt;DD$8,$P35&lt;=DE$8),$AB35,""),"")</f>
        <v>1.0076923076923077</v>
      </c>
      <c r="DF35" s="988" t="str">
        <f t="shared" si="440"/>
        <v/>
      </c>
      <c r="DG35" s="988" t="str">
        <f t="shared" si="440"/>
        <v/>
      </c>
      <c r="DH35" s="988" t="str">
        <f t="shared" si="440"/>
        <v/>
      </c>
      <c r="DI35" s="988" t="str">
        <f t="shared" si="440"/>
        <v/>
      </c>
      <c r="DJ35" s="988" t="str">
        <f t="shared" si="440"/>
        <v/>
      </c>
      <c r="DK35" s="988" t="str">
        <f t="shared" si="440"/>
        <v/>
      </c>
      <c r="DL35" s="988" t="str">
        <f t="shared" si="440"/>
        <v/>
      </c>
      <c r="DM35" s="988" t="str">
        <f t="shared" si="440"/>
        <v/>
      </c>
      <c r="DN35" s="988" t="str">
        <f t="shared" si="440"/>
        <v/>
      </c>
      <c r="DO35" s="988" t="str">
        <f t="shared" si="440"/>
        <v/>
      </c>
      <c r="DP35" s="988" t="str">
        <f t="shared" si="440"/>
        <v/>
      </c>
      <c r="DQ35" s="988" t="str">
        <f t="shared" si="440"/>
        <v/>
      </c>
      <c r="DR35" s="988" t="str">
        <f t="shared" si="440"/>
        <v/>
      </c>
      <c r="DT35" s="988" t="str">
        <f t="shared" ref="DT35:EG35" si="441">IF(AND($X35&lt;&gt;"",$AC35="CA"),IF(AND($P35&gt;DS$8,$P35&lt;=DT$8),$AB35,""),"")</f>
        <v/>
      </c>
      <c r="DU35" s="988" t="str">
        <f t="shared" si="441"/>
        <v/>
      </c>
      <c r="DV35" s="988" t="str">
        <f t="shared" si="441"/>
        <v/>
      </c>
      <c r="DW35" s="988" t="str">
        <f t="shared" si="441"/>
        <v/>
      </c>
      <c r="DX35" s="988" t="str">
        <f t="shared" si="441"/>
        <v/>
      </c>
      <c r="DY35" s="988" t="str">
        <f t="shared" si="441"/>
        <v/>
      </c>
      <c r="DZ35" s="988" t="str">
        <f t="shared" si="441"/>
        <v/>
      </c>
      <c r="EA35" s="988" t="str">
        <f t="shared" si="441"/>
        <v/>
      </c>
      <c r="EB35" s="988" t="str">
        <f t="shared" si="441"/>
        <v/>
      </c>
      <c r="EC35" s="988" t="str">
        <f t="shared" si="441"/>
        <v/>
      </c>
      <c r="ED35" s="988" t="str">
        <f t="shared" si="441"/>
        <v/>
      </c>
      <c r="EE35" s="988" t="str">
        <f t="shared" si="441"/>
        <v/>
      </c>
      <c r="EF35" s="988" t="str">
        <f t="shared" si="441"/>
        <v/>
      </c>
      <c r="EG35" s="988" t="str">
        <f t="shared" si="441"/>
        <v/>
      </c>
      <c r="EI35" s="988" t="str">
        <f t="shared" ref="EI35:EV35" si="442">IF($AE35="BFC",IF(AND($P35&gt;EH$8,$P35&lt;=EI$8),$AB35,""),"")</f>
        <v/>
      </c>
      <c r="EJ35" s="988" t="str">
        <f t="shared" si="442"/>
        <v/>
      </c>
      <c r="EK35" s="988" t="str">
        <f t="shared" si="442"/>
        <v/>
      </c>
      <c r="EL35" s="988" t="str">
        <f t="shared" si="442"/>
        <v/>
      </c>
      <c r="EM35" s="988" t="str">
        <f t="shared" si="442"/>
        <v/>
      </c>
      <c r="EN35" s="988" t="str">
        <f t="shared" si="442"/>
        <v/>
      </c>
      <c r="EO35" s="988" t="str">
        <f t="shared" si="442"/>
        <v/>
      </c>
      <c r="EP35" s="988" t="str">
        <f t="shared" si="442"/>
        <v/>
      </c>
      <c r="EQ35" s="988" t="str">
        <f t="shared" si="442"/>
        <v/>
      </c>
      <c r="ER35" s="988" t="str">
        <f t="shared" si="442"/>
        <v/>
      </c>
      <c r="ES35" s="988" t="str">
        <f t="shared" si="442"/>
        <v/>
      </c>
      <c r="ET35" s="988" t="str">
        <f t="shared" si="442"/>
        <v/>
      </c>
      <c r="EU35" s="988" t="str">
        <f t="shared" si="442"/>
        <v/>
      </c>
      <c r="EV35" s="988" t="str">
        <f t="shared" si="442"/>
        <v/>
      </c>
      <c r="EX35" s="988" t="str">
        <f t="shared" ref="EX35:FK35" si="443">IF($AE35="BFN",IF(AND($P35&gt;EW$8,$P35&lt;=EX$8),$AB35,""),"")</f>
        <v/>
      </c>
      <c r="EY35" s="988" t="str">
        <f t="shared" si="443"/>
        <v/>
      </c>
      <c r="EZ35" s="988" t="str">
        <f t="shared" si="443"/>
        <v/>
      </c>
      <c r="FA35" s="988" t="str">
        <f t="shared" si="443"/>
        <v/>
      </c>
      <c r="FB35" s="988" t="str">
        <f t="shared" si="443"/>
        <v/>
      </c>
      <c r="FC35" s="988" t="str">
        <f t="shared" si="443"/>
        <v/>
      </c>
      <c r="FD35" s="988" t="str">
        <f t="shared" si="443"/>
        <v/>
      </c>
      <c r="FE35" s="988" t="str">
        <f t="shared" si="443"/>
        <v/>
      </c>
      <c r="FF35" s="988" t="str">
        <f t="shared" si="443"/>
        <v/>
      </c>
      <c r="FG35" s="988" t="str">
        <f t="shared" si="443"/>
        <v/>
      </c>
      <c r="FH35" s="988" t="str">
        <f t="shared" si="443"/>
        <v/>
      </c>
      <c r="FI35" s="988" t="str">
        <f t="shared" si="443"/>
        <v/>
      </c>
      <c r="FJ35" s="988" t="str">
        <f t="shared" si="443"/>
        <v/>
      </c>
      <c r="FK35" s="988" t="str">
        <f t="shared" si="443"/>
        <v/>
      </c>
      <c r="FM35" s="988" t="str">
        <f t="shared" ref="FM35:FZ35" si="444">IF(AND($I35&lt;&gt;"",$AF35="RCS"),IF(AND($P35&gt;FL$8,$P35&lt;=FM$8),SUM($K35:$M35),""),"")</f>
        <v/>
      </c>
      <c r="FN35" s="988" t="str">
        <f t="shared" si="444"/>
        <v/>
      </c>
      <c r="FO35" s="988" t="str">
        <f t="shared" si="444"/>
        <v/>
      </c>
      <c r="FP35" s="988" t="str">
        <f t="shared" si="444"/>
        <v/>
      </c>
      <c r="FQ35" s="988" t="str">
        <f t="shared" si="444"/>
        <v/>
      </c>
      <c r="FR35" s="988" t="str">
        <f t="shared" si="444"/>
        <v/>
      </c>
      <c r="FS35" s="988" t="str">
        <f t="shared" si="444"/>
        <v/>
      </c>
      <c r="FT35" s="988" t="str">
        <f t="shared" si="444"/>
        <v/>
      </c>
      <c r="FU35" s="988" t="str">
        <f t="shared" si="444"/>
        <v/>
      </c>
      <c r="FV35" s="988" t="str">
        <f t="shared" si="444"/>
        <v/>
      </c>
      <c r="FW35" s="988" t="str">
        <f t="shared" si="444"/>
        <v/>
      </c>
      <c r="FX35" s="988" t="str">
        <f t="shared" si="444"/>
        <v/>
      </c>
      <c r="FY35" s="988" t="str">
        <f t="shared" si="444"/>
        <v/>
      </c>
      <c r="FZ35" s="988" t="str">
        <f t="shared" si="444"/>
        <v/>
      </c>
      <c r="GB35" s="988" t="str">
        <f t="shared" ref="GB35:GO35" si="445">IF(AND($I35&lt;&gt;"",$AF35="REC"),IF(AND($P35&gt;GA$8,$P35&lt;=GB$8),SUM($K35:$M35),""),"")</f>
        <v/>
      </c>
      <c r="GC35" s="988" t="str">
        <f t="shared" si="445"/>
        <v/>
      </c>
      <c r="GD35" s="988" t="str">
        <f t="shared" si="445"/>
        <v/>
      </c>
      <c r="GE35" s="988" t="str">
        <f t="shared" si="445"/>
        <v/>
      </c>
      <c r="GF35" s="988" t="str">
        <f t="shared" si="445"/>
        <v/>
      </c>
      <c r="GG35" s="988" t="str">
        <f t="shared" si="445"/>
        <v/>
      </c>
      <c r="GH35" s="988" t="str">
        <f t="shared" si="445"/>
        <v/>
      </c>
      <c r="GI35" s="988" t="str">
        <f t="shared" si="445"/>
        <v/>
      </c>
      <c r="GJ35" s="988" t="str">
        <f t="shared" si="445"/>
        <v/>
      </c>
      <c r="GK35" s="988" t="str">
        <f t="shared" si="445"/>
        <v/>
      </c>
      <c r="GL35" s="988" t="str">
        <f t="shared" si="445"/>
        <v/>
      </c>
      <c r="GM35" s="988" t="str">
        <f t="shared" si="445"/>
        <v/>
      </c>
      <c r="GN35" s="988" t="str">
        <f t="shared" si="445"/>
        <v/>
      </c>
      <c r="GO35" s="988" t="str">
        <f t="shared" si="445"/>
        <v/>
      </c>
      <c r="GQ35" s="988" t="str">
        <f t="shared" ref="GQ35:HD35" si="446">IF(AND($I35&lt;&gt;"",$AF35="REB"),IF(AND($P35&gt;GP$8,$P35&lt;=GQ$8),SUM($K35:$M35),""),"")</f>
        <v/>
      </c>
      <c r="GR35" s="988" t="str">
        <f t="shared" si="446"/>
        <v/>
      </c>
      <c r="GS35" s="988" t="str">
        <f t="shared" si="446"/>
        <v/>
      </c>
      <c r="GT35" s="988" t="str">
        <f t="shared" si="446"/>
        <v/>
      </c>
      <c r="GU35" s="988" t="str">
        <f t="shared" si="446"/>
        <v/>
      </c>
      <c r="GV35" s="988" t="str">
        <f t="shared" si="446"/>
        <v/>
      </c>
      <c r="GW35" s="988" t="str">
        <f t="shared" si="446"/>
        <v/>
      </c>
      <c r="GX35" s="988" t="str">
        <f t="shared" si="446"/>
        <v/>
      </c>
      <c r="GY35" s="988" t="str">
        <f t="shared" si="446"/>
        <v/>
      </c>
      <c r="GZ35" s="988" t="str">
        <f t="shared" si="446"/>
        <v/>
      </c>
      <c r="HA35" s="988" t="str">
        <f t="shared" si="446"/>
        <v/>
      </c>
      <c r="HB35" s="988" t="str">
        <f t="shared" si="446"/>
        <v/>
      </c>
      <c r="HC35" s="988" t="str">
        <f t="shared" si="446"/>
        <v/>
      </c>
      <c r="HD35" s="988" t="str">
        <f t="shared" si="446"/>
        <v/>
      </c>
      <c r="HF35" s="988" t="str">
        <f t="shared" ref="HF35:HS35" si="447">IF(AND($I35&lt;&gt;"",$AF35="RBS"),IF(AND($P35&gt;HE$8,$P35&lt;=HF$8),SUM($K35:$M35),""),"")</f>
        <v/>
      </c>
      <c r="HG35" s="988" t="str">
        <f t="shared" si="447"/>
        <v/>
      </c>
      <c r="HH35" s="988" t="str">
        <f t="shared" si="447"/>
        <v/>
      </c>
      <c r="HI35" s="988" t="str">
        <f t="shared" si="447"/>
        <v/>
      </c>
      <c r="HJ35" s="988" t="str">
        <f t="shared" si="447"/>
        <v/>
      </c>
      <c r="HK35" s="988" t="str">
        <f t="shared" si="447"/>
        <v/>
      </c>
      <c r="HL35" s="988" t="str">
        <f t="shared" si="447"/>
        <v/>
      </c>
      <c r="HM35" s="988" t="str">
        <f t="shared" si="447"/>
        <v/>
      </c>
      <c r="HN35" s="988" t="str">
        <f t="shared" si="447"/>
        <v/>
      </c>
      <c r="HO35" s="988" t="str">
        <f t="shared" si="447"/>
        <v/>
      </c>
      <c r="HP35" s="988" t="str">
        <f t="shared" si="447"/>
        <v/>
      </c>
      <c r="HQ35" s="988" t="str">
        <f t="shared" si="447"/>
        <v/>
      </c>
      <c r="HR35" s="988" t="str">
        <f t="shared" si="447"/>
        <v/>
      </c>
      <c r="HS35" s="988" t="str">
        <f t="shared" si="447"/>
        <v/>
      </c>
      <c r="HU35" s="988" t="str">
        <f t="shared" ref="HU35:IH35" si="448">IF(AND($I35&lt;&gt;"",$AF35="RCD"),IF(AND($P35&gt;HT$8,$P35&lt;=HU$8),SUM($K35:$M35),""),"")</f>
        <v/>
      </c>
      <c r="HV35" s="988" t="str">
        <f t="shared" si="448"/>
        <v/>
      </c>
      <c r="HW35" s="988" t="str">
        <f t="shared" si="448"/>
        <v/>
      </c>
      <c r="HX35" s="988" t="str">
        <f t="shared" si="448"/>
        <v/>
      </c>
      <c r="HY35" s="988" t="str">
        <f t="shared" si="448"/>
        <v/>
      </c>
      <c r="HZ35" s="988" t="str">
        <f t="shared" si="448"/>
        <v/>
      </c>
      <c r="IA35" s="988" t="str">
        <f t="shared" si="448"/>
        <v/>
      </c>
      <c r="IB35" s="988" t="str">
        <f t="shared" si="448"/>
        <v/>
      </c>
      <c r="IC35" s="988" t="str">
        <f t="shared" si="448"/>
        <v/>
      </c>
      <c r="ID35" s="988" t="str">
        <f t="shared" si="448"/>
        <v/>
      </c>
      <c r="IE35" s="988" t="str">
        <f t="shared" si="448"/>
        <v/>
      </c>
      <c r="IF35" s="988" t="str">
        <f t="shared" si="448"/>
        <v/>
      </c>
      <c r="IG35" s="988" t="str">
        <f t="shared" si="448"/>
        <v/>
      </c>
      <c r="IH35" s="988" t="str">
        <f t="shared" si="448"/>
        <v/>
      </c>
      <c r="IJ35" s="985">
        <f t="shared" ref="IJ35:IW35" si="449">IF(AND($I35&lt;&gt;""),IF(AND($P35&gt;II$8,$P35&lt;=IJ$8),$K35,""),"")</f>
        <v>1.31</v>
      </c>
      <c r="IK35" s="985" t="str">
        <f t="shared" si="449"/>
        <v/>
      </c>
      <c r="IL35" s="985" t="str">
        <f t="shared" si="449"/>
        <v/>
      </c>
      <c r="IM35" s="985" t="str">
        <f t="shared" si="449"/>
        <v/>
      </c>
      <c r="IN35" s="985" t="str">
        <f t="shared" si="449"/>
        <v/>
      </c>
      <c r="IO35" s="985" t="str">
        <f t="shared" si="449"/>
        <v/>
      </c>
      <c r="IP35" s="985" t="str">
        <f t="shared" si="449"/>
        <v/>
      </c>
      <c r="IQ35" s="985" t="str">
        <f t="shared" si="449"/>
        <v/>
      </c>
      <c r="IR35" s="985" t="str">
        <f t="shared" si="449"/>
        <v/>
      </c>
      <c r="IS35" s="985" t="str">
        <f t="shared" si="449"/>
        <v/>
      </c>
      <c r="IT35" s="985" t="str">
        <f t="shared" si="449"/>
        <v/>
      </c>
      <c r="IU35" s="985" t="str">
        <f t="shared" si="449"/>
        <v/>
      </c>
      <c r="IV35" s="985" t="str">
        <f t="shared" si="449"/>
        <v/>
      </c>
      <c r="IW35" s="985" t="str">
        <f t="shared" si="449"/>
        <v/>
      </c>
      <c r="IX35" s="987"/>
      <c r="IY35" s="985">
        <f t="shared" ref="IY35:JL35" si="450">IF(AND($I35&lt;&gt;""),IF(AND($P35&gt;IX$8,$P35&lt;=IY$8),$L35,""),"")</f>
        <v>0</v>
      </c>
      <c r="IZ35" s="985" t="str">
        <f t="shared" si="450"/>
        <v/>
      </c>
      <c r="JA35" s="985" t="str">
        <f t="shared" si="450"/>
        <v/>
      </c>
      <c r="JB35" s="985" t="str">
        <f t="shared" si="450"/>
        <v/>
      </c>
      <c r="JC35" s="985" t="str">
        <f t="shared" si="450"/>
        <v/>
      </c>
      <c r="JD35" s="985" t="str">
        <f t="shared" si="450"/>
        <v/>
      </c>
      <c r="JE35" s="985" t="str">
        <f t="shared" si="450"/>
        <v/>
      </c>
      <c r="JF35" s="985" t="str">
        <f t="shared" si="450"/>
        <v/>
      </c>
      <c r="JG35" s="985" t="str">
        <f t="shared" si="450"/>
        <v/>
      </c>
      <c r="JH35" s="985" t="str">
        <f t="shared" si="450"/>
        <v/>
      </c>
      <c r="JI35" s="985" t="str">
        <f t="shared" si="450"/>
        <v/>
      </c>
      <c r="JJ35" s="985" t="str">
        <f t="shared" si="450"/>
        <v/>
      </c>
      <c r="JK35" s="985" t="str">
        <f t="shared" si="450"/>
        <v/>
      </c>
      <c r="JL35" s="985" t="str">
        <f t="shared" si="450"/>
        <v/>
      </c>
      <c r="JM35" s="987"/>
      <c r="JN35" s="985">
        <f t="shared" ref="JN35:KA35" si="451">IF(AND($I35&lt;&gt;""),IF(AND($P35&gt;JM$8,$P35&lt;=JN$8),$M35,""),"")</f>
        <v>0</v>
      </c>
      <c r="JO35" s="985" t="str">
        <f t="shared" si="451"/>
        <v/>
      </c>
      <c r="JP35" s="985" t="str">
        <f t="shared" si="451"/>
        <v/>
      </c>
      <c r="JQ35" s="985" t="str">
        <f t="shared" si="451"/>
        <v/>
      </c>
      <c r="JR35" s="985" t="str">
        <f t="shared" si="451"/>
        <v/>
      </c>
      <c r="JS35" s="985" t="str">
        <f t="shared" si="451"/>
        <v/>
      </c>
      <c r="JT35" s="985" t="str">
        <f t="shared" si="451"/>
        <v/>
      </c>
      <c r="JU35" s="985" t="str">
        <f t="shared" si="451"/>
        <v/>
      </c>
      <c r="JV35" s="985" t="str">
        <f t="shared" si="451"/>
        <v/>
      </c>
      <c r="JW35" s="985" t="str">
        <f t="shared" si="451"/>
        <v/>
      </c>
      <c r="JX35" s="985" t="str">
        <f t="shared" si="451"/>
        <v/>
      </c>
      <c r="JY35" s="985" t="str">
        <f t="shared" si="451"/>
        <v/>
      </c>
      <c r="JZ35" s="985" t="str">
        <f t="shared" si="451"/>
        <v/>
      </c>
      <c r="KA35" s="985" t="str">
        <f t="shared" si="451"/>
        <v/>
      </c>
      <c r="KB35" s="987"/>
      <c r="KC35" s="985">
        <f t="shared" ref="KC35:KP35" si="452">IF(AND($I35&lt;&gt;""),IF(AND($P35&gt;KB$8,$P35&lt;=KC$8),$N35,""),"")</f>
        <v>0</v>
      </c>
      <c r="KD35" s="985" t="str">
        <f t="shared" si="452"/>
        <v/>
      </c>
      <c r="KE35" s="985" t="str">
        <f t="shared" si="452"/>
        <v/>
      </c>
      <c r="KF35" s="985" t="str">
        <f t="shared" si="452"/>
        <v/>
      </c>
      <c r="KG35" s="985" t="str">
        <f t="shared" si="452"/>
        <v/>
      </c>
      <c r="KH35" s="985" t="str">
        <f t="shared" si="452"/>
        <v/>
      </c>
      <c r="KI35" s="985" t="str">
        <f t="shared" si="452"/>
        <v/>
      </c>
      <c r="KJ35" s="985" t="str">
        <f t="shared" si="452"/>
        <v/>
      </c>
      <c r="KK35" s="985" t="str">
        <f t="shared" si="452"/>
        <v/>
      </c>
      <c r="KL35" s="985" t="str">
        <f t="shared" si="452"/>
        <v/>
      </c>
      <c r="KM35" s="985" t="str">
        <f t="shared" si="452"/>
        <v/>
      </c>
      <c r="KN35" s="985" t="str">
        <f t="shared" si="452"/>
        <v/>
      </c>
      <c r="KO35" s="985" t="str">
        <f t="shared" si="452"/>
        <v/>
      </c>
      <c r="KP35" s="985" t="str">
        <f t="shared" si="452"/>
        <v/>
      </c>
    </row>
    <row r="36" spans="2:302" ht="18" customHeight="1">
      <c r="B36" s="978">
        <f t="shared" si="0"/>
        <v>121.5</v>
      </c>
      <c r="C36" s="979" t="s">
        <v>724</v>
      </c>
      <c r="D36" s="979" t="s">
        <v>605</v>
      </c>
      <c r="E36" s="980">
        <v>0</v>
      </c>
      <c r="F36" s="979" t="s">
        <v>734</v>
      </c>
      <c r="G36" s="979" t="s">
        <v>605</v>
      </c>
      <c r="H36" s="980">
        <v>10</v>
      </c>
      <c r="I36" s="979" t="s">
        <v>837</v>
      </c>
      <c r="J36" s="979"/>
      <c r="K36" s="980">
        <v>142.56</v>
      </c>
      <c r="L36" s="980"/>
      <c r="M36" s="980"/>
      <c r="N36" s="980"/>
      <c r="O36" s="980"/>
      <c r="P36" s="981">
        <v>0.02</v>
      </c>
      <c r="Q36" s="981">
        <f t="shared" si="1"/>
        <v>2.8512</v>
      </c>
      <c r="R36" s="979" t="s">
        <v>724</v>
      </c>
      <c r="S36" s="979" t="s">
        <v>605</v>
      </c>
      <c r="T36" s="980">
        <v>0</v>
      </c>
      <c r="U36" s="979" t="s">
        <v>734</v>
      </c>
      <c r="V36" s="979" t="s">
        <v>605</v>
      </c>
      <c r="W36" s="980">
        <v>10</v>
      </c>
      <c r="X36" s="979" t="s">
        <v>837</v>
      </c>
      <c r="Y36" s="979"/>
      <c r="Z36" s="979"/>
      <c r="AA36" s="980">
        <v>1</v>
      </c>
      <c r="AB36" s="980">
        <f t="shared" si="2"/>
        <v>142.56</v>
      </c>
      <c r="AC36" s="982" t="s">
        <v>939</v>
      </c>
      <c r="AD36" s="953"/>
      <c r="AE36" s="983" t="str">
        <f t="shared" si="3"/>
        <v/>
      </c>
      <c r="AF36" s="984" t="str">
        <f t="shared" si="4"/>
        <v>REC</v>
      </c>
      <c r="AG36" s="963"/>
      <c r="AH36" s="985" t="str">
        <f t="shared" si="349"/>
        <v/>
      </c>
      <c r="AI36" s="985" t="str">
        <f t="shared" si="349"/>
        <v/>
      </c>
      <c r="AJ36" s="985" t="str">
        <f t="shared" si="349"/>
        <v/>
      </c>
      <c r="AK36" s="985" t="str">
        <f t="shared" si="349"/>
        <v/>
      </c>
      <c r="AL36" s="985" t="str">
        <f t="shared" si="349"/>
        <v/>
      </c>
      <c r="AM36" s="985" t="str">
        <f t="shared" si="349"/>
        <v/>
      </c>
      <c r="AN36" s="985" t="str">
        <f t="shared" si="349"/>
        <v/>
      </c>
      <c r="AO36" s="985" t="str">
        <f t="shared" si="349"/>
        <v/>
      </c>
      <c r="AP36" s="986"/>
      <c r="AQ36" s="985" t="str">
        <f t="shared" ref="AQ36:BD36" si="453">IF(AND($I36&lt;&gt;"",$AF36="C"),IF(AND($P36&gt;AP$8,$P36&lt;=AQ$8),$K36,""),"")</f>
        <v/>
      </c>
      <c r="AR36" s="985" t="str">
        <f t="shared" si="453"/>
        <v/>
      </c>
      <c r="AS36" s="985" t="str">
        <f t="shared" si="453"/>
        <v/>
      </c>
      <c r="AT36" s="985" t="str">
        <f t="shared" si="453"/>
        <v/>
      </c>
      <c r="AU36" s="985" t="str">
        <f t="shared" si="453"/>
        <v/>
      </c>
      <c r="AV36" s="985" t="str">
        <f t="shared" si="453"/>
        <v/>
      </c>
      <c r="AW36" s="985" t="str">
        <f t="shared" si="453"/>
        <v/>
      </c>
      <c r="AX36" s="985" t="str">
        <f t="shared" si="453"/>
        <v/>
      </c>
      <c r="AY36" s="985" t="str">
        <f t="shared" si="453"/>
        <v/>
      </c>
      <c r="AZ36" s="985" t="str">
        <f t="shared" si="453"/>
        <v/>
      </c>
      <c r="BA36" s="985" t="str">
        <f t="shared" si="453"/>
        <v/>
      </c>
      <c r="BB36" s="985" t="str">
        <f t="shared" si="453"/>
        <v/>
      </c>
      <c r="BC36" s="985" t="str">
        <f t="shared" si="453"/>
        <v/>
      </c>
      <c r="BD36" s="985" t="str">
        <f t="shared" si="453"/>
        <v/>
      </c>
      <c r="BE36" s="987"/>
      <c r="BF36" s="985" t="str">
        <f t="shared" ref="BF36:BS36" si="454">IF(AND($I36&lt;&gt;"",$AF36="C"),IF(AND($P36&gt;BE$8,$P36&lt;=BF$8),$L36,""),"")</f>
        <v/>
      </c>
      <c r="BG36" s="985" t="str">
        <f t="shared" si="454"/>
        <v/>
      </c>
      <c r="BH36" s="985" t="str">
        <f t="shared" si="454"/>
        <v/>
      </c>
      <c r="BI36" s="985" t="str">
        <f t="shared" si="454"/>
        <v/>
      </c>
      <c r="BJ36" s="985" t="str">
        <f t="shared" si="454"/>
        <v/>
      </c>
      <c r="BK36" s="985" t="str">
        <f t="shared" si="454"/>
        <v/>
      </c>
      <c r="BL36" s="985" t="str">
        <f t="shared" si="454"/>
        <v/>
      </c>
      <c r="BM36" s="985" t="str">
        <f t="shared" si="454"/>
        <v/>
      </c>
      <c r="BN36" s="985" t="str">
        <f t="shared" si="454"/>
        <v/>
      </c>
      <c r="BO36" s="985" t="str">
        <f t="shared" si="454"/>
        <v/>
      </c>
      <c r="BP36" s="985" t="str">
        <f t="shared" si="454"/>
        <v/>
      </c>
      <c r="BQ36" s="985" t="str">
        <f t="shared" si="454"/>
        <v/>
      </c>
      <c r="BR36" s="985" t="str">
        <f t="shared" si="454"/>
        <v/>
      </c>
      <c r="BS36" s="985" t="str">
        <f t="shared" si="454"/>
        <v/>
      </c>
      <c r="BU36" s="985" t="str">
        <f t="shared" ref="BU36:CF36" si="455">IF(AND($I36&lt;&gt;"",$AF36="C"),IF(AND($P36&gt;BT$8,$P36&lt;=BU$8),$M36,""),"")</f>
        <v/>
      </c>
      <c r="BV36" s="985" t="str">
        <f t="shared" si="455"/>
        <v/>
      </c>
      <c r="BW36" s="985" t="str">
        <f t="shared" si="455"/>
        <v/>
      </c>
      <c r="BX36" s="985" t="str">
        <f t="shared" si="455"/>
        <v/>
      </c>
      <c r="BY36" s="985" t="str">
        <f t="shared" si="455"/>
        <v/>
      </c>
      <c r="BZ36" s="985" t="str">
        <f t="shared" si="455"/>
        <v/>
      </c>
      <c r="CA36" s="985" t="str">
        <f t="shared" si="455"/>
        <v/>
      </c>
      <c r="CB36" s="985" t="str">
        <f t="shared" si="455"/>
        <v/>
      </c>
      <c r="CC36" s="985" t="str">
        <f t="shared" si="455"/>
        <v/>
      </c>
      <c r="CD36" s="985" t="str">
        <f t="shared" si="455"/>
        <v/>
      </c>
      <c r="CE36" s="985" t="str">
        <f t="shared" si="455"/>
        <v/>
      </c>
      <c r="CF36" s="985" t="str">
        <f t="shared" si="455"/>
        <v/>
      </c>
      <c r="CG36" s="987"/>
      <c r="CH36" s="985" t="str">
        <f t="shared" si="353"/>
        <v/>
      </c>
      <c r="CI36" s="985" t="str">
        <f t="shared" si="353"/>
        <v/>
      </c>
      <c r="CJ36" s="985" t="str">
        <f t="shared" si="353"/>
        <v/>
      </c>
      <c r="CK36" s="985" t="str">
        <f t="shared" si="353"/>
        <v/>
      </c>
      <c r="CL36" s="985" t="str">
        <f t="shared" si="353"/>
        <v/>
      </c>
      <c r="CM36" s="985" t="str">
        <f t="shared" si="353"/>
        <v/>
      </c>
      <c r="CN36" s="985" t="str">
        <f t="shared" si="353"/>
        <v/>
      </c>
      <c r="CP36" s="988" t="str">
        <f t="shared" ref="CP36:DC36" si="456">IF(AND($I36&lt;&gt;"",OR($AF36="ELE",$AF36="ELD",$AF36="CX")),IF(AND($P36&gt;CO$8,$P36&lt;=CP$8),$K36,""),"")</f>
        <v/>
      </c>
      <c r="CQ36" s="988" t="str">
        <f t="shared" si="456"/>
        <v/>
      </c>
      <c r="CR36" s="988" t="str">
        <f t="shared" si="456"/>
        <v/>
      </c>
      <c r="CS36" s="988" t="str">
        <f t="shared" si="456"/>
        <v/>
      </c>
      <c r="CT36" s="988" t="str">
        <f t="shared" si="456"/>
        <v/>
      </c>
      <c r="CU36" s="988" t="str">
        <f t="shared" si="456"/>
        <v/>
      </c>
      <c r="CV36" s="988" t="str">
        <f t="shared" si="456"/>
        <v/>
      </c>
      <c r="CW36" s="988" t="str">
        <f t="shared" si="456"/>
        <v/>
      </c>
      <c r="CX36" s="988" t="str">
        <f t="shared" si="456"/>
        <v/>
      </c>
      <c r="CY36" s="988" t="str">
        <f t="shared" si="456"/>
        <v/>
      </c>
      <c r="CZ36" s="988" t="str">
        <f t="shared" si="456"/>
        <v/>
      </c>
      <c r="DA36" s="988" t="str">
        <f t="shared" si="456"/>
        <v/>
      </c>
      <c r="DB36" s="988" t="str">
        <f t="shared" si="456"/>
        <v/>
      </c>
      <c r="DC36" s="988" t="str">
        <f t="shared" si="456"/>
        <v/>
      </c>
      <c r="DE36" s="988">
        <f t="shared" ref="DE36:DR36" si="457">IF(AND($X36&lt;&gt;"",$AC36="CF"),IF(AND($P36&gt;DD$8,$P36&lt;=DE$8),$AB36,""),"")</f>
        <v>142.56</v>
      </c>
      <c r="DF36" s="988" t="str">
        <f t="shared" si="457"/>
        <v/>
      </c>
      <c r="DG36" s="988" t="str">
        <f t="shared" si="457"/>
        <v/>
      </c>
      <c r="DH36" s="988" t="str">
        <f t="shared" si="457"/>
        <v/>
      </c>
      <c r="DI36" s="988" t="str">
        <f t="shared" si="457"/>
        <v/>
      </c>
      <c r="DJ36" s="988" t="str">
        <f t="shared" si="457"/>
        <v/>
      </c>
      <c r="DK36" s="988" t="str">
        <f t="shared" si="457"/>
        <v/>
      </c>
      <c r="DL36" s="988" t="str">
        <f t="shared" si="457"/>
        <v/>
      </c>
      <c r="DM36" s="988" t="str">
        <f t="shared" si="457"/>
        <v/>
      </c>
      <c r="DN36" s="988" t="str">
        <f t="shared" si="457"/>
        <v/>
      </c>
      <c r="DO36" s="988" t="str">
        <f t="shared" si="457"/>
        <v/>
      </c>
      <c r="DP36" s="988" t="str">
        <f t="shared" si="457"/>
        <v/>
      </c>
      <c r="DQ36" s="988" t="str">
        <f t="shared" si="457"/>
        <v/>
      </c>
      <c r="DR36" s="988" t="str">
        <f t="shared" si="457"/>
        <v/>
      </c>
      <c r="DT36" s="988" t="str">
        <f t="shared" ref="DT36:EG36" si="458">IF(AND($X36&lt;&gt;"",$AC36="CA"),IF(AND($P36&gt;DS$8,$P36&lt;=DT$8),$AB36,""),"")</f>
        <v/>
      </c>
      <c r="DU36" s="988" t="str">
        <f t="shared" si="458"/>
        <v/>
      </c>
      <c r="DV36" s="988" t="str">
        <f t="shared" si="458"/>
        <v/>
      </c>
      <c r="DW36" s="988" t="str">
        <f t="shared" si="458"/>
        <v/>
      </c>
      <c r="DX36" s="988" t="str">
        <f t="shared" si="458"/>
        <v/>
      </c>
      <c r="DY36" s="988" t="str">
        <f t="shared" si="458"/>
        <v/>
      </c>
      <c r="DZ36" s="988" t="str">
        <f t="shared" si="458"/>
        <v/>
      </c>
      <c r="EA36" s="988" t="str">
        <f t="shared" si="458"/>
        <v/>
      </c>
      <c r="EB36" s="988" t="str">
        <f t="shared" si="458"/>
        <v/>
      </c>
      <c r="EC36" s="988" t="str">
        <f t="shared" si="458"/>
        <v/>
      </c>
      <c r="ED36" s="988" t="str">
        <f t="shared" si="458"/>
        <v/>
      </c>
      <c r="EE36" s="988" t="str">
        <f t="shared" si="458"/>
        <v/>
      </c>
      <c r="EF36" s="988" t="str">
        <f t="shared" si="458"/>
        <v/>
      </c>
      <c r="EG36" s="988" t="str">
        <f t="shared" si="458"/>
        <v/>
      </c>
      <c r="EI36" s="988" t="str">
        <f t="shared" ref="EI36:EV36" si="459">IF($AE36="BFC",IF(AND($P36&gt;EH$8,$P36&lt;=EI$8),$AB36,""),"")</f>
        <v/>
      </c>
      <c r="EJ36" s="988" t="str">
        <f t="shared" si="459"/>
        <v/>
      </c>
      <c r="EK36" s="988" t="str">
        <f t="shared" si="459"/>
        <v/>
      </c>
      <c r="EL36" s="988" t="str">
        <f t="shared" si="459"/>
        <v/>
      </c>
      <c r="EM36" s="988" t="str">
        <f t="shared" si="459"/>
        <v/>
      </c>
      <c r="EN36" s="988" t="str">
        <f t="shared" si="459"/>
        <v/>
      </c>
      <c r="EO36" s="988" t="str">
        <f t="shared" si="459"/>
        <v/>
      </c>
      <c r="EP36" s="988" t="str">
        <f t="shared" si="459"/>
        <v/>
      </c>
      <c r="EQ36" s="988" t="str">
        <f t="shared" si="459"/>
        <v/>
      </c>
      <c r="ER36" s="988" t="str">
        <f t="shared" si="459"/>
        <v/>
      </c>
      <c r="ES36" s="988" t="str">
        <f t="shared" si="459"/>
        <v/>
      </c>
      <c r="ET36" s="988" t="str">
        <f t="shared" si="459"/>
        <v/>
      </c>
      <c r="EU36" s="988" t="str">
        <f t="shared" si="459"/>
        <v/>
      </c>
      <c r="EV36" s="988" t="str">
        <f t="shared" si="459"/>
        <v/>
      </c>
      <c r="EX36" s="988" t="str">
        <f t="shared" ref="EX36:FK36" si="460">IF($AE36="BFN",IF(AND($P36&gt;EW$8,$P36&lt;=EX$8),$AB36,""),"")</f>
        <v/>
      </c>
      <c r="EY36" s="988" t="str">
        <f t="shared" si="460"/>
        <v/>
      </c>
      <c r="EZ36" s="988" t="str">
        <f t="shared" si="460"/>
        <v/>
      </c>
      <c r="FA36" s="988" t="str">
        <f t="shared" si="460"/>
        <v/>
      </c>
      <c r="FB36" s="988" t="str">
        <f t="shared" si="460"/>
        <v/>
      </c>
      <c r="FC36" s="988" t="str">
        <f t="shared" si="460"/>
        <v/>
      </c>
      <c r="FD36" s="988" t="str">
        <f t="shared" si="460"/>
        <v/>
      </c>
      <c r="FE36" s="988" t="str">
        <f t="shared" si="460"/>
        <v/>
      </c>
      <c r="FF36" s="988" t="str">
        <f t="shared" si="460"/>
        <v/>
      </c>
      <c r="FG36" s="988" t="str">
        <f t="shared" si="460"/>
        <v/>
      </c>
      <c r="FH36" s="988" t="str">
        <f t="shared" si="460"/>
        <v/>
      </c>
      <c r="FI36" s="988" t="str">
        <f t="shared" si="460"/>
        <v/>
      </c>
      <c r="FJ36" s="988" t="str">
        <f t="shared" si="460"/>
        <v/>
      </c>
      <c r="FK36" s="988" t="str">
        <f t="shared" si="460"/>
        <v/>
      </c>
      <c r="FM36" s="988" t="str">
        <f t="shared" ref="FM36:FZ36" si="461">IF(AND($I36&lt;&gt;"",$AF36="RCS"),IF(AND($P36&gt;FL$8,$P36&lt;=FM$8),SUM($K36:$M36),""),"")</f>
        <v/>
      </c>
      <c r="FN36" s="988" t="str">
        <f t="shared" si="461"/>
        <v/>
      </c>
      <c r="FO36" s="988" t="str">
        <f t="shared" si="461"/>
        <v/>
      </c>
      <c r="FP36" s="988" t="str">
        <f t="shared" si="461"/>
        <v/>
      </c>
      <c r="FQ36" s="988" t="str">
        <f t="shared" si="461"/>
        <v/>
      </c>
      <c r="FR36" s="988" t="str">
        <f t="shared" si="461"/>
        <v/>
      </c>
      <c r="FS36" s="988" t="str">
        <f t="shared" si="461"/>
        <v/>
      </c>
      <c r="FT36" s="988" t="str">
        <f t="shared" si="461"/>
        <v/>
      </c>
      <c r="FU36" s="988" t="str">
        <f t="shared" si="461"/>
        <v/>
      </c>
      <c r="FV36" s="988" t="str">
        <f t="shared" si="461"/>
        <v/>
      </c>
      <c r="FW36" s="988" t="str">
        <f t="shared" si="461"/>
        <v/>
      </c>
      <c r="FX36" s="988" t="str">
        <f t="shared" si="461"/>
        <v/>
      </c>
      <c r="FY36" s="988" t="str">
        <f t="shared" si="461"/>
        <v/>
      </c>
      <c r="FZ36" s="988" t="str">
        <f t="shared" si="461"/>
        <v/>
      </c>
      <c r="GB36" s="988">
        <f t="shared" ref="GB36:GO36" si="462">IF(AND($I36&lt;&gt;"",$AF36="REC"),IF(AND($P36&gt;GA$8,$P36&lt;=GB$8),SUM($K36:$M36),""),"")</f>
        <v>142.56</v>
      </c>
      <c r="GC36" s="988" t="str">
        <f t="shared" si="462"/>
        <v/>
      </c>
      <c r="GD36" s="988" t="str">
        <f t="shared" si="462"/>
        <v/>
      </c>
      <c r="GE36" s="988" t="str">
        <f t="shared" si="462"/>
        <v/>
      </c>
      <c r="GF36" s="988" t="str">
        <f t="shared" si="462"/>
        <v/>
      </c>
      <c r="GG36" s="988" t="str">
        <f t="shared" si="462"/>
        <v/>
      </c>
      <c r="GH36" s="988" t="str">
        <f t="shared" si="462"/>
        <v/>
      </c>
      <c r="GI36" s="988" t="str">
        <f t="shared" si="462"/>
        <v/>
      </c>
      <c r="GJ36" s="988" t="str">
        <f t="shared" si="462"/>
        <v/>
      </c>
      <c r="GK36" s="988" t="str">
        <f t="shared" si="462"/>
        <v/>
      </c>
      <c r="GL36" s="988" t="str">
        <f t="shared" si="462"/>
        <v/>
      </c>
      <c r="GM36" s="988" t="str">
        <f t="shared" si="462"/>
        <v/>
      </c>
      <c r="GN36" s="988" t="str">
        <f t="shared" si="462"/>
        <v/>
      </c>
      <c r="GO36" s="988" t="str">
        <f t="shared" si="462"/>
        <v/>
      </c>
      <c r="GQ36" s="988" t="str">
        <f t="shared" ref="GQ36:HD36" si="463">IF(AND($I36&lt;&gt;"",$AF36="REB"),IF(AND($P36&gt;GP$8,$P36&lt;=GQ$8),SUM($K36:$M36),""),"")</f>
        <v/>
      </c>
      <c r="GR36" s="988" t="str">
        <f t="shared" si="463"/>
        <v/>
      </c>
      <c r="GS36" s="988" t="str">
        <f t="shared" si="463"/>
        <v/>
      </c>
      <c r="GT36" s="988" t="str">
        <f t="shared" si="463"/>
        <v/>
      </c>
      <c r="GU36" s="988" t="str">
        <f t="shared" si="463"/>
        <v/>
      </c>
      <c r="GV36" s="988" t="str">
        <f t="shared" si="463"/>
        <v/>
      </c>
      <c r="GW36" s="988" t="str">
        <f t="shared" si="463"/>
        <v/>
      </c>
      <c r="GX36" s="988" t="str">
        <f t="shared" si="463"/>
        <v/>
      </c>
      <c r="GY36" s="988" t="str">
        <f t="shared" si="463"/>
        <v/>
      </c>
      <c r="GZ36" s="988" t="str">
        <f t="shared" si="463"/>
        <v/>
      </c>
      <c r="HA36" s="988" t="str">
        <f t="shared" si="463"/>
        <v/>
      </c>
      <c r="HB36" s="988" t="str">
        <f t="shared" si="463"/>
        <v/>
      </c>
      <c r="HC36" s="988" t="str">
        <f t="shared" si="463"/>
        <v/>
      </c>
      <c r="HD36" s="988" t="str">
        <f t="shared" si="463"/>
        <v/>
      </c>
      <c r="HF36" s="988" t="str">
        <f t="shared" ref="HF36:HS36" si="464">IF(AND($I36&lt;&gt;"",$AF36="RBS"),IF(AND($P36&gt;HE$8,$P36&lt;=HF$8),SUM($K36:$M36),""),"")</f>
        <v/>
      </c>
      <c r="HG36" s="988" t="str">
        <f t="shared" si="464"/>
        <v/>
      </c>
      <c r="HH36" s="988" t="str">
        <f t="shared" si="464"/>
        <v/>
      </c>
      <c r="HI36" s="988" t="str">
        <f t="shared" si="464"/>
        <v/>
      </c>
      <c r="HJ36" s="988" t="str">
        <f t="shared" si="464"/>
        <v/>
      </c>
      <c r="HK36" s="988" t="str">
        <f t="shared" si="464"/>
        <v/>
      </c>
      <c r="HL36" s="988" t="str">
        <f t="shared" si="464"/>
        <v/>
      </c>
      <c r="HM36" s="988" t="str">
        <f t="shared" si="464"/>
        <v/>
      </c>
      <c r="HN36" s="988" t="str">
        <f t="shared" si="464"/>
        <v/>
      </c>
      <c r="HO36" s="988" t="str">
        <f t="shared" si="464"/>
        <v/>
      </c>
      <c r="HP36" s="988" t="str">
        <f t="shared" si="464"/>
        <v/>
      </c>
      <c r="HQ36" s="988" t="str">
        <f t="shared" si="464"/>
        <v/>
      </c>
      <c r="HR36" s="988" t="str">
        <f t="shared" si="464"/>
        <v/>
      </c>
      <c r="HS36" s="988" t="str">
        <f t="shared" si="464"/>
        <v/>
      </c>
      <c r="HU36" s="988" t="str">
        <f t="shared" ref="HU36:IH36" si="465">IF(AND($I36&lt;&gt;"",$AF36="RCD"),IF(AND($P36&gt;HT$8,$P36&lt;=HU$8),SUM($K36:$M36),""),"")</f>
        <v/>
      </c>
      <c r="HV36" s="988" t="str">
        <f t="shared" si="465"/>
        <v/>
      </c>
      <c r="HW36" s="988" t="str">
        <f t="shared" si="465"/>
        <v/>
      </c>
      <c r="HX36" s="988" t="str">
        <f t="shared" si="465"/>
        <v/>
      </c>
      <c r="HY36" s="988" t="str">
        <f t="shared" si="465"/>
        <v/>
      </c>
      <c r="HZ36" s="988" t="str">
        <f t="shared" si="465"/>
        <v/>
      </c>
      <c r="IA36" s="988" t="str">
        <f t="shared" si="465"/>
        <v/>
      </c>
      <c r="IB36" s="988" t="str">
        <f t="shared" si="465"/>
        <v/>
      </c>
      <c r="IC36" s="988" t="str">
        <f t="shared" si="465"/>
        <v/>
      </c>
      <c r="ID36" s="988" t="str">
        <f t="shared" si="465"/>
        <v/>
      </c>
      <c r="IE36" s="988" t="str">
        <f t="shared" si="465"/>
        <v/>
      </c>
      <c r="IF36" s="988" t="str">
        <f t="shared" si="465"/>
        <v/>
      </c>
      <c r="IG36" s="988" t="str">
        <f t="shared" si="465"/>
        <v/>
      </c>
      <c r="IH36" s="988" t="str">
        <f t="shared" si="465"/>
        <v/>
      </c>
      <c r="IJ36" s="985">
        <f t="shared" ref="IJ36:IW36" si="466">IF(AND($I36&lt;&gt;""),IF(AND($P36&gt;II$8,$P36&lt;=IJ$8),$K36,""),"")</f>
        <v>142.56</v>
      </c>
      <c r="IK36" s="985" t="str">
        <f t="shared" si="466"/>
        <v/>
      </c>
      <c r="IL36" s="985" t="str">
        <f t="shared" si="466"/>
        <v/>
      </c>
      <c r="IM36" s="985" t="str">
        <f t="shared" si="466"/>
        <v/>
      </c>
      <c r="IN36" s="985" t="str">
        <f t="shared" si="466"/>
        <v/>
      </c>
      <c r="IO36" s="985" t="str">
        <f t="shared" si="466"/>
        <v/>
      </c>
      <c r="IP36" s="985" t="str">
        <f t="shared" si="466"/>
        <v/>
      </c>
      <c r="IQ36" s="985" t="str">
        <f t="shared" si="466"/>
        <v/>
      </c>
      <c r="IR36" s="985" t="str">
        <f t="shared" si="466"/>
        <v/>
      </c>
      <c r="IS36" s="985" t="str">
        <f t="shared" si="466"/>
        <v/>
      </c>
      <c r="IT36" s="985" t="str">
        <f t="shared" si="466"/>
        <v/>
      </c>
      <c r="IU36" s="985" t="str">
        <f t="shared" si="466"/>
        <v/>
      </c>
      <c r="IV36" s="985" t="str">
        <f t="shared" si="466"/>
        <v/>
      </c>
      <c r="IW36" s="985" t="str">
        <f t="shared" si="466"/>
        <v/>
      </c>
      <c r="IX36" s="987"/>
      <c r="IY36" s="985">
        <f t="shared" ref="IY36:JL36" si="467">IF(AND($I36&lt;&gt;""),IF(AND($P36&gt;IX$8,$P36&lt;=IY$8),$L36,""),"")</f>
        <v>0</v>
      </c>
      <c r="IZ36" s="985" t="str">
        <f t="shared" si="467"/>
        <v/>
      </c>
      <c r="JA36" s="985" t="str">
        <f t="shared" si="467"/>
        <v/>
      </c>
      <c r="JB36" s="985" t="str">
        <f t="shared" si="467"/>
        <v/>
      </c>
      <c r="JC36" s="985" t="str">
        <f t="shared" si="467"/>
        <v/>
      </c>
      <c r="JD36" s="985" t="str">
        <f t="shared" si="467"/>
        <v/>
      </c>
      <c r="JE36" s="985" t="str">
        <f t="shared" si="467"/>
        <v/>
      </c>
      <c r="JF36" s="985" t="str">
        <f t="shared" si="467"/>
        <v/>
      </c>
      <c r="JG36" s="985" t="str">
        <f t="shared" si="467"/>
        <v/>
      </c>
      <c r="JH36" s="985" t="str">
        <f t="shared" si="467"/>
        <v/>
      </c>
      <c r="JI36" s="985" t="str">
        <f t="shared" si="467"/>
        <v/>
      </c>
      <c r="JJ36" s="985" t="str">
        <f t="shared" si="467"/>
        <v/>
      </c>
      <c r="JK36" s="985" t="str">
        <f t="shared" si="467"/>
        <v/>
      </c>
      <c r="JL36" s="985" t="str">
        <f t="shared" si="467"/>
        <v/>
      </c>
      <c r="JM36" s="987"/>
      <c r="JN36" s="985">
        <f t="shared" ref="JN36:KA36" si="468">IF(AND($I36&lt;&gt;""),IF(AND($P36&gt;JM$8,$P36&lt;=JN$8),$M36,""),"")</f>
        <v>0</v>
      </c>
      <c r="JO36" s="985" t="str">
        <f t="shared" si="468"/>
        <v/>
      </c>
      <c r="JP36" s="985" t="str">
        <f t="shared" si="468"/>
        <v/>
      </c>
      <c r="JQ36" s="985" t="str">
        <f t="shared" si="468"/>
        <v/>
      </c>
      <c r="JR36" s="985" t="str">
        <f t="shared" si="468"/>
        <v/>
      </c>
      <c r="JS36" s="985" t="str">
        <f t="shared" si="468"/>
        <v/>
      </c>
      <c r="JT36" s="985" t="str">
        <f t="shared" si="468"/>
        <v/>
      </c>
      <c r="JU36" s="985" t="str">
        <f t="shared" si="468"/>
        <v/>
      </c>
      <c r="JV36" s="985" t="str">
        <f t="shared" si="468"/>
        <v/>
      </c>
      <c r="JW36" s="985" t="str">
        <f t="shared" si="468"/>
        <v/>
      </c>
      <c r="JX36" s="985" t="str">
        <f t="shared" si="468"/>
        <v/>
      </c>
      <c r="JY36" s="985" t="str">
        <f t="shared" si="468"/>
        <v/>
      </c>
      <c r="JZ36" s="985" t="str">
        <f t="shared" si="468"/>
        <v/>
      </c>
      <c r="KA36" s="985" t="str">
        <f t="shared" si="468"/>
        <v/>
      </c>
      <c r="KB36" s="987"/>
      <c r="KC36" s="985">
        <f t="shared" ref="KC36:KP36" si="469">IF(AND($I36&lt;&gt;""),IF(AND($P36&gt;KB$8,$P36&lt;=KC$8),$N36,""),"")</f>
        <v>0</v>
      </c>
      <c r="KD36" s="985" t="str">
        <f t="shared" si="469"/>
        <v/>
      </c>
      <c r="KE36" s="985" t="str">
        <f t="shared" si="469"/>
        <v/>
      </c>
      <c r="KF36" s="985" t="str">
        <f t="shared" si="469"/>
        <v/>
      </c>
      <c r="KG36" s="985" t="str">
        <f t="shared" si="469"/>
        <v/>
      </c>
      <c r="KH36" s="985" t="str">
        <f t="shared" si="469"/>
        <v/>
      </c>
      <c r="KI36" s="985" t="str">
        <f t="shared" si="469"/>
        <v/>
      </c>
      <c r="KJ36" s="985" t="str">
        <f t="shared" si="469"/>
        <v/>
      </c>
      <c r="KK36" s="985" t="str">
        <f t="shared" si="469"/>
        <v/>
      </c>
      <c r="KL36" s="985" t="str">
        <f t="shared" si="469"/>
        <v/>
      </c>
      <c r="KM36" s="985" t="str">
        <f t="shared" si="469"/>
        <v/>
      </c>
      <c r="KN36" s="985" t="str">
        <f t="shared" si="469"/>
        <v/>
      </c>
      <c r="KO36" s="985" t="str">
        <f t="shared" si="469"/>
        <v/>
      </c>
      <c r="KP36" s="985" t="str">
        <f t="shared" si="469"/>
        <v/>
      </c>
    </row>
    <row r="37" spans="2:302" ht="18" customHeight="1">
      <c r="B37" s="978">
        <f t="shared" si="0"/>
        <v>122.5</v>
      </c>
      <c r="C37" s="979" t="s">
        <v>728</v>
      </c>
      <c r="D37" s="979" t="s">
        <v>605</v>
      </c>
      <c r="E37" s="980">
        <v>10</v>
      </c>
      <c r="F37" s="979" t="s">
        <v>737</v>
      </c>
      <c r="G37" s="979" t="s">
        <v>605</v>
      </c>
      <c r="H37" s="980">
        <v>10</v>
      </c>
      <c r="I37" s="979" t="s">
        <v>841</v>
      </c>
      <c r="J37" s="979"/>
      <c r="K37" s="980">
        <v>21.167999999999999</v>
      </c>
      <c r="L37" s="980"/>
      <c r="M37" s="980"/>
      <c r="N37" s="980"/>
      <c r="O37" s="980">
        <v>9.5000000000000001E-2</v>
      </c>
      <c r="P37" s="981">
        <v>9.5000000000000001E-2</v>
      </c>
      <c r="Q37" s="981">
        <f t="shared" si="1"/>
        <v>2.0109599999999999</v>
      </c>
      <c r="R37" s="979" t="s">
        <v>740</v>
      </c>
      <c r="S37" s="979" t="s">
        <v>605</v>
      </c>
      <c r="T37" s="980">
        <v>0</v>
      </c>
      <c r="U37" s="979" t="s">
        <v>749</v>
      </c>
      <c r="V37" s="979" t="s">
        <v>605</v>
      </c>
      <c r="W37" s="980">
        <v>10</v>
      </c>
      <c r="X37" s="989" t="s">
        <v>844</v>
      </c>
      <c r="Y37" s="979"/>
      <c r="Z37" s="979"/>
      <c r="AA37" s="980">
        <v>1.3</v>
      </c>
      <c r="AB37" s="980">
        <f t="shared" si="2"/>
        <v>16.283076923076923</v>
      </c>
      <c r="AC37" s="982" t="str" cm="1">
        <f t="array" ref="AC37">IF(X37&lt;&gt;"",IF(LEFT(X37,SEARCH("-",X37,1)-1)="A.CF","CF",IF(LEFT(X37,SEARCH("-",X37,1)-1)="A.CA","CA",IF(LEFT(X37,SEARCH("-",X37,1)-1)="CL","CL","-"))),IF(Y37&lt;&gt;"",BF,"-"))</f>
        <v>CF</v>
      </c>
      <c r="AD37" s="953"/>
      <c r="AE37" s="983" t="str">
        <f t="shared" si="3"/>
        <v>A</v>
      </c>
      <c r="AF37" s="984" t="str">
        <f t="shared" si="4"/>
        <v>C</v>
      </c>
      <c r="AG37" s="963"/>
      <c r="AH37" s="985" t="str">
        <f t="shared" si="349"/>
        <v/>
      </c>
      <c r="AI37" s="985" t="str">
        <f t="shared" si="349"/>
        <v/>
      </c>
      <c r="AJ37" s="985" t="str">
        <f t="shared" si="349"/>
        <v/>
      </c>
      <c r="AK37" s="985" t="str">
        <f t="shared" si="349"/>
        <v/>
      </c>
      <c r="AL37" s="985" t="str">
        <f t="shared" si="349"/>
        <v/>
      </c>
      <c r="AM37" s="985" t="str">
        <f t="shared" si="349"/>
        <v/>
      </c>
      <c r="AN37" s="985" t="str">
        <f t="shared" si="349"/>
        <v/>
      </c>
      <c r="AO37" s="985" t="str">
        <f t="shared" si="349"/>
        <v/>
      </c>
      <c r="AP37" s="986"/>
      <c r="AQ37" s="985" t="str">
        <f t="shared" ref="AQ37:BD37" si="470">IF(AND($I37&lt;&gt;"",$AF37="C"),IF(AND($P37&gt;AP$8,$P37&lt;=AQ$8),$K37,""),"")</f>
        <v/>
      </c>
      <c r="AR37" s="985">
        <f t="shared" si="470"/>
        <v>21.167999999999999</v>
      </c>
      <c r="AS37" s="985" t="str">
        <f t="shared" si="470"/>
        <v/>
      </c>
      <c r="AT37" s="985" t="str">
        <f t="shared" si="470"/>
        <v/>
      </c>
      <c r="AU37" s="985" t="str">
        <f t="shared" si="470"/>
        <v/>
      </c>
      <c r="AV37" s="985" t="str">
        <f t="shared" si="470"/>
        <v/>
      </c>
      <c r="AW37" s="985" t="str">
        <f t="shared" si="470"/>
        <v/>
      </c>
      <c r="AX37" s="985" t="str">
        <f t="shared" si="470"/>
        <v/>
      </c>
      <c r="AY37" s="985" t="str">
        <f t="shared" si="470"/>
        <v/>
      </c>
      <c r="AZ37" s="985" t="str">
        <f t="shared" si="470"/>
        <v/>
      </c>
      <c r="BA37" s="985" t="str">
        <f t="shared" si="470"/>
        <v/>
      </c>
      <c r="BB37" s="985" t="str">
        <f t="shared" si="470"/>
        <v/>
      </c>
      <c r="BC37" s="985" t="str">
        <f t="shared" si="470"/>
        <v/>
      </c>
      <c r="BD37" s="985" t="str">
        <f t="shared" si="470"/>
        <v/>
      </c>
      <c r="BE37" s="987"/>
      <c r="BF37" s="985" t="str">
        <f t="shared" ref="BF37:BS37" si="471">IF(AND($I37&lt;&gt;"",$AF37="C"),IF(AND($P37&gt;BE$8,$P37&lt;=BF$8),$L37,""),"")</f>
        <v/>
      </c>
      <c r="BG37" s="985">
        <f t="shared" si="471"/>
        <v>0</v>
      </c>
      <c r="BH37" s="985" t="str">
        <f t="shared" si="471"/>
        <v/>
      </c>
      <c r="BI37" s="985" t="str">
        <f t="shared" si="471"/>
        <v/>
      </c>
      <c r="BJ37" s="985" t="str">
        <f t="shared" si="471"/>
        <v/>
      </c>
      <c r="BK37" s="985" t="str">
        <f t="shared" si="471"/>
        <v/>
      </c>
      <c r="BL37" s="985" t="str">
        <f t="shared" si="471"/>
        <v/>
      </c>
      <c r="BM37" s="985" t="str">
        <f t="shared" si="471"/>
        <v/>
      </c>
      <c r="BN37" s="985" t="str">
        <f t="shared" si="471"/>
        <v/>
      </c>
      <c r="BO37" s="985" t="str">
        <f t="shared" si="471"/>
        <v/>
      </c>
      <c r="BP37" s="985" t="str">
        <f t="shared" si="471"/>
        <v/>
      </c>
      <c r="BQ37" s="985" t="str">
        <f t="shared" si="471"/>
        <v/>
      </c>
      <c r="BR37" s="985" t="str">
        <f t="shared" si="471"/>
        <v/>
      </c>
      <c r="BS37" s="985" t="str">
        <f t="shared" si="471"/>
        <v/>
      </c>
      <c r="BU37" s="985" t="str">
        <f t="shared" ref="BU37:CF37" si="472">IF(AND($I37&lt;&gt;"",$AF37="C"),IF(AND($P37&gt;BT$8,$P37&lt;=BU$8),$M37,""),"")</f>
        <v/>
      </c>
      <c r="BV37" s="985">
        <f t="shared" si="472"/>
        <v>0</v>
      </c>
      <c r="BW37" s="985" t="str">
        <f t="shared" si="472"/>
        <v/>
      </c>
      <c r="BX37" s="985" t="str">
        <f t="shared" si="472"/>
        <v/>
      </c>
      <c r="BY37" s="985" t="str">
        <f t="shared" si="472"/>
        <v/>
      </c>
      <c r="BZ37" s="985" t="str">
        <f t="shared" si="472"/>
        <v/>
      </c>
      <c r="CA37" s="985" t="str">
        <f t="shared" si="472"/>
        <v/>
      </c>
      <c r="CB37" s="985" t="str">
        <f t="shared" si="472"/>
        <v/>
      </c>
      <c r="CC37" s="985" t="str">
        <f t="shared" si="472"/>
        <v/>
      </c>
      <c r="CD37" s="985" t="str">
        <f t="shared" si="472"/>
        <v/>
      </c>
      <c r="CE37" s="985" t="str">
        <f t="shared" si="472"/>
        <v/>
      </c>
      <c r="CF37" s="985" t="str">
        <f t="shared" si="472"/>
        <v/>
      </c>
      <c r="CG37" s="987"/>
      <c r="CH37" s="985" t="str">
        <f t="shared" si="353"/>
        <v/>
      </c>
      <c r="CI37" s="985" t="str">
        <f t="shared" si="353"/>
        <v/>
      </c>
      <c r="CJ37" s="985" t="str">
        <f t="shared" si="353"/>
        <v/>
      </c>
      <c r="CK37" s="985" t="str">
        <f t="shared" si="353"/>
        <v/>
      </c>
      <c r="CL37" s="985" t="str">
        <f t="shared" si="353"/>
        <v/>
      </c>
      <c r="CM37" s="985" t="str">
        <f t="shared" si="353"/>
        <v/>
      </c>
      <c r="CN37" s="985" t="str">
        <f t="shared" si="353"/>
        <v/>
      </c>
      <c r="CP37" s="988" t="str">
        <f t="shared" ref="CP37:DC37" si="473">IF(AND($I37&lt;&gt;"",OR($AF37="ELE",$AF37="ELD",$AF37="CX")),IF(AND($P37&gt;CO$8,$P37&lt;=CP$8),$K37,""),"")</f>
        <v/>
      </c>
      <c r="CQ37" s="988" t="str">
        <f t="shared" si="473"/>
        <v/>
      </c>
      <c r="CR37" s="988" t="str">
        <f t="shared" si="473"/>
        <v/>
      </c>
      <c r="CS37" s="988" t="str">
        <f t="shared" si="473"/>
        <v/>
      </c>
      <c r="CT37" s="988" t="str">
        <f t="shared" si="473"/>
        <v/>
      </c>
      <c r="CU37" s="988" t="str">
        <f t="shared" si="473"/>
        <v/>
      </c>
      <c r="CV37" s="988" t="str">
        <f t="shared" si="473"/>
        <v/>
      </c>
      <c r="CW37" s="988" t="str">
        <f t="shared" si="473"/>
        <v/>
      </c>
      <c r="CX37" s="988" t="str">
        <f t="shared" si="473"/>
        <v/>
      </c>
      <c r="CY37" s="988" t="str">
        <f t="shared" si="473"/>
        <v/>
      </c>
      <c r="CZ37" s="988" t="str">
        <f t="shared" si="473"/>
        <v/>
      </c>
      <c r="DA37" s="988" t="str">
        <f t="shared" si="473"/>
        <v/>
      </c>
      <c r="DB37" s="988" t="str">
        <f t="shared" si="473"/>
        <v/>
      </c>
      <c r="DC37" s="988" t="str">
        <f t="shared" si="473"/>
        <v/>
      </c>
      <c r="DE37" s="988" t="str">
        <f t="shared" ref="DE37:DR37" si="474">IF(AND($X37&lt;&gt;"",$AC37="CF"),IF(AND($P37&gt;DD$8,$P37&lt;=DE$8),$AB37,""),"")</f>
        <v/>
      </c>
      <c r="DF37" s="988">
        <f t="shared" si="474"/>
        <v>16.283076923076923</v>
      </c>
      <c r="DG37" s="988" t="str">
        <f t="shared" si="474"/>
        <v/>
      </c>
      <c r="DH37" s="988" t="str">
        <f t="shared" si="474"/>
        <v/>
      </c>
      <c r="DI37" s="988" t="str">
        <f t="shared" si="474"/>
        <v/>
      </c>
      <c r="DJ37" s="988" t="str">
        <f t="shared" si="474"/>
        <v/>
      </c>
      <c r="DK37" s="988" t="str">
        <f t="shared" si="474"/>
        <v/>
      </c>
      <c r="DL37" s="988" t="str">
        <f t="shared" si="474"/>
        <v/>
      </c>
      <c r="DM37" s="988" t="str">
        <f t="shared" si="474"/>
        <v/>
      </c>
      <c r="DN37" s="988" t="str">
        <f t="shared" si="474"/>
        <v/>
      </c>
      <c r="DO37" s="988" t="str">
        <f t="shared" si="474"/>
        <v/>
      </c>
      <c r="DP37" s="988" t="str">
        <f t="shared" si="474"/>
        <v/>
      </c>
      <c r="DQ37" s="988" t="str">
        <f t="shared" si="474"/>
        <v/>
      </c>
      <c r="DR37" s="988" t="str">
        <f t="shared" si="474"/>
        <v/>
      </c>
      <c r="DT37" s="988" t="str">
        <f t="shared" ref="DT37:EG37" si="475">IF(AND($X37&lt;&gt;"",$AC37="CA"),IF(AND($P37&gt;DS$8,$P37&lt;=DT$8),$AB37,""),"")</f>
        <v/>
      </c>
      <c r="DU37" s="988" t="str">
        <f t="shared" si="475"/>
        <v/>
      </c>
      <c r="DV37" s="988" t="str">
        <f t="shared" si="475"/>
        <v/>
      </c>
      <c r="DW37" s="988" t="str">
        <f t="shared" si="475"/>
        <v/>
      </c>
      <c r="DX37" s="988" t="str">
        <f t="shared" si="475"/>
        <v/>
      </c>
      <c r="DY37" s="988" t="str">
        <f t="shared" si="475"/>
        <v/>
      </c>
      <c r="DZ37" s="988" t="str">
        <f t="shared" si="475"/>
        <v/>
      </c>
      <c r="EA37" s="988" t="str">
        <f t="shared" si="475"/>
        <v/>
      </c>
      <c r="EB37" s="988" t="str">
        <f t="shared" si="475"/>
        <v/>
      </c>
      <c r="EC37" s="988" t="str">
        <f t="shared" si="475"/>
        <v/>
      </c>
      <c r="ED37" s="988" t="str">
        <f t="shared" si="475"/>
        <v/>
      </c>
      <c r="EE37" s="988" t="str">
        <f t="shared" si="475"/>
        <v/>
      </c>
      <c r="EF37" s="988" t="str">
        <f t="shared" si="475"/>
        <v/>
      </c>
      <c r="EG37" s="988" t="str">
        <f t="shared" si="475"/>
        <v/>
      </c>
      <c r="EI37" s="988" t="str">
        <f t="shared" ref="EI37:EV37" si="476">IF($AE37="BFC",IF(AND($P37&gt;EH$8,$P37&lt;=EI$8),$AB37,""),"")</f>
        <v/>
      </c>
      <c r="EJ37" s="988" t="str">
        <f t="shared" si="476"/>
        <v/>
      </c>
      <c r="EK37" s="988" t="str">
        <f t="shared" si="476"/>
        <v/>
      </c>
      <c r="EL37" s="988" t="str">
        <f t="shared" si="476"/>
        <v/>
      </c>
      <c r="EM37" s="988" t="str">
        <f t="shared" si="476"/>
        <v/>
      </c>
      <c r="EN37" s="988" t="str">
        <f t="shared" si="476"/>
        <v/>
      </c>
      <c r="EO37" s="988" t="str">
        <f t="shared" si="476"/>
        <v/>
      </c>
      <c r="EP37" s="988" t="str">
        <f t="shared" si="476"/>
        <v/>
      </c>
      <c r="EQ37" s="988" t="str">
        <f t="shared" si="476"/>
        <v/>
      </c>
      <c r="ER37" s="988" t="str">
        <f t="shared" si="476"/>
        <v/>
      </c>
      <c r="ES37" s="988" t="str">
        <f t="shared" si="476"/>
        <v/>
      </c>
      <c r="ET37" s="988" t="str">
        <f t="shared" si="476"/>
        <v/>
      </c>
      <c r="EU37" s="988" t="str">
        <f t="shared" si="476"/>
        <v/>
      </c>
      <c r="EV37" s="988" t="str">
        <f t="shared" si="476"/>
        <v/>
      </c>
      <c r="EX37" s="988" t="str">
        <f t="shared" ref="EX37:FK37" si="477">IF($AE37="BFN",IF(AND($P37&gt;EW$8,$P37&lt;=EX$8),$AB37,""),"")</f>
        <v/>
      </c>
      <c r="EY37" s="988" t="str">
        <f t="shared" si="477"/>
        <v/>
      </c>
      <c r="EZ37" s="988" t="str">
        <f t="shared" si="477"/>
        <v/>
      </c>
      <c r="FA37" s="988" t="str">
        <f t="shared" si="477"/>
        <v/>
      </c>
      <c r="FB37" s="988" t="str">
        <f t="shared" si="477"/>
        <v/>
      </c>
      <c r="FC37" s="988" t="str">
        <f t="shared" si="477"/>
        <v/>
      </c>
      <c r="FD37" s="988" t="str">
        <f t="shared" si="477"/>
        <v/>
      </c>
      <c r="FE37" s="988" t="str">
        <f t="shared" si="477"/>
        <v/>
      </c>
      <c r="FF37" s="988" t="str">
        <f t="shared" si="477"/>
        <v/>
      </c>
      <c r="FG37" s="988" t="str">
        <f t="shared" si="477"/>
        <v/>
      </c>
      <c r="FH37" s="988" t="str">
        <f t="shared" si="477"/>
        <v/>
      </c>
      <c r="FI37" s="988" t="str">
        <f t="shared" si="477"/>
        <v/>
      </c>
      <c r="FJ37" s="988" t="str">
        <f t="shared" si="477"/>
        <v/>
      </c>
      <c r="FK37" s="988" t="str">
        <f t="shared" si="477"/>
        <v/>
      </c>
      <c r="FM37" s="988" t="str">
        <f t="shared" ref="FM37:FZ37" si="478">IF(AND($I37&lt;&gt;"",$AF37="RCS"),IF(AND($P37&gt;FL$8,$P37&lt;=FM$8),SUM($K37:$M37),""),"")</f>
        <v/>
      </c>
      <c r="FN37" s="988" t="str">
        <f t="shared" si="478"/>
        <v/>
      </c>
      <c r="FO37" s="988" t="str">
        <f t="shared" si="478"/>
        <v/>
      </c>
      <c r="FP37" s="988" t="str">
        <f t="shared" si="478"/>
        <v/>
      </c>
      <c r="FQ37" s="988" t="str">
        <f t="shared" si="478"/>
        <v/>
      </c>
      <c r="FR37" s="988" t="str">
        <f t="shared" si="478"/>
        <v/>
      </c>
      <c r="FS37" s="988" t="str">
        <f t="shared" si="478"/>
        <v/>
      </c>
      <c r="FT37" s="988" t="str">
        <f t="shared" si="478"/>
        <v/>
      </c>
      <c r="FU37" s="988" t="str">
        <f t="shared" si="478"/>
        <v/>
      </c>
      <c r="FV37" s="988" t="str">
        <f t="shared" si="478"/>
        <v/>
      </c>
      <c r="FW37" s="988" t="str">
        <f t="shared" si="478"/>
        <v/>
      </c>
      <c r="FX37" s="988" t="str">
        <f t="shared" si="478"/>
        <v/>
      </c>
      <c r="FY37" s="988" t="str">
        <f t="shared" si="478"/>
        <v/>
      </c>
      <c r="FZ37" s="988" t="str">
        <f t="shared" si="478"/>
        <v/>
      </c>
      <c r="GB37" s="988" t="str">
        <f t="shared" ref="GB37:GO37" si="479">IF(AND($I37&lt;&gt;"",$AF37="REC"),IF(AND($P37&gt;GA$8,$P37&lt;=GB$8),SUM($K37:$M37),""),"")</f>
        <v/>
      </c>
      <c r="GC37" s="988" t="str">
        <f t="shared" si="479"/>
        <v/>
      </c>
      <c r="GD37" s="988" t="str">
        <f t="shared" si="479"/>
        <v/>
      </c>
      <c r="GE37" s="988" t="str">
        <f t="shared" si="479"/>
        <v/>
      </c>
      <c r="GF37" s="988" t="str">
        <f t="shared" si="479"/>
        <v/>
      </c>
      <c r="GG37" s="988" t="str">
        <f t="shared" si="479"/>
        <v/>
      </c>
      <c r="GH37" s="988" t="str">
        <f t="shared" si="479"/>
        <v/>
      </c>
      <c r="GI37" s="988" t="str">
        <f t="shared" si="479"/>
        <v/>
      </c>
      <c r="GJ37" s="988" t="str">
        <f t="shared" si="479"/>
        <v/>
      </c>
      <c r="GK37" s="988" t="str">
        <f t="shared" si="479"/>
        <v/>
      </c>
      <c r="GL37" s="988" t="str">
        <f t="shared" si="479"/>
        <v/>
      </c>
      <c r="GM37" s="988" t="str">
        <f t="shared" si="479"/>
        <v/>
      </c>
      <c r="GN37" s="988" t="str">
        <f t="shared" si="479"/>
        <v/>
      </c>
      <c r="GO37" s="988" t="str">
        <f t="shared" si="479"/>
        <v/>
      </c>
      <c r="GQ37" s="988" t="str">
        <f t="shared" ref="GQ37:HD37" si="480">IF(AND($I37&lt;&gt;"",$AF37="REB"),IF(AND($P37&gt;GP$8,$P37&lt;=GQ$8),SUM($K37:$M37),""),"")</f>
        <v/>
      </c>
      <c r="GR37" s="988" t="str">
        <f t="shared" si="480"/>
        <v/>
      </c>
      <c r="GS37" s="988" t="str">
        <f t="shared" si="480"/>
        <v/>
      </c>
      <c r="GT37" s="988" t="str">
        <f t="shared" si="480"/>
        <v/>
      </c>
      <c r="GU37" s="988" t="str">
        <f t="shared" si="480"/>
        <v/>
      </c>
      <c r="GV37" s="988" t="str">
        <f t="shared" si="480"/>
        <v/>
      </c>
      <c r="GW37" s="988" t="str">
        <f t="shared" si="480"/>
        <v/>
      </c>
      <c r="GX37" s="988" t="str">
        <f t="shared" si="480"/>
        <v/>
      </c>
      <c r="GY37" s="988" t="str">
        <f t="shared" si="480"/>
        <v/>
      </c>
      <c r="GZ37" s="988" t="str">
        <f t="shared" si="480"/>
        <v/>
      </c>
      <c r="HA37" s="988" t="str">
        <f t="shared" si="480"/>
        <v/>
      </c>
      <c r="HB37" s="988" t="str">
        <f t="shared" si="480"/>
        <v/>
      </c>
      <c r="HC37" s="988" t="str">
        <f t="shared" si="480"/>
        <v/>
      </c>
      <c r="HD37" s="988" t="str">
        <f t="shared" si="480"/>
        <v/>
      </c>
      <c r="HF37" s="988" t="str">
        <f t="shared" ref="HF37:HS37" si="481">IF(AND($I37&lt;&gt;"",$AF37="RBS"),IF(AND($P37&gt;HE$8,$P37&lt;=HF$8),SUM($K37:$M37),""),"")</f>
        <v/>
      </c>
      <c r="HG37" s="988" t="str">
        <f t="shared" si="481"/>
        <v/>
      </c>
      <c r="HH37" s="988" t="str">
        <f t="shared" si="481"/>
        <v/>
      </c>
      <c r="HI37" s="988" t="str">
        <f t="shared" si="481"/>
        <v/>
      </c>
      <c r="HJ37" s="988" t="str">
        <f t="shared" si="481"/>
        <v/>
      </c>
      <c r="HK37" s="988" t="str">
        <f t="shared" si="481"/>
        <v/>
      </c>
      <c r="HL37" s="988" t="str">
        <f t="shared" si="481"/>
        <v/>
      </c>
      <c r="HM37" s="988" t="str">
        <f t="shared" si="481"/>
        <v/>
      </c>
      <c r="HN37" s="988" t="str">
        <f t="shared" si="481"/>
        <v/>
      </c>
      <c r="HO37" s="988" t="str">
        <f t="shared" si="481"/>
        <v/>
      </c>
      <c r="HP37" s="988" t="str">
        <f t="shared" si="481"/>
        <v/>
      </c>
      <c r="HQ37" s="988" t="str">
        <f t="shared" si="481"/>
        <v/>
      </c>
      <c r="HR37" s="988" t="str">
        <f t="shared" si="481"/>
        <v/>
      </c>
      <c r="HS37" s="988" t="str">
        <f t="shared" si="481"/>
        <v/>
      </c>
      <c r="HU37" s="988" t="str">
        <f t="shared" ref="HU37:IH37" si="482">IF(AND($I37&lt;&gt;"",$AF37="RCD"),IF(AND($P37&gt;HT$8,$P37&lt;=HU$8),SUM($K37:$M37),""),"")</f>
        <v/>
      </c>
      <c r="HV37" s="988" t="str">
        <f t="shared" si="482"/>
        <v/>
      </c>
      <c r="HW37" s="988" t="str">
        <f t="shared" si="482"/>
        <v/>
      </c>
      <c r="HX37" s="988" t="str">
        <f t="shared" si="482"/>
        <v/>
      </c>
      <c r="HY37" s="988" t="str">
        <f t="shared" si="482"/>
        <v/>
      </c>
      <c r="HZ37" s="988" t="str">
        <f t="shared" si="482"/>
        <v/>
      </c>
      <c r="IA37" s="988" t="str">
        <f t="shared" si="482"/>
        <v/>
      </c>
      <c r="IB37" s="988" t="str">
        <f t="shared" si="482"/>
        <v/>
      </c>
      <c r="IC37" s="988" t="str">
        <f t="shared" si="482"/>
        <v/>
      </c>
      <c r="ID37" s="988" t="str">
        <f t="shared" si="482"/>
        <v/>
      </c>
      <c r="IE37" s="988" t="str">
        <f t="shared" si="482"/>
        <v/>
      </c>
      <c r="IF37" s="988" t="str">
        <f t="shared" si="482"/>
        <v/>
      </c>
      <c r="IG37" s="988" t="str">
        <f t="shared" si="482"/>
        <v/>
      </c>
      <c r="IH37" s="988" t="str">
        <f t="shared" si="482"/>
        <v/>
      </c>
      <c r="IJ37" s="985" t="str">
        <f t="shared" ref="IJ37:IW37" si="483">IF(AND($I37&lt;&gt;""),IF(AND($P37&gt;II$8,$P37&lt;=IJ$8),$K37,""),"")</f>
        <v/>
      </c>
      <c r="IK37" s="985">
        <f t="shared" si="483"/>
        <v>21.167999999999999</v>
      </c>
      <c r="IL37" s="985" t="str">
        <f t="shared" si="483"/>
        <v/>
      </c>
      <c r="IM37" s="985" t="str">
        <f t="shared" si="483"/>
        <v/>
      </c>
      <c r="IN37" s="985" t="str">
        <f t="shared" si="483"/>
        <v/>
      </c>
      <c r="IO37" s="985" t="str">
        <f t="shared" si="483"/>
        <v/>
      </c>
      <c r="IP37" s="985" t="str">
        <f t="shared" si="483"/>
        <v/>
      </c>
      <c r="IQ37" s="985" t="str">
        <f t="shared" si="483"/>
        <v/>
      </c>
      <c r="IR37" s="985" t="str">
        <f t="shared" si="483"/>
        <v/>
      </c>
      <c r="IS37" s="985" t="str">
        <f t="shared" si="483"/>
        <v/>
      </c>
      <c r="IT37" s="985" t="str">
        <f t="shared" si="483"/>
        <v/>
      </c>
      <c r="IU37" s="985" t="str">
        <f t="shared" si="483"/>
        <v/>
      </c>
      <c r="IV37" s="985" t="str">
        <f t="shared" si="483"/>
        <v/>
      </c>
      <c r="IW37" s="985" t="str">
        <f t="shared" si="483"/>
        <v/>
      </c>
      <c r="IX37" s="987"/>
      <c r="IY37" s="985" t="str">
        <f t="shared" ref="IY37:JL37" si="484">IF(AND($I37&lt;&gt;""),IF(AND($P37&gt;IX$8,$P37&lt;=IY$8),$L37,""),"")</f>
        <v/>
      </c>
      <c r="IZ37" s="985">
        <f t="shared" si="484"/>
        <v>0</v>
      </c>
      <c r="JA37" s="985" t="str">
        <f t="shared" si="484"/>
        <v/>
      </c>
      <c r="JB37" s="985" t="str">
        <f t="shared" si="484"/>
        <v/>
      </c>
      <c r="JC37" s="985" t="str">
        <f t="shared" si="484"/>
        <v/>
      </c>
      <c r="JD37" s="985" t="str">
        <f t="shared" si="484"/>
        <v/>
      </c>
      <c r="JE37" s="985" t="str">
        <f t="shared" si="484"/>
        <v/>
      </c>
      <c r="JF37" s="985" t="str">
        <f t="shared" si="484"/>
        <v/>
      </c>
      <c r="JG37" s="985" t="str">
        <f t="shared" si="484"/>
        <v/>
      </c>
      <c r="JH37" s="985" t="str">
        <f t="shared" si="484"/>
        <v/>
      </c>
      <c r="JI37" s="985" t="str">
        <f t="shared" si="484"/>
        <v/>
      </c>
      <c r="JJ37" s="985" t="str">
        <f t="shared" si="484"/>
        <v/>
      </c>
      <c r="JK37" s="985" t="str">
        <f t="shared" si="484"/>
        <v/>
      </c>
      <c r="JL37" s="985" t="str">
        <f t="shared" si="484"/>
        <v/>
      </c>
      <c r="JM37" s="987"/>
      <c r="JN37" s="985" t="str">
        <f t="shared" ref="JN37:KA37" si="485">IF(AND($I37&lt;&gt;""),IF(AND($P37&gt;JM$8,$P37&lt;=JN$8),$M37,""),"")</f>
        <v/>
      </c>
      <c r="JO37" s="985">
        <f t="shared" si="485"/>
        <v>0</v>
      </c>
      <c r="JP37" s="985" t="str">
        <f t="shared" si="485"/>
        <v/>
      </c>
      <c r="JQ37" s="985" t="str">
        <f t="shared" si="485"/>
        <v/>
      </c>
      <c r="JR37" s="985" t="str">
        <f t="shared" si="485"/>
        <v/>
      </c>
      <c r="JS37" s="985" t="str">
        <f t="shared" si="485"/>
        <v/>
      </c>
      <c r="JT37" s="985" t="str">
        <f t="shared" si="485"/>
        <v/>
      </c>
      <c r="JU37" s="985" t="str">
        <f t="shared" si="485"/>
        <v/>
      </c>
      <c r="JV37" s="985" t="str">
        <f t="shared" si="485"/>
        <v/>
      </c>
      <c r="JW37" s="985" t="str">
        <f t="shared" si="485"/>
        <v/>
      </c>
      <c r="JX37" s="985" t="str">
        <f t="shared" si="485"/>
        <v/>
      </c>
      <c r="JY37" s="985" t="str">
        <f t="shared" si="485"/>
        <v/>
      </c>
      <c r="JZ37" s="985" t="str">
        <f t="shared" si="485"/>
        <v/>
      </c>
      <c r="KA37" s="985" t="str">
        <f t="shared" si="485"/>
        <v/>
      </c>
      <c r="KB37" s="987"/>
      <c r="KC37" s="985" t="str">
        <f t="shared" ref="KC37:KP37" si="486">IF(AND($I37&lt;&gt;""),IF(AND($P37&gt;KB$8,$P37&lt;=KC$8),$N37,""),"")</f>
        <v/>
      </c>
      <c r="KD37" s="985">
        <f t="shared" si="486"/>
        <v>0</v>
      </c>
      <c r="KE37" s="985" t="str">
        <f t="shared" si="486"/>
        <v/>
      </c>
      <c r="KF37" s="985" t="str">
        <f t="shared" si="486"/>
        <v/>
      </c>
      <c r="KG37" s="985" t="str">
        <f t="shared" si="486"/>
        <v/>
      </c>
      <c r="KH37" s="985" t="str">
        <f t="shared" si="486"/>
        <v/>
      </c>
      <c r="KI37" s="985" t="str">
        <f t="shared" si="486"/>
        <v/>
      </c>
      <c r="KJ37" s="985" t="str">
        <f t="shared" si="486"/>
        <v/>
      </c>
      <c r="KK37" s="985" t="str">
        <f t="shared" si="486"/>
        <v/>
      </c>
      <c r="KL37" s="985" t="str">
        <f t="shared" si="486"/>
        <v/>
      </c>
      <c r="KM37" s="985" t="str">
        <f t="shared" si="486"/>
        <v/>
      </c>
      <c r="KN37" s="985" t="str">
        <f t="shared" si="486"/>
        <v/>
      </c>
      <c r="KO37" s="985" t="str">
        <f t="shared" si="486"/>
        <v/>
      </c>
      <c r="KP37" s="985" t="str">
        <f t="shared" si="486"/>
        <v/>
      </c>
    </row>
    <row r="38" spans="2:302" ht="18" customHeight="1">
      <c r="B38" s="978">
        <f t="shared" si="0"/>
        <v>122.5</v>
      </c>
      <c r="C38" s="979" t="s">
        <v>728</v>
      </c>
      <c r="D38" s="979" t="s">
        <v>605</v>
      </c>
      <c r="E38" s="980">
        <v>10</v>
      </c>
      <c r="F38" s="979" t="s">
        <v>737</v>
      </c>
      <c r="G38" s="979" t="s">
        <v>605</v>
      </c>
      <c r="H38" s="980">
        <v>10</v>
      </c>
      <c r="I38" s="979" t="s">
        <v>841</v>
      </c>
      <c r="J38" s="979"/>
      <c r="K38" s="980">
        <v>4.3419999999999996</v>
      </c>
      <c r="L38" s="980"/>
      <c r="M38" s="980"/>
      <c r="N38" s="980"/>
      <c r="O38" s="980">
        <v>6.5000000000000002E-2</v>
      </c>
      <c r="P38" s="981">
        <v>6.5000000000000002E-2</v>
      </c>
      <c r="Q38" s="981">
        <f t="shared" si="1"/>
        <v>0.28222999999999998</v>
      </c>
      <c r="R38" s="979" t="s">
        <v>724</v>
      </c>
      <c r="S38" s="979" t="s">
        <v>605</v>
      </c>
      <c r="T38" s="980">
        <v>10</v>
      </c>
      <c r="U38" s="979" t="s">
        <v>728</v>
      </c>
      <c r="V38" s="979" t="s">
        <v>605</v>
      </c>
      <c r="W38" s="980">
        <v>0</v>
      </c>
      <c r="X38" s="989" t="s">
        <v>839</v>
      </c>
      <c r="Y38" s="979"/>
      <c r="Z38" s="979"/>
      <c r="AA38" s="980">
        <v>1.3</v>
      </c>
      <c r="AB38" s="980">
        <f t="shared" si="2"/>
        <v>3.3399999999999994</v>
      </c>
      <c r="AC38" s="982" t="str" cm="1">
        <f t="array" ref="AC38">IF(X38&lt;&gt;"",IF(LEFT(X38,SEARCH("-",X38,1)-1)="A.CF","CF",IF(LEFT(X38,SEARCH("-",X38,1)-1)="A.CA","CA",IF(LEFT(X38,SEARCH("-",X38,1)-1)="CL","CL","-"))),IF(Y38&lt;&gt;"",BF,"-"))</f>
        <v>CF</v>
      </c>
      <c r="AD38" s="953"/>
      <c r="AE38" s="983" t="str">
        <f t="shared" si="3"/>
        <v>A</v>
      </c>
      <c r="AF38" s="984" t="str">
        <f t="shared" si="4"/>
        <v>C</v>
      </c>
      <c r="AG38" s="963"/>
      <c r="AH38" s="985" t="str">
        <f t="shared" si="349"/>
        <v/>
      </c>
      <c r="AI38" s="985" t="str">
        <f t="shared" si="349"/>
        <v/>
      </c>
      <c r="AJ38" s="985" t="str">
        <f t="shared" si="349"/>
        <v/>
      </c>
      <c r="AK38" s="985" t="str">
        <f t="shared" si="349"/>
        <v/>
      </c>
      <c r="AL38" s="985" t="str">
        <f t="shared" si="349"/>
        <v/>
      </c>
      <c r="AM38" s="985" t="str">
        <f t="shared" si="349"/>
        <v/>
      </c>
      <c r="AN38" s="985" t="str">
        <f t="shared" si="349"/>
        <v/>
      </c>
      <c r="AO38" s="985" t="str">
        <f t="shared" si="349"/>
        <v/>
      </c>
      <c r="AP38" s="986"/>
      <c r="AQ38" s="985" t="str">
        <f t="shared" ref="AQ38:BD38" si="487">IF(AND($I38&lt;&gt;"",$AF38="C"),IF(AND($P38&gt;AP$8,$P38&lt;=AQ$8),$K38,""),"")</f>
        <v/>
      </c>
      <c r="AR38" s="985">
        <f t="shared" si="487"/>
        <v>4.3419999999999996</v>
      </c>
      <c r="AS38" s="985" t="str">
        <f t="shared" si="487"/>
        <v/>
      </c>
      <c r="AT38" s="985" t="str">
        <f t="shared" si="487"/>
        <v/>
      </c>
      <c r="AU38" s="985" t="str">
        <f t="shared" si="487"/>
        <v/>
      </c>
      <c r="AV38" s="985" t="str">
        <f t="shared" si="487"/>
        <v/>
      </c>
      <c r="AW38" s="985" t="str">
        <f t="shared" si="487"/>
        <v/>
      </c>
      <c r="AX38" s="985" t="str">
        <f t="shared" si="487"/>
        <v/>
      </c>
      <c r="AY38" s="985" t="str">
        <f t="shared" si="487"/>
        <v/>
      </c>
      <c r="AZ38" s="985" t="str">
        <f t="shared" si="487"/>
        <v/>
      </c>
      <c r="BA38" s="985" t="str">
        <f t="shared" si="487"/>
        <v/>
      </c>
      <c r="BB38" s="985" t="str">
        <f t="shared" si="487"/>
        <v/>
      </c>
      <c r="BC38" s="985" t="str">
        <f t="shared" si="487"/>
        <v/>
      </c>
      <c r="BD38" s="985" t="str">
        <f t="shared" si="487"/>
        <v/>
      </c>
      <c r="BE38" s="987"/>
      <c r="BF38" s="985" t="str">
        <f t="shared" ref="BF38:BS38" si="488">IF(AND($I38&lt;&gt;"",$AF38="C"),IF(AND($P38&gt;BE$8,$P38&lt;=BF$8),$L38,""),"")</f>
        <v/>
      </c>
      <c r="BG38" s="985">
        <f t="shared" si="488"/>
        <v>0</v>
      </c>
      <c r="BH38" s="985" t="str">
        <f t="shared" si="488"/>
        <v/>
      </c>
      <c r="BI38" s="985" t="str">
        <f t="shared" si="488"/>
        <v/>
      </c>
      <c r="BJ38" s="985" t="str">
        <f t="shared" si="488"/>
        <v/>
      </c>
      <c r="BK38" s="985" t="str">
        <f t="shared" si="488"/>
        <v/>
      </c>
      <c r="BL38" s="985" t="str">
        <f t="shared" si="488"/>
        <v/>
      </c>
      <c r="BM38" s="985" t="str">
        <f t="shared" si="488"/>
        <v/>
      </c>
      <c r="BN38" s="985" t="str">
        <f t="shared" si="488"/>
        <v/>
      </c>
      <c r="BO38" s="985" t="str">
        <f t="shared" si="488"/>
        <v/>
      </c>
      <c r="BP38" s="985" t="str">
        <f t="shared" si="488"/>
        <v/>
      </c>
      <c r="BQ38" s="985" t="str">
        <f t="shared" si="488"/>
        <v/>
      </c>
      <c r="BR38" s="985" t="str">
        <f t="shared" si="488"/>
        <v/>
      </c>
      <c r="BS38" s="985" t="str">
        <f t="shared" si="488"/>
        <v/>
      </c>
      <c r="BU38" s="985" t="str">
        <f t="shared" ref="BU38:CF38" si="489">IF(AND($I38&lt;&gt;"",$AF38="C"),IF(AND($P38&gt;BT$8,$P38&lt;=BU$8),$M38,""),"")</f>
        <v/>
      </c>
      <c r="BV38" s="985">
        <f t="shared" si="489"/>
        <v>0</v>
      </c>
      <c r="BW38" s="985" t="str">
        <f t="shared" si="489"/>
        <v/>
      </c>
      <c r="BX38" s="985" t="str">
        <f t="shared" si="489"/>
        <v/>
      </c>
      <c r="BY38" s="985" t="str">
        <f t="shared" si="489"/>
        <v/>
      </c>
      <c r="BZ38" s="985" t="str">
        <f t="shared" si="489"/>
        <v/>
      </c>
      <c r="CA38" s="985" t="str">
        <f t="shared" si="489"/>
        <v/>
      </c>
      <c r="CB38" s="985" t="str">
        <f t="shared" si="489"/>
        <v/>
      </c>
      <c r="CC38" s="985" t="str">
        <f t="shared" si="489"/>
        <v/>
      </c>
      <c r="CD38" s="985" t="str">
        <f t="shared" si="489"/>
        <v/>
      </c>
      <c r="CE38" s="985" t="str">
        <f t="shared" si="489"/>
        <v/>
      </c>
      <c r="CF38" s="985" t="str">
        <f t="shared" si="489"/>
        <v/>
      </c>
      <c r="CG38" s="987"/>
      <c r="CH38" s="985" t="str">
        <f t="shared" si="353"/>
        <v/>
      </c>
      <c r="CI38" s="985" t="str">
        <f t="shared" si="353"/>
        <v/>
      </c>
      <c r="CJ38" s="985" t="str">
        <f t="shared" si="353"/>
        <v/>
      </c>
      <c r="CK38" s="985" t="str">
        <f t="shared" si="353"/>
        <v/>
      </c>
      <c r="CL38" s="985" t="str">
        <f t="shared" si="353"/>
        <v/>
      </c>
      <c r="CM38" s="985" t="str">
        <f t="shared" si="353"/>
        <v/>
      </c>
      <c r="CN38" s="985" t="str">
        <f t="shared" si="353"/>
        <v/>
      </c>
      <c r="CP38" s="988" t="str">
        <f t="shared" ref="CP38:DC38" si="490">IF(AND($I38&lt;&gt;"",OR($AF38="ELE",$AF38="ELD",$AF38="CX")),IF(AND($P38&gt;CO$8,$P38&lt;=CP$8),$K38,""),"")</f>
        <v/>
      </c>
      <c r="CQ38" s="988" t="str">
        <f t="shared" si="490"/>
        <v/>
      </c>
      <c r="CR38" s="988" t="str">
        <f t="shared" si="490"/>
        <v/>
      </c>
      <c r="CS38" s="988" t="str">
        <f t="shared" si="490"/>
        <v/>
      </c>
      <c r="CT38" s="988" t="str">
        <f t="shared" si="490"/>
        <v/>
      </c>
      <c r="CU38" s="988" t="str">
        <f t="shared" si="490"/>
        <v/>
      </c>
      <c r="CV38" s="988" t="str">
        <f t="shared" si="490"/>
        <v/>
      </c>
      <c r="CW38" s="988" t="str">
        <f t="shared" si="490"/>
        <v/>
      </c>
      <c r="CX38" s="988" t="str">
        <f t="shared" si="490"/>
        <v/>
      </c>
      <c r="CY38" s="988" t="str">
        <f t="shared" si="490"/>
        <v/>
      </c>
      <c r="CZ38" s="988" t="str">
        <f t="shared" si="490"/>
        <v/>
      </c>
      <c r="DA38" s="988" t="str">
        <f t="shared" si="490"/>
        <v/>
      </c>
      <c r="DB38" s="988" t="str">
        <f t="shared" si="490"/>
        <v/>
      </c>
      <c r="DC38" s="988" t="str">
        <f t="shared" si="490"/>
        <v/>
      </c>
      <c r="DE38" s="988" t="str">
        <f t="shared" ref="DE38:DR38" si="491">IF(AND($X38&lt;&gt;"",$AC38="CF"),IF(AND($P38&gt;DD$8,$P38&lt;=DE$8),$AB38,""),"")</f>
        <v/>
      </c>
      <c r="DF38" s="988">
        <f t="shared" si="491"/>
        <v>3.3399999999999994</v>
      </c>
      <c r="DG38" s="988" t="str">
        <f t="shared" si="491"/>
        <v/>
      </c>
      <c r="DH38" s="988" t="str">
        <f t="shared" si="491"/>
        <v/>
      </c>
      <c r="DI38" s="988" t="str">
        <f t="shared" si="491"/>
        <v/>
      </c>
      <c r="DJ38" s="988" t="str">
        <f t="shared" si="491"/>
        <v/>
      </c>
      <c r="DK38" s="988" t="str">
        <f t="shared" si="491"/>
        <v/>
      </c>
      <c r="DL38" s="988" t="str">
        <f t="shared" si="491"/>
        <v/>
      </c>
      <c r="DM38" s="988" t="str">
        <f t="shared" si="491"/>
        <v/>
      </c>
      <c r="DN38" s="988" t="str">
        <f t="shared" si="491"/>
        <v/>
      </c>
      <c r="DO38" s="988" t="str">
        <f t="shared" si="491"/>
        <v/>
      </c>
      <c r="DP38" s="988" t="str">
        <f t="shared" si="491"/>
        <v/>
      </c>
      <c r="DQ38" s="988" t="str">
        <f t="shared" si="491"/>
        <v/>
      </c>
      <c r="DR38" s="988" t="str">
        <f t="shared" si="491"/>
        <v/>
      </c>
      <c r="DT38" s="988" t="str">
        <f t="shared" ref="DT38:EG38" si="492">IF(AND($X38&lt;&gt;"",$AC38="CA"),IF(AND($P38&gt;DS$8,$P38&lt;=DT$8),$AB38,""),"")</f>
        <v/>
      </c>
      <c r="DU38" s="988" t="str">
        <f t="shared" si="492"/>
        <v/>
      </c>
      <c r="DV38" s="988" t="str">
        <f t="shared" si="492"/>
        <v/>
      </c>
      <c r="DW38" s="988" t="str">
        <f t="shared" si="492"/>
        <v/>
      </c>
      <c r="DX38" s="988" t="str">
        <f t="shared" si="492"/>
        <v/>
      </c>
      <c r="DY38" s="988" t="str">
        <f t="shared" si="492"/>
        <v/>
      </c>
      <c r="DZ38" s="988" t="str">
        <f t="shared" si="492"/>
        <v/>
      </c>
      <c r="EA38" s="988" t="str">
        <f t="shared" si="492"/>
        <v/>
      </c>
      <c r="EB38" s="988" t="str">
        <f t="shared" si="492"/>
        <v/>
      </c>
      <c r="EC38" s="988" t="str">
        <f t="shared" si="492"/>
        <v/>
      </c>
      <c r="ED38" s="988" t="str">
        <f t="shared" si="492"/>
        <v/>
      </c>
      <c r="EE38" s="988" t="str">
        <f t="shared" si="492"/>
        <v/>
      </c>
      <c r="EF38" s="988" t="str">
        <f t="shared" si="492"/>
        <v/>
      </c>
      <c r="EG38" s="988" t="str">
        <f t="shared" si="492"/>
        <v/>
      </c>
      <c r="EI38" s="988" t="str">
        <f t="shared" ref="EI38:EV38" si="493">IF($AE38="BFC",IF(AND($P38&gt;EH$8,$P38&lt;=EI$8),$AB38,""),"")</f>
        <v/>
      </c>
      <c r="EJ38" s="988" t="str">
        <f t="shared" si="493"/>
        <v/>
      </c>
      <c r="EK38" s="988" t="str">
        <f t="shared" si="493"/>
        <v/>
      </c>
      <c r="EL38" s="988" t="str">
        <f t="shared" si="493"/>
        <v/>
      </c>
      <c r="EM38" s="988" t="str">
        <f t="shared" si="493"/>
        <v/>
      </c>
      <c r="EN38" s="988" t="str">
        <f t="shared" si="493"/>
        <v/>
      </c>
      <c r="EO38" s="988" t="str">
        <f t="shared" si="493"/>
        <v/>
      </c>
      <c r="EP38" s="988" t="str">
        <f t="shared" si="493"/>
        <v/>
      </c>
      <c r="EQ38" s="988" t="str">
        <f t="shared" si="493"/>
        <v/>
      </c>
      <c r="ER38" s="988" t="str">
        <f t="shared" si="493"/>
        <v/>
      </c>
      <c r="ES38" s="988" t="str">
        <f t="shared" si="493"/>
        <v/>
      </c>
      <c r="ET38" s="988" t="str">
        <f t="shared" si="493"/>
        <v/>
      </c>
      <c r="EU38" s="988" t="str">
        <f t="shared" si="493"/>
        <v/>
      </c>
      <c r="EV38" s="988" t="str">
        <f t="shared" si="493"/>
        <v/>
      </c>
      <c r="EX38" s="988" t="str">
        <f t="shared" ref="EX38:FK38" si="494">IF($AE38="BFN",IF(AND($P38&gt;EW$8,$P38&lt;=EX$8),$AB38,""),"")</f>
        <v/>
      </c>
      <c r="EY38" s="988" t="str">
        <f t="shared" si="494"/>
        <v/>
      </c>
      <c r="EZ38" s="988" t="str">
        <f t="shared" si="494"/>
        <v/>
      </c>
      <c r="FA38" s="988" t="str">
        <f t="shared" si="494"/>
        <v/>
      </c>
      <c r="FB38" s="988" t="str">
        <f t="shared" si="494"/>
        <v/>
      </c>
      <c r="FC38" s="988" t="str">
        <f t="shared" si="494"/>
        <v/>
      </c>
      <c r="FD38" s="988" t="str">
        <f t="shared" si="494"/>
        <v/>
      </c>
      <c r="FE38" s="988" t="str">
        <f t="shared" si="494"/>
        <v/>
      </c>
      <c r="FF38" s="988" t="str">
        <f t="shared" si="494"/>
        <v/>
      </c>
      <c r="FG38" s="988" t="str">
        <f t="shared" si="494"/>
        <v/>
      </c>
      <c r="FH38" s="988" t="str">
        <f t="shared" si="494"/>
        <v/>
      </c>
      <c r="FI38" s="988" t="str">
        <f t="shared" si="494"/>
        <v/>
      </c>
      <c r="FJ38" s="988" t="str">
        <f t="shared" si="494"/>
        <v/>
      </c>
      <c r="FK38" s="988" t="str">
        <f t="shared" si="494"/>
        <v/>
      </c>
      <c r="FM38" s="988" t="str">
        <f t="shared" ref="FM38:FZ38" si="495">IF(AND($I38&lt;&gt;"",$AF38="RCS"),IF(AND($P38&gt;FL$8,$P38&lt;=FM$8),SUM($K38:$M38),""),"")</f>
        <v/>
      </c>
      <c r="FN38" s="988" t="str">
        <f t="shared" si="495"/>
        <v/>
      </c>
      <c r="FO38" s="988" t="str">
        <f t="shared" si="495"/>
        <v/>
      </c>
      <c r="FP38" s="988" t="str">
        <f t="shared" si="495"/>
        <v/>
      </c>
      <c r="FQ38" s="988" t="str">
        <f t="shared" si="495"/>
        <v/>
      </c>
      <c r="FR38" s="988" t="str">
        <f t="shared" si="495"/>
        <v/>
      </c>
      <c r="FS38" s="988" t="str">
        <f t="shared" si="495"/>
        <v/>
      </c>
      <c r="FT38" s="988" t="str">
        <f t="shared" si="495"/>
        <v/>
      </c>
      <c r="FU38" s="988" t="str">
        <f t="shared" si="495"/>
        <v/>
      </c>
      <c r="FV38" s="988" t="str">
        <f t="shared" si="495"/>
        <v/>
      </c>
      <c r="FW38" s="988" t="str">
        <f t="shared" si="495"/>
        <v/>
      </c>
      <c r="FX38" s="988" t="str">
        <f t="shared" si="495"/>
        <v/>
      </c>
      <c r="FY38" s="988" t="str">
        <f t="shared" si="495"/>
        <v/>
      </c>
      <c r="FZ38" s="988" t="str">
        <f t="shared" si="495"/>
        <v/>
      </c>
      <c r="GB38" s="988" t="str">
        <f t="shared" ref="GB38:GO38" si="496">IF(AND($I38&lt;&gt;"",$AF38="REC"),IF(AND($P38&gt;GA$8,$P38&lt;=GB$8),SUM($K38:$M38),""),"")</f>
        <v/>
      </c>
      <c r="GC38" s="988" t="str">
        <f t="shared" si="496"/>
        <v/>
      </c>
      <c r="GD38" s="988" t="str">
        <f t="shared" si="496"/>
        <v/>
      </c>
      <c r="GE38" s="988" t="str">
        <f t="shared" si="496"/>
        <v/>
      </c>
      <c r="GF38" s="988" t="str">
        <f t="shared" si="496"/>
        <v/>
      </c>
      <c r="GG38" s="988" t="str">
        <f t="shared" si="496"/>
        <v/>
      </c>
      <c r="GH38" s="988" t="str">
        <f t="shared" si="496"/>
        <v/>
      </c>
      <c r="GI38" s="988" t="str">
        <f t="shared" si="496"/>
        <v/>
      </c>
      <c r="GJ38" s="988" t="str">
        <f t="shared" si="496"/>
        <v/>
      </c>
      <c r="GK38" s="988" t="str">
        <f t="shared" si="496"/>
        <v/>
      </c>
      <c r="GL38" s="988" t="str">
        <f t="shared" si="496"/>
        <v/>
      </c>
      <c r="GM38" s="988" t="str">
        <f t="shared" si="496"/>
        <v/>
      </c>
      <c r="GN38" s="988" t="str">
        <f t="shared" si="496"/>
        <v/>
      </c>
      <c r="GO38" s="988" t="str">
        <f t="shared" si="496"/>
        <v/>
      </c>
      <c r="GQ38" s="988" t="str">
        <f t="shared" ref="GQ38:HD38" si="497">IF(AND($I38&lt;&gt;"",$AF38="REB"),IF(AND($P38&gt;GP$8,$P38&lt;=GQ$8),SUM($K38:$M38),""),"")</f>
        <v/>
      </c>
      <c r="GR38" s="988" t="str">
        <f t="shared" si="497"/>
        <v/>
      </c>
      <c r="GS38" s="988" t="str">
        <f t="shared" si="497"/>
        <v/>
      </c>
      <c r="GT38" s="988" t="str">
        <f t="shared" si="497"/>
        <v/>
      </c>
      <c r="GU38" s="988" t="str">
        <f t="shared" si="497"/>
        <v/>
      </c>
      <c r="GV38" s="988" t="str">
        <f t="shared" si="497"/>
        <v/>
      </c>
      <c r="GW38" s="988" t="str">
        <f t="shared" si="497"/>
        <v/>
      </c>
      <c r="GX38" s="988" t="str">
        <f t="shared" si="497"/>
        <v/>
      </c>
      <c r="GY38" s="988" t="str">
        <f t="shared" si="497"/>
        <v/>
      </c>
      <c r="GZ38" s="988" t="str">
        <f t="shared" si="497"/>
        <v/>
      </c>
      <c r="HA38" s="988" t="str">
        <f t="shared" si="497"/>
        <v/>
      </c>
      <c r="HB38" s="988" t="str">
        <f t="shared" si="497"/>
        <v/>
      </c>
      <c r="HC38" s="988" t="str">
        <f t="shared" si="497"/>
        <v/>
      </c>
      <c r="HD38" s="988" t="str">
        <f t="shared" si="497"/>
        <v/>
      </c>
      <c r="HF38" s="988" t="str">
        <f t="shared" ref="HF38:HS38" si="498">IF(AND($I38&lt;&gt;"",$AF38="RBS"),IF(AND($P38&gt;HE$8,$P38&lt;=HF$8),SUM($K38:$M38),""),"")</f>
        <v/>
      </c>
      <c r="HG38" s="988" t="str">
        <f t="shared" si="498"/>
        <v/>
      </c>
      <c r="HH38" s="988" t="str">
        <f t="shared" si="498"/>
        <v/>
      </c>
      <c r="HI38" s="988" t="str">
        <f t="shared" si="498"/>
        <v/>
      </c>
      <c r="HJ38" s="988" t="str">
        <f t="shared" si="498"/>
        <v/>
      </c>
      <c r="HK38" s="988" t="str">
        <f t="shared" si="498"/>
        <v/>
      </c>
      <c r="HL38" s="988" t="str">
        <f t="shared" si="498"/>
        <v/>
      </c>
      <c r="HM38" s="988" t="str">
        <f t="shared" si="498"/>
        <v/>
      </c>
      <c r="HN38" s="988" t="str">
        <f t="shared" si="498"/>
        <v/>
      </c>
      <c r="HO38" s="988" t="str">
        <f t="shared" si="498"/>
        <v/>
      </c>
      <c r="HP38" s="988" t="str">
        <f t="shared" si="498"/>
        <v/>
      </c>
      <c r="HQ38" s="988" t="str">
        <f t="shared" si="498"/>
        <v/>
      </c>
      <c r="HR38" s="988" t="str">
        <f t="shared" si="498"/>
        <v/>
      </c>
      <c r="HS38" s="988" t="str">
        <f t="shared" si="498"/>
        <v/>
      </c>
      <c r="HU38" s="988" t="str">
        <f t="shared" ref="HU38:IH38" si="499">IF(AND($I38&lt;&gt;"",$AF38="RCD"),IF(AND($P38&gt;HT$8,$P38&lt;=HU$8),SUM($K38:$M38),""),"")</f>
        <v/>
      </c>
      <c r="HV38" s="988" t="str">
        <f t="shared" si="499"/>
        <v/>
      </c>
      <c r="HW38" s="988" t="str">
        <f t="shared" si="499"/>
        <v/>
      </c>
      <c r="HX38" s="988" t="str">
        <f t="shared" si="499"/>
        <v/>
      </c>
      <c r="HY38" s="988" t="str">
        <f t="shared" si="499"/>
        <v/>
      </c>
      <c r="HZ38" s="988" t="str">
        <f t="shared" si="499"/>
        <v/>
      </c>
      <c r="IA38" s="988" t="str">
        <f t="shared" si="499"/>
        <v/>
      </c>
      <c r="IB38" s="988" t="str">
        <f t="shared" si="499"/>
        <v/>
      </c>
      <c r="IC38" s="988" t="str">
        <f t="shared" si="499"/>
        <v/>
      </c>
      <c r="ID38" s="988" t="str">
        <f t="shared" si="499"/>
        <v/>
      </c>
      <c r="IE38" s="988" t="str">
        <f t="shared" si="499"/>
        <v/>
      </c>
      <c r="IF38" s="988" t="str">
        <f t="shared" si="499"/>
        <v/>
      </c>
      <c r="IG38" s="988" t="str">
        <f t="shared" si="499"/>
        <v/>
      </c>
      <c r="IH38" s="988" t="str">
        <f t="shared" si="499"/>
        <v/>
      </c>
      <c r="IJ38" s="985" t="str">
        <f t="shared" ref="IJ38:IW38" si="500">IF(AND($I38&lt;&gt;""),IF(AND($P38&gt;II$8,$P38&lt;=IJ$8),$K38,""),"")</f>
        <v/>
      </c>
      <c r="IK38" s="985">
        <f t="shared" si="500"/>
        <v>4.3419999999999996</v>
      </c>
      <c r="IL38" s="985" t="str">
        <f t="shared" si="500"/>
        <v/>
      </c>
      <c r="IM38" s="985" t="str">
        <f t="shared" si="500"/>
        <v/>
      </c>
      <c r="IN38" s="985" t="str">
        <f t="shared" si="500"/>
        <v/>
      </c>
      <c r="IO38" s="985" t="str">
        <f t="shared" si="500"/>
        <v/>
      </c>
      <c r="IP38" s="985" t="str">
        <f t="shared" si="500"/>
        <v/>
      </c>
      <c r="IQ38" s="985" t="str">
        <f t="shared" si="500"/>
        <v/>
      </c>
      <c r="IR38" s="985" t="str">
        <f t="shared" si="500"/>
        <v/>
      </c>
      <c r="IS38" s="985" t="str">
        <f t="shared" si="500"/>
        <v/>
      </c>
      <c r="IT38" s="985" t="str">
        <f t="shared" si="500"/>
        <v/>
      </c>
      <c r="IU38" s="985" t="str">
        <f t="shared" si="500"/>
        <v/>
      </c>
      <c r="IV38" s="985" t="str">
        <f t="shared" si="500"/>
        <v/>
      </c>
      <c r="IW38" s="985" t="str">
        <f t="shared" si="500"/>
        <v/>
      </c>
      <c r="IX38" s="987"/>
      <c r="IY38" s="985" t="str">
        <f t="shared" ref="IY38:JL38" si="501">IF(AND($I38&lt;&gt;""),IF(AND($P38&gt;IX$8,$P38&lt;=IY$8),$L38,""),"")</f>
        <v/>
      </c>
      <c r="IZ38" s="985">
        <f t="shared" si="501"/>
        <v>0</v>
      </c>
      <c r="JA38" s="985" t="str">
        <f t="shared" si="501"/>
        <v/>
      </c>
      <c r="JB38" s="985" t="str">
        <f t="shared" si="501"/>
        <v/>
      </c>
      <c r="JC38" s="985" t="str">
        <f t="shared" si="501"/>
        <v/>
      </c>
      <c r="JD38" s="985" t="str">
        <f t="shared" si="501"/>
        <v/>
      </c>
      <c r="JE38" s="985" t="str">
        <f t="shared" si="501"/>
        <v/>
      </c>
      <c r="JF38" s="985" t="str">
        <f t="shared" si="501"/>
        <v/>
      </c>
      <c r="JG38" s="985" t="str">
        <f t="shared" si="501"/>
        <v/>
      </c>
      <c r="JH38" s="985" t="str">
        <f t="shared" si="501"/>
        <v/>
      </c>
      <c r="JI38" s="985" t="str">
        <f t="shared" si="501"/>
        <v/>
      </c>
      <c r="JJ38" s="985" t="str">
        <f t="shared" si="501"/>
        <v/>
      </c>
      <c r="JK38" s="985" t="str">
        <f t="shared" si="501"/>
        <v/>
      </c>
      <c r="JL38" s="985" t="str">
        <f t="shared" si="501"/>
        <v/>
      </c>
      <c r="JM38" s="987"/>
      <c r="JN38" s="985" t="str">
        <f t="shared" ref="JN38:KA38" si="502">IF(AND($I38&lt;&gt;""),IF(AND($P38&gt;JM$8,$P38&lt;=JN$8),$M38,""),"")</f>
        <v/>
      </c>
      <c r="JO38" s="985">
        <f t="shared" si="502"/>
        <v>0</v>
      </c>
      <c r="JP38" s="985" t="str">
        <f t="shared" si="502"/>
        <v/>
      </c>
      <c r="JQ38" s="985" t="str">
        <f t="shared" si="502"/>
        <v/>
      </c>
      <c r="JR38" s="985" t="str">
        <f t="shared" si="502"/>
        <v/>
      </c>
      <c r="JS38" s="985" t="str">
        <f t="shared" si="502"/>
        <v/>
      </c>
      <c r="JT38" s="985" t="str">
        <f t="shared" si="502"/>
        <v/>
      </c>
      <c r="JU38" s="985" t="str">
        <f t="shared" si="502"/>
        <v/>
      </c>
      <c r="JV38" s="985" t="str">
        <f t="shared" si="502"/>
        <v/>
      </c>
      <c r="JW38" s="985" t="str">
        <f t="shared" si="502"/>
        <v/>
      </c>
      <c r="JX38" s="985" t="str">
        <f t="shared" si="502"/>
        <v/>
      </c>
      <c r="JY38" s="985" t="str">
        <f t="shared" si="502"/>
        <v/>
      </c>
      <c r="JZ38" s="985" t="str">
        <f t="shared" si="502"/>
        <v/>
      </c>
      <c r="KA38" s="985" t="str">
        <f t="shared" si="502"/>
        <v/>
      </c>
      <c r="KB38" s="987"/>
      <c r="KC38" s="985" t="str">
        <f t="shared" ref="KC38:KP38" si="503">IF(AND($I38&lt;&gt;""),IF(AND($P38&gt;KB$8,$P38&lt;=KC$8),$N38,""),"")</f>
        <v/>
      </c>
      <c r="KD38" s="985">
        <f t="shared" si="503"/>
        <v>0</v>
      </c>
      <c r="KE38" s="985" t="str">
        <f t="shared" si="503"/>
        <v/>
      </c>
      <c r="KF38" s="985" t="str">
        <f t="shared" si="503"/>
        <v/>
      </c>
      <c r="KG38" s="985" t="str">
        <f t="shared" si="503"/>
        <v/>
      </c>
      <c r="KH38" s="985" t="str">
        <f t="shared" si="503"/>
        <v/>
      </c>
      <c r="KI38" s="985" t="str">
        <f t="shared" si="503"/>
        <v/>
      </c>
      <c r="KJ38" s="985" t="str">
        <f t="shared" si="503"/>
        <v/>
      </c>
      <c r="KK38" s="985" t="str">
        <f t="shared" si="503"/>
        <v/>
      </c>
      <c r="KL38" s="985" t="str">
        <f t="shared" si="503"/>
        <v/>
      </c>
      <c r="KM38" s="985" t="str">
        <f t="shared" si="503"/>
        <v/>
      </c>
      <c r="KN38" s="985" t="str">
        <f t="shared" si="503"/>
        <v/>
      </c>
      <c r="KO38" s="985" t="str">
        <f t="shared" si="503"/>
        <v/>
      </c>
      <c r="KP38" s="985" t="str">
        <f t="shared" si="503"/>
        <v/>
      </c>
    </row>
    <row r="39" spans="2:302" ht="18" customHeight="1">
      <c r="B39" s="978">
        <f t="shared" si="0"/>
        <v>124.5</v>
      </c>
      <c r="C39" s="979" t="s">
        <v>734</v>
      </c>
      <c r="D39" s="979" t="s">
        <v>605</v>
      </c>
      <c r="E39" s="980">
        <v>0</v>
      </c>
      <c r="F39" s="979" t="s">
        <v>743</v>
      </c>
      <c r="G39" s="979" t="s">
        <v>605</v>
      </c>
      <c r="H39" s="980">
        <v>0</v>
      </c>
      <c r="I39" s="979" t="s">
        <v>842</v>
      </c>
      <c r="J39" s="979"/>
      <c r="K39" s="980">
        <v>3.23</v>
      </c>
      <c r="L39" s="980"/>
      <c r="M39" s="980"/>
      <c r="N39" s="980"/>
      <c r="O39" s="980"/>
      <c r="P39" s="981">
        <v>0.02</v>
      </c>
      <c r="Q39" s="981">
        <f t="shared" si="1"/>
        <v>6.4600000000000005E-2</v>
      </c>
      <c r="R39" s="979" t="s">
        <v>734</v>
      </c>
      <c r="S39" s="979" t="s">
        <v>605</v>
      </c>
      <c r="T39" s="980">
        <v>0</v>
      </c>
      <c r="U39" s="979" t="s">
        <v>743</v>
      </c>
      <c r="V39" s="979" t="s">
        <v>605</v>
      </c>
      <c r="W39" s="980">
        <v>0</v>
      </c>
      <c r="X39" s="979" t="s">
        <v>842</v>
      </c>
      <c r="Y39" s="979"/>
      <c r="Z39" s="979"/>
      <c r="AA39" s="980">
        <v>1.3</v>
      </c>
      <c r="AB39" s="980">
        <f t="shared" si="2"/>
        <v>2.4846153846153847</v>
      </c>
      <c r="AC39" s="982" t="s">
        <v>939</v>
      </c>
      <c r="AD39" s="953"/>
      <c r="AE39" s="983" t="str">
        <f t="shared" si="3"/>
        <v/>
      </c>
      <c r="AF39" s="984" t="str">
        <f t="shared" si="4"/>
        <v>CL</v>
      </c>
      <c r="AG39" s="963"/>
      <c r="AH39" s="985">
        <f t="shared" si="349"/>
        <v>3.23</v>
      </c>
      <c r="AI39" s="985" t="str">
        <f t="shared" si="349"/>
        <v/>
      </c>
      <c r="AJ39" s="985" t="str">
        <f t="shared" si="349"/>
        <v/>
      </c>
      <c r="AK39" s="985" t="str">
        <f t="shared" si="349"/>
        <v/>
      </c>
      <c r="AL39" s="985" t="str">
        <f t="shared" si="349"/>
        <v/>
      </c>
      <c r="AM39" s="985" t="str">
        <f t="shared" si="349"/>
        <v/>
      </c>
      <c r="AN39" s="985" t="str">
        <f t="shared" si="349"/>
        <v/>
      </c>
      <c r="AO39" s="985" t="str">
        <f t="shared" si="349"/>
        <v/>
      </c>
      <c r="AP39" s="986"/>
      <c r="AQ39" s="985" t="str">
        <f t="shared" ref="AQ39:BD39" si="504">IF(AND($I39&lt;&gt;"",$AF39="C"),IF(AND($P39&gt;AP$8,$P39&lt;=AQ$8),$K39,""),"")</f>
        <v/>
      </c>
      <c r="AR39" s="985" t="str">
        <f t="shared" si="504"/>
        <v/>
      </c>
      <c r="AS39" s="985" t="str">
        <f t="shared" si="504"/>
        <v/>
      </c>
      <c r="AT39" s="985" t="str">
        <f t="shared" si="504"/>
        <v/>
      </c>
      <c r="AU39" s="985" t="str">
        <f t="shared" si="504"/>
        <v/>
      </c>
      <c r="AV39" s="985" t="str">
        <f t="shared" si="504"/>
        <v/>
      </c>
      <c r="AW39" s="985" t="str">
        <f t="shared" si="504"/>
        <v/>
      </c>
      <c r="AX39" s="985" t="str">
        <f t="shared" si="504"/>
        <v/>
      </c>
      <c r="AY39" s="985" t="str">
        <f t="shared" si="504"/>
        <v/>
      </c>
      <c r="AZ39" s="985" t="str">
        <f t="shared" si="504"/>
        <v/>
      </c>
      <c r="BA39" s="985" t="str">
        <f t="shared" si="504"/>
        <v/>
      </c>
      <c r="BB39" s="985" t="str">
        <f t="shared" si="504"/>
        <v/>
      </c>
      <c r="BC39" s="985" t="str">
        <f t="shared" si="504"/>
        <v/>
      </c>
      <c r="BD39" s="985" t="str">
        <f t="shared" si="504"/>
        <v/>
      </c>
      <c r="BE39" s="987"/>
      <c r="BF39" s="985" t="str">
        <f t="shared" ref="BF39:BS39" si="505">IF(AND($I39&lt;&gt;"",$AF39="C"),IF(AND($P39&gt;BE$8,$P39&lt;=BF$8),$L39,""),"")</f>
        <v/>
      </c>
      <c r="BG39" s="985" t="str">
        <f t="shared" si="505"/>
        <v/>
      </c>
      <c r="BH39" s="985" t="str">
        <f t="shared" si="505"/>
        <v/>
      </c>
      <c r="BI39" s="985" t="str">
        <f t="shared" si="505"/>
        <v/>
      </c>
      <c r="BJ39" s="985" t="str">
        <f t="shared" si="505"/>
        <v/>
      </c>
      <c r="BK39" s="985" t="str">
        <f t="shared" si="505"/>
        <v/>
      </c>
      <c r="BL39" s="985" t="str">
        <f t="shared" si="505"/>
        <v/>
      </c>
      <c r="BM39" s="985" t="str">
        <f t="shared" si="505"/>
        <v/>
      </c>
      <c r="BN39" s="985" t="str">
        <f t="shared" si="505"/>
        <v/>
      </c>
      <c r="BO39" s="985" t="str">
        <f t="shared" si="505"/>
        <v/>
      </c>
      <c r="BP39" s="985" t="str">
        <f t="shared" si="505"/>
        <v/>
      </c>
      <c r="BQ39" s="985" t="str">
        <f t="shared" si="505"/>
        <v/>
      </c>
      <c r="BR39" s="985" t="str">
        <f t="shared" si="505"/>
        <v/>
      </c>
      <c r="BS39" s="985" t="str">
        <f t="shared" si="505"/>
        <v/>
      </c>
      <c r="BU39" s="985" t="str">
        <f t="shared" ref="BU39:CF39" si="506">IF(AND($I39&lt;&gt;"",$AF39="C"),IF(AND($P39&gt;BT$8,$P39&lt;=BU$8),$M39,""),"")</f>
        <v/>
      </c>
      <c r="BV39" s="985" t="str">
        <f t="shared" si="506"/>
        <v/>
      </c>
      <c r="BW39" s="985" t="str">
        <f t="shared" si="506"/>
        <v/>
      </c>
      <c r="BX39" s="985" t="str">
        <f t="shared" si="506"/>
        <v/>
      </c>
      <c r="BY39" s="985" t="str">
        <f t="shared" si="506"/>
        <v/>
      </c>
      <c r="BZ39" s="985" t="str">
        <f t="shared" si="506"/>
        <v/>
      </c>
      <c r="CA39" s="985" t="str">
        <f t="shared" si="506"/>
        <v/>
      </c>
      <c r="CB39" s="985" t="str">
        <f t="shared" si="506"/>
        <v/>
      </c>
      <c r="CC39" s="985" t="str">
        <f t="shared" si="506"/>
        <v/>
      </c>
      <c r="CD39" s="985" t="str">
        <f t="shared" si="506"/>
        <v/>
      </c>
      <c r="CE39" s="985" t="str">
        <f t="shared" si="506"/>
        <v/>
      </c>
      <c r="CF39" s="985" t="str">
        <f t="shared" si="506"/>
        <v/>
      </c>
      <c r="CG39" s="987"/>
      <c r="CH39" s="985" t="str">
        <f t="shared" si="353"/>
        <v/>
      </c>
      <c r="CI39" s="985" t="str">
        <f t="shared" si="353"/>
        <v/>
      </c>
      <c r="CJ39" s="985" t="str">
        <f t="shared" si="353"/>
        <v/>
      </c>
      <c r="CK39" s="985" t="str">
        <f t="shared" si="353"/>
        <v/>
      </c>
      <c r="CL39" s="985" t="str">
        <f t="shared" si="353"/>
        <v/>
      </c>
      <c r="CM39" s="985" t="str">
        <f t="shared" si="353"/>
        <v/>
      </c>
      <c r="CN39" s="985" t="str">
        <f t="shared" si="353"/>
        <v/>
      </c>
      <c r="CP39" s="988" t="str">
        <f t="shared" ref="CP39:DC39" si="507">IF(AND($I39&lt;&gt;"",OR($AF39="ELE",$AF39="ELD",$AF39="CX")),IF(AND($P39&gt;CO$8,$P39&lt;=CP$8),$K39,""),"")</f>
        <v/>
      </c>
      <c r="CQ39" s="988" t="str">
        <f t="shared" si="507"/>
        <v/>
      </c>
      <c r="CR39" s="988" t="str">
        <f t="shared" si="507"/>
        <v/>
      </c>
      <c r="CS39" s="988" t="str">
        <f t="shared" si="507"/>
        <v/>
      </c>
      <c r="CT39" s="988" t="str">
        <f t="shared" si="507"/>
        <v/>
      </c>
      <c r="CU39" s="988" t="str">
        <f t="shared" si="507"/>
        <v/>
      </c>
      <c r="CV39" s="988" t="str">
        <f t="shared" si="507"/>
        <v/>
      </c>
      <c r="CW39" s="988" t="str">
        <f t="shared" si="507"/>
        <v/>
      </c>
      <c r="CX39" s="988" t="str">
        <f t="shared" si="507"/>
        <v/>
      </c>
      <c r="CY39" s="988" t="str">
        <f t="shared" si="507"/>
        <v/>
      </c>
      <c r="CZ39" s="988" t="str">
        <f t="shared" si="507"/>
        <v/>
      </c>
      <c r="DA39" s="988" t="str">
        <f t="shared" si="507"/>
        <v/>
      </c>
      <c r="DB39" s="988" t="str">
        <f t="shared" si="507"/>
        <v/>
      </c>
      <c r="DC39" s="988" t="str">
        <f t="shared" si="507"/>
        <v/>
      </c>
      <c r="DE39" s="988">
        <f t="shared" ref="DE39:DR39" si="508">IF(AND($X39&lt;&gt;"",$AC39="CF"),IF(AND($P39&gt;DD$8,$P39&lt;=DE$8),$AB39,""),"")</f>
        <v>2.4846153846153847</v>
      </c>
      <c r="DF39" s="988" t="str">
        <f t="shared" si="508"/>
        <v/>
      </c>
      <c r="DG39" s="988" t="str">
        <f t="shared" si="508"/>
        <v/>
      </c>
      <c r="DH39" s="988" t="str">
        <f t="shared" si="508"/>
        <v/>
      </c>
      <c r="DI39" s="988" t="str">
        <f t="shared" si="508"/>
        <v/>
      </c>
      <c r="DJ39" s="988" t="str">
        <f t="shared" si="508"/>
        <v/>
      </c>
      <c r="DK39" s="988" t="str">
        <f t="shared" si="508"/>
        <v/>
      </c>
      <c r="DL39" s="988" t="str">
        <f t="shared" si="508"/>
        <v/>
      </c>
      <c r="DM39" s="988" t="str">
        <f t="shared" si="508"/>
        <v/>
      </c>
      <c r="DN39" s="988" t="str">
        <f t="shared" si="508"/>
        <v/>
      </c>
      <c r="DO39" s="988" t="str">
        <f t="shared" si="508"/>
        <v/>
      </c>
      <c r="DP39" s="988" t="str">
        <f t="shared" si="508"/>
        <v/>
      </c>
      <c r="DQ39" s="988" t="str">
        <f t="shared" si="508"/>
        <v/>
      </c>
      <c r="DR39" s="988" t="str">
        <f t="shared" si="508"/>
        <v/>
      </c>
      <c r="DT39" s="988" t="str">
        <f t="shared" ref="DT39:EG39" si="509">IF(AND($X39&lt;&gt;"",$AC39="CA"),IF(AND($P39&gt;DS$8,$P39&lt;=DT$8),$AB39,""),"")</f>
        <v/>
      </c>
      <c r="DU39" s="988" t="str">
        <f t="shared" si="509"/>
        <v/>
      </c>
      <c r="DV39" s="988" t="str">
        <f t="shared" si="509"/>
        <v/>
      </c>
      <c r="DW39" s="988" t="str">
        <f t="shared" si="509"/>
        <v/>
      </c>
      <c r="DX39" s="988" t="str">
        <f t="shared" si="509"/>
        <v/>
      </c>
      <c r="DY39" s="988" t="str">
        <f t="shared" si="509"/>
        <v/>
      </c>
      <c r="DZ39" s="988" t="str">
        <f t="shared" si="509"/>
        <v/>
      </c>
      <c r="EA39" s="988" t="str">
        <f t="shared" si="509"/>
        <v/>
      </c>
      <c r="EB39" s="988" t="str">
        <f t="shared" si="509"/>
        <v/>
      </c>
      <c r="EC39" s="988" t="str">
        <f t="shared" si="509"/>
        <v/>
      </c>
      <c r="ED39" s="988" t="str">
        <f t="shared" si="509"/>
        <v/>
      </c>
      <c r="EE39" s="988" t="str">
        <f t="shared" si="509"/>
        <v/>
      </c>
      <c r="EF39" s="988" t="str">
        <f t="shared" si="509"/>
        <v/>
      </c>
      <c r="EG39" s="988" t="str">
        <f t="shared" si="509"/>
        <v/>
      </c>
      <c r="EI39" s="988" t="str">
        <f t="shared" ref="EI39:EV39" si="510">IF($AE39="BFC",IF(AND($P39&gt;EH$8,$P39&lt;=EI$8),$AB39,""),"")</f>
        <v/>
      </c>
      <c r="EJ39" s="988" t="str">
        <f t="shared" si="510"/>
        <v/>
      </c>
      <c r="EK39" s="988" t="str">
        <f t="shared" si="510"/>
        <v/>
      </c>
      <c r="EL39" s="988" t="str">
        <f t="shared" si="510"/>
        <v/>
      </c>
      <c r="EM39" s="988" t="str">
        <f t="shared" si="510"/>
        <v/>
      </c>
      <c r="EN39" s="988" t="str">
        <f t="shared" si="510"/>
        <v/>
      </c>
      <c r="EO39" s="988" t="str">
        <f t="shared" si="510"/>
        <v/>
      </c>
      <c r="EP39" s="988" t="str">
        <f t="shared" si="510"/>
        <v/>
      </c>
      <c r="EQ39" s="988" t="str">
        <f t="shared" si="510"/>
        <v/>
      </c>
      <c r="ER39" s="988" t="str">
        <f t="shared" si="510"/>
        <v/>
      </c>
      <c r="ES39" s="988" t="str">
        <f t="shared" si="510"/>
        <v/>
      </c>
      <c r="ET39" s="988" t="str">
        <f t="shared" si="510"/>
        <v/>
      </c>
      <c r="EU39" s="988" t="str">
        <f t="shared" si="510"/>
        <v/>
      </c>
      <c r="EV39" s="988" t="str">
        <f t="shared" si="510"/>
        <v/>
      </c>
      <c r="EX39" s="988" t="str">
        <f t="shared" ref="EX39:FK39" si="511">IF($AE39="BFN",IF(AND($P39&gt;EW$8,$P39&lt;=EX$8),$AB39,""),"")</f>
        <v/>
      </c>
      <c r="EY39" s="988" t="str">
        <f t="shared" si="511"/>
        <v/>
      </c>
      <c r="EZ39" s="988" t="str">
        <f t="shared" si="511"/>
        <v/>
      </c>
      <c r="FA39" s="988" t="str">
        <f t="shared" si="511"/>
        <v/>
      </c>
      <c r="FB39" s="988" t="str">
        <f t="shared" si="511"/>
        <v/>
      </c>
      <c r="FC39" s="988" t="str">
        <f t="shared" si="511"/>
        <v/>
      </c>
      <c r="FD39" s="988" t="str">
        <f t="shared" si="511"/>
        <v/>
      </c>
      <c r="FE39" s="988" t="str">
        <f t="shared" si="511"/>
        <v/>
      </c>
      <c r="FF39" s="988" t="str">
        <f t="shared" si="511"/>
        <v/>
      </c>
      <c r="FG39" s="988" t="str">
        <f t="shared" si="511"/>
        <v/>
      </c>
      <c r="FH39" s="988" t="str">
        <f t="shared" si="511"/>
        <v/>
      </c>
      <c r="FI39" s="988" t="str">
        <f t="shared" si="511"/>
        <v/>
      </c>
      <c r="FJ39" s="988" t="str">
        <f t="shared" si="511"/>
        <v/>
      </c>
      <c r="FK39" s="988" t="str">
        <f t="shared" si="511"/>
        <v/>
      </c>
      <c r="FM39" s="988" t="str">
        <f t="shared" ref="FM39:FZ39" si="512">IF(AND($I39&lt;&gt;"",$AF39="RCS"),IF(AND($P39&gt;FL$8,$P39&lt;=FM$8),SUM($K39:$M39),""),"")</f>
        <v/>
      </c>
      <c r="FN39" s="988" t="str">
        <f t="shared" si="512"/>
        <v/>
      </c>
      <c r="FO39" s="988" t="str">
        <f t="shared" si="512"/>
        <v/>
      </c>
      <c r="FP39" s="988" t="str">
        <f t="shared" si="512"/>
        <v/>
      </c>
      <c r="FQ39" s="988" t="str">
        <f t="shared" si="512"/>
        <v/>
      </c>
      <c r="FR39" s="988" t="str">
        <f t="shared" si="512"/>
        <v/>
      </c>
      <c r="FS39" s="988" t="str">
        <f t="shared" si="512"/>
        <v/>
      </c>
      <c r="FT39" s="988" t="str">
        <f t="shared" si="512"/>
        <v/>
      </c>
      <c r="FU39" s="988" t="str">
        <f t="shared" si="512"/>
        <v/>
      </c>
      <c r="FV39" s="988" t="str">
        <f t="shared" si="512"/>
        <v/>
      </c>
      <c r="FW39" s="988" t="str">
        <f t="shared" si="512"/>
        <v/>
      </c>
      <c r="FX39" s="988" t="str">
        <f t="shared" si="512"/>
        <v/>
      </c>
      <c r="FY39" s="988" t="str">
        <f t="shared" si="512"/>
        <v/>
      </c>
      <c r="FZ39" s="988" t="str">
        <f t="shared" si="512"/>
        <v/>
      </c>
      <c r="GB39" s="988" t="str">
        <f t="shared" ref="GB39:GO39" si="513">IF(AND($I39&lt;&gt;"",$AF39="REC"),IF(AND($P39&gt;GA$8,$P39&lt;=GB$8),SUM($K39:$M39),""),"")</f>
        <v/>
      </c>
      <c r="GC39" s="988" t="str">
        <f t="shared" si="513"/>
        <v/>
      </c>
      <c r="GD39" s="988" t="str">
        <f t="shared" si="513"/>
        <v/>
      </c>
      <c r="GE39" s="988" t="str">
        <f t="shared" si="513"/>
        <v/>
      </c>
      <c r="GF39" s="988" t="str">
        <f t="shared" si="513"/>
        <v/>
      </c>
      <c r="GG39" s="988" t="str">
        <f t="shared" si="513"/>
        <v/>
      </c>
      <c r="GH39" s="988" t="str">
        <f t="shared" si="513"/>
        <v/>
      </c>
      <c r="GI39" s="988" t="str">
        <f t="shared" si="513"/>
        <v/>
      </c>
      <c r="GJ39" s="988" t="str">
        <f t="shared" si="513"/>
        <v/>
      </c>
      <c r="GK39" s="988" t="str">
        <f t="shared" si="513"/>
        <v/>
      </c>
      <c r="GL39" s="988" t="str">
        <f t="shared" si="513"/>
        <v/>
      </c>
      <c r="GM39" s="988" t="str">
        <f t="shared" si="513"/>
        <v/>
      </c>
      <c r="GN39" s="988" t="str">
        <f t="shared" si="513"/>
        <v/>
      </c>
      <c r="GO39" s="988" t="str">
        <f t="shared" si="513"/>
        <v/>
      </c>
      <c r="GQ39" s="988" t="str">
        <f t="shared" ref="GQ39:HD39" si="514">IF(AND($I39&lt;&gt;"",$AF39="REB"),IF(AND($P39&gt;GP$8,$P39&lt;=GQ$8),SUM($K39:$M39),""),"")</f>
        <v/>
      </c>
      <c r="GR39" s="988" t="str">
        <f t="shared" si="514"/>
        <v/>
      </c>
      <c r="GS39" s="988" t="str">
        <f t="shared" si="514"/>
        <v/>
      </c>
      <c r="GT39" s="988" t="str">
        <f t="shared" si="514"/>
        <v/>
      </c>
      <c r="GU39" s="988" t="str">
        <f t="shared" si="514"/>
        <v/>
      </c>
      <c r="GV39" s="988" t="str">
        <f t="shared" si="514"/>
        <v/>
      </c>
      <c r="GW39" s="988" t="str">
        <f t="shared" si="514"/>
        <v/>
      </c>
      <c r="GX39" s="988" t="str">
        <f t="shared" si="514"/>
        <v/>
      </c>
      <c r="GY39" s="988" t="str">
        <f t="shared" si="514"/>
        <v/>
      </c>
      <c r="GZ39" s="988" t="str">
        <f t="shared" si="514"/>
        <v/>
      </c>
      <c r="HA39" s="988" t="str">
        <f t="shared" si="514"/>
        <v/>
      </c>
      <c r="HB39" s="988" t="str">
        <f t="shared" si="514"/>
        <v/>
      </c>
      <c r="HC39" s="988" t="str">
        <f t="shared" si="514"/>
        <v/>
      </c>
      <c r="HD39" s="988" t="str">
        <f t="shared" si="514"/>
        <v/>
      </c>
      <c r="HF39" s="988" t="str">
        <f t="shared" ref="HF39:HS39" si="515">IF(AND($I39&lt;&gt;"",$AF39="RBS"),IF(AND($P39&gt;HE$8,$P39&lt;=HF$8),SUM($K39:$M39),""),"")</f>
        <v/>
      </c>
      <c r="HG39" s="988" t="str">
        <f t="shared" si="515"/>
        <v/>
      </c>
      <c r="HH39" s="988" t="str">
        <f t="shared" si="515"/>
        <v/>
      </c>
      <c r="HI39" s="988" t="str">
        <f t="shared" si="515"/>
        <v/>
      </c>
      <c r="HJ39" s="988" t="str">
        <f t="shared" si="515"/>
        <v/>
      </c>
      <c r="HK39" s="988" t="str">
        <f t="shared" si="515"/>
        <v/>
      </c>
      <c r="HL39" s="988" t="str">
        <f t="shared" si="515"/>
        <v/>
      </c>
      <c r="HM39" s="988" t="str">
        <f t="shared" si="515"/>
        <v/>
      </c>
      <c r="HN39" s="988" t="str">
        <f t="shared" si="515"/>
        <v/>
      </c>
      <c r="HO39" s="988" t="str">
        <f t="shared" si="515"/>
        <v/>
      </c>
      <c r="HP39" s="988" t="str">
        <f t="shared" si="515"/>
        <v/>
      </c>
      <c r="HQ39" s="988" t="str">
        <f t="shared" si="515"/>
        <v/>
      </c>
      <c r="HR39" s="988" t="str">
        <f t="shared" si="515"/>
        <v/>
      </c>
      <c r="HS39" s="988" t="str">
        <f t="shared" si="515"/>
        <v/>
      </c>
      <c r="HU39" s="988" t="str">
        <f t="shared" ref="HU39:IH39" si="516">IF(AND($I39&lt;&gt;"",$AF39="RCD"),IF(AND($P39&gt;HT$8,$P39&lt;=HU$8),SUM($K39:$M39),""),"")</f>
        <v/>
      </c>
      <c r="HV39" s="988" t="str">
        <f t="shared" si="516"/>
        <v/>
      </c>
      <c r="HW39" s="988" t="str">
        <f t="shared" si="516"/>
        <v/>
      </c>
      <c r="HX39" s="988" t="str">
        <f t="shared" si="516"/>
        <v/>
      </c>
      <c r="HY39" s="988" t="str">
        <f t="shared" si="516"/>
        <v/>
      </c>
      <c r="HZ39" s="988" t="str">
        <f t="shared" si="516"/>
        <v/>
      </c>
      <c r="IA39" s="988" t="str">
        <f t="shared" si="516"/>
        <v/>
      </c>
      <c r="IB39" s="988" t="str">
        <f t="shared" si="516"/>
        <v/>
      </c>
      <c r="IC39" s="988" t="str">
        <f t="shared" si="516"/>
        <v/>
      </c>
      <c r="ID39" s="988" t="str">
        <f t="shared" si="516"/>
        <v/>
      </c>
      <c r="IE39" s="988" t="str">
        <f t="shared" si="516"/>
        <v/>
      </c>
      <c r="IF39" s="988" t="str">
        <f t="shared" si="516"/>
        <v/>
      </c>
      <c r="IG39" s="988" t="str">
        <f t="shared" si="516"/>
        <v/>
      </c>
      <c r="IH39" s="988" t="str">
        <f t="shared" si="516"/>
        <v/>
      </c>
      <c r="IJ39" s="985">
        <f t="shared" ref="IJ39:IW39" si="517">IF(AND($I39&lt;&gt;""),IF(AND($P39&gt;II$8,$P39&lt;=IJ$8),$K39,""),"")</f>
        <v>3.23</v>
      </c>
      <c r="IK39" s="985" t="str">
        <f t="shared" si="517"/>
        <v/>
      </c>
      <c r="IL39" s="985" t="str">
        <f t="shared" si="517"/>
        <v/>
      </c>
      <c r="IM39" s="985" t="str">
        <f t="shared" si="517"/>
        <v/>
      </c>
      <c r="IN39" s="985" t="str">
        <f t="shared" si="517"/>
        <v/>
      </c>
      <c r="IO39" s="985" t="str">
        <f t="shared" si="517"/>
        <v/>
      </c>
      <c r="IP39" s="985" t="str">
        <f t="shared" si="517"/>
        <v/>
      </c>
      <c r="IQ39" s="985" t="str">
        <f t="shared" si="517"/>
        <v/>
      </c>
      <c r="IR39" s="985" t="str">
        <f t="shared" si="517"/>
        <v/>
      </c>
      <c r="IS39" s="985" t="str">
        <f t="shared" si="517"/>
        <v/>
      </c>
      <c r="IT39" s="985" t="str">
        <f t="shared" si="517"/>
        <v/>
      </c>
      <c r="IU39" s="985" t="str">
        <f t="shared" si="517"/>
        <v/>
      </c>
      <c r="IV39" s="985" t="str">
        <f t="shared" si="517"/>
        <v/>
      </c>
      <c r="IW39" s="985" t="str">
        <f t="shared" si="517"/>
        <v/>
      </c>
      <c r="IX39" s="987"/>
      <c r="IY39" s="985">
        <f t="shared" ref="IY39:JL39" si="518">IF(AND($I39&lt;&gt;""),IF(AND($P39&gt;IX$8,$P39&lt;=IY$8),$L39,""),"")</f>
        <v>0</v>
      </c>
      <c r="IZ39" s="985" t="str">
        <f t="shared" si="518"/>
        <v/>
      </c>
      <c r="JA39" s="985" t="str">
        <f t="shared" si="518"/>
        <v/>
      </c>
      <c r="JB39" s="985" t="str">
        <f t="shared" si="518"/>
        <v/>
      </c>
      <c r="JC39" s="985" t="str">
        <f t="shared" si="518"/>
        <v/>
      </c>
      <c r="JD39" s="985" t="str">
        <f t="shared" si="518"/>
        <v/>
      </c>
      <c r="JE39" s="985" t="str">
        <f t="shared" si="518"/>
        <v/>
      </c>
      <c r="JF39" s="985" t="str">
        <f t="shared" si="518"/>
        <v/>
      </c>
      <c r="JG39" s="985" t="str">
        <f t="shared" si="518"/>
        <v/>
      </c>
      <c r="JH39" s="985" t="str">
        <f t="shared" si="518"/>
        <v/>
      </c>
      <c r="JI39" s="985" t="str">
        <f t="shared" si="518"/>
        <v/>
      </c>
      <c r="JJ39" s="985" t="str">
        <f t="shared" si="518"/>
        <v/>
      </c>
      <c r="JK39" s="985" t="str">
        <f t="shared" si="518"/>
        <v/>
      </c>
      <c r="JL39" s="985" t="str">
        <f t="shared" si="518"/>
        <v/>
      </c>
      <c r="JM39" s="987"/>
      <c r="JN39" s="985">
        <f t="shared" ref="JN39:KA39" si="519">IF(AND($I39&lt;&gt;""),IF(AND($P39&gt;JM$8,$P39&lt;=JN$8),$M39,""),"")</f>
        <v>0</v>
      </c>
      <c r="JO39" s="985" t="str">
        <f t="shared" si="519"/>
        <v/>
      </c>
      <c r="JP39" s="985" t="str">
        <f t="shared" si="519"/>
        <v/>
      </c>
      <c r="JQ39" s="985" t="str">
        <f t="shared" si="519"/>
        <v/>
      </c>
      <c r="JR39" s="985" t="str">
        <f t="shared" si="519"/>
        <v/>
      </c>
      <c r="JS39" s="985" t="str">
        <f t="shared" si="519"/>
        <v/>
      </c>
      <c r="JT39" s="985" t="str">
        <f t="shared" si="519"/>
        <v/>
      </c>
      <c r="JU39" s="985" t="str">
        <f t="shared" si="519"/>
        <v/>
      </c>
      <c r="JV39" s="985" t="str">
        <f t="shared" si="519"/>
        <v/>
      </c>
      <c r="JW39" s="985" t="str">
        <f t="shared" si="519"/>
        <v/>
      </c>
      <c r="JX39" s="985" t="str">
        <f t="shared" si="519"/>
        <v/>
      </c>
      <c r="JY39" s="985" t="str">
        <f t="shared" si="519"/>
        <v/>
      </c>
      <c r="JZ39" s="985" t="str">
        <f t="shared" si="519"/>
        <v/>
      </c>
      <c r="KA39" s="985" t="str">
        <f t="shared" si="519"/>
        <v/>
      </c>
      <c r="KB39" s="987"/>
      <c r="KC39" s="985">
        <f t="shared" ref="KC39:KP39" si="520">IF(AND($I39&lt;&gt;""),IF(AND($P39&gt;KB$8,$P39&lt;=KC$8),$N39,""),"")</f>
        <v>0</v>
      </c>
      <c r="KD39" s="985" t="str">
        <f t="shared" si="520"/>
        <v/>
      </c>
      <c r="KE39" s="985" t="str">
        <f t="shared" si="520"/>
        <v/>
      </c>
      <c r="KF39" s="985" t="str">
        <f t="shared" si="520"/>
        <v/>
      </c>
      <c r="KG39" s="985" t="str">
        <f t="shared" si="520"/>
        <v/>
      </c>
      <c r="KH39" s="985" t="str">
        <f t="shared" si="520"/>
        <v/>
      </c>
      <c r="KI39" s="985" t="str">
        <f t="shared" si="520"/>
        <v/>
      </c>
      <c r="KJ39" s="985" t="str">
        <f t="shared" si="520"/>
        <v/>
      </c>
      <c r="KK39" s="985" t="str">
        <f t="shared" si="520"/>
        <v/>
      </c>
      <c r="KL39" s="985" t="str">
        <f t="shared" si="520"/>
        <v/>
      </c>
      <c r="KM39" s="985" t="str">
        <f t="shared" si="520"/>
        <v/>
      </c>
      <c r="KN39" s="985" t="str">
        <f t="shared" si="520"/>
        <v/>
      </c>
      <c r="KO39" s="985" t="str">
        <f t="shared" si="520"/>
        <v/>
      </c>
      <c r="KP39" s="985" t="str">
        <f t="shared" si="520"/>
        <v/>
      </c>
    </row>
    <row r="40" spans="2:302" ht="18" customHeight="1">
      <c r="B40" s="978">
        <f t="shared" si="0"/>
        <v>125</v>
      </c>
      <c r="C40" s="979" t="s">
        <v>734</v>
      </c>
      <c r="D40" s="979" t="s">
        <v>605</v>
      </c>
      <c r="E40" s="980">
        <v>10</v>
      </c>
      <c r="F40" s="979" t="s">
        <v>746</v>
      </c>
      <c r="G40" s="979" t="s">
        <v>605</v>
      </c>
      <c r="H40" s="980">
        <v>10</v>
      </c>
      <c r="I40" s="979" t="s">
        <v>843</v>
      </c>
      <c r="J40" s="979"/>
      <c r="K40" s="980">
        <v>179.20000000000002</v>
      </c>
      <c r="L40" s="980"/>
      <c r="M40" s="980"/>
      <c r="N40" s="980"/>
      <c r="O40" s="980"/>
      <c r="P40" s="981">
        <v>0.02</v>
      </c>
      <c r="Q40" s="981">
        <f t="shared" si="1"/>
        <v>3.5840000000000005</v>
      </c>
      <c r="R40" s="979" t="s">
        <v>734</v>
      </c>
      <c r="S40" s="979" t="s">
        <v>605</v>
      </c>
      <c r="T40" s="980">
        <v>10</v>
      </c>
      <c r="U40" s="979" t="s">
        <v>746</v>
      </c>
      <c r="V40" s="979" t="s">
        <v>605</v>
      </c>
      <c r="W40" s="980">
        <v>10</v>
      </c>
      <c r="X40" s="989" t="s">
        <v>843</v>
      </c>
      <c r="Y40" s="979"/>
      <c r="Z40" s="979"/>
      <c r="AA40" s="980">
        <v>1</v>
      </c>
      <c r="AB40" s="980">
        <f t="shared" si="2"/>
        <v>179.20000000000002</v>
      </c>
      <c r="AC40" s="982" t="s">
        <v>939</v>
      </c>
      <c r="AD40" s="953"/>
      <c r="AE40" s="983" t="str">
        <f t="shared" si="3"/>
        <v/>
      </c>
      <c r="AF40" s="984" t="str">
        <f t="shared" si="4"/>
        <v>REB</v>
      </c>
      <c r="AG40" s="963"/>
      <c r="AH40" s="985" t="str">
        <f t="shared" ref="AH40:AO49" si="521">IF(AND($I40&lt;&gt;"",$AF40="CL"),IF(AND($P40&gt;AG$8,$P40&lt;=AH$8),$K40,""),"")</f>
        <v/>
      </c>
      <c r="AI40" s="985" t="str">
        <f t="shared" si="521"/>
        <v/>
      </c>
      <c r="AJ40" s="985" t="str">
        <f t="shared" si="521"/>
        <v/>
      </c>
      <c r="AK40" s="985" t="str">
        <f t="shared" si="521"/>
        <v/>
      </c>
      <c r="AL40" s="985" t="str">
        <f t="shared" si="521"/>
        <v/>
      </c>
      <c r="AM40" s="985" t="str">
        <f t="shared" si="521"/>
        <v/>
      </c>
      <c r="AN40" s="985" t="str">
        <f t="shared" si="521"/>
        <v/>
      </c>
      <c r="AO40" s="985" t="str">
        <f t="shared" si="521"/>
        <v/>
      </c>
      <c r="AP40" s="986"/>
      <c r="AQ40" s="985" t="str">
        <f t="shared" ref="AQ40:BD40" si="522">IF(AND($I40&lt;&gt;"",$AF40="C"),IF(AND($P40&gt;AP$8,$P40&lt;=AQ$8),$K40,""),"")</f>
        <v/>
      </c>
      <c r="AR40" s="985" t="str">
        <f t="shared" si="522"/>
        <v/>
      </c>
      <c r="AS40" s="985" t="str">
        <f t="shared" si="522"/>
        <v/>
      </c>
      <c r="AT40" s="985" t="str">
        <f t="shared" si="522"/>
        <v/>
      </c>
      <c r="AU40" s="985" t="str">
        <f t="shared" si="522"/>
        <v/>
      </c>
      <c r="AV40" s="985" t="str">
        <f t="shared" si="522"/>
        <v/>
      </c>
      <c r="AW40" s="985" t="str">
        <f t="shared" si="522"/>
        <v/>
      </c>
      <c r="AX40" s="985" t="str">
        <f t="shared" si="522"/>
        <v/>
      </c>
      <c r="AY40" s="985" t="str">
        <f t="shared" si="522"/>
        <v/>
      </c>
      <c r="AZ40" s="985" t="str">
        <f t="shared" si="522"/>
        <v/>
      </c>
      <c r="BA40" s="985" t="str">
        <f t="shared" si="522"/>
        <v/>
      </c>
      <c r="BB40" s="985" t="str">
        <f t="shared" si="522"/>
        <v/>
      </c>
      <c r="BC40" s="985" t="str">
        <f t="shared" si="522"/>
        <v/>
      </c>
      <c r="BD40" s="985" t="str">
        <f t="shared" si="522"/>
        <v/>
      </c>
      <c r="BE40" s="987"/>
      <c r="BF40" s="985" t="str">
        <f t="shared" ref="BF40:BS40" si="523">IF(AND($I40&lt;&gt;"",$AF40="C"),IF(AND($P40&gt;BE$8,$P40&lt;=BF$8),$L40,""),"")</f>
        <v/>
      </c>
      <c r="BG40" s="985" t="str">
        <f t="shared" si="523"/>
        <v/>
      </c>
      <c r="BH40" s="985" t="str">
        <f t="shared" si="523"/>
        <v/>
      </c>
      <c r="BI40" s="985" t="str">
        <f t="shared" si="523"/>
        <v/>
      </c>
      <c r="BJ40" s="985" t="str">
        <f t="shared" si="523"/>
        <v/>
      </c>
      <c r="BK40" s="985" t="str">
        <f t="shared" si="523"/>
        <v/>
      </c>
      <c r="BL40" s="985" t="str">
        <f t="shared" si="523"/>
        <v/>
      </c>
      <c r="BM40" s="985" t="str">
        <f t="shared" si="523"/>
        <v/>
      </c>
      <c r="BN40" s="985" t="str">
        <f t="shared" si="523"/>
        <v/>
      </c>
      <c r="BO40" s="985" t="str">
        <f t="shared" si="523"/>
        <v/>
      </c>
      <c r="BP40" s="985" t="str">
        <f t="shared" si="523"/>
        <v/>
      </c>
      <c r="BQ40" s="985" t="str">
        <f t="shared" si="523"/>
        <v/>
      </c>
      <c r="BR40" s="985" t="str">
        <f t="shared" si="523"/>
        <v/>
      </c>
      <c r="BS40" s="985" t="str">
        <f t="shared" si="523"/>
        <v/>
      </c>
      <c r="BU40" s="985" t="str">
        <f t="shared" ref="BU40:CF40" si="524">IF(AND($I40&lt;&gt;"",$AF40="C"),IF(AND($P40&gt;BT$8,$P40&lt;=BU$8),$M40,""),"")</f>
        <v/>
      </c>
      <c r="BV40" s="985" t="str">
        <f t="shared" si="524"/>
        <v/>
      </c>
      <c r="BW40" s="985" t="str">
        <f t="shared" si="524"/>
        <v/>
      </c>
      <c r="BX40" s="985" t="str">
        <f t="shared" si="524"/>
        <v/>
      </c>
      <c r="BY40" s="985" t="str">
        <f t="shared" si="524"/>
        <v/>
      </c>
      <c r="BZ40" s="985" t="str">
        <f t="shared" si="524"/>
        <v/>
      </c>
      <c r="CA40" s="985" t="str">
        <f t="shared" si="524"/>
        <v/>
      </c>
      <c r="CB40" s="985" t="str">
        <f t="shared" si="524"/>
        <v/>
      </c>
      <c r="CC40" s="985" t="str">
        <f t="shared" si="524"/>
        <v/>
      </c>
      <c r="CD40" s="985" t="str">
        <f t="shared" si="524"/>
        <v/>
      </c>
      <c r="CE40" s="985" t="str">
        <f t="shared" si="524"/>
        <v/>
      </c>
      <c r="CF40" s="985" t="str">
        <f t="shared" si="524"/>
        <v/>
      </c>
      <c r="CG40" s="987"/>
      <c r="CH40" s="985" t="str">
        <f t="shared" ref="CH40:CN49" si="525">IF(AND($I40&lt;&gt;"",$AF40="SM"),IF(AND($P40&gt;CG$8,$P40&lt;=CH$8),$N40,""),"")</f>
        <v/>
      </c>
      <c r="CI40" s="985" t="str">
        <f t="shared" si="525"/>
        <v/>
      </c>
      <c r="CJ40" s="985" t="str">
        <f t="shared" si="525"/>
        <v/>
      </c>
      <c r="CK40" s="985" t="str">
        <f t="shared" si="525"/>
        <v/>
      </c>
      <c r="CL40" s="985" t="str">
        <f t="shared" si="525"/>
        <v/>
      </c>
      <c r="CM40" s="985" t="str">
        <f t="shared" si="525"/>
        <v/>
      </c>
      <c r="CN40" s="985" t="str">
        <f t="shared" si="525"/>
        <v/>
      </c>
      <c r="CP40" s="988" t="str">
        <f t="shared" ref="CP40:DC40" si="526">IF(AND($I40&lt;&gt;"",OR($AF40="ELE",$AF40="ELD",$AF40="CX")),IF(AND($P40&gt;CO$8,$P40&lt;=CP$8),$K40,""),"")</f>
        <v/>
      </c>
      <c r="CQ40" s="988" t="str">
        <f t="shared" si="526"/>
        <v/>
      </c>
      <c r="CR40" s="988" t="str">
        <f t="shared" si="526"/>
        <v/>
      </c>
      <c r="CS40" s="988" t="str">
        <f t="shared" si="526"/>
        <v/>
      </c>
      <c r="CT40" s="988" t="str">
        <f t="shared" si="526"/>
        <v/>
      </c>
      <c r="CU40" s="988" t="str">
        <f t="shared" si="526"/>
        <v/>
      </c>
      <c r="CV40" s="988" t="str">
        <f t="shared" si="526"/>
        <v/>
      </c>
      <c r="CW40" s="988" t="str">
        <f t="shared" si="526"/>
        <v/>
      </c>
      <c r="CX40" s="988" t="str">
        <f t="shared" si="526"/>
        <v/>
      </c>
      <c r="CY40" s="988" t="str">
        <f t="shared" si="526"/>
        <v/>
      </c>
      <c r="CZ40" s="988" t="str">
        <f t="shared" si="526"/>
        <v/>
      </c>
      <c r="DA40" s="988" t="str">
        <f t="shared" si="526"/>
        <v/>
      </c>
      <c r="DB40" s="988" t="str">
        <f t="shared" si="526"/>
        <v/>
      </c>
      <c r="DC40" s="988" t="str">
        <f t="shared" si="526"/>
        <v/>
      </c>
      <c r="DE40" s="988">
        <f t="shared" ref="DE40:DR40" si="527">IF(AND($X40&lt;&gt;"",$AC40="CF"),IF(AND($P40&gt;DD$8,$P40&lt;=DE$8),$AB40,""),"")</f>
        <v>179.20000000000002</v>
      </c>
      <c r="DF40" s="988" t="str">
        <f t="shared" si="527"/>
        <v/>
      </c>
      <c r="DG40" s="988" t="str">
        <f t="shared" si="527"/>
        <v/>
      </c>
      <c r="DH40" s="988" t="str">
        <f t="shared" si="527"/>
        <v/>
      </c>
      <c r="DI40" s="988" t="str">
        <f t="shared" si="527"/>
        <v/>
      </c>
      <c r="DJ40" s="988" t="str">
        <f t="shared" si="527"/>
        <v/>
      </c>
      <c r="DK40" s="988" t="str">
        <f t="shared" si="527"/>
        <v/>
      </c>
      <c r="DL40" s="988" t="str">
        <f t="shared" si="527"/>
        <v/>
      </c>
      <c r="DM40" s="988" t="str">
        <f t="shared" si="527"/>
        <v/>
      </c>
      <c r="DN40" s="988" t="str">
        <f t="shared" si="527"/>
        <v/>
      </c>
      <c r="DO40" s="988" t="str">
        <f t="shared" si="527"/>
        <v/>
      </c>
      <c r="DP40" s="988" t="str">
        <f t="shared" si="527"/>
        <v/>
      </c>
      <c r="DQ40" s="988" t="str">
        <f t="shared" si="527"/>
        <v/>
      </c>
      <c r="DR40" s="988" t="str">
        <f t="shared" si="527"/>
        <v/>
      </c>
      <c r="DT40" s="988" t="str">
        <f t="shared" ref="DT40:EG40" si="528">IF(AND($X40&lt;&gt;"",$AC40="CA"),IF(AND($P40&gt;DS$8,$P40&lt;=DT$8),$AB40,""),"")</f>
        <v/>
      </c>
      <c r="DU40" s="988" t="str">
        <f t="shared" si="528"/>
        <v/>
      </c>
      <c r="DV40" s="988" t="str">
        <f t="shared" si="528"/>
        <v/>
      </c>
      <c r="DW40" s="988" t="str">
        <f t="shared" si="528"/>
        <v/>
      </c>
      <c r="DX40" s="988" t="str">
        <f t="shared" si="528"/>
        <v/>
      </c>
      <c r="DY40" s="988" t="str">
        <f t="shared" si="528"/>
        <v/>
      </c>
      <c r="DZ40" s="988" t="str">
        <f t="shared" si="528"/>
        <v/>
      </c>
      <c r="EA40" s="988" t="str">
        <f t="shared" si="528"/>
        <v/>
      </c>
      <c r="EB40" s="988" t="str">
        <f t="shared" si="528"/>
        <v/>
      </c>
      <c r="EC40" s="988" t="str">
        <f t="shared" si="528"/>
        <v/>
      </c>
      <c r="ED40" s="988" t="str">
        <f t="shared" si="528"/>
        <v/>
      </c>
      <c r="EE40" s="988" t="str">
        <f t="shared" si="528"/>
        <v/>
      </c>
      <c r="EF40" s="988" t="str">
        <f t="shared" si="528"/>
        <v/>
      </c>
      <c r="EG40" s="988" t="str">
        <f t="shared" si="528"/>
        <v/>
      </c>
      <c r="EI40" s="988" t="str">
        <f t="shared" ref="EI40:EV40" si="529">IF($AE40="BFC",IF(AND($P40&gt;EH$8,$P40&lt;=EI$8),$AB40,""),"")</f>
        <v/>
      </c>
      <c r="EJ40" s="988" t="str">
        <f t="shared" si="529"/>
        <v/>
      </c>
      <c r="EK40" s="988" t="str">
        <f t="shared" si="529"/>
        <v/>
      </c>
      <c r="EL40" s="988" t="str">
        <f t="shared" si="529"/>
        <v/>
      </c>
      <c r="EM40" s="988" t="str">
        <f t="shared" si="529"/>
        <v/>
      </c>
      <c r="EN40" s="988" t="str">
        <f t="shared" si="529"/>
        <v/>
      </c>
      <c r="EO40" s="988" t="str">
        <f t="shared" si="529"/>
        <v/>
      </c>
      <c r="EP40" s="988" t="str">
        <f t="shared" si="529"/>
        <v/>
      </c>
      <c r="EQ40" s="988" t="str">
        <f t="shared" si="529"/>
        <v/>
      </c>
      <c r="ER40" s="988" t="str">
        <f t="shared" si="529"/>
        <v/>
      </c>
      <c r="ES40" s="988" t="str">
        <f t="shared" si="529"/>
        <v/>
      </c>
      <c r="ET40" s="988" t="str">
        <f t="shared" si="529"/>
        <v/>
      </c>
      <c r="EU40" s="988" t="str">
        <f t="shared" si="529"/>
        <v/>
      </c>
      <c r="EV40" s="988" t="str">
        <f t="shared" si="529"/>
        <v/>
      </c>
      <c r="EX40" s="988" t="str">
        <f t="shared" ref="EX40:FK40" si="530">IF($AE40="BFN",IF(AND($P40&gt;EW$8,$P40&lt;=EX$8),$AB40,""),"")</f>
        <v/>
      </c>
      <c r="EY40" s="988" t="str">
        <f t="shared" si="530"/>
        <v/>
      </c>
      <c r="EZ40" s="988" t="str">
        <f t="shared" si="530"/>
        <v/>
      </c>
      <c r="FA40" s="988" t="str">
        <f t="shared" si="530"/>
        <v/>
      </c>
      <c r="FB40" s="988" t="str">
        <f t="shared" si="530"/>
        <v/>
      </c>
      <c r="FC40" s="988" t="str">
        <f t="shared" si="530"/>
        <v/>
      </c>
      <c r="FD40" s="988" t="str">
        <f t="shared" si="530"/>
        <v/>
      </c>
      <c r="FE40" s="988" t="str">
        <f t="shared" si="530"/>
        <v/>
      </c>
      <c r="FF40" s="988" t="str">
        <f t="shared" si="530"/>
        <v/>
      </c>
      <c r="FG40" s="988" t="str">
        <f t="shared" si="530"/>
        <v/>
      </c>
      <c r="FH40" s="988" t="str">
        <f t="shared" si="530"/>
        <v/>
      </c>
      <c r="FI40" s="988" t="str">
        <f t="shared" si="530"/>
        <v/>
      </c>
      <c r="FJ40" s="988" t="str">
        <f t="shared" si="530"/>
        <v/>
      </c>
      <c r="FK40" s="988" t="str">
        <f t="shared" si="530"/>
        <v/>
      </c>
      <c r="FM40" s="988" t="str">
        <f t="shared" ref="FM40:FZ40" si="531">IF(AND($I40&lt;&gt;"",$AF40="RCS"),IF(AND($P40&gt;FL$8,$P40&lt;=FM$8),SUM($K40:$M40),""),"")</f>
        <v/>
      </c>
      <c r="FN40" s="988" t="str">
        <f t="shared" si="531"/>
        <v/>
      </c>
      <c r="FO40" s="988" t="str">
        <f t="shared" si="531"/>
        <v/>
      </c>
      <c r="FP40" s="988" t="str">
        <f t="shared" si="531"/>
        <v/>
      </c>
      <c r="FQ40" s="988" t="str">
        <f t="shared" si="531"/>
        <v/>
      </c>
      <c r="FR40" s="988" t="str">
        <f t="shared" si="531"/>
        <v/>
      </c>
      <c r="FS40" s="988" t="str">
        <f t="shared" si="531"/>
        <v/>
      </c>
      <c r="FT40" s="988" t="str">
        <f t="shared" si="531"/>
        <v/>
      </c>
      <c r="FU40" s="988" t="str">
        <f t="shared" si="531"/>
        <v/>
      </c>
      <c r="FV40" s="988" t="str">
        <f t="shared" si="531"/>
        <v/>
      </c>
      <c r="FW40" s="988" t="str">
        <f t="shared" si="531"/>
        <v/>
      </c>
      <c r="FX40" s="988" t="str">
        <f t="shared" si="531"/>
        <v/>
      </c>
      <c r="FY40" s="988" t="str">
        <f t="shared" si="531"/>
        <v/>
      </c>
      <c r="FZ40" s="988" t="str">
        <f t="shared" si="531"/>
        <v/>
      </c>
      <c r="GB40" s="988" t="str">
        <f t="shared" ref="GB40:GO40" si="532">IF(AND($I40&lt;&gt;"",$AF40="REC"),IF(AND($P40&gt;GA$8,$P40&lt;=GB$8),SUM($K40:$M40),""),"")</f>
        <v/>
      </c>
      <c r="GC40" s="988" t="str">
        <f t="shared" si="532"/>
        <v/>
      </c>
      <c r="GD40" s="988" t="str">
        <f t="shared" si="532"/>
        <v/>
      </c>
      <c r="GE40" s="988" t="str">
        <f t="shared" si="532"/>
        <v/>
      </c>
      <c r="GF40" s="988" t="str">
        <f t="shared" si="532"/>
        <v/>
      </c>
      <c r="GG40" s="988" t="str">
        <f t="shared" si="532"/>
        <v/>
      </c>
      <c r="GH40" s="988" t="str">
        <f t="shared" si="532"/>
        <v/>
      </c>
      <c r="GI40" s="988" t="str">
        <f t="shared" si="532"/>
        <v/>
      </c>
      <c r="GJ40" s="988" t="str">
        <f t="shared" si="532"/>
        <v/>
      </c>
      <c r="GK40" s="988" t="str">
        <f t="shared" si="532"/>
        <v/>
      </c>
      <c r="GL40" s="988" t="str">
        <f t="shared" si="532"/>
        <v/>
      </c>
      <c r="GM40" s="988" t="str">
        <f t="shared" si="532"/>
        <v/>
      </c>
      <c r="GN40" s="988" t="str">
        <f t="shared" si="532"/>
        <v/>
      </c>
      <c r="GO40" s="988" t="str">
        <f t="shared" si="532"/>
        <v/>
      </c>
      <c r="GQ40" s="988">
        <f t="shared" ref="GQ40:HD40" si="533">IF(AND($I40&lt;&gt;"",$AF40="REB"),IF(AND($P40&gt;GP$8,$P40&lt;=GQ$8),SUM($K40:$M40),""),"")</f>
        <v>179.20000000000002</v>
      </c>
      <c r="GR40" s="988" t="str">
        <f t="shared" si="533"/>
        <v/>
      </c>
      <c r="GS40" s="988" t="str">
        <f t="shared" si="533"/>
        <v/>
      </c>
      <c r="GT40" s="988" t="str">
        <f t="shared" si="533"/>
        <v/>
      </c>
      <c r="GU40" s="988" t="str">
        <f t="shared" si="533"/>
        <v/>
      </c>
      <c r="GV40" s="988" t="str">
        <f t="shared" si="533"/>
        <v/>
      </c>
      <c r="GW40" s="988" t="str">
        <f t="shared" si="533"/>
        <v/>
      </c>
      <c r="GX40" s="988" t="str">
        <f t="shared" si="533"/>
        <v/>
      </c>
      <c r="GY40" s="988" t="str">
        <f t="shared" si="533"/>
        <v/>
      </c>
      <c r="GZ40" s="988" t="str">
        <f t="shared" si="533"/>
        <v/>
      </c>
      <c r="HA40" s="988" t="str">
        <f t="shared" si="533"/>
        <v/>
      </c>
      <c r="HB40" s="988" t="str">
        <f t="shared" si="533"/>
        <v/>
      </c>
      <c r="HC40" s="988" t="str">
        <f t="shared" si="533"/>
        <v/>
      </c>
      <c r="HD40" s="988" t="str">
        <f t="shared" si="533"/>
        <v/>
      </c>
      <c r="HF40" s="988" t="str">
        <f t="shared" ref="HF40:HS40" si="534">IF(AND($I40&lt;&gt;"",$AF40="RBS"),IF(AND($P40&gt;HE$8,$P40&lt;=HF$8),SUM($K40:$M40),""),"")</f>
        <v/>
      </c>
      <c r="HG40" s="988" t="str">
        <f t="shared" si="534"/>
        <v/>
      </c>
      <c r="HH40" s="988" t="str">
        <f t="shared" si="534"/>
        <v/>
      </c>
      <c r="HI40" s="988" t="str">
        <f t="shared" si="534"/>
        <v/>
      </c>
      <c r="HJ40" s="988" t="str">
        <f t="shared" si="534"/>
        <v/>
      </c>
      <c r="HK40" s="988" t="str">
        <f t="shared" si="534"/>
        <v/>
      </c>
      <c r="HL40" s="988" t="str">
        <f t="shared" si="534"/>
        <v/>
      </c>
      <c r="HM40" s="988" t="str">
        <f t="shared" si="534"/>
        <v/>
      </c>
      <c r="HN40" s="988" t="str">
        <f t="shared" si="534"/>
        <v/>
      </c>
      <c r="HO40" s="988" t="str">
        <f t="shared" si="534"/>
        <v/>
      </c>
      <c r="HP40" s="988" t="str">
        <f t="shared" si="534"/>
        <v/>
      </c>
      <c r="HQ40" s="988" t="str">
        <f t="shared" si="534"/>
        <v/>
      </c>
      <c r="HR40" s="988" t="str">
        <f t="shared" si="534"/>
        <v/>
      </c>
      <c r="HS40" s="988" t="str">
        <f t="shared" si="534"/>
        <v/>
      </c>
      <c r="HU40" s="988" t="str">
        <f t="shared" ref="HU40:IH40" si="535">IF(AND($I40&lt;&gt;"",$AF40="RCD"),IF(AND($P40&gt;HT$8,$P40&lt;=HU$8),SUM($K40:$M40),""),"")</f>
        <v/>
      </c>
      <c r="HV40" s="988" t="str">
        <f t="shared" si="535"/>
        <v/>
      </c>
      <c r="HW40" s="988" t="str">
        <f t="shared" si="535"/>
        <v/>
      </c>
      <c r="HX40" s="988" t="str">
        <f t="shared" si="535"/>
        <v/>
      </c>
      <c r="HY40" s="988" t="str">
        <f t="shared" si="535"/>
        <v/>
      </c>
      <c r="HZ40" s="988" t="str">
        <f t="shared" si="535"/>
        <v/>
      </c>
      <c r="IA40" s="988" t="str">
        <f t="shared" si="535"/>
        <v/>
      </c>
      <c r="IB40" s="988" t="str">
        <f t="shared" si="535"/>
        <v/>
      </c>
      <c r="IC40" s="988" t="str">
        <f t="shared" si="535"/>
        <v/>
      </c>
      <c r="ID40" s="988" t="str">
        <f t="shared" si="535"/>
        <v/>
      </c>
      <c r="IE40" s="988" t="str">
        <f t="shared" si="535"/>
        <v/>
      </c>
      <c r="IF40" s="988" t="str">
        <f t="shared" si="535"/>
        <v/>
      </c>
      <c r="IG40" s="988" t="str">
        <f t="shared" si="535"/>
        <v/>
      </c>
      <c r="IH40" s="988" t="str">
        <f t="shared" si="535"/>
        <v/>
      </c>
      <c r="IJ40" s="985">
        <f t="shared" ref="IJ40:IW40" si="536">IF(AND($I40&lt;&gt;""),IF(AND($P40&gt;II$8,$P40&lt;=IJ$8),$K40,""),"")</f>
        <v>179.20000000000002</v>
      </c>
      <c r="IK40" s="985" t="str">
        <f t="shared" si="536"/>
        <v/>
      </c>
      <c r="IL40" s="985" t="str">
        <f t="shared" si="536"/>
        <v/>
      </c>
      <c r="IM40" s="985" t="str">
        <f t="shared" si="536"/>
        <v/>
      </c>
      <c r="IN40" s="985" t="str">
        <f t="shared" si="536"/>
        <v/>
      </c>
      <c r="IO40" s="985" t="str">
        <f t="shared" si="536"/>
        <v/>
      </c>
      <c r="IP40" s="985" t="str">
        <f t="shared" si="536"/>
        <v/>
      </c>
      <c r="IQ40" s="985" t="str">
        <f t="shared" si="536"/>
        <v/>
      </c>
      <c r="IR40" s="985" t="str">
        <f t="shared" si="536"/>
        <v/>
      </c>
      <c r="IS40" s="985" t="str">
        <f t="shared" si="536"/>
        <v/>
      </c>
      <c r="IT40" s="985" t="str">
        <f t="shared" si="536"/>
        <v/>
      </c>
      <c r="IU40" s="985" t="str">
        <f t="shared" si="536"/>
        <v/>
      </c>
      <c r="IV40" s="985" t="str">
        <f t="shared" si="536"/>
        <v/>
      </c>
      <c r="IW40" s="985" t="str">
        <f t="shared" si="536"/>
        <v/>
      </c>
      <c r="IX40" s="987"/>
      <c r="IY40" s="985">
        <f t="shared" ref="IY40:JL40" si="537">IF(AND($I40&lt;&gt;""),IF(AND($P40&gt;IX$8,$P40&lt;=IY$8),$L40,""),"")</f>
        <v>0</v>
      </c>
      <c r="IZ40" s="985" t="str">
        <f t="shared" si="537"/>
        <v/>
      </c>
      <c r="JA40" s="985" t="str">
        <f t="shared" si="537"/>
        <v/>
      </c>
      <c r="JB40" s="985" t="str">
        <f t="shared" si="537"/>
        <v/>
      </c>
      <c r="JC40" s="985" t="str">
        <f t="shared" si="537"/>
        <v/>
      </c>
      <c r="JD40" s="985" t="str">
        <f t="shared" si="537"/>
        <v/>
      </c>
      <c r="JE40" s="985" t="str">
        <f t="shared" si="537"/>
        <v/>
      </c>
      <c r="JF40" s="985" t="str">
        <f t="shared" si="537"/>
        <v/>
      </c>
      <c r="JG40" s="985" t="str">
        <f t="shared" si="537"/>
        <v/>
      </c>
      <c r="JH40" s="985" t="str">
        <f t="shared" si="537"/>
        <v/>
      </c>
      <c r="JI40" s="985" t="str">
        <f t="shared" si="537"/>
        <v/>
      </c>
      <c r="JJ40" s="985" t="str">
        <f t="shared" si="537"/>
        <v/>
      </c>
      <c r="JK40" s="985" t="str">
        <f t="shared" si="537"/>
        <v/>
      </c>
      <c r="JL40" s="985" t="str">
        <f t="shared" si="537"/>
        <v/>
      </c>
      <c r="JM40" s="987"/>
      <c r="JN40" s="985">
        <f t="shared" ref="JN40:KA40" si="538">IF(AND($I40&lt;&gt;""),IF(AND($P40&gt;JM$8,$P40&lt;=JN$8),$M40,""),"")</f>
        <v>0</v>
      </c>
      <c r="JO40" s="985" t="str">
        <f t="shared" si="538"/>
        <v/>
      </c>
      <c r="JP40" s="985" t="str">
        <f t="shared" si="538"/>
        <v/>
      </c>
      <c r="JQ40" s="985" t="str">
        <f t="shared" si="538"/>
        <v/>
      </c>
      <c r="JR40" s="985" t="str">
        <f t="shared" si="538"/>
        <v/>
      </c>
      <c r="JS40" s="985" t="str">
        <f t="shared" si="538"/>
        <v/>
      </c>
      <c r="JT40" s="985" t="str">
        <f t="shared" si="538"/>
        <v/>
      </c>
      <c r="JU40" s="985" t="str">
        <f t="shared" si="538"/>
        <v/>
      </c>
      <c r="JV40" s="985" t="str">
        <f t="shared" si="538"/>
        <v/>
      </c>
      <c r="JW40" s="985" t="str">
        <f t="shared" si="538"/>
        <v/>
      </c>
      <c r="JX40" s="985" t="str">
        <f t="shared" si="538"/>
        <v/>
      </c>
      <c r="JY40" s="985" t="str">
        <f t="shared" si="538"/>
        <v/>
      </c>
      <c r="JZ40" s="985" t="str">
        <f t="shared" si="538"/>
        <v/>
      </c>
      <c r="KA40" s="985" t="str">
        <f t="shared" si="538"/>
        <v/>
      </c>
      <c r="KB40" s="987"/>
      <c r="KC40" s="985">
        <f t="shared" ref="KC40:KP40" si="539">IF(AND($I40&lt;&gt;""),IF(AND($P40&gt;KB$8,$P40&lt;=KC$8),$N40,""),"")</f>
        <v>0</v>
      </c>
      <c r="KD40" s="985" t="str">
        <f t="shared" si="539"/>
        <v/>
      </c>
      <c r="KE40" s="985" t="str">
        <f t="shared" si="539"/>
        <v/>
      </c>
      <c r="KF40" s="985" t="str">
        <f t="shared" si="539"/>
        <v/>
      </c>
      <c r="KG40" s="985" t="str">
        <f t="shared" si="539"/>
        <v/>
      </c>
      <c r="KH40" s="985" t="str">
        <f t="shared" si="539"/>
        <v/>
      </c>
      <c r="KI40" s="985" t="str">
        <f t="shared" si="539"/>
        <v/>
      </c>
      <c r="KJ40" s="985" t="str">
        <f t="shared" si="539"/>
        <v/>
      </c>
      <c r="KK40" s="985" t="str">
        <f t="shared" si="539"/>
        <v/>
      </c>
      <c r="KL40" s="985" t="str">
        <f t="shared" si="539"/>
        <v/>
      </c>
      <c r="KM40" s="985" t="str">
        <f t="shared" si="539"/>
        <v/>
      </c>
      <c r="KN40" s="985" t="str">
        <f t="shared" si="539"/>
        <v/>
      </c>
      <c r="KO40" s="985" t="str">
        <f t="shared" si="539"/>
        <v/>
      </c>
      <c r="KP40" s="985" t="str">
        <f t="shared" si="539"/>
        <v/>
      </c>
    </row>
    <row r="41" spans="2:302" ht="18" customHeight="1">
      <c r="B41" s="978">
        <f t="shared" si="0"/>
        <v>128</v>
      </c>
      <c r="C41" s="979" t="s">
        <v>746</v>
      </c>
      <c r="D41" s="979" t="s">
        <v>605</v>
      </c>
      <c r="E41" s="980">
        <v>10</v>
      </c>
      <c r="F41" s="979" t="s">
        <v>752</v>
      </c>
      <c r="G41" s="979" t="s">
        <v>605</v>
      </c>
      <c r="H41" s="980">
        <v>0</v>
      </c>
      <c r="I41" s="979" t="s">
        <v>846</v>
      </c>
      <c r="J41" s="979"/>
      <c r="K41" s="980">
        <v>22.580000000000002</v>
      </c>
      <c r="L41" s="980"/>
      <c r="M41" s="980"/>
      <c r="N41" s="980"/>
      <c r="O41" s="980"/>
      <c r="P41" s="981">
        <v>0.02</v>
      </c>
      <c r="Q41" s="981">
        <f t="shared" si="1"/>
        <v>0.45160000000000006</v>
      </c>
      <c r="R41" s="979" t="s">
        <v>746</v>
      </c>
      <c r="S41" s="979" t="s">
        <v>605</v>
      </c>
      <c r="T41" s="980">
        <v>10</v>
      </c>
      <c r="U41" s="979" t="s">
        <v>752</v>
      </c>
      <c r="V41" s="979" t="s">
        <v>605</v>
      </c>
      <c r="W41" s="980">
        <v>0</v>
      </c>
      <c r="X41" s="979" t="s">
        <v>846</v>
      </c>
      <c r="Y41" s="979"/>
      <c r="Z41" s="979"/>
      <c r="AA41" s="980">
        <v>1.3</v>
      </c>
      <c r="AB41" s="980">
        <f t="shared" si="2"/>
        <v>17.369230769230771</v>
      </c>
      <c r="AC41" s="982" t="s">
        <v>939</v>
      </c>
      <c r="AD41" s="953"/>
      <c r="AE41" s="983" t="str">
        <f t="shared" si="3"/>
        <v/>
      </c>
      <c r="AF41" s="984" t="str">
        <f t="shared" si="4"/>
        <v>CL</v>
      </c>
      <c r="AG41" s="963"/>
      <c r="AH41" s="985">
        <f t="shared" si="521"/>
        <v>22.580000000000002</v>
      </c>
      <c r="AI41" s="985" t="str">
        <f t="shared" si="521"/>
        <v/>
      </c>
      <c r="AJ41" s="985" t="str">
        <f t="shared" si="521"/>
        <v/>
      </c>
      <c r="AK41" s="985" t="str">
        <f t="shared" si="521"/>
        <v/>
      </c>
      <c r="AL41" s="985" t="str">
        <f t="shared" si="521"/>
        <v/>
      </c>
      <c r="AM41" s="985" t="str">
        <f t="shared" si="521"/>
        <v/>
      </c>
      <c r="AN41" s="985" t="str">
        <f t="shared" si="521"/>
        <v/>
      </c>
      <c r="AO41" s="985" t="str">
        <f t="shared" si="521"/>
        <v/>
      </c>
      <c r="AP41" s="986"/>
      <c r="AQ41" s="985" t="str">
        <f t="shared" ref="AQ41:BD41" si="540">IF(AND($I41&lt;&gt;"",$AF41="C"),IF(AND($P41&gt;AP$8,$P41&lt;=AQ$8),$K41,""),"")</f>
        <v/>
      </c>
      <c r="AR41" s="985" t="str">
        <f t="shared" si="540"/>
        <v/>
      </c>
      <c r="AS41" s="985" t="str">
        <f t="shared" si="540"/>
        <v/>
      </c>
      <c r="AT41" s="985" t="str">
        <f t="shared" si="540"/>
        <v/>
      </c>
      <c r="AU41" s="985" t="str">
        <f t="shared" si="540"/>
        <v/>
      </c>
      <c r="AV41" s="985" t="str">
        <f t="shared" si="540"/>
        <v/>
      </c>
      <c r="AW41" s="985" t="str">
        <f t="shared" si="540"/>
        <v/>
      </c>
      <c r="AX41" s="985" t="str">
        <f t="shared" si="540"/>
        <v/>
      </c>
      <c r="AY41" s="985" t="str">
        <f t="shared" si="540"/>
        <v/>
      </c>
      <c r="AZ41" s="985" t="str">
        <f t="shared" si="540"/>
        <v/>
      </c>
      <c r="BA41" s="985" t="str">
        <f t="shared" si="540"/>
        <v/>
      </c>
      <c r="BB41" s="985" t="str">
        <f t="shared" si="540"/>
        <v/>
      </c>
      <c r="BC41" s="985" t="str">
        <f t="shared" si="540"/>
        <v/>
      </c>
      <c r="BD41" s="985" t="str">
        <f t="shared" si="540"/>
        <v/>
      </c>
      <c r="BE41" s="987"/>
      <c r="BF41" s="985" t="str">
        <f t="shared" ref="BF41:BS41" si="541">IF(AND($I41&lt;&gt;"",$AF41="C"),IF(AND($P41&gt;BE$8,$P41&lt;=BF$8),$L41,""),"")</f>
        <v/>
      </c>
      <c r="BG41" s="985" t="str">
        <f t="shared" si="541"/>
        <v/>
      </c>
      <c r="BH41" s="985" t="str">
        <f t="shared" si="541"/>
        <v/>
      </c>
      <c r="BI41" s="985" t="str">
        <f t="shared" si="541"/>
        <v/>
      </c>
      <c r="BJ41" s="985" t="str">
        <f t="shared" si="541"/>
        <v/>
      </c>
      <c r="BK41" s="985" t="str">
        <f t="shared" si="541"/>
        <v/>
      </c>
      <c r="BL41" s="985" t="str">
        <f t="shared" si="541"/>
        <v/>
      </c>
      <c r="BM41" s="985" t="str">
        <f t="shared" si="541"/>
        <v/>
      </c>
      <c r="BN41" s="985" t="str">
        <f t="shared" si="541"/>
        <v/>
      </c>
      <c r="BO41" s="985" t="str">
        <f t="shared" si="541"/>
        <v/>
      </c>
      <c r="BP41" s="985" t="str">
        <f t="shared" si="541"/>
        <v/>
      </c>
      <c r="BQ41" s="985" t="str">
        <f t="shared" si="541"/>
        <v/>
      </c>
      <c r="BR41" s="985" t="str">
        <f t="shared" si="541"/>
        <v/>
      </c>
      <c r="BS41" s="985" t="str">
        <f t="shared" si="541"/>
        <v/>
      </c>
      <c r="BU41" s="985" t="str">
        <f t="shared" ref="BU41:CF41" si="542">IF(AND($I41&lt;&gt;"",$AF41="C"),IF(AND($P41&gt;BT$8,$P41&lt;=BU$8),$M41,""),"")</f>
        <v/>
      </c>
      <c r="BV41" s="985" t="str">
        <f t="shared" si="542"/>
        <v/>
      </c>
      <c r="BW41" s="985" t="str">
        <f t="shared" si="542"/>
        <v/>
      </c>
      <c r="BX41" s="985" t="str">
        <f t="shared" si="542"/>
        <v/>
      </c>
      <c r="BY41" s="985" t="str">
        <f t="shared" si="542"/>
        <v/>
      </c>
      <c r="BZ41" s="985" t="str">
        <f t="shared" si="542"/>
        <v/>
      </c>
      <c r="CA41" s="985" t="str">
        <f t="shared" si="542"/>
        <v/>
      </c>
      <c r="CB41" s="985" t="str">
        <f t="shared" si="542"/>
        <v/>
      </c>
      <c r="CC41" s="985" t="str">
        <f t="shared" si="542"/>
        <v/>
      </c>
      <c r="CD41" s="985" t="str">
        <f t="shared" si="542"/>
        <v/>
      </c>
      <c r="CE41" s="985" t="str">
        <f t="shared" si="542"/>
        <v/>
      </c>
      <c r="CF41" s="985" t="str">
        <f t="shared" si="542"/>
        <v/>
      </c>
      <c r="CG41" s="987"/>
      <c r="CH41" s="985" t="str">
        <f t="shared" si="525"/>
        <v/>
      </c>
      <c r="CI41" s="985" t="str">
        <f t="shared" si="525"/>
        <v/>
      </c>
      <c r="CJ41" s="985" t="str">
        <f t="shared" si="525"/>
        <v/>
      </c>
      <c r="CK41" s="985" t="str">
        <f t="shared" si="525"/>
        <v/>
      </c>
      <c r="CL41" s="985" t="str">
        <f t="shared" si="525"/>
        <v/>
      </c>
      <c r="CM41" s="985" t="str">
        <f t="shared" si="525"/>
        <v/>
      </c>
      <c r="CN41" s="985" t="str">
        <f t="shared" si="525"/>
        <v/>
      </c>
      <c r="CP41" s="988" t="str">
        <f t="shared" ref="CP41:DC41" si="543">IF(AND($I41&lt;&gt;"",OR($AF41="ELE",$AF41="ELD",$AF41="CX")),IF(AND($P41&gt;CO$8,$P41&lt;=CP$8),$K41,""),"")</f>
        <v/>
      </c>
      <c r="CQ41" s="988" t="str">
        <f t="shared" si="543"/>
        <v/>
      </c>
      <c r="CR41" s="988" t="str">
        <f t="shared" si="543"/>
        <v/>
      </c>
      <c r="CS41" s="988" t="str">
        <f t="shared" si="543"/>
        <v/>
      </c>
      <c r="CT41" s="988" t="str">
        <f t="shared" si="543"/>
        <v/>
      </c>
      <c r="CU41" s="988" t="str">
        <f t="shared" si="543"/>
        <v/>
      </c>
      <c r="CV41" s="988" t="str">
        <f t="shared" si="543"/>
        <v/>
      </c>
      <c r="CW41" s="988" t="str">
        <f t="shared" si="543"/>
        <v/>
      </c>
      <c r="CX41" s="988" t="str">
        <f t="shared" si="543"/>
        <v/>
      </c>
      <c r="CY41" s="988" t="str">
        <f t="shared" si="543"/>
        <v/>
      </c>
      <c r="CZ41" s="988" t="str">
        <f t="shared" si="543"/>
        <v/>
      </c>
      <c r="DA41" s="988" t="str">
        <f t="shared" si="543"/>
        <v/>
      </c>
      <c r="DB41" s="988" t="str">
        <f t="shared" si="543"/>
        <v/>
      </c>
      <c r="DC41" s="988" t="str">
        <f t="shared" si="543"/>
        <v/>
      </c>
      <c r="DE41" s="988">
        <f t="shared" ref="DE41:DR41" si="544">IF(AND($X41&lt;&gt;"",$AC41="CF"),IF(AND($P41&gt;DD$8,$P41&lt;=DE$8),$AB41,""),"")</f>
        <v>17.369230769230771</v>
      </c>
      <c r="DF41" s="988" t="str">
        <f t="shared" si="544"/>
        <v/>
      </c>
      <c r="DG41" s="988" t="str">
        <f t="shared" si="544"/>
        <v/>
      </c>
      <c r="DH41" s="988" t="str">
        <f t="shared" si="544"/>
        <v/>
      </c>
      <c r="DI41" s="988" t="str">
        <f t="shared" si="544"/>
        <v/>
      </c>
      <c r="DJ41" s="988" t="str">
        <f t="shared" si="544"/>
        <v/>
      </c>
      <c r="DK41" s="988" t="str">
        <f t="shared" si="544"/>
        <v/>
      </c>
      <c r="DL41" s="988" t="str">
        <f t="shared" si="544"/>
        <v/>
      </c>
      <c r="DM41" s="988" t="str">
        <f t="shared" si="544"/>
        <v/>
      </c>
      <c r="DN41" s="988" t="str">
        <f t="shared" si="544"/>
        <v/>
      </c>
      <c r="DO41" s="988" t="str">
        <f t="shared" si="544"/>
        <v/>
      </c>
      <c r="DP41" s="988" t="str">
        <f t="shared" si="544"/>
        <v/>
      </c>
      <c r="DQ41" s="988" t="str">
        <f t="shared" si="544"/>
        <v/>
      </c>
      <c r="DR41" s="988" t="str">
        <f t="shared" si="544"/>
        <v/>
      </c>
      <c r="DT41" s="988" t="str">
        <f t="shared" ref="DT41:EG41" si="545">IF(AND($X41&lt;&gt;"",$AC41="CA"),IF(AND($P41&gt;DS$8,$P41&lt;=DT$8),$AB41,""),"")</f>
        <v/>
      </c>
      <c r="DU41" s="988" t="str">
        <f t="shared" si="545"/>
        <v/>
      </c>
      <c r="DV41" s="988" t="str">
        <f t="shared" si="545"/>
        <v/>
      </c>
      <c r="DW41" s="988" t="str">
        <f t="shared" si="545"/>
        <v/>
      </c>
      <c r="DX41" s="988" t="str">
        <f t="shared" si="545"/>
        <v/>
      </c>
      <c r="DY41" s="988" t="str">
        <f t="shared" si="545"/>
        <v/>
      </c>
      <c r="DZ41" s="988" t="str">
        <f t="shared" si="545"/>
        <v/>
      </c>
      <c r="EA41" s="988" t="str">
        <f t="shared" si="545"/>
        <v/>
      </c>
      <c r="EB41" s="988" t="str">
        <f t="shared" si="545"/>
        <v/>
      </c>
      <c r="EC41" s="988" t="str">
        <f t="shared" si="545"/>
        <v/>
      </c>
      <c r="ED41" s="988" t="str">
        <f t="shared" si="545"/>
        <v/>
      </c>
      <c r="EE41" s="988" t="str">
        <f t="shared" si="545"/>
        <v/>
      </c>
      <c r="EF41" s="988" t="str">
        <f t="shared" si="545"/>
        <v/>
      </c>
      <c r="EG41" s="988" t="str">
        <f t="shared" si="545"/>
        <v/>
      </c>
      <c r="EI41" s="988" t="str">
        <f t="shared" ref="EI41:EV41" si="546">IF($AE41="BFC",IF(AND($P41&gt;EH$8,$P41&lt;=EI$8),$AB41,""),"")</f>
        <v/>
      </c>
      <c r="EJ41" s="988" t="str">
        <f t="shared" si="546"/>
        <v/>
      </c>
      <c r="EK41" s="988" t="str">
        <f t="shared" si="546"/>
        <v/>
      </c>
      <c r="EL41" s="988" t="str">
        <f t="shared" si="546"/>
        <v/>
      </c>
      <c r="EM41" s="988" t="str">
        <f t="shared" si="546"/>
        <v/>
      </c>
      <c r="EN41" s="988" t="str">
        <f t="shared" si="546"/>
        <v/>
      </c>
      <c r="EO41" s="988" t="str">
        <f t="shared" si="546"/>
        <v/>
      </c>
      <c r="EP41" s="988" t="str">
        <f t="shared" si="546"/>
        <v/>
      </c>
      <c r="EQ41" s="988" t="str">
        <f t="shared" si="546"/>
        <v/>
      </c>
      <c r="ER41" s="988" t="str">
        <f t="shared" si="546"/>
        <v/>
      </c>
      <c r="ES41" s="988" t="str">
        <f t="shared" si="546"/>
        <v/>
      </c>
      <c r="ET41" s="988" t="str">
        <f t="shared" si="546"/>
        <v/>
      </c>
      <c r="EU41" s="988" t="str">
        <f t="shared" si="546"/>
        <v/>
      </c>
      <c r="EV41" s="988" t="str">
        <f t="shared" si="546"/>
        <v/>
      </c>
      <c r="EX41" s="988" t="str">
        <f t="shared" ref="EX41:FK41" si="547">IF($AE41="BFN",IF(AND($P41&gt;EW$8,$P41&lt;=EX$8),$AB41,""),"")</f>
        <v/>
      </c>
      <c r="EY41" s="988" t="str">
        <f t="shared" si="547"/>
        <v/>
      </c>
      <c r="EZ41" s="988" t="str">
        <f t="shared" si="547"/>
        <v/>
      </c>
      <c r="FA41" s="988" t="str">
        <f t="shared" si="547"/>
        <v/>
      </c>
      <c r="FB41" s="988" t="str">
        <f t="shared" si="547"/>
        <v/>
      </c>
      <c r="FC41" s="988" t="str">
        <f t="shared" si="547"/>
        <v/>
      </c>
      <c r="FD41" s="988" t="str">
        <f t="shared" si="547"/>
        <v/>
      </c>
      <c r="FE41" s="988" t="str">
        <f t="shared" si="547"/>
        <v/>
      </c>
      <c r="FF41" s="988" t="str">
        <f t="shared" si="547"/>
        <v/>
      </c>
      <c r="FG41" s="988" t="str">
        <f t="shared" si="547"/>
        <v/>
      </c>
      <c r="FH41" s="988" t="str">
        <f t="shared" si="547"/>
        <v/>
      </c>
      <c r="FI41" s="988" t="str">
        <f t="shared" si="547"/>
        <v/>
      </c>
      <c r="FJ41" s="988" t="str">
        <f t="shared" si="547"/>
        <v/>
      </c>
      <c r="FK41" s="988" t="str">
        <f t="shared" si="547"/>
        <v/>
      </c>
      <c r="FM41" s="988" t="str">
        <f t="shared" ref="FM41:FZ41" si="548">IF(AND($I41&lt;&gt;"",$AF41="RCS"),IF(AND($P41&gt;FL$8,$P41&lt;=FM$8),SUM($K41:$M41),""),"")</f>
        <v/>
      </c>
      <c r="FN41" s="988" t="str">
        <f t="shared" si="548"/>
        <v/>
      </c>
      <c r="FO41" s="988" t="str">
        <f t="shared" si="548"/>
        <v/>
      </c>
      <c r="FP41" s="988" t="str">
        <f t="shared" si="548"/>
        <v/>
      </c>
      <c r="FQ41" s="988" t="str">
        <f t="shared" si="548"/>
        <v/>
      </c>
      <c r="FR41" s="988" t="str">
        <f t="shared" si="548"/>
        <v/>
      </c>
      <c r="FS41" s="988" t="str">
        <f t="shared" si="548"/>
        <v/>
      </c>
      <c r="FT41" s="988" t="str">
        <f t="shared" si="548"/>
        <v/>
      </c>
      <c r="FU41" s="988" t="str">
        <f t="shared" si="548"/>
        <v/>
      </c>
      <c r="FV41" s="988" t="str">
        <f t="shared" si="548"/>
        <v/>
      </c>
      <c r="FW41" s="988" t="str">
        <f t="shared" si="548"/>
        <v/>
      </c>
      <c r="FX41" s="988" t="str">
        <f t="shared" si="548"/>
        <v/>
      </c>
      <c r="FY41" s="988" t="str">
        <f t="shared" si="548"/>
        <v/>
      </c>
      <c r="FZ41" s="988" t="str">
        <f t="shared" si="548"/>
        <v/>
      </c>
      <c r="GB41" s="988" t="str">
        <f t="shared" ref="GB41:GO41" si="549">IF(AND($I41&lt;&gt;"",$AF41="REC"),IF(AND($P41&gt;GA$8,$P41&lt;=GB$8),SUM($K41:$M41),""),"")</f>
        <v/>
      </c>
      <c r="GC41" s="988" t="str">
        <f t="shared" si="549"/>
        <v/>
      </c>
      <c r="GD41" s="988" t="str">
        <f t="shared" si="549"/>
        <v/>
      </c>
      <c r="GE41" s="988" t="str">
        <f t="shared" si="549"/>
        <v/>
      </c>
      <c r="GF41" s="988" t="str">
        <f t="shared" si="549"/>
        <v/>
      </c>
      <c r="GG41" s="988" t="str">
        <f t="shared" si="549"/>
        <v/>
      </c>
      <c r="GH41" s="988" t="str">
        <f t="shared" si="549"/>
        <v/>
      </c>
      <c r="GI41" s="988" t="str">
        <f t="shared" si="549"/>
        <v/>
      </c>
      <c r="GJ41" s="988" t="str">
        <f t="shared" si="549"/>
        <v/>
      </c>
      <c r="GK41" s="988" t="str">
        <f t="shared" si="549"/>
        <v/>
      </c>
      <c r="GL41" s="988" t="str">
        <f t="shared" si="549"/>
        <v/>
      </c>
      <c r="GM41" s="988" t="str">
        <f t="shared" si="549"/>
        <v/>
      </c>
      <c r="GN41" s="988" t="str">
        <f t="shared" si="549"/>
        <v/>
      </c>
      <c r="GO41" s="988" t="str">
        <f t="shared" si="549"/>
        <v/>
      </c>
      <c r="GQ41" s="988" t="str">
        <f t="shared" ref="GQ41:HD41" si="550">IF(AND($I41&lt;&gt;"",$AF41="REB"),IF(AND($P41&gt;GP$8,$P41&lt;=GQ$8),SUM($K41:$M41),""),"")</f>
        <v/>
      </c>
      <c r="GR41" s="988" t="str">
        <f t="shared" si="550"/>
        <v/>
      </c>
      <c r="GS41" s="988" t="str">
        <f t="shared" si="550"/>
        <v/>
      </c>
      <c r="GT41" s="988" t="str">
        <f t="shared" si="550"/>
        <v/>
      </c>
      <c r="GU41" s="988" t="str">
        <f t="shared" si="550"/>
        <v/>
      </c>
      <c r="GV41" s="988" t="str">
        <f t="shared" si="550"/>
        <v/>
      </c>
      <c r="GW41" s="988" t="str">
        <f t="shared" si="550"/>
        <v/>
      </c>
      <c r="GX41" s="988" t="str">
        <f t="shared" si="550"/>
        <v/>
      </c>
      <c r="GY41" s="988" t="str">
        <f t="shared" si="550"/>
        <v/>
      </c>
      <c r="GZ41" s="988" t="str">
        <f t="shared" si="550"/>
        <v/>
      </c>
      <c r="HA41" s="988" t="str">
        <f t="shared" si="550"/>
        <v/>
      </c>
      <c r="HB41" s="988" t="str">
        <f t="shared" si="550"/>
        <v/>
      </c>
      <c r="HC41" s="988" t="str">
        <f t="shared" si="550"/>
        <v/>
      </c>
      <c r="HD41" s="988" t="str">
        <f t="shared" si="550"/>
        <v/>
      </c>
      <c r="HF41" s="988" t="str">
        <f t="shared" ref="HF41:HS41" si="551">IF(AND($I41&lt;&gt;"",$AF41="RBS"),IF(AND($P41&gt;HE$8,$P41&lt;=HF$8),SUM($K41:$M41),""),"")</f>
        <v/>
      </c>
      <c r="HG41" s="988" t="str">
        <f t="shared" si="551"/>
        <v/>
      </c>
      <c r="HH41" s="988" t="str">
        <f t="shared" si="551"/>
        <v/>
      </c>
      <c r="HI41" s="988" t="str">
        <f t="shared" si="551"/>
        <v/>
      </c>
      <c r="HJ41" s="988" t="str">
        <f t="shared" si="551"/>
        <v/>
      </c>
      <c r="HK41" s="988" t="str">
        <f t="shared" si="551"/>
        <v/>
      </c>
      <c r="HL41" s="988" t="str">
        <f t="shared" si="551"/>
        <v/>
      </c>
      <c r="HM41" s="988" t="str">
        <f t="shared" si="551"/>
        <v/>
      </c>
      <c r="HN41" s="988" t="str">
        <f t="shared" si="551"/>
        <v/>
      </c>
      <c r="HO41" s="988" t="str">
        <f t="shared" si="551"/>
        <v/>
      </c>
      <c r="HP41" s="988" t="str">
        <f t="shared" si="551"/>
        <v/>
      </c>
      <c r="HQ41" s="988" t="str">
        <f t="shared" si="551"/>
        <v/>
      </c>
      <c r="HR41" s="988" t="str">
        <f t="shared" si="551"/>
        <v/>
      </c>
      <c r="HS41" s="988" t="str">
        <f t="shared" si="551"/>
        <v/>
      </c>
      <c r="HU41" s="988" t="str">
        <f t="shared" ref="HU41:IH41" si="552">IF(AND($I41&lt;&gt;"",$AF41="RCD"),IF(AND($P41&gt;HT$8,$P41&lt;=HU$8),SUM($K41:$M41),""),"")</f>
        <v/>
      </c>
      <c r="HV41" s="988" t="str">
        <f t="shared" si="552"/>
        <v/>
      </c>
      <c r="HW41" s="988" t="str">
        <f t="shared" si="552"/>
        <v/>
      </c>
      <c r="HX41" s="988" t="str">
        <f t="shared" si="552"/>
        <v/>
      </c>
      <c r="HY41" s="988" t="str">
        <f t="shared" si="552"/>
        <v/>
      </c>
      <c r="HZ41" s="988" t="str">
        <f t="shared" si="552"/>
        <v/>
      </c>
      <c r="IA41" s="988" t="str">
        <f t="shared" si="552"/>
        <v/>
      </c>
      <c r="IB41" s="988" t="str">
        <f t="shared" si="552"/>
        <v/>
      </c>
      <c r="IC41" s="988" t="str">
        <f t="shared" si="552"/>
        <v/>
      </c>
      <c r="ID41" s="988" t="str">
        <f t="shared" si="552"/>
        <v/>
      </c>
      <c r="IE41" s="988" t="str">
        <f t="shared" si="552"/>
        <v/>
      </c>
      <c r="IF41" s="988" t="str">
        <f t="shared" si="552"/>
        <v/>
      </c>
      <c r="IG41" s="988" t="str">
        <f t="shared" si="552"/>
        <v/>
      </c>
      <c r="IH41" s="988" t="str">
        <f t="shared" si="552"/>
        <v/>
      </c>
      <c r="IJ41" s="985">
        <f t="shared" ref="IJ41:IW41" si="553">IF(AND($I41&lt;&gt;""),IF(AND($P41&gt;II$8,$P41&lt;=IJ$8),$K41,""),"")</f>
        <v>22.580000000000002</v>
      </c>
      <c r="IK41" s="985" t="str">
        <f t="shared" si="553"/>
        <v/>
      </c>
      <c r="IL41" s="985" t="str">
        <f t="shared" si="553"/>
        <v/>
      </c>
      <c r="IM41" s="985" t="str">
        <f t="shared" si="553"/>
        <v/>
      </c>
      <c r="IN41" s="985" t="str">
        <f t="shared" si="553"/>
        <v/>
      </c>
      <c r="IO41" s="985" t="str">
        <f t="shared" si="553"/>
        <v/>
      </c>
      <c r="IP41" s="985" t="str">
        <f t="shared" si="553"/>
        <v/>
      </c>
      <c r="IQ41" s="985" t="str">
        <f t="shared" si="553"/>
        <v/>
      </c>
      <c r="IR41" s="985" t="str">
        <f t="shared" si="553"/>
        <v/>
      </c>
      <c r="IS41" s="985" t="str">
        <f t="shared" si="553"/>
        <v/>
      </c>
      <c r="IT41" s="985" t="str">
        <f t="shared" si="553"/>
        <v/>
      </c>
      <c r="IU41" s="985" t="str">
        <f t="shared" si="553"/>
        <v/>
      </c>
      <c r="IV41" s="985" t="str">
        <f t="shared" si="553"/>
        <v/>
      </c>
      <c r="IW41" s="985" t="str">
        <f t="shared" si="553"/>
        <v/>
      </c>
      <c r="IX41" s="987"/>
      <c r="IY41" s="985">
        <f t="shared" ref="IY41:JL41" si="554">IF(AND($I41&lt;&gt;""),IF(AND($P41&gt;IX$8,$P41&lt;=IY$8),$L41,""),"")</f>
        <v>0</v>
      </c>
      <c r="IZ41" s="985" t="str">
        <f t="shared" si="554"/>
        <v/>
      </c>
      <c r="JA41" s="985" t="str">
        <f t="shared" si="554"/>
        <v/>
      </c>
      <c r="JB41" s="985" t="str">
        <f t="shared" si="554"/>
        <v/>
      </c>
      <c r="JC41" s="985" t="str">
        <f t="shared" si="554"/>
        <v/>
      </c>
      <c r="JD41" s="985" t="str">
        <f t="shared" si="554"/>
        <v/>
      </c>
      <c r="JE41" s="985" t="str">
        <f t="shared" si="554"/>
        <v/>
      </c>
      <c r="JF41" s="985" t="str">
        <f t="shared" si="554"/>
        <v/>
      </c>
      <c r="JG41" s="985" t="str">
        <f t="shared" si="554"/>
        <v/>
      </c>
      <c r="JH41" s="985" t="str">
        <f t="shared" si="554"/>
        <v/>
      </c>
      <c r="JI41" s="985" t="str">
        <f t="shared" si="554"/>
        <v/>
      </c>
      <c r="JJ41" s="985" t="str">
        <f t="shared" si="554"/>
        <v/>
      </c>
      <c r="JK41" s="985" t="str">
        <f t="shared" si="554"/>
        <v/>
      </c>
      <c r="JL41" s="985" t="str">
        <f t="shared" si="554"/>
        <v/>
      </c>
      <c r="JM41" s="987"/>
      <c r="JN41" s="985">
        <f t="shared" ref="JN41:KA41" si="555">IF(AND($I41&lt;&gt;""),IF(AND($P41&gt;JM$8,$P41&lt;=JN$8),$M41,""),"")</f>
        <v>0</v>
      </c>
      <c r="JO41" s="985" t="str">
        <f t="shared" si="555"/>
        <v/>
      </c>
      <c r="JP41" s="985" t="str">
        <f t="shared" si="555"/>
        <v/>
      </c>
      <c r="JQ41" s="985" t="str">
        <f t="shared" si="555"/>
        <v/>
      </c>
      <c r="JR41" s="985" t="str">
        <f t="shared" si="555"/>
        <v/>
      </c>
      <c r="JS41" s="985" t="str">
        <f t="shared" si="555"/>
        <v/>
      </c>
      <c r="JT41" s="985" t="str">
        <f t="shared" si="555"/>
        <v/>
      </c>
      <c r="JU41" s="985" t="str">
        <f t="shared" si="555"/>
        <v/>
      </c>
      <c r="JV41" s="985" t="str">
        <f t="shared" si="555"/>
        <v/>
      </c>
      <c r="JW41" s="985" t="str">
        <f t="shared" si="555"/>
        <v/>
      </c>
      <c r="JX41" s="985" t="str">
        <f t="shared" si="555"/>
        <v/>
      </c>
      <c r="JY41" s="985" t="str">
        <f t="shared" si="555"/>
        <v/>
      </c>
      <c r="JZ41" s="985" t="str">
        <f t="shared" si="555"/>
        <v/>
      </c>
      <c r="KA41" s="985" t="str">
        <f t="shared" si="555"/>
        <v/>
      </c>
      <c r="KB41" s="987"/>
      <c r="KC41" s="985">
        <f t="shared" ref="KC41:KP41" si="556">IF(AND($I41&lt;&gt;""),IF(AND($P41&gt;KB$8,$P41&lt;=KC$8),$N41,""),"")</f>
        <v>0</v>
      </c>
      <c r="KD41" s="985" t="str">
        <f t="shared" si="556"/>
        <v/>
      </c>
      <c r="KE41" s="985" t="str">
        <f t="shared" si="556"/>
        <v/>
      </c>
      <c r="KF41" s="985" t="str">
        <f t="shared" si="556"/>
        <v/>
      </c>
      <c r="KG41" s="985" t="str">
        <f t="shared" si="556"/>
        <v/>
      </c>
      <c r="KH41" s="985" t="str">
        <f t="shared" si="556"/>
        <v/>
      </c>
      <c r="KI41" s="985" t="str">
        <f t="shared" si="556"/>
        <v/>
      </c>
      <c r="KJ41" s="985" t="str">
        <f t="shared" si="556"/>
        <v/>
      </c>
      <c r="KK41" s="985" t="str">
        <f t="shared" si="556"/>
        <v/>
      </c>
      <c r="KL41" s="985" t="str">
        <f t="shared" si="556"/>
        <v/>
      </c>
      <c r="KM41" s="985" t="str">
        <f t="shared" si="556"/>
        <v/>
      </c>
      <c r="KN41" s="985" t="str">
        <f t="shared" si="556"/>
        <v/>
      </c>
      <c r="KO41" s="985" t="str">
        <f t="shared" si="556"/>
        <v/>
      </c>
      <c r="KP41" s="985" t="str">
        <f t="shared" si="556"/>
        <v/>
      </c>
    </row>
    <row r="42" spans="2:302" ht="18" customHeight="1">
      <c r="B42" s="978">
        <f t="shared" si="0"/>
        <v>128.5</v>
      </c>
      <c r="C42" s="979" t="s">
        <v>743</v>
      </c>
      <c r="D42" s="979" t="s">
        <v>605</v>
      </c>
      <c r="E42" s="980">
        <v>0</v>
      </c>
      <c r="F42" s="979" t="s">
        <v>758</v>
      </c>
      <c r="G42" s="979" t="s">
        <v>605</v>
      </c>
      <c r="H42" s="980">
        <v>0</v>
      </c>
      <c r="I42" s="979" t="s">
        <v>845</v>
      </c>
      <c r="J42" s="979"/>
      <c r="K42" s="980">
        <v>166.32</v>
      </c>
      <c r="L42" s="980"/>
      <c r="M42" s="980"/>
      <c r="N42" s="980"/>
      <c r="O42" s="980"/>
      <c r="P42" s="981">
        <v>0.02</v>
      </c>
      <c r="Q42" s="981">
        <f t="shared" si="1"/>
        <v>3.3264</v>
      </c>
      <c r="R42" s="979" t="s">
        <v>743</v>
      </c>
      <c r="S42" s="979" t="s">
        <v>605</v>
      </c>
      <c r="T42" s="980">
        <v>0</v>
      </c>
      <c r="U42" s="979" t="s">
        <v>758</v>
      </c>
      <c r="V42" s="979" t="s">
        <v>605</v>
      </c>
      <c r="W42" s="980">
        <v>0</v>
      </c>
      <c r="X42" s="979" t="s">
        <v>845</v>
      </c>
      <c r="Y42" s="979"/>
      <c r="Z42" s="979"/>
      <c r="AA42" s="980">
        <v>1</v>
      </c>
      <c r="AB42" s="980">
        <f t="shared" si="2"/>
        <v>166.32</v>
      </c>
      <c r="AC42" s="982" t="s">
        <v>939</v>
      </c>
      <c r="AD42" s="953"/>
      <c r="AE42" s="983" t="str">
        <f t="shared" si="3"/>
        <v/>
      </c>
      <c r="AF42" s="984" t="str">
        <f t="shared" si="4"/>
        <v>REC</v>
      </c>
      <c r="AG42" s="963"/>
      <c r="AH42" s="985" t="str">
        <f t="shared" si="521"/>
        <v/>
      </c>
      <c r="AI42" s="985" t="str">
        <f t="shared" si="521"/>
        <v/>
      </c>
      <c r="AJ42" s="985" t="str">
        <f t="shared" si="521"/>
        <v/>
      </c>
      <c r="AK42" s="985" t="str">
        <f t="shared" si="521"/>
        <v/>
      </c>
      <c r="AL42" s="985" t="str">
        <f t="shared" si="521"/>
        <v/>
      </c>
      <c r="AM42" s="985" t="str">
        <f t="shared" si="521"/>
        <v/>
      </c>
      <c r="AN42" s="985" t="str">
        <f t="shared" si="521"/>
        <v/>
      </c>
      <c r="AO42" s="985" t="str">
        <f t="shared" si="521"/>
        <v/>
      </c>
      <c r="AP42" s="986"/>
      <c r="AQ42" s="985" t="str">
        <f t="shared" ref="AQ42:BD42" si="557">IF(AND($I42&lt;&gt;"",$AF42="C"),IF(AND($P42&gt;AP$8,$P42&lt;=AQ$8),$K42,""),"")</f>
        <v/>
      </c>
      <c r="AR42" s="985" t="str">
        <f t="shared" si="557"/>
        <v/>
      </c>
      <c r="AS42" s="985" t="str">
        <f t="shared" si="557"/>
        <v/>
      </c>
      <c r="AT42" s="985" t="str">
        <f t="shared" si="557"/>
        <v/>
      </c>
      <c r="AU42" s="985" t="str">
        <f t="shared" si="557"/>
        <v/>
      </c>
      <c r="AV42" s="985" t="str">
        <f t="shared" si="557"/>
        <v/>
      </c>
      <c r="AW42" s="985" t="str">
        <f t="shared" si="557"/>
        <v/>
      </c>
      <c r="AX42" s="985" t="str">
        <f t="shared" si="557"/>
        <v/>
      </c>
      <c r="AY42" s="985" t="str">
        <f t="shared" si="557"/>
        <v/>
      </c>
      <c r="AZ42" s="985" t="str">
        <f t="shared" si="557"/>
        <v/>
      </c>
      <c r="BA42" s="985" t="str">
        <f t="shared" si="557"/>
        <v/>
      </c>
      <c r="BB42" s="985" t="str">
        <f t="shared" si="557"/>
        <v/>
      </c>
      <c r="BC42" s="985" t="str">
        <f t="shared" si="557"/>
        <v/>
      </c>
      <c r="BD42" s="985" t="str">
        <f t="shared" si="557"/>
        <v/>
      </c>
      <c r="BE42" s="987"/>
      <c r="BF42" s="985" t="str">
        <f t="shared" ref="BF42:BS42" si="558">IF(AND($I42&lt;&gt;"",$AF42="C"),IF(AND($P42&gt;BE$8,$P42&lt;=BF$8),$L42,""),"")</f>
        <v/>
      </c>
      <c r="BG42" s="985" t="str">
        <f t="shared" si="558"/>
        <v/>
      </c>
      <c r="BH42" s="985" t="str">
        <f t="shared" si="558"/>
        <v/>
      </c>
      <c r="BI42" s="985" t="str">
        <f t="shared" si="558"/>
        <v/>
      </c>
      <c r="BJ42" s="985" t="str">
        <f t="shared" si="558"/>
        <v/>
      </c>
      <c r="BK42" s="985" t="str">
        <f t="shared" si="558"/>
        <v/>
      </c>
      <c r="BL42" s="985" t="str">
        <f t="shared" si="558"/>
        <v/>
      </c>
      <c r="BM42" s="985" t="str">
        <f t="shared" si="558"/>
        <v/>
      </c>
      <c r="BN42" s="985" t="str">
        <f t="shared" si="558"/>
        <v/>
      </c>
      <c r="BO42" s="985" t="str">
        <f t="shared" si="558"/>
        <v/>
      </c>
      <c r="BP42" s="985" t="str">
        <f t="shared" si="558"/>
        <v/>
      </c>
      <c r="BQ42" s="985" t="str">
        <f t="shared" si="558"/>
        <v/>
      </c>
      <c r="BR42" s="985" t="str">
        <f t="shared" si="558"/>
        <v/>
      </c>
      <c r="BS42" s="985" t="str">
        <f t="shared" si="558"/>
        <v/>
      </c>
      <c r="BU42" s="985" t="str">
        <f t="shared" ref="BU42:CF42" si="559">IF(AND($I42&lt;&gt;"",$AF42="C"),IF(AND($P42&gt;BT$8,$P42&lt;=BU$8),$M42,""),"")</f>
        <v/>
      </c>
      <c r="BV42" s="985" t="str">
        <f t="shared" si="559"/>
        <v/>
      </c>
      <c r="BW42" s="985" t="str">
        <f t="shared" si="559"/>
        <v/>
      </c>
      <c r="BX42" s="985" t="str">
        <f t="shared" si="559"/>
        <v/>
      </c>
      <c r="BY42" s="985" t="str">
        <f t="shared" si="559"/>
        <v/>
      </c>
      <c r="BZ42" s="985" t="str">
        <f t="shared" si="559"/>
        <v/>
      </c>
      <c r="CA42" s="985" t="str">
        <f t="shared" si="559"/>
        <v/>
      </c>
      <c r="CB42" s="985" t="str">
        <f t="shared" si="559"/>
        <v/>
      </c>
      <c r="CC42" s="985" t="str">
        <f t="shared" si="559"/>
        <v/>
      </c>
      <c r="CD42" s="985" t="str">
        <f t="shared" si="559"/>
        <v/>
      </c>
      <c r="CE42" s="985" t="str">
        <f t="shared" si="559"/>
        <v/>
      </c>
      <c r="CF42" s="985" t="str">
        <f t="shared" si="559"/>
        <v/>
      </c>
      <c r="CG42" s="987"/>
      <c r="CH42" s="985" t="str">
        <f t="shared" si="525"/>
        <v/>
      </c>
      <c r="CI42" s="985" t="str">
        <f t="shared" si="525"/>
        <v/>
      </c>
      <c r="CJ42" s="985" t="str">
        <f t="shared" si="525"/>
        <v/>
      </c>
      <c r="CK42" s="985" t="str">
        <f t="shared" si="525"/>
        <v/>
      </c>
      <c r="CL42" s="985" t="str">
        <f t="shared" si="525"/>
        <v/>
      </c>
      <c r="CM42" s="985" t="str">
        <f t="shared" si="525"/>
        <v/>
      </c>
      <c r="CN42" s="985" t="str">
        <f t="shared" si="525"/>
        <v/>
      </c>
      <c r="CP42" s="988" t="str">
        <f t="shared" ref="CP42:DC42" si="560">IF(AND($I42&lt;&gt;"",OR($AF42="ELE",$AF42="ELD",$AF42="CX")),IF(AND($P42&gt;CO$8,$P42&lt;=CP$8),$K42,""),"")</f>
        <v/>
      </c>
      <c r="CQ42" s="988" t="str">
        <f t="shared" si="560"/>
        <v/>
      </c>
      <c r="CR42" s="988" t="str">
        <f t="shared" si="560"/>
        <v/>
      </c>
      <c r="CS42" s="988" t="str">
        <f t="shared" si="560"/>
        <v/>
      </c>
      <c r="CT42" s="988" t="str">
        <f t="shared" si="560"/>
        <v/>
      </c>
      <c r="CU42" s="988" t="str">
        <f t="shared" si="560"/>
        <v/>
      </c>
      <c r="CV42" s="988" t="str">
        <f t="shared" si="560"/>
        <v/>
      </c>
      <c r="CW42" s="988" t="str">
        <f t="shared" si="560"/>
        <v/>
      </c>
      <c r="CX42" s="988" t="str">
        <f t="shared" si="560"/>
        <v/>
      </c>
      <c r="CY42" s="988" t="str">
        <f t="shared" si="560"/>
        <v/>
      </c>
      <c r="CZ42" s="988" t="str">
        <f t="shared" si="560"/>
        <v/>
      </c>
      <c r="DA42" s="988" t="str">
        <f t="shared" si="560"/>
        <v/>
      </c>
      <c r="DB42" s="988" t="str">
        <f t="shared" si="560"/>
        <v/>
      </c>
      <c r="DC42" s="988" t="str">
        <f t="shared" si="560"/>
        <v/>
      </c>
      <c r="DE42" s="988">
        <f t="shared" ref="DE42:DR42" si="561">IF(AND($X42&lt;&gt;"",$AC42="CF"),IF(AND($P42&gt;DD$8,$P42&lt;=DE$8),$AB42,""),"")</f>
        <v>166.32</v>
      </c>
      <c r="DF42" s="988" t="str">
        <f t="shared" si="561"/>
        <v/>
      </c>
      <c r="DG42" s="988" t="str">
        <f t="shared" si="561"/>
        <v/>
      </c>
      <c r="DH42" s="988" t="str">
        <f t="shared" si="561"/>
        <v/>
      </c>
      <c r="DI42" s="988" t="str">
        <f t="shared" si="561"/>
        <v/>
      </c>
      <c r="DJ42" s="988" t="str">
        <f t="shared" si="561"/>
        <v/>
      </c>
      <c r="DK42" s="988" t="str">
        <f t="shared" si="561"/>
        <v/>
      </c>
      <c r="DL42" s="988" t="str">
        <f t="shared" si="561"/>
        <v/>
      </c>
      <c r="DM42" s="988" t="str">
        <f t="shared" si="561"/>
        <v/>
      </c>
      <c r="DN42" s="988" t="str">
        <f t="shared" si="561"/>
        <v/>
      </c>
      <c r="DO42" s="988" t="str">
        <f t="shared" si="561"/>
        <v/>
      </c>
      <c r="DP42" s="988" t="str">
        <f t="shared" si="561"/>
        <v/>
      </c>
      <c r="DQ42" s="988" t="str">
        <f t="shared" si="561"/>
        <v/>
      </c>
      <c r="DR42" s="988" t="str">
        <f t="shared" si="561"/>
        <v/>
      </c>
      <c r="DT42" s="988" t="str">
        <f t="shared" ref="DT42:EG42" si="562">IF(AND($X42&lt;&gt;"",$AC42="CA"),IF(AND($P42&gt;DS$8,$P42&lt;=DT$8),$AB42,""),"")</f>
        <v/>
      </c>
      <c r="DU42" s="988" t="str">
        <f t="shared" si="562"/>
        <v/>
      </c>
      <c r="DV42" s="988" t="str">
        <f t="shared" si="562"/>
        <v/>
      </c>
      <c r="DW42" s="988" t="str">
        <f t="shared" si="562"/>
        <v/>
      </c>
      <c r="DX42" s="988" t="str">
        <f t="shared" si="562"/>
        <v/>
      </c>
      <c r="DY42" s="988" t="str">
        <f t="shared" si="562"/>
        <v/>
      </c>
      <c r="DZ42" s="988" t="str">
        <f t="shared" si="562"/>
        <v/>
      </c>
      <c r="EA42" s="988" t="str">
        <f t="shared" si="562"/>
        <v/>
      </c>
      <c r="EB42" s="988" t="str">
        <f t="shared" si="562"/>
        <v/>
      </c>
      <c r="EC42" s="988" t="str">
        <f t="shared" si="562"/>
        <v/>
      </c>
      <c r="ED42" s="988" t="str">
        <f t="shared" si="562"/>
        <v/>
      </c>
      <c r="EE42" s="988" t="str">
        <f t="shared" si="562"/>
        <v/>
      </c>
      <c r="EF42" s="988" t="str">
        <f t="shared" si="562"/>
        <v/>
      </c>
      <c r="EG42" s="988" t="str">
        <f t="shared" si="562"/>
        <v/>
      </c>
      <c r="EI42" s="988" t="str">
        <f t="shared" ref="EI42:EV42" si="563">IF($AE42="BFC",IF(AND($P42&gt;EH$8,$P42&lt;=EI$8),$AB42,""),"")</f>
        <v/>
      </c>
      <c r="EJ42" s="988" t="str">
        <f t="shared" si="563"/>
        <v/>
      </c>
      <c r="EK42" s="988" t="str">
        <f t="shared" si="563"/>
        <v/>
      </c>
      <c r="EL42" s="988" t="str">
        <f t="shared" si="563"/>
        <v/>
      </c>
      <c r="EM42" s="988" t="str">
        <f t="shared" si="563"/>
        <v/>
      </c>
      <c r="EN42" s="988" t="str">
        <f t="shared" si="563"/>
        <v/>
      </c>
      <c r="EO42" s="988" t="str">
        <f t="shared" si="563"/>
        <v/>
      </c>
      <c r="EP42" s="988" t="str">
        <f t="shared" si="563"/>
        <v/>
      </c>
      <c r="EQ42" s="988" t="str">
        <f t="shared" si="563"/>
        <v/>
      </c>
      <c r="ER42" s="988" t="str">
        <f t="shared" si="563"/>
        <v/>
      </c>
      <c r="ES42" s="988" t="str">
        <f t="shared" si="563"/>
        <v/>
      </c>
      <c r="ET42" s="988" t="str">
        <f t="shared" si="563"/>
        <v/>
      </c>
      <c r="EU42" s="988" t="str">
        <f t="shared" si="563"/>
        <v/>
      </c>
      <c r="EV42" s="988" t="str">
        <f t="shared" si="563"/>
        <v/>
      </c>
      <c r="EX42" s="988" t="str">
        <f t="shared" ref="EX42:FK42" si="564">IF($AE42="BFN",IF(AND($P42&gt;EW$8,$P42&lt;=EX$8),$AB42,""),"")</f>
        <v/>
      </c>
      <c r="EY42" s="988" t="str">
        <f t="shared" si="564"/>
        <v/>
      </c>
      <c r="EZ42" s="988" t="str">
        <f t="shared" si="564"/>
        <v/>
      </c>
      <c r="FA42" s="988" t="str">
        <f t="shared" si="564"/>
        <v/>
      </c>
      <c r="FB42" s="988" t="str">
        <f t="shared" si="564"/>
        <v/>
      </c>
      <c r="FC42" s="988" t="str">
        <f t="shared" si="564"/>
        <v/>
      </c>
      <c r="FD42" s="988" t="str">
        <f t="shared" si="564"/>
        <v/>
      </c>
      <c r="FE42" s="988" t="str">
        <f t="shared" si="564"/>
        <v/>
      </c>
      <c r="FF42" s="988" t="str">
        <f t="shared" si="564"/>
        <v/>
      </c>
      <c r="FG42" s="988" t="str">
        <f t="shared" si="564"/>
        <v/>
      </c>
      <c r="FH42" s="988" t="str">
        <f t="shared" si="564"/>
        <v/>
      </c>
      <c r="FI42" s="988" t="str">
        <f t="shared" si="564"/>
        <v/>
      </c>
      <c r="FJ42" s="988" t="str">
        <f t="shared" si="564"/>
        <v/>
      </c>
      <c r="FK42" s="988" t="str">
        <f t="shared" si="564"/>
        <v/>
      </c>
      <c r="FM42" s="988" t="str">
        <f t="shared" ref="FM42:FZ42" si="565">IF(AND($I42&lt;&gt;"",$AF42="RCS"),IF(AND($P42&gt;FL$8,$P42&lt;=FM$8),SUM($K42:$M42),""),"")</f>
        <v/>
      </c>
      <c r="FN42" s="988" t="str">
        <f t="shared" si="565"/>
        <v/>
      </c>
      <c r="FO42" s="988" t="str">
        <f t="shared" si="565"/>
        <v/>
      </c>
      <c r="FP42" s="988" t="str">
        <f t="shared" si="565"/>
        <v/>
      </c>
      <c r="FQ42" s="988" t="str">
        <f t="shared" si="565"/>
        <v/>
      </c>
      <c r="FR42" s="988" t="str">
        <f t="shared" si="565"/>
        <v/>
      </c>
      <c r="FS42" s="988" t="str">
        <f t="shared" si="565"/>
        <v/>
      </c>
      <c r="FT42" s="988" t="str">
        <f t="shared" si="565"/>
        <v/>
      </c>
      <c r="FU42" s="988" t="str">
        <f t="shared" si="565"/>
        <v/>
      </c>
      <c r="FV42" s="988" t="str">
        <f t="shared" si="565"/>
        <v/>
      </c>
      <c r="FW42" s="988" t="str">
        <f t="shared" si="565"/>
        <v/>
      </c>
      <c r="FX42" s="988" t="str">
        <f t="shared" si="565"/>
        <v/>
      </c>
      <c r="FY42" s="988" t="str">
        <f t="shared" si="565"/>
        <v/>
      </c>
      <c r="FZ42" s="988" t="str">
        <f t="shared" si="565"/>
        <v/>
      </c>
      <c r="GB42" s="988">
        <f t="shared" ref="GB42:GO42" si="566">IF(AND($I42&lt;&gt;"",$AF42="REC"),IF(AND($P42&gt;GA$8,$P42&lt;=GB$8),SUM($K42:$M42),""),"")</f>
        <v>166.32</v>
      </c>
      <c r="GC42" s="988" t="str">
        <f t="shared" si="566"/>
        <v/>
      </c>
      <c r="GD42" s="988" t="str">
        <f t="shared" si="566"/>
        <v/>
      </c>
      <c r="GE42" s="988" t="str">
        <f t="shared" si="566"/>
        <v/>
      </c>
      <c r="GF42" s="988" t="str">
        <f t="shared" si="566"/>
        <v/>
      </c>
      <c r="GG42" s="988" t="str">
        <f t="shared" si="566"/>
        <v/>
      </c>
      <c r="GH42" s="988" t="str">
        <f t="shared" si="566"/>
        <v/>
      </c>
      <c r="GI42" s="988" t="str">
        <f t="shared" si="566"/>
        <v/>
      </c>
      <c r="GJ42" s="988" t="str">
        <f t="shared" si="566"/>
        <v/>
      </c>
      <c r="GK42" s="988" t="str">
        <f t="shared" si="566"/>
        <v/>
      </c>
      <c r="GL42" s="988" t="str">
        <f t="shared" si="566"/>
        <v/>
      </c>
      <c r="GM42" s="988" t="str">
        <f t="shared" si="566"/>
        <v/>
      </c>
      <c r="GN42" s="988" t="str">
        <f t="shared" si="566"/>
        <v/>
      </c>
      <c r="GO42" s="988" t="str">
        <f t="shared" si="566"/>
        <v/>
      </c>
      <c r="GQ42" s="988" t="str">
        <f t="shared" ref="GQ42:HD42" si="567">IF(AND($I42&lt;&gt;"",$AF42="REB"),IF(AND($P42&gt;GP$8,$P42&lt;=GQ$8),SUM($K42:$M42),""),"")</f>
        <v/>
      </c>
      <c r="GR42" s="988" t="str">
        <f t="shared" si="567"/>
        <v/>
      </c>
      <c r="GS42" s="988" t="str">
        <f t="shared" si="567"/>
        <v/>
      </c>
      <c r="GT42" s="988" t="str">
        <f t="shared" si="567"/>
        <v/>
      </c>
      <c r="GU42" s="988" t="str">
        <f t="shared" si="567"/>
        <v/>
      </c>
      <c r="GV42" s="988" t="str">
        <f t="shared" si="567"/>
        <v/>
      </c>
      <c r="GW42" s="988" t="str">
        <f t="shared" si="567"/>
        <v/>
      </c>
      <c r="GX42" s="988" t="str">
        <f t="shared" si="567"/>
        <v/>
      </c>
      <c r="GY42" s="988" t="str">
        <f t="shared" si="567"/>
        <v/>
      </c>
      <c r="GZ42" s="988" t="str">
        <f t="shared" si="567"/>
        <v/>
      </c>
      <c r="HA42" s="988" t="str">
        <f t="shared" si="567"/>
        <v/>
      </c>
      <c r="HB42" s="988" t="str">
        <f t="shared" si="567"/>
        <v/>
      </c>
      <c r="HC42" s="988" t="str">
        <f t="shared" si="567"/>
        <v/>
      </c>
      <c r="HD42" s="988" t="str">
        <f t="shared" si="567"/>
        <v/>
      </c>
      <c r="HF42" s="988" t="str">
        <f t="shared" ref="HF42:HS42" si="568">IF(AND($I42&lt;&gt;"",$AF42="RBS"),IF(AND($P42&gt;HE$8,$P42&lt;=HF$8),SUM($K42:$M42),""),"")</f>
        <v/>
      </c>
      <c r="HG42" s="988" t="str">
        <f t="shared" si="568"/>
        <v/>
      </c>
      <c r="HH42" s="988" t="str">
        <f t="shared" si="568"/>
        <v/>
      </c>
      <c r="HI42" s="988" t="str">
        <f t="shared" si="568"/>
        <v/>
      </c>
      <c r="HJ42" s="988" t="str">
        <f t="shared" si="568"/>
        <v/>
      </c>
      <c r="HK42" s="988" t="str">
        <f t="shared" si="568"/>
        <v/>
      </c>
      <c r="HL42" s="988" t="str">
        <f t="shared" si="568"/>
        <v/>
      </c>
      <c r="HM42" s="988" t="str">
        <f t="shared" si="568"/>
        <v/>
      </c>
      <c r="HN42" s="988" t="str">
        <f t="shared" si="568"/>
        <v/>
      </c>
      <c r="HO42" s="988" t="str">
        <f t="shared" si="568"/>
        <v/>
      </c>
      <c r="HP42" s="988" t="str">
        <f t="shared" si="568"/>
        <v/>
      </c>
      <c r="HQ42" s="988" t="str">
        <f t="shared" si="568"/>
        <v/>
      </c>
      <c r="HR42" s="988" t="str">
        <f t="shared" si="568"/>
        <v/>
      </c>
      <c r="HS42" s="988" t="str">
        <f t="shared" si="568"/>
        <v/>
      </c>
      <c r="HU42" s="988" t="str">
        <f t="shared" ref="HU42:IH42" si="569">IF(AND($I42&lt;&gt;"",$AF42="RCD"),IF(AND($P42&gt;HT$8,$P42&lt;=HU$8),SUM($K42:$M42),""),"")</f>
        <v/>
      </c>
      <c r="HV42" s="988" t="str">
        <f t="shared" si="569"/>
        <v/>
      </c>
      <c r="HW42" s="988" t="str">
        <f t="shared" si="569"/>
        <v/>
      </c>
      <c r="HX42" s="988" t="str">
        <f t="shared" si="569"/>
        <v/>
      </c>
      <c r="HY42" s="988" t="str">
        <f t="shared" si="569"/>
        <v/>
      </c>
      <c r="HZ42" s="988" t="str">
        <f t="shared" si="569"/>
        <v/>
      </c>
      <c r="IA42" s="988" t="str">
        <f t="shared" si="569"/>
        <v/>
      </c>
      <c r="IB42" s="988" t="str">
        <f t="shared" si="569"/>
        <v/>
      </c>
      <c r="IC42" s="988" t="str">
        <f t="shared" si="569"/>
        <v/>
      </c>
      <c r="ID42" s="988" t="str">
        <f t="shared" si="569"/>
        <v/>
      </c>
      <c r="IE42" s="988" t="str">
        <f t="shared" si="569"/>
        <v/>
      </c>
      <c r="IF42" s="988" t="str">
        <f t="shared" si="569"/>
        <v/>
      </c>
      <c r="IG42" s="988" t="str">
        <f t="shared" si="569"/>
        <v/>
      </c>
      <c r="IH42" s="988" t="str">
        <f t="shared" si="569"/>
        <v/>
      </c>
      <c r="IJ42" s="985">
        <f t="shared" ref="IJ42:IW42" si="570">IF(AND($I42&lt;&gt;""),IF(AND($P42&gt;II$8,$P42&lt;=IJ$8),$K42,""),"")</f>
        <v>166.32</v>
      </c>
      <c r="IK42" s="985" t="str">
        <f t="shared" si="570"/>
        <v/>
      </c>
      <c r="IL42" s="985" t="str">
        <f t="shared" si="570"/>
        <v/>
      </c>
      <c r="IM42" s="985" t="str">
        <f t="shared" si="570"/>
        <v/>
      </c>
      <c r="IN42" s="985" t="str">
        <f t="shared" si="570"/>
        <v/>
      </c>
      <c r="IO42" s="985" t="str">
        <f t="shared" si="570"/>
        <v/>
      </c>
      <c r="IP42" s="985" t="str">
        <f t="shared" si="570"/>
        <v/>
      </c>
      <c r="IQ42" s="985" t="str">
        <f t="shared" si="570"/>
        <v/>
      </c>
      <c r="IR42" s="985" t="str">
        <f t="shared" si="570"/>
        <v/>
      </c>
      <c r="IS42" s="985" t="str">
        <f t="shared" si="570"/>
        <v/>
      </c>
      <c r="IT42" s="985" t="str">
        <f t="shared" si="570"/>
        <v/>
      </c>
      <c r="IU42" s="985" t="str">
        <f t="shared" si="570"/>
        <v/>
      </c>
      <c r="IV42" s="985" t="str">
        <f t="shared" si="570"/>
        <v/>
      </c>
      <c r="IW42" s="985" t="str">
        <f t="shared" si="570"/>
        <v/>
      </c>
      <c r="IX42" s="987"/>
      <c r="IY42" s="985">
        <f t="shared" ref="IY42:JL42" si="571">IF(AND($I42&lt;&gt;""),IF(AND($P42&gt;IX$8,$P42&lt;=IY$8),$L42,""),"")</f>
        <v>0</v>
      </c>
      <c r="IZ42" s="985" t="str">
        <f t="shared" si="571"/>
        <v/>
      </c>
      <c r="JA42" s="985" t="str">
        <f t="shared" si="571"/>
        <v/>
      </c>
      <c r="JB42" s="985" t="str">
        <f t="shared" si="571"/>
        <v/>
      </c>
      <c r="JC42" s="985" t="str">
        <f t="shared" si="571"/>
        <v/>
      </c>
      <c r="JD42" s="985" t="str">
        <f t="shared" si="571"/>
        <v/>
      </c>
      <c r="JE42" s="985" t="str">
        <f t="shared" si="571"/>
        <v/>
      </c>
      <c r="JF42" s="985" t="str">
        <f t="shared" si="571"/>
        <v/>
      </c>
      <c r="JG42" s="985" t="str">
        <f t="shared" si="571"/>
        <v/>
      </c>
      <c r="JH42" s="985" t="str">
        <f t="shared" si="571"/>
        <v/>
      </c>
      <c r="JI42" s="985" t="str">
        <f t="shared" si="571"/>
        <v/>
      </c>
      <c r="JJ42" s="985" t="str">
        <f t="shared" si="571"/>
        <v/>
      </c>
      <c r="JK42" s="985" t="str">
        <f t="shared" si="571"/>
        <v/>
      </c>
      <c r="JL42" s="985" t="str">
        <f t="shared" si="571"/>
        <v/>
      </c>
      <c r="JM42" s="987"/>
      <c r="JN42" s="985">
        <f t="shared" ref="JN42:KA42" si="572">IF(AND($I42&lt;&gt;""),IF(AND($P42&gt;JM$8,$P42&lt;=JN$8),$M42,""),"")</f>
        <v>0</v>
      </c>
      <c r="JO42" s="985" t="str">
        <f t="shared" si="572"/>
        <v/>
      </c>
      <c r="JP42" s="985" t="str">
        <f t="shared" si="572"/>
        <v/>
      </c>
      <c r="JQ42" s="985" t="str">
        <f t="shared" si="572"/>
        <v/>
      </c>
      <c r="JR42" s="985" t="str">
        <f t="shared" si="572"/>
        <v/>
      </c>
      <c r="JS42" s="985" t="str">
        <f t="shared" si="572"/>
        <v/>
      </c>
      <c r="JT42" s="985" t="str">
        <f t="shared" si="572"/>
        <v/>
      </c>
      <c r="JU42" s="985" t="str">
        <f t="shared" si="572"/>
        <v/>
      </c>
      <c r="JV42" s="985" t="str">
        <f t="shared" si="572"/>
        <v/>
      </c>
      <c r="JW42" s="985" t="str">
        <f t="shared" si="572"/>
        <v/>
      </c>
      <c r="JX42" s="985" t="str">
        <f t="shared" si="572"/>
        <v/>
      </c>
      <c r="JY42" s="985" t="str">
        <f t="shared" si="572"/>
        <v/>
      </c>
      <c r="JZ42" s="985" t="str">
        <f t="shared" si="572"/>
        <v/>
      </c>
      <c r="KA42" s="985" t="str">
        <f t="shared" si="572"/>
        <v/>
      </c>
      <c r="KB42" s="987"/>
      <c r="KC42" s="985">
        <f t="shared" ref="KC42:KP42" si="573">IF(AND($I42&lt;&gt;""),IF(AND($P42&gt;KB$8,$P42&lt;=KC$8),$N42,""),"")</f>
        <v>0</v>
      </c>
      <c r="KD42" s="985" t="str">
        <f t="shared" si="573"/>
        <v/>
      </c>
      <c r="KE42" s="985" t="str">
        <f t="shared" si="573"/>
        <v/>
      </c>
      <c r="KF42" s="985" t="str">
        <f t="shared" si="573"/>
        <v/>
      </c>
      <c r="KG42" s="985" t="str">
        <f t="shared" si="573"/>
        <v/>
      </c>
      <c r="KH42" s="985" t="str">
        <f t="shared" si="573"/>
        <v/>
      </c>
      <c r="KI42" s="985" t="str">
        <f t="shared" si="573"/>
        <v/>
      </c>
      <c r="KJ42" s="985" t="str">
        <f t="shared" si="573"/>
        <v/>
      </c>
      <c r="KK42" s="985" t="str">
        <f t="shared" si="573"/>
        <v/>
      </c>
      <c r="KL42" s="985" t="str">
        <f t="shared" si="573"/>
        <v/>
      </c>
      <c r="KM42" s="985" t="str">
        <f t="shared" si="573"/>
        <v/>
      </c>
      <c r="KN42" s="985" t="str">
        <f t="shared" si="573"/>
        <v/>
      </c>
      <c r="KO42" s="985" t="str">
        <f t="shared" si="573"/>
        <v/>
      </c>
      <c r="KP42" s="985" t="str">
        <f t="shared" si="573"/>
        <v/>
      </c>
    </row>
    <row r="43" spans="2:302" ht="18" customHeight="1">
      <c r="B43" s="978">
        <f t="shared" si="0"/>
        <v>130</v>
      </c>
      <c r="C43" s="979" t="s">
        <v>752</v>
      </c>
      <c r="D43" s="979" t="s">
        <v>605</v>
      </c>
      <c r="E43" s="980">
        <v>10</v>
      </c>
      <c r="F43" s="979" t="s">
        <v>758</v>
      </c>
      <c r="G43" s="979" t="s">
        <v>605</v>
      </c>
      <c r="H43" s="980">
        <v>10</v>
      </c>
      <c r="I43" s="979" t="s">
        <v>847</v>
      </c>
      <c r="J43" s="979"/>
      <c r="K43" s="980">
        <v>16.663999999999987</v>
      </c>
      <c r="L43" s="980"/>
      <c r="M43" s="980"/>
      <c r="N43" s="980"/>
      <c r="O43" s="980">
        <v>0.24</v>
      </c>
      <c r="P43" s="981">
        <v>0.24</v>
      </c>
      <c r="Q43" s="981">
        <f t="shared" si="1"/>
        <v>3.9993599999999967</v>
      </c>
      <c r="R43" s="979" t="s">
        <v>675</v>
      </c>
      <c r="S43" s="979" t="s">
        <v>605</v>
      </c>
      <c r="T43" s="980">
        <v>10</v>
      </c>
      <c r="U43" s="979" t="s">
        <v>701</v>
      </c>
      <c r="V43" s="979" t="s">
        <v>605</v>
      </c>
      <c r="W43" s="980">
        <v>10</v>
      </c>
      <c r="X43" s="989" t="s">
        <v>821</v>
      </c>
      <c r="Y43" s="979"/>
      <c r="Z43" s="979"/>
      <c r="AA43" s="980">
        <v>1.3</v>
      </c>
      <c r="AB43" s="980">
        <f t="shared" si="2"/>
        <v>12.818461538461529</v>
      </c>
      <c r="AC43" s="982" t="str" cm="1">
        <f t="array" ref="AC43">IF(X43&lt;&gt;"",IF(LEFT(X43,SEARCH("-",X43,1)-1)="A.CF","CF",IF(LEFT(X43,SEARCH("-",X43,1)-1)="A.CA","CA",IF(LEFT(X43,SEARCH("-",X43,1)-1)="CL","CL","-"))),IF(Y43&lt;&gt;"",BF,"-"))</f>
        <v>CF</v>
      </c>
      <c r="AD43" s="953"/>
      <c r="AE43" s="983" t="str">
        <f t="shared" si="3"/>
        <v>A</v>
      </c>
      <c r="AF43" s="984" t="str">
        <f t="shared" si="4"/>
        <v>C</v>
      </c>
      <c r="AG43" s="963"/>
      <c r="AH43" s="985" t="str">
        <f t="shared" si="521"/>
        <v/>
      </c>
      <c r="AI43" s="985" t="str">
        <f t="shared" si="521"/>
        <v/>
      </c>
      <c r="AJ43" s="985" t="str">
        <f t="shared" si="521"/>
        <v/>
      </c>
      <c r="AK43" s="985" t="str">
        <f t="shared" si="521"/>
        <v/>
      </c>
      <c r="AL43" s="985" t="str">
        <f t="shared" si="521"/>
        <v/>
      </c>
      <c r="AM43" s="985" t="str">
        <f t="shared" si="521"/>
        <v/>
      </c>
      <c r="AN43" s="985" t="str">
        <f t="shared" si="521"/>
        <v/>
      </c>
      <c r="AO43" s="985" t="str">
        <f t="shared" si="521"/>
        <v/>
      </c>
      <c r="AP43" s="986"/>
      <c r="AQ43" s="985" t="str">
        <f t="shared" ref="AQ43:BD43" si="574">IF(AND($I43&lt;&gt;"",$AF43="C"),IF(AND($P43&gt;AP$8,$P43&lt;=AQ$8),$K43,""),"")</f>
        <v/>
      </c>
      <c r="AR43" s="985" t="str">
        <f t="shared" si="574"/>
        <v/>
      </c>
      <c r="AS43" s="985">
        <f t="shared" si="574"/>
        <v>16.663999999999987</v>
      </c>
      <c r="AT43" s="985" t="str">
        <f t="shared" si="574"/>
        <v/>
      </c>
      <c r="AU43" s="985" t="str">
        <f t="shared" si="574"/>
        <v/>
      </c>
      <c r="AV43" s="985" t="str">
        <f t="shared" si="574"/>
        <v/>
      </c>
      <c r="AW43" s="985" t="str">
        <f t="shared" si="574"/>
        <v/>
      </c>
      <c r="AX43" s="985" t="str">
        <f t="shared" si="574"/>
        <v/>
      </c>
      <c r="AY43" s="985" t="str">
        <f t="shared" si="574"/>
        <v/>
      </c>
      <c r="AZ43" s="985" t="str">
        <f t="shared" si="574"/>
        <v/>
      </c>
      <c r="BA43" s="985" t="str">
        <f t="shared" si="574"/>
        <v/>
      </c>
      <c r="BB43" s="985" t="str">
        <f t="shared" si="574"/>
        <v/>
      </c>
      <c r="BC43" s="985" t="str">
        <f t="shared" si="574"/>
        <v/>
      </c>
      <c r="BD43" s="985" t="str">
        <f t="shared" si="574"/>
        <v/>
      </c>
      <c r="BE43" s="987"/>
      <c r="BF43" s="985" t="str">
        <f t="shared" ref="BF43:BS43" si="575">IF(AND($I43&lt;&gt;"",$AF43="C"),IF(AND($P43&gt;BE$8,$P43&lt;=BF$8),$L43,""),"")</f>
        <v/>
      </c>
      <c r="BG43" s="985" t="str">
        <f t="shared" si="575"/>
        <v/>
      </c>
      <c r="BH43" s="985">
        <f t="shared" si="575"/>
        <v>0</v>
      </c>
      <c r="BI43" s="985" t="str">
        <f t="shared" si="575"/>
        <v/>
      </c>
      <c r="BJ43" s="985" t="str">
        <f t="shared" si="575"/>
        <v/>
      </c>
      <c r="BK43" s="985" t="str">
        <f t="shared" si="575"/>
        <v/>
      </c>
      <c r="BL43" s="985" t="str">
        <f t="shared" si="575"/>
        <v/>
      </c>
      <c r="BM43" s="985" t="str">
        <f t="shared" si="575"/>
        <v/>
      </c>
      <c r="BN43" s="985" t="str">
        <f t="shared" si="575"/>
        <v/>
      </c>
      <c r="BO43" s="985" t="str">
        <f t="shared" si="575"/>
        <v/>
      </c>
      <c r="BP43" s="985" t="str">
        <f t="shared" si="575"/>
        <v/>
      </c>
      <c r="BQ43" s="985" t="str">
        <f t="shared" si="575"/>
        <v/>
      </c>
      <c r="BR43" s="985" t="str">
        <f t="shared" si="575"/>
        <v/>
      </c>
      <c r="BS43" s="985" t="str">
        <f t="shared" si="575"/>
        <v/>
      </c>
      <c r="BU43" s="985" t="str">
        <f t="shared" ref="BU43:CF43" si="576">IF(AND($I43&lt;&gt;"",$AF43="C"),IF(AND($P43&gt;BT$8,$P43&lt;=BU$8),$M43,""),"")</f>
        <v/>
      </c>
      <c r="BV43" s="985" t="str">
        <f t="shared" si="576"/>
        <v/>
      </c>
      <c r="BW43" s="985">
        <f t="shared" si="576"/>
        <v>0</v>
      </c>
      <c r="BX43" s="985" t="str">
        <f t="shared" si="576"/>
        <v/>
      </c>
      <c r="BY43" s="985" t="str">
        <f t="shared" si="576"/>
        <v/>
      </c>
      <c r="BZ43" s="985" t="str">
        <f t="shared" si="576"/>
        <v/>
      </c>
      <c r="CA43" s="985" t="str">
        <f t="shared" si="576"/>
        <v/>
      </c>
      <c r="CB43" s="985" t="str">
        <f t="shared" si="576"/>
        <v/>
      </c>
      <c r="CC43" s="985" t="str">
        <f t="shared" si="576"/>
        <v/>
      </c>
      <c r="CD43" s="985" t="str">
        <f t="shared" si="576"/>
        <v/>
      </c>
      <c r="CE43" s="985" t="str">
        <f t="shared" si="576"/>
        <v/>
      </c>
      <c r="CF43" s="985" t="str">
        <f t="shared" si="576"/>
        <v/>
      </c>
      <c r="CG43" s="987"/>
      <c r="CH43" s="985" t="str">
        <f t="shared" si="525"/>
        <v/>
      </c>
      <c r="CI43" s="985" t="str">
        <f t="shared" si="525"/>
        <v/>
      </c>
      <c r="CJ43" s="985" t="str">
        <f t="shared" si="525"/>
        <v/>
      </c>
      <c r="CK43" s="985" t="str">
        <f t="shared" si="525"/>
        <v/>
      </c>
      <c r="CL43" s="985" t="str">
        <f t="shared" si="525"/>
        <v/>
      </c>
      <c r="CM43" s="985" t="str">
        <f t="shared" si="525"/>
        <v/>
      </c>
      <c r="CN43" s="985" t="str">
        <f t="shared" si="525"/>
        <v/>
      </c>
      <c r="CP43" s="988" t="str">
        <f t="shared" ref="CP43:DC43" si="577">IF(AND($I43&lt;&gt;"",OR($AF43="ELE",$AF43="ELD",$AF43="CX")),IF(AND($P43&gt;CO$8,$P43&lt;=CP$8),$K43,""),"")</f>
        <v/>
      </c>
      <c r="CQ43" s="988" t="str">
        <f t="shared" si="577"/>
        <v/>
      </c>
      <c r="CR43" s="988" t="str">
        <f t="shared" si="577"/>
        <v/>
      </c>
      <c r="CS43" s="988" t="str">
        <f t="shared" si="577"/>
        <v/>
      </c>
      <c r="CT43" s="988" t="str">
        <f t="shared" si="577"/>
        <v/>
      </c>
      <c r="CU43" s="988" t="str">
        <f t="shared" si="577"/>
        <v/>
      </c>
      <c r="CV43" s="988" t="str">
        <f t="shared" si="577"/>
        <v/>
      </c>
      <c r="CW43" s="988" t="str">
        <f t="shared" si="577"/>
        <v/>
      </c>
      <c r="CX43" s="988" t="str">
        <f t="shared" si="577"/>
        <v/>
      </c>
      <c r="CY43" s="988" t="str">
        <f t="shared" si="577"/>
        <v/>
      </c>
      <c r="CZ43" s="988" t="str">
        <f t="shared" si="577"/>
        <v/>
      </c>
      <c r="DA43" s="988" t="str">
        <f t="shared" si="577"/>
        <v/>
      </c>
      <c r="DB43" s="988" t="str">
        <f t="shared" si="577"/>
        <v/>
      </c>
      <c r="DC43" s="988" t="str">
        <f t="shared" si="577"/>
        <v/>
      </c>
      <c r="DE43" s="988" t="str">
        <f t="shared" ref="DE43:DR43" si="578">IF(AND($X43&lt;&gt;"",$AC43="CF"),IF(AND($P43&gt;DD$8,$P43&lt;=DE$8),$AB43,""),"")</f>
        <v/>
      </c>
      <c r="DF43" s="988" t="str">
        <f t="shared" si="578"/>
        <v/>
      </c>
      <c r="DG43" s="988">
        <f t="shared" si="578"/>
        <v>12.818461538461529</v>
      </c>
      <c r="DH43" s="988" t="str">
        <f t="shared" si="578"/>
        <v/>
      </c>
      <c r="DI43" s="988" t="str">
        <f t="shared" si="578"/>
        <v/>
      </c>
      <c r="DJ43" s="988" t="str">
        <f t="shared" si="578"/>
        <v/>
      </c>
      <c r="DK43" s="988" t="str">
        <f t="shared" si="578"/>
        <v/>
      </c>
      <c r="DL43" s="988" t="str">
        <f t="shared" si="578"/>
        <v/>
      </c>
      <c r="DM43" s="988" t="str">
        <f t="shared" si="578"/>
        <v/>
      </c>
      <c r="DN43" s="988" t="str">
        <f t="shared" si="578"/>
        <v/>
      </c>
      <c r="DO43" s="988" t="str">
        <f t="shared" si="578"/>
        <v/>
      </c>
      <c r="DP43" s="988" t="str">
        <f t="shared" si="578"/>
        <v/>
      </c>
      <c r="DQ43" s="988" t="str">
        <f t="shared" si="578"/>
        <v/>
      </c>
      <c r="DR43" s="988" t="str">
        <f t="shared" si="578"/>
        <v/>
      </c>
      <c r="DT43" s="988" t="str">
        <f t="shared" ref="DT43:EG43" si="579">IF(AND($X43&lt;&gt;"",$AC43="CA"),IF(AND($P43&gt;DS$8,$P43&lt;=DT$8),$AB43,""),"")</f>
        <v/>
      </c>
      <c r="DU43" s="988" t="str">
        <f t="shared" si="579"/>
        <v/>
      </c>
      <c r="DV43" s="988" t="str">
        <f t="shared" si="579"/>
        <v/>
      </c>
      <c r="DW43" s="988" t="str">
        <f t="shared" si="579"/>
        <v/>
      </c>
      <c r="DX43" s="988" t="str">
        <f t="shared" si="579"/>
        <v/>
      </c>
      <c r="DY43" s="988" t="str">
        <f t="shared" si="579"/>
        <v/>
      </c>
      <c r="DZ43" s="988" t="str">
        <f t="shared" si="579"/>
        <v/>
      </c>
      <c r="EA43" s="988" t="str">
        <f t="shared" si="579"/>
        <v/>
      </c>
      <c r="EB43" s="988" t="str">
        <f t="shared" si="579"/>
        <v/>
      </c>
      <c r="EC43" s="988" t="str">
        <f t="shared" si="579"/>
        <v/>
      </c>
      <c r="ED43" s="988" t="str">
        <f t="shared" si="579"/>
        <v/>
      </c>
      <c r="EE43" s="988" t="str">
        <f t="shared" si="579"/>
        <v/>
      </c>
      <c r="EF43" s="988" t="str">
        <f t="shared" si="579"/>
        <v/>
      </c>
      <c r="EG43" s="988" t="str">
        <f t="shared" si="579"/>
        <v/>
      </c>
      <c r="EI43" s="988" t="str">
        <f t="shared" ref="EI43:EV43" si="580">IF($AE43="BFC",IF(AND($P43&gt;EH$8,$P43&lt;=EI$8),$AB43,""),"")</f>
        <v/>
      </c>
      <c r="EJ43" s="988" t="str">
        <f t="shared" si="580"/>
        <v/>
      </c>
      <c r="EK43" s="988" t="str">
        <f t="shared" si="580"/>
        <v/>
      </c>
      <c r="EL43" s="988" t="str">
        <f t="shared" si="580"/>
        <v/>
      </c>
      <c r="EM43" s="988" t="str">
        <f t="shared" si="580"/>
        <v/>
      </c>
      <c r="EN43" s="988" t="str">
        <f t="shared" si="580"/>
        <v/>
      </c>
      <c r="EO43" s="988" t="str">
        <f t="shared" si="580"/>
        <v/>
      </c>
      <c r="EP43" s="988" t="str">
        <f t="shared" si="580"/>
        <v/>
      </c>
      <c r="EQ43" s="988" t="str">
        <f t="shared" si="580"/>
        <v/>
      </c>
      <c r="ER43" s="988" t="str">
        <f t="shared" si="580"/>
        <v/>
      </c>
      <c r="ES43" s="988" t="str">
        <f t="shared" si="580"/>
        <v/>
      </c>
      <c r="ET43" s="988" t="str">
        <f t="shared" si="580"/>
        <v/>
      </c>
      <c r="EU43" s="988" t="str">
        <f t="shared" si="580"/>
        <v/>
      </c>
      <c r="EV43" s="988" t="str">
        <f t="shared" si="580"/>
        <v/>
      </c>
      <c r="EX43" s="988" t="str">
        <f t="shared" ref="EX43:FK43" si="581">IF($AE43="BFN",IF(AND($P43&gt;EW$8,$P43&lt;=EX$8),$AB43,""),"")</f>
        <v/>
      </c>
      <c r="EY43" s="988" t="str">
        <f t="shared" si="581"/>
        <v/>
      </c>
      <c r="EZ43" s="988" t="str">
        <f t="shared" si="581"/>
        <v/>
      </c>
      <c r="FA43" s="988" t="str">
        <f t="shared" si="581"/>
        <v/>
      </c>
      <c r="FB43" s="988" t="str">
        <f t="shared" si="581"/>
        <v/>
      </c>
      <c r="FC43" s="988" t="str">
        <f t="shared" si="581"/>
        <v/>
      </c>
      <c r="FD43" s="988" t="str">
        <f t="shared" si="581"/>
        <v/>
      </c>
      <c r="FE43" s="988" t="str">
        <f t="shared" si="581"/>
        <v/>
      </c>
      <c r="FF43" s="988" t="str">
        <f t="shared" si="581"/>
        <v/>
      </c>
      <c r="FG43" s="988" t="str">
        <f t="shared" si="581"/>
        <v/>
      </c>
      <c r="FH43" s="988" t="str">
        <f t="shared" si="581"/>
        <v/>
      </c>
      <c r="FI43" s="988" t="str">
        <f t="shared" si="581"/>
        <v/>
      </c>
      <c r="FJ43" s="988" t="str">
        <f t="shared" si="581"/>
        <v/>
      </c>
      <c r="FK43" s="988" t="str">
        <f t="shared" si="581"/>
        <v/>
      </c>
      <c r="FM43" s="988" t="str">
        <f t="shared" ref="FM43:FZ43" si="582">IF(AND($I43&lt;&gt;"",$AF43="RCS"),IF(AND($P43&gt;FL$8,$P43&lt;=FM$8),SUM($K43:$M43),""),"")</f>
        <v/>
      </c>
      <c r="FN43" s="988" t="str">
        <f t="shared" si="582"/>
        <v/>
      </c>
      <c r="FO43" s="988" t="str">
        <f t="shared" si="582"/>
        <v/>
      </c>
      <c r="FP43" s="988" t="str">
        <f t="shared" si="582"/>
        <v/>
      </c>
      <c r="FQ43" s="988" t="str">
        <f t="shared" si="582"/>
        <v/>
      </c>
      <c r="FR43" s="988" t="str">
        <f t="shared" si="582"/>
        <v/>
      </c>
      <c r="FS43" s="988" t="str">
        <f t="shared" si="582"/>
        <v/>
      </c>
      <c r="FT43" s="988" t="str">
        <f t="shared" si="582"/>
        <v/>
      </c>
      <c r="FU43" s="988" t="str">
        <f t="shared" si="582"/>
        <v/>
      </c>
      <c r="FV43" s="988" t="str">
        <f t="shared" si="582"/>
        <v/>
      </c>
      <c r="FW43" s="988" t="str">
        <f t="shared" si="582"/>
        <v/>
      </c>
      <c r="FX43" s="988" t="str">
        <f t="shared" si="582"/>
        <v/>
      </c>
      <c r="FY43" s="988" t="str">
        <f t="shared" si="582"/>
        <v/>
      </c>
      <c r="FZ43" s="988" t="str">
        <f t="shared" si="582"/>
        <v/>
      </c>
      <c r="GB43" s="988" t="str">
        <f t="shared" ref="GB43:GO43" si="583">IF(AND($I43&lt;&gt;"",$AF43="REC"),IF(AND($P43&gt;GA$8,$P43&lt;=GB$8),SUM($K43:$M43),""),"")</f>
        <v/>
      </c>
      <c r="GC43" s="988" t="str">
        <f t="shared" si="583"/>
        <v/>
      </c>
      <c r="GD43" s="988" t="str">
        <f t="shared" si="583"/>
        <v/>
      </c>
      <c r="GE43" s="988" t="str">
        <f t="shared" si="583"/>
        <v/>
      </c>
      <c r="GF43" s="988" t="str">
        <f t="shared" si="583"/>
        <v/>
      </c>
      <c r="GG43" s="988" t="str">
        <f t="shared" si="583"/>
        <v/>
      </c>
      <c r="GH43" s="988" t="str">
        <f t="shared" si="583"/>
        <v/>
      </c>
      <c r="GI43" s="988" t="str">
        <f t="shared" si="583"/>
        <v/>
      </c>
      <c r="GJ43" s="988" t="str">
        <f t="shared" si="583"/>
        <v/>
      </c>
      <c r="GK43" s="988" t="str">
        <f t="shared" si="583"/>
        <v/>
      </c>
      <c r="GL43" s="988" t="str">
        <f t="shared" si="583"/>
        <v/>
      </c>
      <c r="GM43" s="988" t="str">
        <f t="shared" si="583"/>
        <v/>
      </c>
      <c r="GN43" s="988" t="str">
        <f t="shared" si="583"/>
        <v/>
      </c>
      <c r="GO43" s="988" t="str">
        <f t="shared" si="583"/>
        <v/>
      </c>
      <c r="GQ43" s="988" t="str">
        <f t="shared" ref="GQ43:HD43" si="584">IF(AND($I43&lt;&gt;"",$AF43="REB"),IF(AND($P43&gt;GP$8,$P43&lt;=GQ$8),SUM($K43:$M43),""),"")</f>
        <v/>
      </c>
      <c r="GR43" s="988" t="str">
        <f t="shared" si="584"/>
        <v/>
      </c>
      <c r="GS43" s="988" t="str">
        <f t="shared" si="584"/>
        <v/>
      </c>
      <c r="GT43" s="988" t="str">
        <f t="shared" si="584"/>
        <v/>
      </c>
      <c r="GU43" s="988" t="str">
        <f t="shared" si="584"/>
        <v/>
      </c>
      <c r="GV43" s="988" t="str">
        <f t="shared" si="584"/>
        <v/>
      </c>
      <c r="GW43" s="988" t="str">
        <f t="shared" si="584"/>
        <v/>
      </c>
      <c r="GX43" s="988" t="str">
        <f t="shared" si="584"/>
        <v/>
      </c>
      <c r="GY43" s="988" t="str">
        <f t="shared" si="584"/>
        <v/>
      </c>
      <c r="GZ43" s="988" t="str">
        <f t="shared" si="584"/>
        <v/>
      </c>
      <c r="HA43" s="988" t="str">
        <f t="shared" si="584"/>
        <v/>
      </c>
      <c r="HB43" s="988" t="str">
        <f t="shared" si="584"/>
        <v/>
      </c>
      <c r="HC43" s="988" t="str">
        <f t="shared" si="584"/>
        <v/>
      </c>
      <c r="HD43" s="988" t="str">
        <f t="shared" si="584"/>
        <v/>
      </c>
      <c r="HF43" s="988" t="str">
        <f t="shared" ref="HF43:HS43" si="585">IF(AND($I43&lt;&gt;"",$AF43="RBS"),IF(AND($P43&gt;HE$8,$P43&lt;=HF$8),SUM($K43:$M43),""),"")</f>
        <v/>
      </c>
      <c r="HG43" s="988" t="str">
        <f t="shared" si="585"/>
        <v/>
      </c>
      <c r="HH43" s="988" t="str">
        <f t="shared" si="585"/>
        <v/>
      </c>
      <c r="HI43" s="988" t="str">
        <f t="shared" si="585"/>
        <v/>
      </c>
      <c r="HJ43" s="988" t="str">
        <f t="shared" si="585"/>
        <v/>
      </c>
      <c r="HK43" s="988" t="str">
        <f t="shared" si="585"/>
        <v/>
      </c>
      <c r="HL43" s="988" t="str">
        <f t="shared" si="585"/>
        <v/>
      </c>
      <c r="HM43" s="988" t="str">
        <f t="shared" si="585"/>
        <v/>
      </c>
      <c r="HN43" s="988" t="str">
        <f t="shared" si="585"/>
        <v/>
      </c>
      <c r="HO43" s="988" t="str">
        <f t="shared" si="585"/>
        <v/>
      </c>
      <c r="HP43" s="988" t="str">
        <f t="shared" si="585"/>
        <v/>
      </c>
      <c r="HQ43" s="988" t="str">
        <f t="shared" si="585"/>
        <v/>
      </c>
      <c r="HR43" s="988" t="str">
        <f t="shared" si="585"/>
        <v/>
      </c>
      <c r="HS43" s="988" t="str">
        <f t="shared" si="585"/>
        <v/>
      </c>
      <c r="HU43" s="988" t="str">
        <f t="shared" ref="HU43:IH43" si="586">IF(AND($I43&lt;&gt;"",$AF43="RCD"),IF(AND($P43&gt;HT$8,$P43&lt;=HU$8),SUM($K43:$M43),""),"")</f>
        <v/>
      </c>
      <c r="HV43" s="988" t="str">
        <f t="shared" si="586"/>
        <v/>
      </c>
      <c r="HW43" s="988" t="str">
        <f t="shared" si="586"/>
        <v/>
      </c>
      <c r="HX43" s="988" t="str">
        <f t="shared" si="586"/>
        <v/>
      </c>
      <c r="HY43" s="988" t="str">
        <f t="shared" si="586"/>
        <v/>
      </c>
      <c r="HZ43" s="988" t="str">
        <f t="shared" si="586"/>
        <v/>
      </c>
      <c r="IA43" s="988" t="str">
        <f t="shared" si="586"/>
        <v/>
      </c>
      <c r="IB43" s="988" t="str">
        <f t="shared" si="586"/>
        <v/>
      </c>
      <c r="IC43" s="988" t="str">
        <f t="shared" si="586"/>
        <v/>
      </c>
      <c r="ID43" s="988" t="str">
        <f t="shared" si="586"/>
        <v/>
      </c>
      <c r="IE43" s="988" t="str">
        <f t="shared" si="586"/>
        <v/>
      </c>
      <c r="IF43" s="988" t="str">
        <f t="shared" si="586"/>
        <v/>
      </c>
      <c r="IG43" s="988" t="str">
        <f t="shared" si="586"/>
        <v/>
      </c>
      <c r="IH43" s="988" t="str">
        <f t="shared" si="586"/>
        <v/>
      </c>
      <c r="IJ43" s="985" t="str">
        <f t="shared" ref="IJ43:IW43" si="587">IF(AND($I43&lt;&gt;""),IF(AND($P43&gt;II$8,$P43&lt;=IJ$8),$K43,""),"")</f>
        <v/>
      </c>
      <c r="IK43" s="985" t="str">
        <f t="shared" si="587"/>
        <v/>
      </c>
      <c r="IL43" s="985">
        <f t="shared" si="587"/>
        <v>16.663999999999987</v>
      </c>
      <c r="IM43" s="985" t="str">
        <f t="shared" si="587"/>
        <v/>
      </c>
      <c r="IN43" s="985" t="str">
        <f t="shared" si="587"/>
        <v/>
      </c>
      <c r="IO43" s="985" t="str">
        <f t="shared" si="587"/>
        <v/>
      </c>
      <c r="IP43" s="985" t="str">
        <f t="shared" si="587"/>
        <v/>
      </c>
      <c r="IQ43" s="985" t="str">
        <f t="shared" si="587"/>
        <v/>
      </c>
      <c r="IR43" s="985" t="str">
        <f t="shared" si="587"/>
        <v/>
      </c>
      <c r="IS43" s="985" t="str">
        <f t="shared" si="587"/>
        <v/>
      </c>
      <c r="IT43" s="985" t="str">
        <f t="shared" si="587"/>
        <v/>
      </c>
      <c r="IU43" s="985" t="str">
        <f t="shared" si="587"/>
        <v/>
      </c>
      <c r="IV43" s="985" t="str">
        <f t="shared" si="587"/>
        <v/>
      </c>
      <c r="IW43" s="985" t="str">
        <f t="shared" si="587"/>
        <v/>
      </c>
      <c r="IX43" s="987"/>
      <c r="IY43" s="985" t="str">
        <f t="shared" ref="IY43:JL43" si="588">IF(AND($I43&lt;&gt;""),IF(AND($P43&gt;IX$8,$P43&lt;=IY$8),$L43,""),"")</f>
        <v/>
      </c>
      <c r="IZ43" s="985" t="str">
        <f t="shared" si="588"/>
        <v/>
      </c>
      <c r="JA43" s="985">
        <f t="shared" si="588"/>
        <v>0</v>
      </c>
      <c r="JB43" s="985" t="str">
        <f t="shared" si="588"/>
        <v/>
      </c>
      <c r="JC43" s="985" t="str">
        <f t="shared" si="588"/>
        <v/>
      </c>
      <c r="JD43" s="985" t="str">
        <f t="shared" si="588"/>
        <v/>
      </c>
      <c r="JE43" s="985" t="str">
        <f t="shared" si="588"/>
        <v/>
      </c>
      <c r="JF43" s="985" t="str">
        <f t="shared" si="588"/>
        <v/>
      </c>
      <c r="JG43" s="985" t="str">
        <f t="shared" si="588"/>
        <v/>
      </c>
      <c r="JH43" s="985" t="str">
        <f t="shared" si="588"/>
        <v/>
      </c>
      <c r="JI43" s="985" t="str">
        <f t="shared" si="588"/>
        <v/>
      </c>
      <c r="JJ43" s="985" t="str">
        <f t="shared" si="588"/>
        <v/>
      </c>
      <c r="JK43" s="985" t="str">
        <f t="shared" si="588"/>
        <v/>
      </c>
      <c r="JL43" s="985" t="str">
        <f t="shared" si="588"/>
        <v/>
      </c>
      <c r="JM43" s="987"/>
      <c r="JN43" s="985" t="str">
        <f t="shared" ref="JN43:KA43" si="589">IF(AND($I43&lt;&gt;""),IF(AND($P43&gt;JM$8,$P43&lt;=JN$8),$M43,""),"")</f>
        <v/>
      </c>
      <c r="JO43" s="985" t="str">
        <f t="shared" si="589"/>
        <v/>
      </c>
      <c r="JP43" s="985">
        <f t="shared" si="589"/>
        <v>0</v>
      </c>
      <c r="JQ43" s="985" t="str">
        <f t="shared" si="589"/>
        <v/>
      </c>
      <c r="JR43" s="985" t="str">
        <f t="shared" si="589"/>
        <v/>
      </c>
      <c r="JS43" s="985" t="str">
        <f t="shared" si="589"/>
        <v/>
      </c>
      <c r="JT43" s="985" t="str">
        <f t="shared" si="589"/>
        <v/>
      </c>
      <c r="JU43" s="985" t="str">
        <f t="shared" si="589"/>
        <v/>
      </c>
      <c r="JV43" s="985" t="str">
        <f t="shared" si="589"/>
        <v/>
      </c>
      <c r="JW43" s="985" t="str">
        <f t="shared" si="589"/>
        <v/>
      </c>
      <c r="JX43" s="985" t="str">
        <f t="shared" si="589"/>
        <v/>
      </c>
      <c r="JY43" s="985" t="str">
        <f t="shared" si="589"/>
        <v/>
      </c>
      <c r="JZ43" s="985" t="str">
        <f t="shared" si="589"/>
        <v/>
      </c>
      <c r="KA43" s="985" t="str">
        <f t="shared" si="589"/>
        <v/>
      </c>
      <c r="KB43" s="987"/>
      <c r="KC43" s="985" t="str">
        <f t="shared" ref="KC43:KP43" si="590">IF(AND($I43&lt;&gt;""),IF(AND($P43&gt;KB$8,$P43&lt;=KC$8),$N43,""),"")</f>
        <v/>
      </c>
      <c r="KD43" s="985" t="str">
        <f t="shared" si="590"/>
        <v/>
      </c>
      <c r="KE43" s="985">
        <f t="shared" si="590"/>
        <v>0</v>
      </c>
      <c r="KF43" s="985" t="str">
        <f t="shared" si="590"/>
        <v/>
      </c>
      <c r="KG43" s="985" t="str">
        <f t="shared" si="590"/>
        <v/>
      </c>
      <c r="KH43" s="985" t="str">
        <f t="shared" si="590"/>
        <v/>
      </c>
      <c r="KI43" s="985" t="str">
        <f t="shared" si="590"/>
        <v/>
      </c>
      <c r="KJ43" s="985" t="str">
        <f t="shared" si="590"/>
        <v/>
      </c>
      <c r="KK43" s="985" t="str">
        <f t="shared" si="590"/>
        <v/>
      </c>
      <c r="KL43" s="985" t="str">
        <f t="shared" si="590"/>
        <v/>
      </c>
      <c r="KM43" s="985" t="str">
        <f t="shared" si="590"/>
        <v/>
      </c>
      <c r="KN43" s="985" t="str">
        <f t="shared" si="590"/>
        <v/>
      </c>
      <c r="KO43" s="985" t="str">
        <f t="shared" si="590"/>
        <v/>
      </c>
      <c r="KP43" s="985" t="str">
        <f t="shared" si="590"/>
        <v/>
      </c>
    </row>
    <row r="44" spans="2:302" ht="18" customHeight="1">
      <c r="B44" s="978">
        <f t="shared" si="0"/>
        <v>130</v>
      </c>
      <c r="C44" s="979" t="s">
        <v>752</v>
      </c>
      <c r="D44" s="979" t="s">
        <v>605</v>
      </c>
      <c r="E44" s="980">
        <v>10</v>
      </c>
      <c r="F44" s="979" t="s">
        <v>758</v>
      </c>
      <c r="G44" s="979" t="s">
        <v>605</v>
      </c>
      <c r="H44" s="980">
        <v>10</v>
      </c>
      <c r="I44" s="979" t="s">
        <v>847</v>
      </c>
      <c r="J44" s="979"/>
      <c r="K44" s="980">
        <v>7.9559999999999995</v>
      </c>
      <c r="L44" s="980"/>
      <c r="M44" s="980"/>
      <c r="N44" s="980"/>
      <c r="O44" s="980">
        <v>5.6061999999999904E-2</v>
      </c>
      <c r="P44" s="981">
        <v>5.6061999999999904E-2</v>
      </c>
      <c r="Q44" s="981">
        <f t="shared" si="1"/>
        <v>0.4460292719999992</v>
      </c>
      <c r="R44" s="979" t="s">
        <v>761</v>
      </c>
      <c r="S44" s="979" t="s">
        <v>605</v>
      </c>
      <c r="T44" s="980">
        <v>0</v>
      </c>
      <c r="U44" s="979" t="s">
        <v>761</v>
      </c>
      <c r="V44" s="979" t="s">
        <v>605</v>
      </c>
      <c r="W44" s="980">
        <v>12.124000000000001</v>
      </c>
      <c r="X44" s="989" t="s">
        <v>850</v>
      </c>
      <c r="Y44" s="979"/>
      <c r="Z44" s="979"/>
      <c r="AA44" s="980">
        <v>1.3</v>
      </c>
      <c r="AB44" s="980">
        <f t="shared" si="2"/>
        <v>6.1199999999999992</v>
      </c>
      <c r="AC44" s="982" t="str" cm="1">
        <f t="array" ref="AC44">IF(X44&lt;&gt;"",IF(LEFT(X44,SEARCH("-",X44,1)-1)="A.CF","CF",IF(LEFT(X44,SEARCH("-",X44,1)-1)="A.CA","CA",IF(LEFT(X44,SEARCH("-",X44,1)-1)="CL","CL","-"))),IF(Y44&lt;&gt;"",BF,"-"))</f>
        <v>CF</v>
      </c>
      <c r="AD44" s="953"/>
      <c r="AE44" s="983" t="str">
        <f t="shared" si="3"/>
        <v>A</v>
      </c>
      <c r="AF44" s="984" t="str">
        <f t="shared" si="4"/>
        <v>C</v>
      </c>
      <c r="AG44" s="963"/>
      <c r="AH44" s="985" t="str">
        <f t="shared" si="521"/>
        <v/>
      </c>
      <c r="AI44" s="985" t="str">
        <f t="shared" si="521"/>
        <v/>
      </c>
      <c r="AJ44" s="985" t="str">
        <f t="shared" si="521"/>
        <v/>
      </c>
      <c r="AK44" s="985" t="str">
        <f t="shared" si="521"/>
        <v/>
      </c>
      <c r="AL44" s="985" t="str">
        <f t="shared" si="521"/>
        <v/>
      </c>
      <c r="AM44" s="985" t="str">
        <f t="shared" si="521"/>
        <v/>
      </c>
      <c r="AN44" s="985" t="str">
        <f t="shared" si="521"/>
        <v/>
      </c>
      <c r="AO44" s="985" t="str">
        <f t="shared" si="521"/>
        <v/>
      </c>
      <c r="AP44" s="986"/>
      <c r="AQ44" s="985" t="str">
        <f t="shared" ref="AQ44:BD44" si="591">IF(AND($I44&lt;&gt;"",$AF44="C"),IF(AND($P44&gt;AP$8,$P44&lt;=AQ$8),$K44,""),"")</f>
        <v/>
      </c>
      <c r="AR44" s="985">
        <f t="shared" si="591"/>
        <v>7.9559999999999995</v>
      </c>
      <c r="AS44" s="985" t="str">
        <f t="shared" si="591"/>
        <v/>
      </c>
      <c r="AT44" s="985" t="str">
        <f t="shared" si="591"/>
        <v/>
      </c>
      <c r="AU44" s="985" t="str">
        <f t="shared" si="591"/>
        <v/>
      </c>
      <c r="AV44" s="985" t="str">
        <f t="shared" si="591"/>
        <v/>
      </c>
      <c r="AW44" s="985" t="str">
        <f t="shared" si="591"/>
        <v/>
      </c>
      <c r="AX44" s="985" t="str">
        <f t="shared" si="591"/>
        <v/>
      </c>
      <c r="AY44" s="985" t="str">
        <f t="shared" si="591"/>
        <v/>
      </c>
      <c r="AZ44" s="985" t="str">
        <f t="shared" si="591"/>
        <v/>
      </c>
      <c r="BA44" s="985" t="str">
        <f t="shared" si="591"/>
        <v/>
      </c>
      <c r="BB44" s="985" t="str">
        <f t="shared" si="591"/>
        <v/>
      </c>
      <c r="BC44" s="985" t="str">
        <f t="shared" si="591"/>
        <v/>
      </c>
      <c r="BD44" s="985" t="str">
        <f t="shared" si="591"/>
        <v/>
      </c>
      <c r="BE44" s="987"/>
      <c r="BF44" s="985" t="str">
        <f t="shared" ref="BF44:BS44" si="592">IF(AND($I44&lt;&gt;"",$AF44="C"),IF(AND($P44&gt;BE$8,$P44&lt;=BF$8),$L44,""),"")</f>
        <v/>
      </c>
      <c r="BG44" s="985">
        <f t="shared" si="592"/>
        <v>0</v>
      </c>
      <c r="BH44" s="985" t="str">
        <f t="shared" si="592"/>
        <v/>
      </c>
      <c r="BI44" s="985" t="str">
        <f t="shared" si="592"/>
        <v/>
      </c>
      <c r="BJ44" s="985" t="str">
        <f t="shared" si="592"/>
        <v/>
      </c>
      <c r="BK44" s="985" t="str">
        <f t="shared" si="592"/>
        <v/>
      </c>
      <c r="BL44" s="985" t="str">
        <f t="shared" si="592"/>
        <v/>
      </c>
      <c r="BM44" s="985" t="str">
        <f t="shared" si="592"/>
        <v/>
      </c>
      <c r="BN44" s="985" t="str">
        <f t="shared" si="592"/>
        <v/>
      </c>
      <c r="BO44" s="985" t="str">
        <f t="shared" si="592"/>
        <v/>
      </c>
      <c r="BP44" s="985" t="str">
        <f t="shared" si="592"/>
        <v/>
      </c>
      <c r="BQ44" s="985" t="str">
        <f t="shared" si="592"/>
        <v/>
      </c>
      <c r="BR44" s="985" t="str">
        <f t="shared" si="592"/>
        <v/>
      </c>
      <c r="BS44" s="985" t="str">
        <f t="shared" si="592"/>
        <v/>
      </c>
      <c r="BU44" s="985" t="str">
        <f t="shared" ref="BU44:CF44" si="593">IF(AND($I44&lt;&gt;"",$AF44="C"),IF(AND($P44&gt;BT$8,$P44&lt;=BU$8),$M44,""),"")</f>
        <v/>
      </c>
      <c r="BV44" s="985">
        <f t="shared" si="593"/>
        <v>0</v>
      </c>
      <c r="BW44" s="985" t="str">
        <f t="shared" si="593"/>
        <v/>
      </c>
      <c r="BX44" s="985" t="str">
        <f t="shared" si="593"/>
        <v/>
      </c>
      <c r="BY44" s="985" t="str">
        <f t="shared" si="593"/>
        <v/>
      </c>
      <c r="BZ44" s="985" t="str">
        <f t="shared" si="593"/>
        <v/>
      </c>
      <c r="CA44" s="985" t="str">
        <f t="shared" si="593"/>
        <v/>
      </c>
      <c r="CB44" s="985" t="str">
        <f t="shared" si="593"/>
        <v/>
      </c>
      <c r="CC44" s="985" t="str">
        <f t="shared" si="593"/>
        <v/>
      </c>
      <c r="CD44" s="985" t="str">
        <f t="shared" si="593"/>
        <v/>
      </c>
      <c r="CE44" s="985" t="str">
        <f t="shared" si="593"/>
        <v/>
      </c>
      <c r="CF44" s="985" t="str">
        <f t="shared" si="593"/>
        <v/>
      </c>
      <c r="CG44" s="987"/>
      <c r="CH44" s="985" t="str">
        <f t="shared" si="525"/>
        <v/>
      </c>
      <c r="CI44" s="985" t="str">
        <f t="shared" si="525"/>
        <v/>
      </c>
      <c r="CJ44" s="985" t="str">
        <f t="shared" si="525"/>
        <v/>
      </c>
      <c r="CK44" s="985" t="str">
        <f t="shared" si="525"/>
        <v/>
      </c>
      <c r="CL44" s="985" t="str">
        <f t="shared" si="525"/>
        <v/>
      </c>
      <c r="CM44" s="985" t="str">
        <f t="shared" si="525"/>
        <v/>
      </c>
      <c r="CN44" s="985" t="str">
        <f t="shared" si="525"/>
        <v/>
      </c>
      <c r="CP44" s="988" t="str">
        <f t="shared" ref="CP44:DC44" si="594">IF(AND($I44&lt;&gt;"",OR($AF44="ELE",$AF44="ELD",$AF44="CX")),IF(AND($P44&gt;CO$8,$P44&lt;=CP$8),$K44,""),"")</f>
        <v/>
      </c>
      <c r="CQ44" s="988" t="str">
        <f t="shared" si="594"/>
        <v/>
      </c>
      <c r="CR44" s="988" t="str">
        <f t="shared" si="594"/>
        <v/>
      </c>
      <c r="CS44" s="988" t="str">
        <f t="shared" si="594"/>
        <v/>
      </c>
      <c r="CT44" s="988" t="str">
        <f t="shared" si="594"/>
        <v/>
      </c>
      <c r="CU44" s="988" t="str">
        <f t="shared" si="594"/>
        <v/>
      </c>
      <c r="CV44" s="988" t="str">
        <f t="shared" si="594"/>
        <v/>
      </c>
      <c r="CW44" s="988" t="str">
        <f t="shared" si="594"/>
        <v/>
      </c>
      <c r="CX44" s="988" t="str">
        <f t="shared" si="594"/>
        <v/>
      </c>
      <c r="CY44" s="988" t="str">
        <f t="shared" si="594"/>
        <v/>
      </c>
      <c r="CZ44" s="988" t="str">
        <f t="shared" si="594"/>
        <v/>
      </c>
      <c r="DA44" s="988" t="str">
        <f t="shared" si="594"/>
        <v/>
      </c>
      <c r="DB44" s="988" t="str">
        <f t="shared" si="594"/>
        <v/>
      </c>
      <c r="DC44" s="988" t="str">
        <f t="shared" si="594"/>
        <v/>
      </c>
      <c r="DE44" s="988" t="str">
        <f t="shared" ref="DE44:DR44" si="595">IF(AND($X44&lt;&gt;"",$AC44="CF"),IF(AND($P44&gt;DD$8,$P44&lt;=DE$8),$AB44,""),"")</f>
        <v/>
      </c>
      <c r="DF44" s="988">
        <f t="shared" si="595"/>
        <v>6.1199999999999992</v>
      </c>
      <c r="DG44" s="988" t="str">
        <f t="shared" si="595"/>
        <v/>
      </c>
      <c r="DH44" s="988" t="str">
        <f t="shared" si="595"/>
        <v/>
      </c>
      <c r="DI44" s="988" t="str">
        <f t="shared" si="595"/>
        <v/>
      </c>
      <c r="DJ44" s="988" t="str">
        <f t="shared" si="595"/>
        <v/>
      </c>
      <c r="DK44" s="988" t="str">
        <f t="shared" si="595"/>
        <v/>
      </c>
      <c r="DL44" s="988" t="str">
        <f t="shared" si="595"/>
        <v/>
      </c>
      <c r="DM44" s="988" t="str">
        <f t="shared" si="595"/>
        <v/>
      </c>
      <c r="DN44" s="988" t="str">
        <f t="shared" si="595"/>
        <v/>
      </c>
      <c r="DO44" s="988" t="str">
        <f t="shared" si="595"/>
        <v/>
      </c>
      <c r="DP44" s="988" t="str">
        <f t="shared" si="595"/>
        <v/>
      </c>
      <c r="DQ44" s="988" t="str">
        <f t="shared" si="595"/>
        <v/>
      </c>
      <c r="DR44" s="988" t="str">
        <f t="shared" si="595"/>
        <v/>
      </c>
      <c r="DT44" s="988" t="str">
        <f t="shared" ref="DT44:EG44" si="596">IF(AND($X44&lt;&gt;"",$AC44="CA"),IF(AND($P44&gt;DS$8,$P44&lt;=DT$8),$AB44,""),"")</f>
        <v/>
      </c>
      <c r="DU44" s="988" t="str">
        <f t="shared" si="596"/>
        <v/>
      </c>
      <c r="DV44" s="988" t="str">
        <f t="shared" si="596"/>
        <v/>
      </c>
      <c r="DW44" s="988" t="str">
        <f t="shared" si="596"/>
        <v/>
      </c>
      <c r="DX44" s="988" t="str">
        <f t="shared" si="596"/>
        <v/>
      </c>
      <c r="DY44" s="988" t="str">
        <f t="shared" si="596"/>
        <v/>
      </c>
      <c r="DZ44" s="988" t="str">
        <f t="shared" si="596"/>
        <v/>
      </c>
      <c r="EA44" s="988" t="str">
        <f t="shared" si="596"/>
        <v/>
      </c>
      <c r="EB44" s="988" t="str">
        <f t="shared" si="596"/>
        <v/>
      </c>
      <c r="EC44" s="988" t="str">
        <f t="shared" si="596"/>
        <v/>
      </c>
      <c r="ED44" s="988" t="str">
        <f t="shared" si="596"/>
        <v/>
      </c>
      <c r="EE44" s="988" t="str">
        <f t="shared" si="596"/>
        <v/>
      </c>
      <c r="EF44" s="988" t="str">
        <f t="shared" si="596"/>
        <v/>
      </c>
      <c r="EG44" s="988" t="str">
        <f t="shared" si="596"/>
        <v/>
      </c>
      <c r="EI44" s="988" t="str">
        <f t="shared" ref="EI44:EV44" si="597">IF($AE44="BFC",IF(AND($P44&gt;EH$8,$P44&lt;=EI$8),$AB44,""),"")</f>
        <v/>
      </c>
      <c r="EJ44" s="988" t="str">
        <f t="shared" si="597"/>
        <v/>
      </c>
      <c r="EK44" s="988" t="str">
        <f t="shared" si="597"/>
        <v/>
      </c>
      <c r="EL44" s="988" t="str">
        <f t="shared" si="597"/>
        <v/>
      </c>
      <c r="EM44" s="988" t="str">
        <f t="shared" si="597"/>
        <v/>
      </c>
      <c r="EN44" s="988" t="str">
        <f t="shared" si="597"/>
        <v/>
      </c>
      <c r="EO44" s="988" t="str">
        <f t="shared" si="597"/>
        <v/>
      </c>
      <c r="EP44" s="988" t="str">
        <f t="shared" si="597"/>
        <v/>
      </c>
      <c r="EQ44" s="988" t="str">
        <f t="shared" si="597"/>
        <v/>
      </c>
      <c r="ER44" s="988" t="str">
        <f t="shared" si="597"/>
        <v/>
      </c>
      <c r="ES44" s="988" t="str">
        <f t="shared" si="597"/>
        <v/>
      </c>
      <c r="ET44" s="988" t="str">
        <f t="shared" si="597"/>
        <v/>
      </c>
      <c r="EU44" s="988" t="str">
        <f t="shared" si="597"/>
        <v/>
      </c>
      <c r="EV44" s="988" t="str">
        <f t="shared" si="597"/>
        <v/>
      </c>
      <c r="EX44" s="988" t="str">
        <f t="shared" ref="EX44:FK44" si="598">IF($AE44="BFN",IF(AND($P44&gt;EW$8,$P44&lt;=EX$8),$AB44,""),"")</f>
        <v/>
      </c>
      <c r="EY44" s="988" t="str">
        <f t="shared" si="598"/>
        <v/>
      </c>
      <c r="EZ44" s="988" t="str">
        <f t="shared" si="598"/>
        <v/>
      </c>
      <c r="FA44" s="988" t="str">
        <f t="shared" si="598"/>
        <v/>
      </c>
      <c r="FB44" s="988" t="str">
        <f t="shared" si="598"/>
        <v/>
      </c>
      <c r="FC44" s="988" t="str">
        <f t="shared" si="598"/>
        <v/>
      </c>
      <c r="FD44" s="988" t="str">
        <f t="shared" si="598"/>
        <v/>
      </c>
      <c r="FE44" s="988" t="str">
        <f t="shared" si="598"/>
        <v/>
      </c>
      <c r="FF44" s="988" t="str">
        <f t="shared" si="598"/>
        <v/>
      </c>
      <c r="FG44" s="988" t="str">
        <f t="shared" si="598"/>
        <v/>
      </c>
      <c r="FH44" s="988" t="str">
        <f t="shared" si="598"/>
        <v/>
      </c>
      <c r="FI44" s="988" t="str">
        <f t="shared" si="598"/>
        <v/>
      </c>
      <c r="FJ44" s="988" t="str">
        <f t="shared" si="598"/>
        <v/>
      </c>
      <c r="FK44" s="988" t="str">
        <f t="shared" si="598"/>
        <v/>
      </c>
      <c r="FM44" s="988" t="str">
        <f t="shared" ref="FM44:FZ44" si="599">IF(AND($I44&lt;&gt;"",$AF44="RCS"),IF(AND($P44&gt;FL$8,$P44&lt;=FM$8),SUM($K44:$M44),""),"")</f>
        <v/>
      </c>
      <c r="FN44" s="988" t="str">
        <f t="shared" si="599"/>
        <v/>
      </c>
      <c r="FO44" s="988" t="str">
        <f t="shared" si="599"/>
        <v/>
      </c>
      <c r="FP44" s="988" t="str">
        <f t="shared" si="599"/>
        <v/>
      </c>
      <c r="FQ44" s="988" t="str">
        <f t="shared" si="599"/>
        <v/>
      </c>
      <c r="FR44" s="988" t="str">
        <f t="shared" si="599"/>
        <v/>
      </c>
      <c r="FS44" s="988" t="str">
        <f t="shared" si="599"/>
        <v/>
      </c>
      <c r="FT44" s="988" t="str">
        <f t="shared" si="599"/>
        <v/>
      </c>
      <c r="FU44" s="988" t="str">
        <f t="shared" si="599"/>
        <v/>
      </c>
      <c r="FV44" s="988" t="str">
        <f t="shared" si="599"/>
        <v/>
      </c>
      <c r="FW44" s="988" t="str">
        <f t="shared" si="599"/>
        <v/>
      </c>
      <c r="FX44" s="988" t="str">
        <f t="shared" si="599"/>
        <v/>
      </c>
      <c r="FY44" s="988" t="str">
        <f t="shared" si="599"/>
        <v/>
      </c>
      <c r="FZ44" s="988" t="str">
        <f t="shared" si="599"/>
        <v/>
      </c>
      <c r="GB44" s="988" t="str">
        <f t="shared" ref="GB44:GO44" si="600">IF(AND($I44&lt;&gt;"",$AF44="REC"),IF(AND($P44&gt;GA$8,$P44&lt;=GB$8),SUM($K44:$M44),""),"")</f>
        <v/>
      </c>
      <c r="GC44" s="988" t="str">
        <f t="shared" si="600"/>
        <v/>
      </c>
      <c r="GD44" s="988" t="str">
        <f t="shared" si="600"/>
        <v/>
      </c>
      <c r="GE44" s="988" t="str">
        <f t="shared" si="600"/>
        <v/>
      </c>
      <c r="GF44" s="988" t="str">
        <f t="shared" si="600"/>
        <v/>
      </c>
      <c r="GG44" s="988" t="str">
        <f t="shared" si="600"/>
        <v/>
      </c>
      <c r="GH44" s="988" t="str">
        <f t="shared" si="600"/>
        <v/>
      </c>
      <c r="GI44" s="988" t="str">
        <f t="shared" si="600"/>
        <v/>
      </c>
      <c r="GJ44" s="988" t="str">
        <f t="shared" si="600"/>
        <v/>
      </c>
      <c r="GK44" s="988" t="str">
        <f t="shared" si="600"/>
        <v/>
      </c>
      <c r="GL44" s="988" t="str">
        <f t="shared" si="600"/>
        <v/>
      </c>
      <c r="GM44" s="988" t="str">
        <f t="shared" si="600"/>
        <v/>
      </c>
      <c r="GN44" s="988" t="str">
        <f t="shared" si="600"/>
        <v/>
      </c>
      <c r="GO44" s="988" t="str">
        <f t="shared" si="600"/>
        <v/>
      </c>
      <c r="GQ44" s="988" t="str">
        <f t="shared" ref="GQ44:HD44" si="601">IF(AND($I44&lt;&gt;"",$AF44="REB"),IF(AND($P44&gt;GP$8,$P44&lt;=GQ$8),SUM($K44:$M44),""),"")</f>
        <v/>
      </c>
      <c r="GR44" s="988" t="str">
        <f t="shared" si="601"/>
        <v/>
      </c>
      <c r="GS44" s="988" t="str">
        <f t="shared" si="601"/>
        <v/>
      </c>
      <c r="GT44" s="988" t="str">
        <f t="shared" si="601"/>
        <v/>
      </c>
      <c r="GU44" s="988" t="str">
        <f t="shared" si="601"/>
        <v/>
      </c>
      <c r="GV44" s="988" t="str">
        <f t="shared" si="601"/>
        <v/>
      </c>
      <c r="GW44" s="988" t="str">
        <f t="shared" si="601"/>
        <v/>
      </c>
      <c r="GX44" s="988" t="str">
        <f t="shared" si="601"/>
        <v/>
      </c>
      <c r="GY44" s="988" t="str">
        <f t="shared" si="601"/>
        <v/>
      </c>
      <c r="GZ44" s="988" t="str">
        <f t="shared" si="601"/>
        <v/>
      </c>
      <c r="HA44" s="988" t="str">
        <f t="shared" si="601"/>
        <v/>
      </c>
      <c r="HB44" s="988" t="str">
        <f t="shared" si="601"/>
        <v/>
      </c>
      <c r="HC44" s="988" t="str">
        <f t="shared" si="601"/>
        <v/>
      </c>
      <c r="HD44" s="988" t="str">
        <f t="shared" si="601"/>
        <v/>
      </c>
      <c r="HF44" s="988" t="str">
        <f t="shared" ref="HF44:HS44" si="602">IF(AND($I44&lt;&gt;"",$AF44="RBS"),IF(AND($P44&gt;HE$8,$P44&lt;=HF$8),SUM($K44:$M44),""),"")</f>
        <v/>
      </c>
      <c r="HG44" s="988" t="str">
        <f t="shared" si="602"/>
        <v/>
      </c>
      <c r="HH44" s="988" t="str">
        <f t="shared" si="602"/>
        <v/>
      </c>
      <c r="HI44" s="988" t="str">
        <f t="shared" si="602"/>
        <v/>
      </c>
      <c r="HJ44" s="988" t="str">
        <f t="shared" si="602"/>
        <v/>
      </c>
      <c r="HK44" s="988" t="str">
        <f t="shared" si="602"/>
        <v/>
      </c>
      <c r="HL44" s="988" t="str">
        <f t="shared" si="602"/>
        <v/>
      </c>
      <c r="HM44" s="988" t="str">
        <f t="shared" si="602"/>
        <v/>
      </c>
      <c r="HN44" s="988" t="str">
        <f t="shared" si="602"/>
        <v/>
      </c>
      <c r="HO44" s="988" t="str">
        <f t="shared" si="602"/>
        <v/>
      </c>
      <c r="HP44" s="988" t="str">
        <f t="shared" si="602"/>
        <v/>
      </c>
      <c r="HQ44" s="988" t="str">
        <f t="shared" si="602"/>
        <v/>
      </c>
      <c r="HR44" s="988" t="str">
        <f t="shared" si="602"/>
        <v/>
      </c>
      <c r="HS44" s="988" t="str">
        <f t="shared" si="602"/>
        <v/>
      </c>
      <c r="HU44" s="988" t="str">
        <f t="shared" ref="HU44:IH44" si="603">IF(AND($I44&lt;&gt;"",$AF44="RCD"),IF(AND($P44&gt;HT$8,$P44&lt;=HU$8),SUM($K44:$M44),""),"")</f>
        <v/>
      </c>
      <c r="HV44" s="988" t="str">
        <f t="shared" si="603"/>
        <v/>
      </c>
      <c r="HW44" s="988" t="str">
        <f t="shared" si="603"/>
        <v/>
      </c>
      <c r="HX44" s="988" t="str">
        <f t="shared" si="603"/>
        <v/>
      </c>
      <c r="HY44" s="988" t="str">
        <f t="shared" si="603"/>
        <v/>
      </c>
      <c r="HZ44" s="988" t="str">
        <f t="shared" si="603"/>
        <v/>
      </c>
      <c r="IA44" s="988" t="str">
        <f t="shared" si="603"/>
        <v/>
      </c>
      <c r="IB44" s="988" t="str">
        <f t="shared" si="603"/>
        <v/>
      </c>
      <c r="IC44" s="988" t="str">
        <f t="shared" si="603"/>
        <v/>
      </c>
      <c r="ID44" s="988" t="str">
        <f t="shared" si="603"/>
        <v/>
      </c>
      <c r="IE44" s="988" t="str">
        <f t="shared" si="603"/>
        <v/>
      </c>
      <c r="IF44" s="988" t="str">
        <f t="shared" si="603"/>
        <v/>
      </c>
      <c r="IG44" s="988" t="str">
        <f t="shared" si="603"/>
        <v/>
      </c>
      <c r="IH44" s="988" t="str">
        <f t="shared" si="603"/>
        <v/>
      </c>
      <c r="IJ44" s="985" t="str">
        <f t="shared" ref="IJ44:IW44" si="604">IF(AND($I44&lt;&gt;""),IF(AND($P44&gt;II$8,$P44&lt;=IJ$8),$K44,""),"")</f>
        <v/>
      </c>
      <c r="IK44" s="985">
        <f t="shared" si="604"/>
        <v>7.9559999999999995</v>
      </c>
      <c r="IL44" s="985" t="str">
        <f t="shared" si="604"/>
        <v/>
      </c>
      <c r="IM44" s="985" t="str">
        <f t="shared" si="604"/>
        <v/>
      </c>
      <c r="IN44" s="985" t="str">
        <f t="shared" si="604"/>
        <v/>
      </c>
      <c r="IO44" s="985" t="str">
        <f t="shared" si="604"/>
        <v/>
      </c>
      <c r="IP44" s="985" t="str">
        <f t="shared" si="604"/>
        <v/>
      </c>
      <c r="IQ44" s="985" t="str">
        <f t="shared" si="604"/>
        <v/>
      </c>
      <c r="IR44" s="985" t="str">
        <f t="shared" si="604"/>
        <v/>
      </c>
      <c r="IS44" s="985" t="str">
        <f t="shared" si="604"/>
        <v/>
      </c>
      <c r="IT44" s="985" t="str">
        <f t="shared" si="604"/>
        <v/>
      </c>
      <c r="IU44" s="985" t="str">
        <f t="shared" si="604"/>
        <v/>
      </c>
      <c r="IV44" s="985" t="str">
        <f t="shared" si="604"/>
        <v/>
      </c>
      <c r="IW44" s="985" t="str">
        <f t="shared" si="604"/>
        <v/>
      </c>
      <c r="IX44" s="987"/>
      <c r="IY44" s="985" t="str">
        <f t="shared" ref="IY44:JL44" si="605">IF(AND($I44&lt;&gt;""),IF(AND($P44&gt;IX$8,$P44&lt;=IY$8),$L44,""),"")</f>
        <v/>
      </c>
      <c r="IZ44" s="985">
        <f t="shared" si="605"/>
        <v>0</v>
      </c>
      <c r="JA44" s="985" t="str">
        <f t="shared" si="605"/>
        <v/>
      </c>
      <c r="JB44" s="985" t="str">
        <f t="shared" si="605"/>
        <v/>
      </c>
      <c r="JC44" s="985" t="str">
        <f t="shared" si="605"/>
        <v/>
      </c>
      <c r="JD44" s="985" t="str">
        <f t="shared" si="605"/>
        <v/>
      </c>
      <c r="JE44" s="985" t="str">
        <f t="shared" si="605"/>
        <v/>
      </c>
      <c r="JF44" s="985" t="str">
        <f t="shared" si="605"/>
        <v/>
      </c>
      <c r="JG44" s="985" t="str">
        <f t="shared" si="605"/>
        <v/>
      </c>
      <c r="JH44" s="985" t="str">
        <f t="shared" si="605"/>
        <v/>
      </c>
      <c r="JI44" s="985" t="str">
        <f t="shared" si="605"/>
        <v/>
      </c>
      <c r="JJ44" s="985" t="str">
        <f t="shared" si="605"/>
        <v/>
      </c>
      <c r="JK44" s="985" t="str">
        <f t="shared" si="605"/>
        <v/>
      </c>
      <c r="JL44" s="985" t="str">
        <f t="shared" si="605"/>
        <v/>
      </c>
      <c r="JM44" s="987"/>
      <c r="JN44" s="985" t="str">
        <f t="shared" ref="JN44:KA44" si="606">IF(AND($I44&lt;&gt;""),IF(AND($P44&gt;JM$8,$P44&lt;=JN$8),$M44,""),"")</f>
        <v/>
      </c>
      <c r="JO44" s="985">
        <f t="shared" si="606"/>
        <v>0</v>
      </c>
      <c r="JP44" s="985" t="str">
        <f t="shared" si="606"/>
        <v/>
      </c>
      <c r="JQ44" s="985" t="str">
        <f t="shared" si="606"/>
        <v/>
      </c>
      <c r="JR44" s="985" t="str">
        <f t="shared" si="606"/>
        <v/>
      </c>
      <c r="JS44" s="985" t="str">
        <f t="shared" si="606"/>
        <v/>
      </c>
      <c r="JT44" s="985" t="str">
        <f t="shared" si="606"/>
        <v/>
      </c>
      <c r="JU44" s="985" t="str">
        <f t="shared" si="606"/>
        <v/>
      </c>
      <c r="JV44" s="985" t="str">
        <f t="shared" si="606"/>
        <v/>
      </c>
      <c r="JW44" s="985" t="str">
        <f t="shared" si="606"/>
        <v/>
      </c>
      <c r="JX44" s="985" t="str">
        <f t="shared" si="606"/>
        <v/>
      </c>
      <c r="JY44" s="985" t="str">
        <f t="shared" si="606"/>
        <v/>
      </c>
      <c r="JZ44" s="985" t="str">
        <f t="shared" si="606"/>
        <v/>
      </c>
      <c r="KA44" s="985" t="str">
        <f t="shared" si="606"/>
        <v/>
      </c>
      <c r="KB44" s="987"/>
      <c r="KC44" s="985" t="str">
        <f t="shared" ref="KC44:KP44" si="607">IF(AND($I44&lt;&gt;""),IF(AND($P44&gt;KB$8,$P44&lt;=KC$8),$N44,""),"")</f>
        <v/>
      </c>
      <c r="KD44" s="985">
        <f t="shared" si="607"/>
        <v>0</v>
      </c>
      <c r="KE44" s="985" t="str">
        <f t="shared" si="607"/>
        <v/>
      </c>
      <c r="KF44" s="985" t="str">
        <f t="shared" si="607"/>
        <v/>
      </c>
      <c r="KG44" s="985" t="str">
        <f t="shared" si="607"/>
        <v/>
      </c>
      <c r="KH44" s="985" t="str">
        <f t="shared" si="607"/>
        <v/>
      </c>
      <c r="KI44" s="985" t="str">
        <f t="shared" si="607"/>
        <v/>
      </c>
      <c r="KJ44" s="985" t="str">
        <f t="shared" si="607"/>
        <v/>
      </c>
      <c r="KK44" s="985" t="str">
        <f t="shared" si="607"/>
        <v/>
      </c>
      <c r="KL44" s="985" t="str">
        <f t="shared" si="607"/>
        <v/>
      </c>
      <c r="KM44" s="985" t="str">
        <f t="shared" si="607"/>
        <v/>
      </c>
      <c r="KN44" s="985" t="str">
        <f t="shared" si="607"/>
        <v/>
      </c>
      <c r="KO44" s="985" t="str">
        <f t="shared" si="607"/>
        <v/>
      </c>
      <c r="KP44" s="985" t="str">
        <f t="shared" si="607"/>
        <v/>
      </c>
    </row>
    <row r="45" spans="2:302" ht="18" customHeight="1">
      <c r="B45" s="978">
        <f t="shared" si="0"/>
        <v>130</v>
      </c>
      <c r="C45" s="979" t="s">
        <v>752</v>
      </c>
      <c r="D45" s="979" t="s">
        <v>605</v>
      </c>
      <c r="E45" s="980">
        <v>10</v>
      </c>
      <c r="F45" s="979" t="s">
        <v>758</v>
      </c>
      <c r="G45" s="979" t="s">
        <v>605</v>
      </c>
      <c r="H45" s="980">
        <v>10</v>
      </c>
      <c r="I45" s="979" t="s">
        <v>847</v>
      </c>
      <c r="J45" s="979"/>
      <c r="K45" s="980">
        <v>67.180000000000021</v>
      </c>
      <c r="L45" s="980"/>
      <c r="M45" s="980"/>
      <c r="N45" s="980"/>
      <c r="O45" s="980">
        <v>9.5000000000000001E-2</v>
      </c>
      <c r="P45" s="981">
        <v>9.5000000000000001E-2</v>
      </c>
      <c r="Q45" s="981">
        <f t="shared" si="1"/>
        <v>6.3821000000000021</v>
      </c>
      <c r="R45" s="979" t="s">
        <v>740</v>
      </c>
      <c r="S45" s="979" t="s">
        <v>605</v>
      </c>
      <c r="T45" s="980">
        <v>0</v>
      </c>
      <c r="U45" s="979" t="s">
        <v>749</v>
      </c>
      <c r="V45" s="979" t="s">
        <v>605</v>
      </c>
      <c r="W45" s="980">
        <v>10</v>
      </c>
      <c r="X45" s="989" t="s">
        <v>844</v>
      </c>
      <c r="Y45" s="979"/>
      <c r="Z45" s="979"/>
      <c r="AA45" s="980">
        <v>1.3</v>
      </c>
      <c r="AB45" s="980">
        <f t="shared" si="2"/>
        <v>51.676923076923089</v>
      </c>
      <c r="AC45" s="982" t="str" cm="1">
        <f t="array" ref="AC45">IF(X45&lt;&gt;"",IF(LEFT(X45,SEARCH("-",X45,1)-1)="A.CF","CF",IF(LEFT(X45,SEARCH("-",X45,1)-1)="A.CA","CA",IF(LEFT(X45,SEARCH("-",X45,1)-1)="CL","CL","-"))),IF(Y45&lt;&gt;"",BF,"-"))</f>
        <v>CF</v>
      </c>
      <c r="AD45" s="953"/>
      <c r="AE45" s="983" t="str">
        <f t="shared" si="3"/>
        <v>A</v>
      </c>
      <c r="AF45" s="984" t="str">
        <f t="shared" si="4"/>
        <v>C</v>
      </c>
      <c r="AG45" s="963"/>
      <c r="AH45" s="985" t="str">
        <f t="shared" si="521"/>
        <v/>
      </c>
      <c r="AI45" s="985" t="str">
        <f t="shared" si="521"/>
        <v/>
      </c>
      <c r="AJ45" s="985" t="str">
        <f t="shared" si="521"/>
        <v/>
      </c>
      <c r="AK45" s="985" t="str">
        <f t="shared" si="521"/>
        <v/>
      </c>
      <c r="AL45" s="985" t="str">
        <f t="shared" si="521"/>
        <v/>
      </c>
      <c r="AM45" s="985" t="str">
        <f t="shared" si="521"/>
        <v/>
      </c>
      <c r="AN45" s="985" t="str">
        <f t="shared" si="521"/>
        <v/>
      </c>
      <c r="AO45" s="985" t="str">
        <f t="shared" si="521"/>
        <v/>
      </c>
      <c r="AP45" s="986"/>
      <c r="AQ45" s="985" t="str">
        <f t="shared" ref="AQ45:BD45" si="608">IF(AND($I45&lt;&gt;"",$AF45="C"),IF(AND($P45&gt;AP$8,$P45&lt;=AQ$8),$K45,""),"")</f>
        <v/>
      </c>
      <c r="AR45" s="985">
        <f t="shared" si="608"/>
        <v>67.180000000000021</v>
      </c>
      <c r="AS45" s="985" t="str">
        <f t="shared" si="608"/>
        <v/>
      </c>
      <c r="AT45" s="985" t="str">
        <f t="shared" si="608"/>
        <v/>
      </c>
      <c r="AU45" s="985" t="str">
        <f t="shared" si="608"/>
        <v/>
      </c>
      <c r="AV45" s="985" t="str">
        <f t="shared" si="608"/>
        <v/>
      </c>
      <c r="AW45" s="985" t="str">
        <f t="shared" si="608"/>
        <v/>
      </c>
      <c r="AX45" s="985" t="str">
        <f t="shared" si="608"/>
        <v/>
      </c>
      <c r="AY45" s="985" t="str">
        <f t="shared" si="608"/>
        <v/>
      </c>
      <c r="AZ45" s="985" t="str">
        <f t="shared" si="608"/>
        <v/>
      </c>
      <c r="BA45" s="985" t="str">
        <f t="shared" si="608"/>
        <v/>
      </c>
      <c r="BB45" s="985" t="str">
        <f t="shared" si="608"/>
        <v/>
      </c>
      <c r="BC45" s="985" t="str">
        <f t="shared" si="608"/>
        <v/>
      </c>
      <c r="BD45" s="985" t="str">
        <f t="shared" si="608"/>
        <v/>
      </c>
      <c r="BE45" s="987"/>
      <c r="BF45" s="985" t="str">
        <f t="shared" ref="BF45:BS45" si="609">IF(AND($I45&lt;&gt;"",$AF45="C"),IF(AND($P45&gt;BE$8,$P45&lt;=BF$8),$L45,""),"")</f>
        <v/>
      </c>
      <c r="BG45" s="985">
        <f t="shared" si="609"/>
        <v>0</v>
      </c>
      <c r="BH45" s="985" t="str">
        <f t="shared" si="609"/>
        <v/>
      </c>
      <c r="BI45" s="985" t="str">
        <f t="shared" si="609"/>
        <v/>
      </c>
      <c r="BJ45" s="985" t="str">
        <f t="shared" si="609"/>
        <v/>
      </c>
      <c r="BK45" s="985" t="str">
        <f t="shared" si="609"/>
        <v/>
      </c>
      <c r="BL45" s="985" t="str">
        <f t="shared" si="609"/>
        <v/>
      </c>
      <c r="BM45" s="985" t="str">
        <f t="shared" si="609"/>
        <v/>
      </c>
      <c r="BN45" s="985" t="str">
        <f t="shared" si="609"/>
        <v/>
      </c>
      <c r="BO45" s="985" t="str">
        <f t="shared" si="609"/>
        <v/>
      </c>
      <c r="BP45" s="985" t="str">
        <f t="shared" si="609"/>
        <v/>
      </c>
      <c r="BQ45" s="985" t="str">
        <f t="shared" si="609"/>
        <v/>
      </c>
      <c r="BR45" s="985" t="str">
        <f t="shared" si="609"/>
        <v/>
      </c>
      <c r="BS45" s="985" t="str">
        <f t="shared" si="609"/>
        <v/>
      </c>
      <c r="BU45" s="985" t="str">
        <f t="shared" ref="BU45:CF45" si="610">IF(AND($I45&lt;&gt;"",$AF45="C"),IF(AND($P45&gt;BT$8,$P45&lt;=BU$8),$M45,""),"")</f>
        <v/>
      </c>
      <c r="BV45" s="985">
        <f t="shared" si="610"/>
        <v>0</v>
      </c>
      <c r="BW45" s="985" t="str">
        <f t="shared" si="610"/>
        <v/>
      </c>
      <c r="BX45" s="985" t="str">
        <f t="shared" si="610"/>
        <v/>
      </c>
      <c r="BY45" s="985" t="str">
        <f t="shared" si="610"/>
        <v/>
      </c>
      <c r="BZ45" s="985" t="str">
        <f t="shared" si="610"/>
        <v/>
      </c>
      <c r="CA45" s="985" t="str">
        <f t="shared" si="610"/>
        <v/>
      </c>
      <c r="CB45" s="985" t="str">
        <f t="shared" si="610"/>
        <v/>
      </c>
      <c r="CC45" s="985" t="str">
        <f t="shared" si="610"/>
        <v/>
      </c>
      <c r="CD45" s="985" t="str">
        <f t="shared" si="610"/>
        <v/>
      </c>
      <c r="CE45" s="985" t="str">
        <f t="shared" si="610"/>
        <v/>
      </c>
      <c r="CF45" s="985" t="str">
        <f t="shared" si="610"/>
        <v/>
      </c>
      <c r="CG45" s="987"/>
      <c r="CH45" s="985" t="str">
        <f t="shared" si="525"/>
        <v/>
      </c>
      <c r="CI45" s="985" t="str">
        <f t="shared" si="525"/>
        <v/>
      </c>
      <c r="CJ45" s="985" t="str">
        <f t="shared" si="525"/>
        <v/>
      </c>
      <c r="CK45" s="985" t="str">
        <f t="shared" si="525"/>
        <v/>
      </c>
      <c r="CL45" s="985" t="str">
        <f t="shared" si="525"/>
        <v/>
      </c>
      <c r="CM45" s="985" t="str">
        <f t="shared" si="525"/>
        <v/>
      </c>
      <c r="CN45" s="985" t="str">
        <f t="shared" si="525"/>
        <v/>
      </c>
      <c r="CP45" s="988" t="str">
        <f t="shared" ref="CP45:DC45" si="611">IF(AND($I45&lt;&gt;"",OR($AF45="ELE",$AF45="ELD",$AF45="CX")),IF(AND($P45&gt;CO$8,$P45&lt;=CP$8),$K45,""),"")</f>
        <v/>
      </c>
      <c r="CQ45" s="988" t="str">
        <f t="shared" si="611"/>
        <v/>
      </c>
      <c r="CR45" s="988" t="str">
        <f t="shared" si="611"/>
        <v/>
      </c>
      <c r="CS45" s="988" t="str">
        <f t="shared" si="611"/>
        <v/>
      </c>
      <c r="CT45" s="988" t="str">
        <f t="shared" si="611"/>
        <v/>
      </c>
      <c r="CU45" s="988" t="str">
        <f t="shared" si="611"/>
        <v/>
      </c>
      <c r="CV45" s="988" t="str">
        <f t="shared" si="611"/>
        <v/>
      </c>
      <c r="CW45" s="988" t="str">
        <f t="shared" si="611"/>
        <v/>
      </c>
      <c r="CX45" s="988" t="str">
        <f t="shared" si="611"/>
        <v/>
      </c>
      <c r="CY45" s="988" t="str">
        <f t="shared" si="611"/>
        <v/>
      </c>
      <c r="CZ45" s="988" t="str">
        <f t="shared" si="611"/>
        <v/>
      </c>
      <c r="DA45" s="988" t="str">
        <f t="shared" si="611"/>
        <v/>
      </c>
      <c r="DB45" s="988" t="str">
        <f t="shared" si="611"/>
        <v/>
      </c>
      <c r="DC45" s="988" t="str">
        <f t="shared" si="611"/>
        <v/>
      </c>
      <c r="DE45" s="988" t="str">
        <f t="shared" ref="DE45:DR45" si="612">IF(AND($X45&lt;&gt;"",$AC45="CF"),IF(AND($P45&gt;DD$8,$P45&lt;=DE$8),$AB45,""),"")</f>
        <v/>
      </c>
      <c r="DF45" s="988">
        <f t="shared" si="612"/>
        <v>51.676923076923089</v>
      </c>
      <c r="DG45" s="988" t="str">
        <f t="shared" si="612"/>
        <v/>
      </c>
      <c r="DH45" s="988" t="str">
        <f t="shared" si="612"/>
        <v/>
      </c>
      <c r="DI45" s="988" t="str">
        <f t="shared" si="612"/>
        <v/>
      </c>
      <c r="DJ45" s="988" t="str">
        <f t="shared" si="612"/>
        <v/>
      </c>
      <c r="DK45" s="988" t="str">
        <f t="shared" si="612"/>
        <v/>
      </c>
      <c r="DL45" s="988" t="str">
        <f t="shared" si="612"/>
        <v/>
      </c>
      <c r="DM45" s="988" t="str">
        <f t="shared" si="612"/>
        <v/>
      </c>
      <c r="DN45" s="988" t="str">
        <f t="shared" si="612"/>
        <v/>
      </c>
      <c r="DO45" s="988" t="str">
        <f t="shared" si="612"/>
        <v/>
      </c>
      <c r="DP45" s="988" t="str">
        <f t="shared" si="612"/>
        <v/>
      </c>
      <c r="DQ45" s="988" t="str">
        <f t="shared" si="612"/>
        <v/>
      </c>
      <c r="DR45" s="988" t="str">
        <f t="shared" si="612"/>
        <v/>
      </c>
      <c r="DT45" s="988" t="str">
        <f t="shared" ref="DT45:EG45" si="613">IF(AND($X45&lt;&gt;"",$AC45="CA"),IF(AND($P45&gt;DS$8,$P45&lt;=DT$8),$AB45,""),"")</f>
        <v/>
      </c>
      <c r="DU45" s="988" t="str">
        <f t="shared" si="613"/>
        <v/>
      </c>
      <c r="DV45" s="988" t="str">
        <f t="shared" si="613"/>
        <v/>
      </c>
      <c r="DW45" s="988" t="str">
        <f t="shared" si="613"/>
        <v/>
      </c>
      <c r="DX45" s="988" t="str">
        <f t="shared" si="613"/>
        <v/>
      </c>
      <c r="DY45" s="988" t="str">
        <f t="shared" si="613"/>
        <v/>
      </c>
      <c r="DZ45" s="988" t="str">
        <f t="shared" si="613"/>
        <v/>
      </c>
      <c r="EA45" s="988" t="str">
        <f t="shared" si="613"/>
        <v/>
      </c>
      <c r="EB45" s="988" t="str">
        <f t="shared" si="613"/>
        <v/>
      </c>
      <c r="EC45" s="988" t="str">
        <f t="shared" si="613"/>
        <v/>
      </c>
      <c r="ED45" s="988" t="str">
        <f t="shared" si="613"/>
        <v/>
      </c>
      <c r="EE45" s="988" t="str">
        <f t="shared" si="613"/>
        <v/>
      </c>
      <c r="EF45" s="988" t="str">
        <f t="shared" si="613"/>
        <v/>
      </c>
      <c r="EG45" s="988" t="str">
        <f t="shared" si="613"/>
        <v/>
      </c>
      <c r="EI45" s="988" t="str">
        <f t="shared" ref="EI45:EV45" si="614">IF($AE45="BFC",IF(AND($P45&gt;EH$8,$P45&lt;=EI$8),$AB45,""),"")</f>
        <v/>
      </c>
      <c r="EJ45" s="988" t="str">
        <f t="shared" si="614"/>
        <v/>
      </c>
      <c r="EK45" s="988" t="str">
        <f t="shared" si="614"/>
        <v/>
      </c>
      <c r="EL45" s="988" t="str">
        <f t="shared" si="614"/>
        <v/>
      </c>
      <c r="EM45" s="988" t="str">
        <f t="shared" si="614"/>
        <v/>
      </c>
      <c r="EN45" s="988" t="str">
        <f t="shared" si="614"/>
        <v/>
      </c>
      <c r="EO45" s="988" t="str">
        <f t="shared" si="614"/>
        <v/>
      </c>
      <c r="EP45" s="988" t="str">
        <f t="shared" si="614"/>
        <v/>
      </c>
      <c r="EQ45" s="988" t="str">
        <f t="shared" si="614"/>
        <v/>
      </c>
      <c r="ER45" s="988" t="str">
        <f t="shared" si="614"/>
        <v/>
      </c>
      <c r="ES45" s="988" t="str">
        <f t="shared" si="614"/>
        <v/>
      </c>
      <c r="ET45" s="988" t="str">
        <f t="shared" si="614"/>
        <v/>
      </c>
      <c r="EU45" s="988" t="str">
        <f t="shared" si="614"/>
        <v/>
      </c>
      <c r="EV45" s="988" t="str">
        <f t="shared" si="614"/>
        <v/>
      </c>
      <c r="EX45" s="988" t="str">
        <f t="shared" ref="EX45:FK45" si="615">IF($AE45="BFN",IF(AND($P45&gt;EW$8,$P45&lt;=EX$8),$AB45,""),"")</f>
        <v/>
      </c>
      <c r="EY45" s="988" t="str">
        <f t="shared" si="615"/>
        <v/>
      </c>
      <c r="EZ45" s="988" t="str">
        <f t="shared" si="615"/>
        <v/>
      </c>
      <c r="FA45" s="988" t="str">
        <f t="shared" si="615"/>
        <v/>
      </c>
      <c r="FB45" s="988" t="str">
        <f t="shared" si="615"/>
        <v/>
      </c>
      <c r="FC45" s="988" t="str">
        <f t="shared" si="615"/>
        <v/>
      </c>
      <c r="FD45" s="988" t="str">
        <f t="shared" si="615"/>
        <v/>
      </c>
      <c r="FE45" s="988" t="str">
        <f t="shared" si="615"/>
        <v/>
      </c>
      <c r="FF45" s="988" t="str">
        <f t="shared" si="615"/>
        <v/>
      </c>
      <c r="FG45" s="988" t="str">
        <f t="shared" si="615"/>
        <v/>
      </c>
      <c r="FH45" s="988" t="str">
        <f t="shared" si="615"/>
        <v/>
      </c>
      <c r="FI45" s="988" t="str">
        <f t="shared" si="615"/>
        <v/>
      </c>
      <c r="FJ45" s="988" t="str">
        <f t="shared" si="615"/>
        <v/>
      </c>
      <c r="FK45" s="988" t="str">
        <f t="shared" si="615"/>
        <v/>
      </c>
      <c r="FM45" s="988" t="str">
        <f t="shared" ref="FM45:FZ45" si="616">IF(AND($I45&lt;&gt;"",$AF45="RCS"),IF(AND($P45&gt;FL$8,$P45&lt;=FM$8),SUM($K45:$M45),""),"")</f>
        <v/>
      </c>
      <c r="FN45" s="988" t="str">
        <f t="shared" si="616"/>
        <v/>
      </c>
      <c r="FO45" s="988" t="str">
        <f t="shared" si="616"/>
        <v/>
      </c>
      <c r="FP45" s="988" t="str">
        <f t="shared" si="616"/>
        <v/>
      </c>
      <c r="FQ45" s="988" t="str">
        <f t="shared" si="616"/>
        <v/>
      </c>
      <c r="FR45" s="988" t="str">
        <f t="shared" si="616"/>
        <v/>
      </c>
      <c r="FS45" s="988" t="str">
        <f t="shared" si="616"/>
        <v/>
      </c>
      <c r="FT45" s="988" t="str">
        <f t="shared" si="616"/>
        <v/>
      </c>
      <c r="FU45" s="988" t="str">
        <f t="shared" si="616"/>
        <v/>
      </c>
      <c r="FV45" s="988" t="str">
        <f t="shared" si="616"/>
        <v/>
      </c>
      <c r="FW45" s="988" t="str">
        <f t="shared" si="616"/>
        <v/>
      </c>
      <c r="FX45" s="988" t="str">
        <f t="shared" si="616"/>
        <v/>
      </c>
      <c r="FY45" s="988" t="str">
        <f t="shared" si="616"/>
        <v/>
      </c>
      <c r="FZ45" s="988" t="str">
        <f t="shared" si="616"/>
        <v/>
      </c>
      <c r="GB45" s="988" t="str">
        <f t="shared" ref="GB45:GO45" si="617">IF(AND($I45&lt;&gt;"",$AF45="REC"),IF(AND($P45&gt;GA$8,$P45&lt;=GB$8),SUM($K45:$M45),""),"")</f>
        <v/>
      </c>
      <c r="GC45" s="988" t="str">
        <f t="shared" si="617"/>
        <v/>
      </c>
      <c r="GD45" s="988" t="str">
        <f t="shared" si="617"/>
        <v/>
      </c>
      <c r="GE45" s="988" t="str">
        <f t="shared" si="617"/>
        <v/>
      </c>
      <c r="GF45" s="988" t="str">
        <f t="shared" si="617"/>
        <v/>
      </c>
      <c r="GG45" s="988" t="str">
        <f t="shared" si="617"/>
        <v/>
      </c>
      <c r="GH45" s="988" t="str">
        <f t="shared" si="617"/>
        <v/>
      </c>
      <c r="GI45" s="988" t="str">
        <f t="shared" si="617"/>
        <v/>
      </c>
      <c r="GJ45" s="988" t="str">
        <f t="shared" si="617"/>
        <v/>
      </c>
      <c r="GK45" s="988" t="str">
        <f t="shared" si="617"/>
        <v/>
      </c>
      <c r="GL45" s="988" t="str">
        <f t="shared" si="617"/>
        <v/>
      </c>
      <c r="GM45" s="988" t="str">
        <f t="shared" si="617"/>
        <v/>
      </c>
      <c r="GN45" s="988" t="str">
        <f t="shared" si="617"/>
        <v/>
      </c>
      <c r="GO45" s="988" t="str">
        <f t="shared" si="617"/>
        <v/>
      </c>
      <c r="GQ45" s="988" t="str">
        <f t="shared" ref="GQ45:HD45" si="618">IF(AND($I45&lt;&gt;"",$AF45="REB"),IF(AND($P45&gt;GP$8,$P45&lt;=GQ$8),SUM($K45:$M45),""),"")</f>
        <v/>
      </c>
      <c r="GR45" s="988" t="str">
        <f t="shared" si="618"/>
        <v/>
      </c>
      <c r="GS45" s="988" t="str">
        <f t="shared" si="618"/>
        <v/>
      </c>
      <c r="GT45" s="988" t="str">
        <f t="shared" si="618"/>
        <v/>
      </c>
      <c r="GU45" s="988" t="str">
        <f t="shared" si="618"/>
        <v/>
      </c>
      <c r="GV45" s="988" t="str">
        <f t="shared" si="618"/>
        <v/>
      </c>
      <c r="GW45" s="988" t="str">
        <f t="shared" si="618"/>
        <v/>
      </c>
      <c r="GX45" s="988" t="str">
        <f t="shared" si="618"/>
        <v/>
      </c>
      <c r="GY45" s="988" t="str">
        <f t="shared" si="618"/>
        <v/>
      </c>
      <c r="GZ45" s="988" t="str">
        <f t="shared" si="618"/>
        <v/>
      </c>
      <c r="HA45" s="988" t="str">
        <f t="shared" si="618"/>
        <v/>
      </c>
      <c r="HB45" s="988" t="str">
        <f t="shared" si="618"/>
        <v/>
      </c>
      <c r="HC45" s="988" t="str">
        <f t="shared" si="618"/>
        <v/>
      </c>
      <c r="HD45" s="988" t="str">
        <f t="shared" si="618"/>
        <v/>
      </c>
      <c r="HF45" s="988" t="str">
        <f t="shared" ref="HF45:HS45" si="619">IF(AND($I45&lt;&gt;"",$AF45="RBS"),IF(AND($P45&gt;HE$8,$P45&lt;=HF$8),SUM($K45:$M45),""),"")</f>
        <v/>
      </c>
      <c r="HG45" s="988" t="str">
        <f t="shared" si="619"/>
        <v/>
      </c>
      <c r="HH45" s="988" t="str">
        <f t="shared" si="619"/>
        <v/>
      </c>
      <c r="HI45" s="988" t="str">
        <f t="shared" si="619"/>
        <v/>
      </c>
      <c r="HJ45" s="988" t="str">
        <f t="shared" si="619"/>
        <v/>
      </c>
      <c r="HK45" s="988" t="str">
        <f t="shared" si="619"/>
        <v/>
      </c>
      <c r="HL45" s="988" t="str">
        <f t="shared" si="619"/>
        <v/>
      </c>
      <c r="HM45" s="988" t="str">
        <f t="shared" si="619"/>
        <v/>
      </c>
      <c r="HN45" s="988" t="str">
        <f t="shared" si="619"/>
        <v/>
      </c>
      <c r="HO45" s="988" t="str">
        <f t="shared" si="619"/>
        <v/>
      </c>
      <c r="HP45" s="988" t="str">
        <f t="shared" si="619"/>
        <v/>
      </c>
      <c r="HQ45" s="988" t="str">
        <f t="shared" si="619"/>
        <v/>
      </c>
      <c r="HR45" s="988" t="str">
        <f t="shared" si="619"/>
        <v/>
      </c>
      <c r="HS45" s="988" t="str">
        <f t="shared" si="619"/>
        <v/>
      </c>
      <c r="HU45" s="988" t="str">
        <f t="shared" ref="HU45:IH45" si="620">IF(AND($I45&lt;&gt;"",$AF45="RCD"),IF(AND($P45&gt;HT$8,$P45&lt;=HU$8),SUM($K45:$M45),""),"")</f>
        <v/>
      </c>
      <c r="HV45" s="988" t="str">
        <f t="shared" si="620"/>
        <v/>
      </c>
      <c r="HW45" s="988" t="str">
        <f t="shared" si="620"/>
        <v/>
      </c>
      <c r="HX45" s="988" t="str">
        <f t="shared" si="620"/>
        <v/>
      </c>
      <c r="HY45" s="988" t="str">
        <f t="shared" si="620"/>
        <v/>
      </c>
      <c r="HZ45" s="988" t="str">
        <f t="shared" si="620"/>
        <v/>
      </c>
      <c r="IA45" s="988" t="str">
        <f t="shared" si="620"/>
        <v/>
      </c>
      <c r="IB45" s="988" t="str">
        <f t="shared" si="620"/>
        <v/>
      </c>
      <c r="IC45" s="988" t="str">
        <f t="shared" si="620"/>
        <v/>
      </c>
      <c r="ID45" s="988" t="str">
        <f t="shared" si="620"/>
        <v/>
      </c>
      <c r="IE45" s="988" t="str">
        <f t="shared" si="620"/>
        <v/>
      </c>
      <c r="IF45" s="988" t="str">
        <f t="shared" si="620"/>
        <v/>
      </c>
      <c r="IG45" s="988" t="str">
        <f t="shared" si="620"/>
        <v/>
      </c>
      <c r="IH45" s="988" t="str">
        <f t="shared" si="620"/>
        <v/>
      </c>
      <c r="IJ45" s="985" t="str">
        <f t="shared" ref="IJ45:IW45" si="621">IF(AND($I45&lt;&gt;""),IF(AND($P45&gt;II$8,$P45&lt;=IJ$8),$K45,""),"")</f>
        <v/>
      </c>
      <c r="IK45" s="985">
        <f t="shared" si="621"/>
        <v>67.180000000000021</v>
      </c>
      <c r="IL45" s="985" t="str">
        <f t="shared" si="621"/>
        <v/>
      </c>
      <c r="IM45" s="985" t="str">
        <f t="shared" si="621"/>
        <v/>
      </c>
      <c r="IN45" s="985" t="str">
        <f t="shared" si="621"/>
        <v/>
      </c>
      <c r="IO45" s="985" t="str">
        <f t="shared" si="621"/>
        <v/>
      </c>
      <c r="IP45" s="985" t="str">
        <f t="shared" si="621"/>
        <v/>
      </c>
      <c r="IQ45" s="985" t="str">
        <f t="shared" si="621"/>
        <v/>
      </c>
      <c r="IR45" s="985" t="str">
        <f t="shared" si="621"/>
        <v/>
      </c>
      <c r="IS45" s="985" t="str">
        <f t="shared" si="621"/>
        <v/>
      </c>
      <c r="IT45" s="985" t="str">
        <f t="shared" si="621"/>
        <v/>
      </c>
      <c r="IU45" s="985" t="str">
        <f t="shared" si="621"/>
        <v/>
      </c>
      <c r="IV45" s="985" t="str">
        <f t="shared" si="621"/>
        <v/>
      </c>
      <c r="IW45" s="985" t="str">
        <f t="shared" si="621"/>
        <v/>
      </c>
      <c r="IX45" s="987"/>
      <c r="IY45" s="985" t="str">
        <f t="shared" ref="IY45:JL45" si="622">IF(AND($I45&lt;&gt;""),IF(AND($P45&gt;IX$8,$P45&lt;=IY$8),$L45,""),"")</f>
        <v/>
      </c>
      <c r="IZ45" s="985">
        <f t="shared" si="622"/>
        <v>0</v>
      </c>
      <c r="JA45" s="985" t="str">
        <f t="shared" si="622"/>
        <v/>
      </c>
      <c r="JB45" s="985" t="str">
        <f t="shared" si="622"/>
        <v/>
      </c>
      <c r="JC45" s="985" t="str">
        <f t="shared" si="622"/>
        <v/>
      </c>
      <c r="JD45" s="985" t="str">
        <f t="shared" si="622"/>
        <v/>
      </c>
      <c r="JE45" s="985" t="str">
        <f t="shared" si="622"/>
        <v/>
      </c>
      <c r="JF45" s="985" t="str">
        <f t="shared" si="622"/>
        <v/>
      </c>
      <c r="JG45" s="985" t="str">
        <f t="shared" si="622"/>
        <v/>
      </c>
      <c r="JH45" s="985" t="str">
        <f t="shared" si="622"/>
        <v/>
      </c>
      <c r="JI45" s="985" t="str">
        <f t="shared" si="622"/>
        <v/>
      </c>
      <c r="JJ45" s="985" t="str">
        <f t="shared" si="622"/>
        <v/>
      </c>
      <c r="JK45" s="985" t="str">
        <f t="shared" si="622"/>
        <v/>
      </c>
      <c r="JL45" s="985" t="str">
        <f t="shared" si="622"/>
        <v/>
      </c>
      <c r="JM45" s="987"/>
      <c r="JN45" s="985" t="str">
        <f t="shared" ref="JN45:KA45" si="623">IF(AND($I45&lt;&gt;""),IF(AND($P45&gt;JM$8,$P45&lt;=JN$8),$M45,""),"")</f>
        <v/>
      </c>
      <c r="JO45" s="985">
        <f t="shared" si="623"/>
        <v>0</v>
      </c>
      <c r="JP45" s="985" t="str">
        <f t="shared" si="623"/>
        <v/>
      </c>
      <c r="JQ45" s="985" t="str">
        <f t="shared" si="623"/>
        <v/>
      </c>
      <c r="JR45" s="985" t="str">
        <f t="shared" si="623"/>
        <v/>
      </c>
      <c r="JS45" s="985" t="str">
        <f t="shared" si="623"/>
        <v/>
      </c>
      <c r="JT45" s="985" t="str">
        <f t="shared" si="623"/>
        <v/>
      </c>
      <c r="JU45" s="985" t="str">
        <f t="shared" si="623"/>
        <v/>
      </c>
      <c r="JV45" s="985" t="str">
        <f t="shared" si="623"/>
        <v/>
      </c>
      <c r="JW45" s="985" t="str">
        <f t="shared" si="623"/>
        <v/>
      </c>
      <c r="JX45" s="985" t="str">
        <f t="shared" si="623"/>
        <v/>
      </c>
      <c r="JY45" s="985" t="str">
        <f t="shared" si="623"/>
        <v/>
      </c>
      <c r="JZ45" s="985" t="str">
        <f t="shared" si="623"/>
        <v/>
      </c>
      <c r="KA45" s="985" t="str">
        <f t="shared" si="623"/>
        <v/>
      </c>
      <c r="KB45" s="987"/>
      <c r="KC45" s="985" t="str">
        <f t="shared" ref="KC45:KP45" si="624">IF(AND($I45&lt;&gt;""),IF(AND($P45&gt;KB$8,$P45&lt;=KC$8),$N45,""),"")</f>
        <v/>
      </c>
      <c r="KD45" s="985">
        <f t="shared" si="624"/>
        <v>0</v>
      </c>
      <c r="KE45" s="985" t="str">
        <f t="shared" si="624"/>
        <v/>
      </c>
      <c r="KF45" s="985" t="str">
        <f t="shared" si="624"/>
        <v/>
      </c>
      <c r="KG45" s="985" t="str">
        <f t="shared" si="624"/>
        <v/>
      </c>
      <c r="KH45" s="985" t="str">
        <f t="shared" si="624"/>
        <v/>
      </c>
      <c r="KI45" s="985" t="str">
        <f t="shared" si="624"/>
        <v/>
      </c>
      <c r="KJ45" s="985" t="str">
        <f t="shared" si="624"/>
        <v/>
      </c>
      <c r="KK45" s="985" t="str">
        <f t="shared" si="624"/>
        <v/>
      </c>
      <c r="KL45" s="985" t="str">
        <f t="shared" si="624"/>
        <v/>
      </c>
      <c r="KM45" s="985" t="str">
        <f t="shared" si="624"/>
        <v/>
      </c>
      <c r="KN45" s="985" t="str">
        <f t="shared" si="624"/>
        <v/>
      </c>
      <c r="KO45" s="985" t="str">
        <f t="shared" si="624"/>
        <v/>
      </c>
      <c r="KP45" s="985" t="str">
        <f t="shared" si="624"/>
        <v/>
      </c>
    </row>
    <row r="46" spans="2:302" ht="18" customHeight="1">
      <c r="B46" s="978">
        <f t="shared" si="0"/>
        <v>131.5</v>
      </c>
      <c r="C46" s="979" t="s">
        <v>758</v>
      </c>
      <c r="D46" s="979" t="s">
        <v>605</v>
      </c>
      <c r="E46" s="980">
        <v>0</v>
      </c>
      <c r="F46" s="979" t="s">
        <v>761</v>
      </c>
      <c r="G46" s="979" t="s">
        <v>605</v>
      </c>
      <c r="H46" s="980">
        <v>10</v>
      </c>
      <c r="I46" s="979" t="s">
        <v>848</v>
      </c>
      <c r="J46" s="979"/>
      <c r="K46" s="980">
        <v>76.8</v>
      </c>
      <c r="L46" s="980"/>
      <c r="M46" s="980"/>
      <c r="N46" s="980"/>
      <c r="O46" s="980"/>
      <c r="P46" s="981">
        <v>0.02</v>
      </c>
      <c r="Q46" s="981">
        <f t="shared" si="1"/>
        <v>1.536</v>
      </c>
      <c r="R46" s="979" t="s">
        <v>758</v>
      </c>
      <c r="S46" s="979" t="s">
        <v>605</v>
      </c>
      <c r="T46" s="980">
        <v>0</v>
      </c>
      <c r="U46" s="979" t="s">
        <v>761</v>
      </c>
      <c r="V46" s="979" t="s">
        <v>605</v>
      </c>
      <c r="W46" s="980">
        <v>10</v>
      </c>
      <c r="X46" s="989" t="s">
        <v>848</v>
      </c>
      <c r="Y46" s="979"/>
      <c r="Z46" s="979"/>
      <c r="AA46" s="980">
        <v>1</v>
      </c>
      <c r="AB46" s="980">
        <f t="shared" si="2"/>
        <v>76.8</v>
      </c>
      <c r="AC46" s="982" t="s">
        <v>939</v>
      </c>
      <c r="AD46" s="953"/>
      <c r="AE46" s="983" t="str">
        <f t="shared" si="3"/>
        <v/>
      </c>
      <c r="AF46" s="984" t="str">
        <f t="shared" si="4"/>
        <v>REB</v>
      </c>
      <c r="AG46" s="963"/>
      <c r="AH46" s="985" t="str">
        <f t="shared" si="521"/>
        <v/>
      </c>
      <c r="AI46" s="985" t="str">
        <f t="shared" si="521"/>
        <v/>
      </c>
      <c r="AJ46" s="985" t="str">
        <f t="shared" si="521"/>
        <v/>
      </c>
      <c r="AK46" s="985" t="str">
        <f t="shared" si="521"/>
        <v/>
      </c>
      <c r="AL46" s="985" t="str">
        <f t="shared" si="521"/>
        <v/>
      </c>
      <c r="AM46" s="985" t="str">
        <f t="shared" si="521"/>
        <v/>
      </c>
      <c r="AN46" s="985" t="str">
        <f t="shared" si="521"/>
        <v/>
      </c>
      <c r="AO46" s="985" t="str">
        <f t="shared" si="521"/>
        <v/>
      </c>
      <c r="AP46" s="986"/>
      <c r="AQ46" s="985" t="str">
        <f t="shared" ref="AQ46:BD46" si="625">IF(AND($I46&lt;&gt;"",$AF46="C"),IF(AND($P46&gt;AP$8,$P46&lt;=AQ$8),$K46,""),"")</f>
        <v/>
      </c>
      <c r="AR46" s="985" t="str">
        <f t="shared" si="625"/>
        <v/>
      </c>
      <c r="AS46" s="985" t="str">
        <f t="shared" si="625"/>
        <v/>
      </c>
      <c r="AT46" s="985" t="str">
        <f t="shared" si="625"/>
        <v/>
      </c>
      <c r="AU46" s="985" t="str">
        <f t="shared" si="625"/>
        <v/>
      </c>
      <c r="AV46" s="985" t="str">
        <f t="shared" si="625"/>
        <v/>
      </c>
      <c r="AW46" s="985" t="str">
        <f t="shared" si="625"/>
        <v/>
      </c>
      <c r="AX46" s="985" t="str">
        <f t="shared" si="625"/>
        <v/>
      </c>
      <c r="AY46" s="985" t="str">
        <f t="shared" si="625"/>
        <v/>
      </c>
      <c r="AZ46" s="985" t="str">
        <f t="shared" si="625"/>
        <v/>
      </c>
      <c r="BA46" s="985" t="str">
        <f t="shared" si="625"/>
        <v/>
      </c>
      <c r="BB46" s="985" t="str">
        <f t="shared" si="625"/>
        <v/>
      </c>
      <c r="BC46" s="985" t="str">
        <f t="shared" si="625"/>
        <v/>
      </c>
      <c r="BD46" s="985" t="str">
        <f t="shared" si="625"/>
        <v/>
      </c>
      <c r="BE46" s="987"/>
      <c r="BF46" s="985" t="str">
        <f t="shared" ref="BF46:BS46" si="626">IF(AND($I46&lt;&gt;"",$AF46="C"),IF(AND($P46&gt;BE$8,$P46&lt;=BF$8),$L46,""),"")</f>
        <v/>
      </c>
      <c r="BG46" s="985" t="str">
        <f t="shared" si="626"/>
        <v/>
      </c>
      <c r="BH46" s="985" t="str">
        <f t="shared" si="626"/>
        <v/>
      </c>
      <c r="BI46" s="985" t="str">
        <f t="shared" si="626"/>
        <v/>
      </c>
      <c r="BJ46" s="985" t="str">
        <f t="shared" si="626"/>
        <v/>
      </c>
      <c r="BK46" s="985" t="str">
        <f t="shared" si="626"/>
        <v/>
      </c>
      <c r="BL46" s="985" t="str">
        <f t="shared" si="626"/>
        <v/>
      </c>
      <c r="BM46" s="985" t="str">
        <f t="shared" si="626"/>
        <v/>
      </c>
      <c r="BN46" s="985" t="str">
        <f t="shared" si="626"/>
        <v/>
      </c>
      <c r="BO46" s="985" t="str">
        <f t="shared" si="626"/>
        <v/>
      </c>
      <c r="BP46" s="985" t="str">
        <f t="shared" si="626"/>
        <v/>
      </c>
      <c r="BQ46" s="985" t="str">
        <f t="shared" si="626"/>
        <v/>
      </c>
      <c r="BR46" s="985" t="str">
        <f t="shared" si="626"/>
        <v/>
      </c>
      <c r="BS46" s="985" t="str">
        <f t="shared" si="626"/>
        <v/>
      </c>
      <c r="BU46" s="985" t="str">
        <f t="shared" ref="BU46:CF46" si="627">IF(AND($I46&lt;&gt;"",$AF46="C"),IF(AND($P46&gt;BT$8,$P46&lt;=BU$8),$M46,""),"")</f>
        <v/>
      </c>
      <c r="BV46" s="985" t="str">
        <f t="shared" si="627"/>
        <v/>
      </c>
      <c r="BW46" s="985" t="str">
        <f t="shared" si="627"/>
        <v/>
      </c>
      <c r="BX46" s="985" t="str">
        <f t="shared" si="627"/>
        <v/>
      </c>
      <c r="BY46" s="985" t="str">
        <f t="shared" si="627"/>
        <v/>
      </c>
      <c r="BZ46" s="985" t="str">
        <f t="shared" si="627"/>
        <v/>
      </c>
      <c r="CA46" s="985" t="str">
        <f t="shared" si="627"/>
        <v/>
      </c>
      <c r="CB46" s="985" t="str">
        <f t="shared" si="627"/>
        <v/>
      </c>
      <c r="CC46" s="985" t="str">
        <f t="shared" si="627"/>
        <v/>
      </c>
      <c r="CD46" s="985" t="str">
        <f t="shared" si="627"/>
        <v/>
      </c>
      <c r="CE46" s="985" t="str">
        <f t="shared" si="627"/>
        <v/>
      </c>
      <c r="CF46" s="985" t="str">
        <f t="shared" si="627"/>
        <v/>
      </c>
      <c r="CG46" s="987"/>
      <c r="CH46" s="985" t="str">
        <f t="shared" si="525"/>
        <v/>
      </c>
      <c r="CI46" s="985" t="str">
        <f t="shared" si="525"/>
        <v/>
      </c>
      <c r="CJ46" s="985" t="str">
        <f t="shared" si="525"/>
        <v/>
      </c>
      <c r="CK46" s="985" t="str">
        <f t="shared" si="525"/>
        <v/>
      </c>
      <c r="CL46" s="985" t="str">
        <f t="shared" si="525"/>
        <v/>
      </c>
      <c r="CM46" s="985" t="str">
        <f t="shared" si="525"/>
        <v/>
      </c>
      <c r="CN46" s="985" t="str">
        <f t="shared" si="525"/>
        <v/>
      </c>
      <c r="CP46" s="988" t="str">
        <f t="shared" ref="CP46:DC46" si="628">IF(AND($I46&lt;&gt;"",OR($AF46="ELE",$AF46="ELD",$AF46="CX")),IF(AND($P46&gt;CO$8,$P46&lt;=CP$8),$K46,""),"")</f>
        <v/>
      </c>
      <c r="CQ46" s="988" t="str">
        <f t="shared" si="628"/>
        <v/>
      </c>
      <c r="CR46" s="988" t="str">
        <f t="shared" si="628"/>
        <v/>
      </c>
      <c r="CS46" s="988" t="str">
        <f t="shared" si="628"/>
        <v/>
      </c>
      <c r="CT46" s="988" t="str">
        <f t="shared" si="628"/>
        <v/>
      </c>
      <c r="CU46" s="988" t="str">
        <f t="shared" si="628"/>
        <v/>
      </c>
      <c r="CV46" s="988" t="str">
        <f t="shared" si="628"/>
        <v/>
      </c>
      <c r="CW46" s="988" t="str">
        <f t="shared" si="628"/>
        <v/>
      </c>
      <c r="CX46" s="988" t="str">
        <f t="shared" si="628"/>
        <v/>
      </c>
      <c r="CY46" s="988" t="str">
        <f t="shared" si="628"/>
        <v/>
      </c>
      <c r="CZ46" s="988" t="str">
        <f t="shared" si="628"/>
        <v/>
      </c>
      <c r="DA46" s="988" t="str">
        <f t="shared" si="628"/>
        <v/>
      </c>
      <c r="DB46" s="988" t="str">
        <f t="shared" si="628"/>
        <v/>
      </c>
      <c r="DC46" s="988" t="str">
        <f t="shared" si="628"/>
        <v/>
      </c>
      <c r="DE46" s="988">
        <f t="shared" ref="DE46:DR46" si="629">IF(AND($X46&lt;&gt;"",$AC46="CF"),IF(AND($P46&gt;DD$8,$P46&lt;=DE$8),$AB46,""),"")</f>
        <v>76.8</v>
      </c>
      <c r="DF46" s="988" t="str">
        <f t="shared" si="629"/>
        <v/>
      </c>
      <c r="DG46" s="988" t="str">
        <f t="shared" si="629"/>
        <v/>
      </c>
      <c r="DH46" s="988" t="str">
        <f t="shared" si="629"/>
        <v/>
      </c>
      <c r="DI46" s="988" t="str">
        <f t="shared" si="629"/>
        <v/>
      </c>
      <c r="DJ46" s="988" t="str">
        <f t="shared" si="629"/>
        <v/>
      </c>
      <c r="DK46" s="988" t="str">
        <f t="shared" si="629"/>
        <v/>
      </c>
      <c r="DL46" s="988" t="str">
        <f t="shared" si="629"/>
        <v/>
      </c>
      <c r="DM46" s="988" t="str">
        <f t="shared" si="629"/>
        <v/>
      </c>
      <c r="DN46" s="988" t="str">
        <f t="shared" si="629"/>
        <v/>
      </c>
      <c r="DO46" s="988" t="str">
        <f t="shared" si="629"/>
        <v/>
      </c>
      <c r="DP46" s="988" t="str">
        <f t="shared" si="629"/>
        <v/>
      </c>
      <c r="DQ46" s="988" t="str">
        <f t="shared" si="629"/>
        <v/>
      </c>
      <c r="DR46" s="988" t="str">
        <f t="shared" si="629"/>
        <v/>
      </c>
      <c r="DT46" s="988" t="str">
        <f t="shared" ref="DT46:EG46" si="630">IF(AND($X46&lt;&gt;"",$AC46="CA"),IF(AND($P46&gt;DS$8,$P46&lt;=DT$8),$AB46,""),"")</f>
        <v/>
      </c>
      <c r="DU46" s="988" t="str">
        <f t="shared" si="630"/>
        <v/>
      </c>
      <c r="DV46" s="988" t="str">
        <f t="shared" si="630"/>
        <v/>
      </c>
      <c r="DW46" s="988" t="str">
        <f t="shared" si="630"/>
        <v/>
      </c>
      <c r="DX46" s="988" t="str">
        <f t="shared" si="630"/>
        <v/>
      </c>
      <c r="DY46" s="988" t="str">
        <f t="shared" si="630"/>
        <v/>
      </c>
      <c r="DZ46" s="988" t="str">
        <f t="shared" si="630"/>
        <v/>
      </c>
      <c r="EA46" s="988" t="str">
        <f t="shared" si="630"/>
        <v/>
      </c>
      <c r="EB46" s="988" t="str">
        <f t="shared" si="630"/>
        <v/>
      </c>
      <c r="EC46" s="988" t="str">
        <f t="shared" si="630"/>
        <v/>
      </c>
      <c r="ED46" s="988" t="str">
        <f t="shared" si="630"/>
        <v/>
      </c>
      <c r="EE46" s="988" t="str">
        <f t="shared" si="630"/>
        <v/>
      </c>
      <c r="EF46" s="988" t="str">
        <f t="shared" si="630"/>
        <v/>
      </c>
      <c r="EG46" s="988" t="str">
        <f t="shared" si="630"/>
        <v/>
      </c>
      <c r="EI46" s="988" t="str">
        <f t="shared" ref="EI46:EV46" si="631">IF($AE46="BFC",IF(AND($P46&gt;EH$8,$P46&lt;=EI$8),$AB46,""),"")</f>
        <v/>
      </c>
      <c r="EJ46" s="988" t="str">
        <f t="shared" si="631"/>
        <v/>
      </c>
      <c r="EK46" s="988" t="str">
        <f t="shared" si="631"/>
        <v/>
      </c>
      <c r="EL46" s="988" t="str">
        <f t="shared" si="631"/>
        <v/>
      </c>
      <c r="EM46" s="988" t="str">
        <f t="shared" si="631"/>
        <v/>
      </c>
      <c r="EN46" s="988" t="str">
        <f t="shared" si="631"/>
        <v/>
      </c>
      <c r="EO46" s="988" t="str">
        <f t="shared" si="631"/>
        <v/>
      </c>
      <c r="EP46" s="988" t="str">
        <f t="shared" si="631"/>
        <v/>
      </c>
      <c r="EQ46" s="988" t="str">
        <f t="shared" si="631"/>
        <v/>
      </c>
      <c r="ER46" s="988" t="str">
        <f t="shared" si="631"/>
        <v/>
      </c>
      <c r="ES46" s="988" t="str">
        <f t="shared" si="631"/>
        <v/>
      </c>
      <c r="ET46" s="988" t="str">
        <f t="shared" si="631"/>
        <v/>
      </c>
      <c r="EU46" s="988" t="str">
        <f t="shared" si="631"/>
        <v/>
      </c>
      <c r="EV46" s="988" t="str">
        <f t="shared" si="631"/>
        <v/>
      </c>
      <c r="EX46" s="988" t="str">
        <f t="shared" ref="EX46:FK46" si="632">IF($AE46="BFN",IF(AND($P46&gt;EW$8,$P46&lt;=EX$8),$AB46,""),"")</f>
        <v/>
      </c>
      <c r="EY46" s="988" t="str">
        <f t="shared" si="632"/>
        <v/>
      </c>
      <c r="EZ46" s="988" t="str">
        <f t="shared" si="632"/>
        <v/>
      </c>
      <c r="FA46" s="988" t="str">
        <f t="shared" si="632"/>
        <v/>
      </c>
      <c r="FB46" s="988" t="str">
        <f t="shared" si="632"/>
        <v/>
      </c>
      <c r="FC46" s="988" t="str">
        <f t="shared" si="632"/>
        <v/>
      </c>
      <c r="FD46" s="988" t="str">
        <f t="shared" si="632"/>
        <v/>
      </c>
      <c r="FE46" s="988" t="str">
        <f t="shared" si="632"/>
        <v/>
      </c>
      <c r="FF46" s="988" t="str">
        <f t="shared" si="632"/>
        <v/>
      </c>
      <c r="FG46" s="988" t="str">
        <f t="shared" si="632"/>
        <v/>
      </c>
      <c r="FH46" s="988" t="str">
        <f t="shared" si="632"/>
        <v/>
      </c>
      <c r="FI46" s="988" t="str">
        <f t="shared" si="632"/>
        <v/>
      </c>
      <c r="FJ46" s="988" t="str">
        <f t="shared" si="632"/>
        <v/>
      </c>
      <c r="FK46" s="988" t="str">
        <f t="shared" si="632"/>
        <v/>
      </c>
      <c r="FM46" s="988" t="str">
        <f t="shared" ref="FM46:FZ46" si="633">IF(AND($I46&lt;&gt;"",$AF46="RCS"),IF(AND($P46&gt;FL$8,$P46&lt;=FM$8),SUM($K46:$M46),""),"")</f>
        <v/>
      </c>
      <c r="FN46" s="988" t="str">
        <f t="shared" si="633"/>
        <v/>
      </c>
      <c r="FO46" s="988" t="str">
        <f t="shared" si="633"/>
        <v/>
      </c>
      <c r="FP46" s="988" t="str">
        <f t="shared" si="633"/>
        <v/>
      </c>
      <c r="FQ46" s="988" t="str">
        <f t="shared" si="633"/>
        <v/>
      </c>
      <c r="FR46" s="988" t="str">
        <f t="shared" si="633"/>
        <v/>
      </c>
      <c r="FS46" s="988" t="str">
        <f t="shared" si="633"/>
        <v/>
      </c>
      <c r="FT46" s="988" t="str">
        <f t="shared" si="633"/>
        <v/>
      </c>
      <c r="FU46" s="988" t="str">
        <f t="shared" si="633"/>
        <v/>
      </c>
      <c r="FV46" s="988" t="str">
        <f t="shared" si="633"/>
        <v/>
      </c>
      <c r="FW46" s="988" t="str">
        <f t="shared" si="633"/>
        <v/>
      </c>
      <c r="FX46" s="988" t="str">
        <f t="shared" si="633"/>
        <v/>
      </c>
      <c r="FY46" s="988" t="str">
        <f t="shared" si="633"/>
        <v/>
      </c>
      <c r="FZ46" s="988" t="str">
        <f t="shared" si="633"/>
        <v/>
      </c>
      <c r="GB46" s="988" t="str">
        <f t="shared" ref="GB46:GO46" si="634">IF(AND($I46&lt;&gt;"",$AF46="REC"),IF(AND($P46&gt;GA$8,$P46&lt;=GB$8),SUM($K46:$M46),""),"")</f>
        <v/>
      </c>
      <c r="GC46" s="988" t="str">
        <f t="shared" si="634"/>
        <v/>
      </c>
      <c r="GD46" s="988" t="str">
        <f t="shared" si="634"/>
        <v/>
      </c>
      <c r="GE46" s="988" t="str">
        <f t="shared" si="634"/>
        <v/>
      </c>
      <c r="GF46" s="988" t="str">
        <f t="shared" si="634"/>
        <v/>
      </c>
      <c r="GG46" s="988" t="str">
        <f t="shared" si="634"/>
        <v/>
      </c>
      <c r="GH46" s="988" t="str">
        <f t="shared" si="634"/>
        <v/>
      </c>
      <c r="GI46" s="988" t="str">
        <f t="shared" si="634"/>
        <v/>
      </c>
      <c r="GJ46" s="988" t="str">
        <f t="shared" si="634"/>
        <v/>
      </c>
      <c r="GK46" s="988" t="str">
        <f t="shared" si="634"/>
        <v/>
      </c>
      <c r="GL46" s="988" t="str">
        <f t="shared" si="634"/>
        <v/>
      </c>
      <c r="GM46" s="988" t="str">
        <f t="shared" si="634"/>
        <v/>
      </c>
      <c r="GN46" s="988" t="str">
        <f t="shared" si="634"/>
        <v/>
      </c>
      <c r="GO46" s="988" t="str">
        <f t="shared" si="634"/>
        <v/>
      </c>
      <c r="GQ46" s="988">
        <f t="shared" ref="GQ46:HD46" si="635">IF(AND($I46&lt;&gt;"",$AF46="REB"),IF(AND($P46&gt;GP$8,$P46&lt;=GQ$8),SUM($K46:$M46),""),"")</f>
        <v>76.8</v>
      </c>
      <c r="GR46" s="988" t="str">
        <f t="shared" si="635"/>
        <v/>
      </c>
      <c r="GS46" s="988" t="str">
        <f t="shared" si="635"/>
        <v/>
      </c>
      <c r="GT46" s="988" t="str">
        <f t="shared" si="635"/>
        <v/>
      </c>
      <c r="GU46" s="988" t="str">
        <f t="shared" si="635"/>
        <v/>
      </c>
      <c r="GV46" s="988" t="str">
        <f t="shared" si="635"/>
        <v/>
      </c>
      <c r="GW46" s="988" t="str">
        <f t="shared" si="635"/>
        <v/>
      </c>
      <c r="GX46" s="988" t="str">
        <f t="shared" si="635"/>
        <v/>
      </c>
      <c r="GY46" s="988" t="str">
        <f t="shared" si="635"/>
        <v/>
      </c>
      <c r="GZ46" s="988" t="str">
        <f t="shared" si="635"/>
        <v/>
      </c>
      <c r="HA46" s="988" t="str">
        <f t="shared" si="635"/>
        <v/>
      </c>
      <c r="HB46" s="988" t="str">
        <f t="shared" si="635"/>
        <v/>
      </c>
      <c r="HC46" s="988" t="str">
        <f t="shared" si="635"/>
        <v/>
      </c>
      <c r="HD46" s="988" t="str">
        <f t="shared" si="635"/>
        <v/>
      </c>
      <c r="HF46" s="988" t="str">
        <f t="shared" ref="HF46:HS46" si="636">IF(AND($I46&lt;&gt;"",$AF46="RBS"),IF(AND($P46&gt;HE$8,$P46&lt;=HF$8),SUM($K46:$M46),""),"")</f>
        <v/>
      </c>
      <c r="HG46" s="988" t="str">
        <f t="shared" si="636"/>
        <v/>
      </c>
      <c r="HH46" s="988" t="str">
        <f t="shared" si="636"/>
        <v/>
      </c>
      <c r="HI46" s="988" t="str">
        <f t="shared" si="636"/>
        <v/>
      </c>
      <c r="HJ46" s="988" t="str">
        <f t="shared" si="636"/>
        <v/>
      </c>
      <c r="HK46" s="988" t="str">
        <f t="shared" si="636"/>
        <v/>
      </c>
      <c r="HL46" s="988" t="str">
        <f t="shared" si="636"/>
        <v/>
      </c>
      <c r="HM46" s="988" t="str">
        <f t="shared" si="636"/>
        <v/>
      </c>
      <c r="HN46" s="988" t="str">
        <f t="shared" si="636"/>
        <v/>
      </c>
      <c r="HO46" s="988" t="str">
        <f t="shared" si="636"/>
        <v/>
      </c>
      <c r="HP46" s="988" t="str">
        <f t="shared" si="636"/>
        <v/>
      </c>
      <c r="HQ46" s="988" t="str">
        <f t="shared" si="636"/>
        <v/>
      </c>
      <c r="HR46" s="988" t="str">
        <f t="shared" si="636"/>
        <v/>
      </c>
      <c r="HS46" s="988" t="str">
        <f t="shared" si="636"/>
        <v/>
      </c>
      <c r="HU46" s="988" t="str">
        <f t="shared" ref="HU46:IH46" si="637">IF(AND($I46&lt;&gt;"",$AF46="RCD"),IF(AND($P46&gt;HT$8,$P46&lt;=HU$8),SUM($K46:$M46),""),"")</f>
        <v/>
      </c>
      <c r="HV46" s="988" t="str">
        <f t="shared" si="637"/>
        <v/>
      </c>
      <c r="HW46" s="988" t="str">
        <f t="shared" si="637"/>
        <v/>
      </c>
      <c r="HX46" s="988" t="str">
        <f t="shared" si="637"/>
        <v/>
      </c>
      <c r="HY46" s="988" t="str">
        <f t="shared" si="637"/>
        <v/>
      </c>
      <c r="HZ46" s="988" t="str">
        <f t="shared" si="637"/>
        <v/>
      </c>
      <c r="IA46" s="988" t="str">
        <f t="shared" si="637"/>
        <v/>
      </c>
      <c r="IB46" s="988" t="str">
        <f t="shared" si="637"/>
        <v/>
      </c>
      <c r="IC46" s="988" t="str">
        <f t="shared" si="637"/>
        <v/>
      </c>
      <c r="ID46" s="988" t="str">
        <f t="shared" si="637"/>
        <v/>
      </c>
      <c r="IE46" s="988" t="str">
        <f t="shared" si="637"/>
        <v/>
      </c>
      <c r="IF46" s="988" t="str">
        <f t="shared" si="637"/>
        <v/>
      </c>
      <c r="IG46" s="988" t="str">
        <f t="shared" si="637"/>
        <v/>
      </c>
      <c r="IH46" s="988" t="str">
        <f t="shared" si="637"/>
        <v/>
      </c>
      <c r="IJ46" s="985">
        <f t="shared" ref="IJ46:IW46" si="638">IF(AND($I46&lt;&gt;""),IF(AND($P46&gt;II$8,$P46&lt;=IJ$8),$K46,""),"")</f>
        <v>76.8</v>
      </c>
      <c r="IK46" s="985" t="str">
        <f t="shared" si="638"/>
        <v/>
      </c>
      <c r="IL46" s="985" t="str">
        <f t="shared" si="638"/>
        <v/>
      </c>
      <c r="IM46" s="985" t="str">
        <f t="shared" si="638"/>
        <v/>
      </c>
      <c r="IN46" s="985" t="str">
        <f t="shared" si="638"/>
        <v/>
      </c>
      <c r="IO46" s="985" t="str">
        <f t="shared" si="638"/>
        <v/>
      </c>
      <c r="IP46" s="985" t="str">
        <f t="shared" si="638"/>
        <v/>
      </c>
      <c r="IQ46" s="985" t="str">
        <f t="shared" si="638"/>
        <v/>
      </c>
      <c r="IR46" s="985" t="str">
        <f t="shared" si="638"/>
        <v/>
      </c>
      <c r="IS46" s="985" t="str">
        <f t="shared" si="638"/>
        <v/>
      </c>
      <c r="IT46" s="985" t="str">
        <f t="shared" si="638"/>
        <v/>
      </c>
      <c r="IU46" s="985" t="str">
        <f t="shared" si="638"/>
        <v/>
      </c>
      <c r="IV46" s="985" t="str">
        <f t="shared" si="638"/>
        <v/>
      </c>
      <c r="IW46" s="985" t="str">
        <f t="shared" si="638"/>
        <v/>
      </c>
      <c r="IX46" s="987"/>
      <c r="IY46" s="985">
        <f t="shared" ref="IY46:JL46" si="639">IF(AND($I46&lt;&gt;""),IF(AND($P46&gt;IX$8,$P46&lt;=IY$8),$L46,""),"")</f>
        <v>0</v>
      </c>
      <c r="IZ46" s="985" t="str">
        <f t="shared" si="639"/>
        <v/>
      </c>
      <c r="JA46" s="985" t="str">
        <f t="shared" si="639"/>
        <v/>
      </c>
      <c r="JB46" s="985" t="str">
        <f t="shared" si="639"/>
        <v/>
      </c>
      <c r="JC46" s="985" t="str">
        <f t="shared" si="639"/>
        <v/>
      </c>
      <c r="JD46" s="985" t="str">
        <f t="shared" si="639"/>
        <v/>
      </c>
      <c r="JE46" s="985" t="str">
        <f t="shared" si="639"/>
        <v/>
      </c>
      <c r="JF46" s="985" t="str">
        <f t="shared" si="639"/>
        <v/>
      </c>
      <c r="JG46" s="985" t="str">
        <f t="shared" si="639"/>
        <v/>
      </c>
      <c r="JH46" s="985" t="str">
        <f t="shared" si="639"/>
        <v/>
      </c>
      <c r="JI46" s="985" t="str">
        <f t="shared" si="639"/>
        <v/>
      </c>
      <c r="JJ46" s="985" t="str">
        <f t="shared" si="639"/>
        <v/>
      </c>
      <c r="JK46" s="985" t="str">
        <f t="shared" si="639"/>
        <v/>
      </c>
      <c r="JL46" s="985" t="str">
        <f t="shared" si="639"/>
        <v/>
      </c>
      <c r="JM46" s="987"/>
      <c r="JN46" s="985">
        <f t="shared" ref="JN46:KA46" si="640">IF(AND($I46&lt;&gt;""),IF(AND($P46&gt;JM$8,$P46&lt;=JN$8),$M46,""),"")</f>
        <v>0</v>
      </c>
      <c r="JO46" s="985" t="str">
        <f t="shared" si="640"/>
        <v/>
      </c>
      <c r="JP46" s="985" t="str">
        <f t="shared" si="640"/>
        <v/>
      </c>
      <c r="JQ46" s="985" t="str">
        <f t="shared" si="640"/>
        <v/>
      </c>
      <c r="JR46" s="985" t="str">
        <f t="shared" si="640"/>
        <v/>
      </c>
      <c r="JS46" s="985" t="str">
        <f t="shared" si="640"/>
        <v/>
      </c>
      <c r="JT46" s="985" t="str">
        <f t="shared" si="640"/>
        <v/>
      </c>
      <c r="JU46" s="985" t="str">
        <f t="shared" si="640"/>
        <v/>
      </c>
      <c r="JV46" s="985" t="str">
        <f t="shared" si="640"/>
        <v/>
      </c>
      <c r="JW46" s="985" t="str">
        <f t="shared" si="640"/>
        <v/>
      </c>
      <c r="JX46" s="985" t="str">
        <f t="shared" si="640"/>
        <v/>
      </c>
      <c r="JY46" s="985" t="str">
        <f t="shared" si="640"/>
        <v/>
      </c>
      <c r="JZ46" s="985" t="str">
        <f t="shared" si="640"/>
        <v/>
      </c>
      <c r="KA46" s="985" t="str">
        <f t="shared" si="640"/>
        <v/>
      </c>
      <c r="KB46" s="987"/>
      <c r="KC46" s="985">
        <f t="shared" ref="KC46:KP46" si="641">IF(AND($I46&lt;&gt;""),IF(AND($P46&gt;KB$8,$P46&lt;=KC$8),$N46,""),"")</f>
        <v>0</v>
      </c>
      <c r="KD46" s="985" t="str">
        <f t="shared" si="641"/>
        <v/>
      </c>
      <c r="KE46" s="985" t="str">
        <f t="shared" si="641"/>
        <v/>
      </c>
      <c r="KF46" s="985" t="str">
        <f t="shared" si="641"/>
        <v/>
      </c>
      <c r="KG46" s="985" t="str">
        <f t="shared" si="641"/>
        <v/>
      </c>
      <c r="KH46" s="985" t="str">
        <f t="shared" si="641"/>
        <v/>
      </c>
      <c r="KI46" s="985" t="str">
        <f t="shared" si="641"/>
        <v/>
      </c>
      <c r="KJ46" s="985" t="str">
        <f t="shared" si="641"/>
        <v/>
      </c>
      <c r="KK46" s="985" t="str">
        <f t="shared" si="641"/>
        <v/>
      </c>
      <c r="KL46" s="985" t="str">
        <f t="shared" si="641"/>
        <v/>
      </c>
      <c r="KM46" s="985" t="str">
        <f t="shared" si="641"/>
        <v/>
      </c>
      <c r="KN46" s="985" t="str">
        <f t="shared" si="641"/>
        <v/>
      </c>
      <c r="KO46" s="985" t="str">
        <f t="shared" si="641"/>
        <v/>
      </c>
      <c r="KP46" s="985" t="str">
        <f t="shared" si="641"/>
        <v/>
      </c>
    </row>
    <row r="47" spans="2:302" ht="18" customHeight="1">
      <c r="B47" s="978">
        <f t="shared" si="0"/>
        <v>131.5</v>
      </c>
      <c r="C47" s="979" t="s">
        <v>758</v>
      </c>
      <c r="D47" s="979" t="s">
        <v>605</v>
      </c>
      <c r="E47" s="980">
        <v>10</v>
      </c>
      <c r="F47" s="979" t="s">
        <v>761</v>
      </c>
      <c r="G47" s="979" t="s">
        <v>605</v>
      </c>
      <c r="H47" s="980">
        <v>0</v>
      </c>
      <c r="I47" s="979" t="s">
        <v>849</v>
      </c>
      <c r="J47" s="979"/>
      <c r="K47" s="980">
        <v>2.52</v>
      </c>
      <c r="L47" s="980"/>
      <c r="M47" s="980"/>
      <c r="N47" s="980"/>
      <c r="O47" s="980"/>
      <c r="P47" s="981">
        <v>0.02</v>
      </c>
      <c r="Q47" s="981">
        <f t="shared" si="1"/>
        <v>5.04E-2</v>
      </c>
      <c r="R47" s="979" t="s">
        <v>758</v>
      </c>
      <c r="S47" s="979" t="s">
        <v>605</v>
      </c>
      <c r="T47" s="980">
        <v>10</v>
      </c>
      <c r="U47" s="979" t="s">
        <v>761</v>
      </c>
      <c r="V47" s="979" t="s">
        <v>605</v>
      </c>
      <c r="W47" s="980">
        <v>0</v>
      </c>
      <c r="X47" s="979" t="s">
        <v>849</v>
      </c>
      <c r="Y47" s="979"/>
      <c r="Z47" s="979"/>
      <c r="AA47" s="980">
        <v>1.3</v>
      </c>
      <c r="AB47" s="980">
        <f t="shared" si="2"/>
        <v>1.9384615384615385</v>
      </c>
      <c r="AC47" s="982" t="s">
        <v>939</v>
      </c>
      <c r="AD47" s="953"/>
      <c r="AE47" s="983" t="str">
        <f t="shared" si="3"/>
        <v/>
      </c>
      <c r="AF47" s="984" t="str">
        <f t="shared" si="4"/>
        <v>CL</v>
      </c>
      <c r="AG47" s="963"/>
      <c r="AH47" s="985">
        <f t="shared" si="521"/>
        <v>2.52</v>
      </c>
      <c r="AI47" s="985" t="str">
        <f t="shared" si="521"/>
        <v/>
      </c>
      <c r="AJ47" s="985" t="str">
        <f t="shared" si="521"/>
        <v/>
      </c>
      <c r="AK47" s="985" t="str">
        <f t="shared" si="521"/>
        <v/>
      </c>
      <c r="AL47" s="985" t="str">
        <f t="shared" si="521"/>
        <v/>
      </c>
      <c r="AM47" s="985" t="str">
        <f t="shared" si="521"/>
        <v/>
      </c>
      <c r="AN47" s="985" t="str">
        <f t="shared" si="521"/>
        <v/>
      </c>
      <c r="AO47" s="985" t="str">
        <f t="shared" si="521"/>
        <v/>
      </c>
      <c r="AP47" s="986"/>
      <c r="AQ47" s="985" t="str">
        <f t="shared" ref="AQ47:BD47" si="642">IF(AND($I47&lt;&gt;"",$AF47="C"),IF(AND($P47&gt;AP$8,$P47&lt;=AQ$8),$K47,""),"")</f>
        <v/>
      </c>
      <c r="AR47" s="985" t="str">
        <f t="shared" si="642"/>
        <v/>
      </c>
      <c r="AS47" s="985" t="str">
        <f t="shared" si="642"/>
        <v/>
      </c>
      <c r="AT47" s="985" t="str">
        <f t="shared" si="642"/>
        <v/>
      </c>
      <c r="AU47" s="985" t="str">
        <f t="shared" si="642"/>
        <v/>
      </c>
      <c r="AV47" s="985" t="str">
        <f t="shared" si="642"/>
        <v/>
      </c>
      <c r="AW47" s="985" t="str">
        <f t="shared" si="642"/>
        <v/>
      </c>
      <c r="AX47" s="985" t="str">
        <f t="shared" si="642"/>
        <v/>
      </c>
      <c r="AY47" s="985" t="str">
        <f t="shared" si="642"/>
        <v/>
      </c>
      <c r="AZ47" s="985" t="str">
        <f t="shared" si="642"/>
        <v/>
      </c>
      <c r="BA47" s="985" t="str">
        <f t="shared" si="642"/>
        <v/>
      </c>
      <c r="BB47" s="985" t="str">
        <f t="shared" si="642"/>
        <v/>
      </c>
      <c r="BC47" s="985" t="str">
        <f t="shared" si="642"/>
        <v/>
      </c>
      <c r="BD47" s="985" t="str">
        <f t="shared" si="642"/>
        <v/>
      </c>
      <c r="BE47" s="987"/>
      <c r="BF47" s="985" t="str">
        <f t="shared" ref="BF47:BS47" si="643">IF(AND($I47&lt;&gt;"",$AF47="C"),IF(AND($P47&gt;BE$8,$P47&lt;=BF$8),$L47,""),"")</f>
        <v/>
      </c>
      <c r="BG47" s="985" t="str">
        <f t="shared" si="643"/>
        <v/>
      </c>
      <c r="BH47" s="985" t="str">
        <f t="shared" si="643"/>
        <v/>
      </c>
      <c r="BI47" s="985" t="str">
        <f t="shared" si="643"/>
        <v/>
      </c>
      <c r="BJ47" s="985" t="str">
        <f t="shared" si="643"/>
        <v/>
      </c>
      <c r="BK47" s="985" t="str">
        <f t="shared" si="643"/>
        <v/>
      </c>
      <c r="BL47" s="985" t="str">
        <f t="shared" si="643"/>
        <v/>
      </c>
      <c r="BM47" s="985" t="str">
        <f t="shared" si="643"/>
        <v/>
      </c>
      <c r="BN47" s="985" t="str">
        <f t="shared" si="643"/>
        <v/>
      </c>
      <c r="BO47" s="985" t="str">
        <f t="shared" si="643"/>
        <v/>
      </c>
      <c r="BP47" s="985" t="str">
        <f t="shared" si="643"/>
        <v/>
      </c>
      <c r="BQ47" s="985" t="str">
        <f t="shared" si="643"/>
        <v/>
      </c>
      <c r="BR47" s="985" t="str">
        <f t="shared" si="643"/>
        <v/>
      </c>
      <c r="BS47" s="985" t="str">
        <f t="shared" si="643"/>
        <v/>
      </c>
      <c r="BU47" s="985" t="str">
        <f t="shared" ref="BU47:CF47" si="644">IF(AND($I47&lt;&gt;"",$AF47="C"),IF(AND($P47&gt;BT$8,$P47&lt;=BU$8),$M47,""),"")</f>
        <v/>
      </c>
      <c r="BV47" s="985" t="str">
        <f t="shared" si="644"/>
        <v/>
      </c>
      <c r="BW47" s="985" t="str">
        <f t="shared" si="644"/>
        <v/>
      </c>
      <c r="BX47" s="985" t="str">
        <f t="shared" si="644"/>
        <v/>
      </c>
      <c r="BY47" s="985" t="str">
        <f t="shared" si="644"/>
        <v/>
      </c>
      <c r="BZ47" s="985" t="str">
        <f t="shared" si="644"/>
        <v/>
      </c>
      <c r="CA47" s="985" t="str">
        <f t="shared" si="644"/>
        <v/>
      </c>
      <c r="CB47" s="985" t="str">
        <f t="shared" si="644"/>
        <v/>
      </c>
      <c r="CC47" s="985" t="str">
        <f t="shared" si="644"/>
        <v/>
      </c>
      <c r="CD47" s="985" t="str">
        <f t="shared" si="644"/>
        <v/>
      </c>
      <c r="CE47" s="985" t="str">
        <f t="shared" si="644"/>
        <v/>
      </c>
      <c r="CF47" s="985" t="str">
        <f t="shared" si="644"/>
        <v/>
      </c>
      <c r="CG47" s="987"/>
      <c r="CH47" s="985" t="str">
        <f t="shared" si="525"/>
        <v/>
      </c>
      <c r="CI47" s="985" t="str">
        <f t="shared" si="525"/>
        <v/>
      </c>
      <c r="CJ47" s="985" t="str">
        <f t="shared" si="525"/>
        <v/>
      </c>
      <c r="CK47" s="985" t="str">
        <f t="shared" si="525"/>
        <v/>
      </c>
      <c r="CL47" s="985" t="str">
        <f t="shared" si="525"/>
        <v/>
      </c>
      <c r="CM47" s="985" t="str">
        <f t="shared" si="525"/>
        <v/>
      </c>
      <c r="CN47" s="985" t="str">
        <f t="shared" si="525"/>
        <v/>
      </c>
      <c r="CP47" s="988" t="str">
        <f t="shared" ref="CP47:DC47" si="645">IF(AND($I47&lt;&gt;"",OR($AF47="ELE",$AF47="ELD",$AF47="CX")),IF(AND($P47&gt;CO$8,$P47&lt;=CP$8),$K47,""),"")</f>
        <v/>
      </c>
      <c r="CQ47" s="988" t="str">
        <f t="shared" si="645"/>
        <v/>
      </c>
      <c r="CR47" s="988" t="str">
        <f t="shared" si="645"/>
        <v/>
      </c>
      <c r="CS47" s="988" t="str">
        <f t="shared" si="645"/>
        <v/>
      </c>
      <c r="CT47" s="988" t="str">
        <f t="shared" si="645"/>
        <v/>
      </c>
      <c r="CU47" s="988" t="str">
        <f t="shared" si="645"/>
        <v/>
      </c>
      <c r="CV47" s="988" t="str">
        <f t="shared" si="645"/>
        <v/>
      </c>
      <c r="CW47" s="988" t="str">
        <f t="shared" si="645"/>
        <v/>
      </c>
      <c r="CX47" s="988" t="str">
        <f t="shared" si="645"/>
        <v/>
      </c>
      <c r="CY47" s="988" t="str">
        <f t="shared" si="645"/>
        <v/>
      </c>
      <c r="CZ47" s="988" t="str">
        <f t="shared" si="645"/>
        <v/>
      </c>
      <c r="DA47" s="988" t="str">
        <f t="shared" si="645"/>
        <v/>
      </c>
      <c r="DB47" s="988" t="str">
        <f t="shared" si="645"/>
        <v/>
      </c>
      <c r="DC47" s="988" t="str">
        <f t="shared" si="645"/>
        <v/>
      </c>
      <c r="DE47" s="988">
        <f t="shared" ref="DE47:DR47" si="646">IF(AND($X47&lt;&gt;"",$AC47="CF"),IF(AND($P47&gt;DD$8,$P47&lt;=DE$8),$AB47,""),"")</f>
        <v>1.9384615384615385</v>
      </c>
      <c r="DF47" s="988" t="str">
        <f t="shared" si="646"/>
        <v/>
      </c>
      <c r="DG47" s="988" t="str">
        <f t="shared" si="646"/>
        <v/>
      </c>
      <c r="DH47" s="988" t="str">
        <f t="shared" si="646"/>
        <v/>
      </c>
      <c r="DI47" s="988" t="str">
        <f t="shared" si="646"/>
        <v/>
      </c>
      <c r="DJ47" s="988" t="str">
        <f t="shared" si="646"/>
        <v/>
      </c>
      <c r="DK47" s="988" t="str">
        <f t="shared" si="646"/>
        <v/>
      </c>
      <c r="DL47" s="988" t="str">
        <f t="shared" si="646"/>
        <v/>
      </c>
      <c r="DM47" s="988" t="str">
        <f t="shared" si="646"/>
        <v/>
      </c>
      <c r="DN47" s="988" t="str">
        <f t="shared" si="646"/>
        <v/>
      </c>
      <c r="DO47" s="988" t="str">
        <f t="shared" si="646"/>
        <v/>
      </c>
      <c r="DP47" s="988" t="str">
        <f t="shared" si="646"/>
        <v/>
      </c>
      <c r="DQ47" s="988" t="str">
        <f t="shared" si="646"/>
        <v/>
      </c>
      <c r="DR47" s="988" t="str">
        <f t="shared" si="646"/>
        <v/>
      </c>
      <c r="DT47" s="988" t="str">
        <f t="shared" ref="DT47:EG47" si="647">IF(AND($X47&lt;&gt;"",$AC47="CA"),IF(AND($P47&gt;DS$8,$P47&lt;=DT$8),$AB47,""),"")</f>
        <v/>
      </c>
      <c r="DU47" s="988" t="str">
        <f t="shared" si="647"/>
        <v/>
      </c>
      <c r="DV47" s="988" t="str">
        <f t="shared" si="647"/>
        <v/>
      </c>
      <c r="DW47" s="988" t="str">
        <f t="shared" si="647"/>
        <v/>
      </c>
      <c r="DX47" s="988" t="str">
        <f t="shared" si="647"/>
        <v/>
      </c>
      <c r="DY47" s="988" t="str">
        <f t="shared" si="647"/>
        <v/>
      </c>
      <c r="DZ47" s="988" t="str">
        <f t="shared" si="647"/>
        <v/>
      </c>
      <c r="EA47" s="988" t="str">
        <f t="shared" si="647"/>
        <v/>
      </c>
      <c r="EB47" s="988" t="str">
        <f t="shared" si="647"/>
        <v/>
      </c>
      <c r="EC47" s="988" t="str">
        <f t="shared" si="647"/>
        <v/>
      </c>
      <c r="ED47" s="988" t="str">
        <f t="shared" si="647"/>
        <v/>
      </c>
      <c r="EE47" s="988" t="str">
        <f t="shared" si="647"/>
        <v/>
      </c>
      <c r="EF47" s="988" t="str">
        <f t="shared" si="647"/>
        <v/>
      </c>
      <c r="EG47" s="988" t="str">
        <f t="shared" si="647"/>
        <v/>
      </c>
      <c r="EI47" s="988" t="str">
        <f t="shared" ref="EI47:EV47" si="648">IF($AE47="BFC",IF(AND($P47&gt;EH$8,$P47&lt;=EI$8),$AB47,""),"")</f>
        <v/>
      </c>
      <c r="EJ47" s="988" t="str">
        <f t="shared" si="648"/>
        <v/>
      </c>
      <c r="EK47" s="988" t="str">
        <f t="shared" si="648"/>
        <v/>
      </c>
      <c r="EL47" s="988" t="str">
        <f t="shared" si="648"/>
        <v/>
      </c>
      <c r="EM47" s="988" t="str">
        <f t="shared" si="648"/>
        <v/>
      </c>
      <c r="EN47" s="988" t="str">
        <f t="shared" si="648"/>
        <v/>
      </c>
      <c r="EO47" s="988" t="str">
        <f t="shared" si="648"/>
        <v/>
      </c>
      <c r="EP47" s="988" t="str">
        <f t="shared" si="648"/>
        <v/>
      </c>
      <c r="EQ47" s="988" t="str">
        <f t="shared" si="648"/>
        <v/>
      </c>
      <c r="ER47" s="988" t="str">
        <f t="shared" si="648"/>
        <v/>
      </c>
      <c r="ES47" s="988" t="str">
        <f t="shared" si="648"/>
        <v/>
      </c>
      <c r="ET47" s="988" t="str">
        <f t="shared" si="648"/>
        <v/>
      </c>
      <c r="EU47" s="988" t="str">
        <f t="shared" si="648"/>
        <v/>
      </c>
      <c r="EV47" s="988" t="str">
        <f t="shared" si="648"/>
        <v/>
      </c>
      <c r="EX47" s="988" t="str">
        <f t="shared" ref="EX47:FK47" si="649">IF($AE47="BFN",IF(AND($P47&gt;EW$8,$P47&lt;=EX$8),$AB47,""),"")</f>
        <v/>
      </c>
      <c r="EY47" s="988" t="str">
        <f t="shared" si="649"/>
        <v/>
      </c>
      <c r="EZ47" s="988" t="str">
        <f t="shared" si="649"/>
        <v/>
      </c>
      <c r="FA47" s="988" t="str">
        <f t="shared" si="649"/>
        <v/>
      </c>
      <c r="FB47" s="988" t="str">
        <f t="shared" si="649"/>
        <v/>
      </c>
      <c r="FC47" s="988" t="str">
        <f t="shared" si="649"/>
        <v/>
      </c>
      <c r="FD47" s="988" t="str">
        <f t="shared" si="649"/>
        <v/>
      </c>
      <c r="FE47" s="988" t="str">
        <f t="shared" si="649"/>
        <v/>
      </c>
      <c r="FF47" s="988" t="str">
        <f t="shared" si="649"/>
        <v/>
      </c>
      <c r="FG47" s="988" t="str">
        <f t="shared" si="649"/>
        <v/>
      </c>
      <c r="FH47" s="988" t="str">
        <f t="shared" si="649"/>
        <v/>
      </c>
      <c r="FI47" s="988" t="str">
        <f t="shared" si="649"/>
        <v/>
      </c>
      <c r="FJ47" s="988" t="str">
        <f t="shared" si="649"/>
        <v/>
      </c>
      <c r="FK47" s="988" t="str">
        <f t="shared" si="649"/>
        <v/>
      </c>
      <c r="FM47" s="988" t="str">
        <f t="shared" ref="FM47:FZ47" si="650">IF(AND($I47&lt;&gt;"",$AF47="RCS"),IF(AND($P47&gt;FL$8,$P47&lt;=FM$8),SUM($K47:$M47),""),"")</f>
        <v/>
      </c>
      <c r="FN47" s="988" t="str">
        <f t="shared" si="650"/>
        <v/>
      </c>
      <c r="FO47" s="988" t="str">
        <f t="shared" si="650"/>
        <v/>
      </c>
      <c r="FP47" s="988" t="str">
        <f t="shared" si="650"/>
        <v/>
      </c>
      <c r="FQ47" s="988" t="str">
        <f t="shared" si="650"/>
        <v/>
      </c>
      <c r="FR47" s="988" t="str">
        <f t="shared" si="650"/>
        <v/>
      </c>
      <c r="FS47" s="988" t="str">
        <f t="shared" si="650"/>
        <v/>
      </c>
      <c r="FT47" s="988" t="str">
        <f t="shared" si="650"/>
        <v/>
      </c>
      <c r="FU47" s="988" t="str">
        <f t="shared" si="650"/>
        <v/>
      </c>
      <c r="FV47" s="988" t="str">
        <f t="shared" si="650"/>
        <v/>
      </c>
      <c r="FW47" s="988" t="str">
        <f t="shared" si="650"/>
        <v/>
      </c>
      <c r="FX47" s="988" t="str">
        <f t="shared" si="650"/>
        <v/>
      </c>
      <c r="FY47" s="988" t="str">
        <f t="shared" si="650"/>
        <v/>
      </c>
      <c r="FZ47" s="988" t="str">
        <f t="shared" si="650"/>
        <v/>
      </c>
      <c r="GB47" s="988" t="str">
        <f t="shared" ref="GB47:GO47" si="651">IF(AND($I47&lt;&gt;"",$AF47="REC"),IF(AND($P47&gt;GA$8,$P47&lt;=GB$8),SUM($K47:$M47),""),"")</f>
        <v/>
      </c>
      <c r="GC47" s="988" t="str">
        <f t="shared" si="651"/>
        <v/>
      </c>
      <c r="GD47" s="988" t="str">
        <f t="shared" si="651"/>
        <v/>
      </c>
      <c r="GE47" s="988" t="str">
        <f t="shared" si="651"/>
        <v/>
      </c>
      <c r="GF47" s="988" t="str">
        <f t="shared" si="651"/>
        <v/>
      </c>
      <c r="GG47" s="988" t="str">
        <f t="shared" si="651"/>
        <v/>
      </c>
      <c r="GH47" s="988" t="str">
        <f t="shared" si="651"/>
        <v/>
      </c>
      <c r="GI47" s="988" t="str">
        <f t="shared" si="651"/>
        <v/>
      </c>
      <c r="GJ47" s="988" t="str">
        <f t="shared" si="651"/>
        <v/>
      </c>
      <c r="GK47" s="988" t="str">
        <f t="shared" si="651"/>
        <v/>
      </c>
      <c r="GL47" s="988" t="str">
        <f t="shared" si="651"/>
        <v/>
      </c>
      <c r="GM47" s="988" t="str">
        <f t="shared" si="651"/>
        <v/>
      </c>
      <c r="GN47" s="988" t="str">
        <f t="shared" si="651"/>
        <v/>
      </c>
      <c r="GO47" s="988" t="str">
        <f t="shared" si="651"/>
        <v/>
      </c>
      <c r="GQ47" s="988" t="str">
        <f t="shared" ref="GQ47:HD47" si="652">IF(AND($I47&lt;&gt;"",$AF47="REB"),IF(AND($P47&gt;GP$8,$P47&lt;=GQ$8),SUM($K47:$M47),""),"")</f>
        <v/>
      </c>
      <c r="GR47" s="988" t="str">
        <f t="shared" si="652"/>
        <v/>
      </c>
      <c r="GS47" s="988" t="str">
        <f t="shared" si="652"/>
        <v/>
      </c>
      <c r="GT47" s="988" t="str">
        <f t="shared" si="652"/>
        <v/>
      </c>
      <c r="GU47" s="988" t="str">
        <f t="shared" si="652"/>
        <v/>
      </c>
      <c r="GV47" s="988" t="str">
        <f t="shared" si="652"/>
        <v/>
      </c>
      <c r="GW47" s="988" t="str">
        <f t="shared" si="652"/>
        <v/>
      </c>
      <c r="GX47" s="988" t="str">
        <f t="shared" si="652"/>
        <v/>
      </c>
      <c r="GY47" s="988" t="str">
        <f t="shared" si="652"/>
        <v/>
      </c>
      <c r="GZ47" s="988" t="str">
        <f t="shared" si="652"/>
        <v/>
      </c>
      <c r="HA47" s="988" t="str">
        <f t="shared" si="652"/>
        <v/>
      </c>
      <c r="HB47" s="988" t="str">
        <f t="shared" si="652"/>
        <v/>
      </c>
      <c r="HC47" s="988" t="str">
        <f t="shared" si="652"/>
        <v/>
      </c>
      <c r="HD47" s="988" t="str">
        <f t="shared" si="652"/>
        <v/>
      </c>
      <c r="HF47" s="988" t="str">
        <f t="shared" ref="HF47:HS47" si="653">IF(AND($I47&lt;&gt;"",$AF47="RBS"),IF(AND($P47&gt;HE$8,$P47&lt;=HF$8),SUM($K47:$M47),""),"")</f>
        <v/>
      </c>
      <c r="HG47" s="988" t="str">
        <f t="shared" si="653"/>
        <v/>
      </c>
      <c r="HH47" s="988" t="str">
        <f t="shared" si="653"/>
        <v/>
      </c>
      <c r="HI47" s="988" t="str">
        <f t="shared" si="653"/>
        <v/>
      </c>
      <c r="HJ47" s="988" t="str">
        <f t="shared" si="653"/>
        <v/>
      </c>
      <c r="HK47" s="988" t="str">
        <f t="shared" si="653"/>
        <v/>
      </c>
      <c r="HL47" s="988" t="str">
        <f t="shared" si="653"/>
        <v/>
      </c>
      <c r="HM47" s="988" t="str">
        <f t="shared" si="653"/>
        <v/>
      </c>
      <c r="HN47" s="988" t="str">
        <f t="shared" si="653"/>
        <v/>
      </c>
      <c r="HO47" s="988" t="str">
        <f t="shared" si="653"/>
        <v/>
      </c>
      <c r="HP47" s="988" t="str">
        <f t="shared" si="653"/>
        <v/>
      </c>
      <c r="HQ47" s="988" t="str">
        <f t="shared" si="653"/>
        <v/>
      </c>
      <c r="HR47" s="988" t="str">
        <f t="shared" si="653"/>
        <v/>
      </c>
      <c r="HS47" s="988" t="str">
        <f t="shared" si="653"/>
        <v/>
      </c>
      <c r="HU47" s="988" t="str">
        <f t="shared" ref="HU47:IH47" si="654">IF(AND($I47&lt;&gt;"",$AF47="RCD"),IF(AND($P47&gt;HT$8,$P47&lt;=HU$8),SUM($K47:$M47),""),"")</f>
        <v/>
      </c>
      <c r="HV47" s="988" t="str">
        <f t="shared" si="654"/>
        <v/>
      </c>
      <c r="HW47" s="988" t="str">
        <f t="shared" si="654"/>
        <v/>
      </c>
      <c r="HX47" s="988" t="str">
        <f t="shared" si="654"/>
        <v/>
      </c>
      <c r="HY47" s="988" t="str">
        <f t="shared" si="654"/>
        <v/>
      </c>
      <c r="HZ47" s="988" t="str">
        <f t="shared" si="654"/>
        <v/>
      </c>
      <c r="IA47" s="988" t="str">
        <f t="shared" si="654"/>
        <v/>
      </c>
      <c r="IB47" s="988" t="str">
        <f t="shared" si="654"/>
        <v/>
      </c>
      <c r="IC47" s="988" t="str">
        <f t="shared" si="654"/>
        <v/>
      </c>
      <c r="ID47" s="988" t="str">
        <f t="shared" si="654"/>
        <v/>
      </c>
      <c r="IE47" s="988" t="str">
        <f t="shared" si="654"/>
        <v/>
      </c>
      <c r="IF47" s="988" t="str">
        <f t="shared" si="654"/>
        <v/>
      </c>
      <c r="IG47" s="988" t="str">
        <f t="shared" si="654"/>
        <v/>
      </c>
      <c r="IH47" s="988" t="str">
        <f t="shared" si="654"/>
        <v/>
      </c>
      <c r="IJ47" s="985">
        <f t="shared" ref="IJ47:IW47" si="655">IF(AND($I47&lt;&gt;""),IF(AND($P47&gt;II$8,$P47&lt;=IJ$8),$K47,""),"")</f>
        <v>2.52</v>
      </c>
      <c r="IK47" s="985" t="str">
        <f t="shared" si="655"/>
        <v/>
      </c>
      <c r="IL47" s="985" t="str">
        <f t="shared" si="655"/>
        <v/>
      </c>
      <c r="IM47" s="985" t="str">
        <f t="shared" si="655"/>
        <v/>
      </c>
      <c r="IN47" s="985" t="str">
        <f t="shared" si="655"/>
        <v/>
      </c>
      <c r="IO47" s="985" t="str">
        <f t="shared" si="655"/>
        <v/>
      </c>
      <c r="IP47" s="985" t="str">
        <f t="shared" si="655"/>
        <v/>
      </c>
      <c r="IQ47" s="985" t="str">
        <f t="shared" si="655"/>
        <v/>
      </c>
      <c r="IR47" s="985" t="str">
        <f t="shared" si="655"/>
        <v/>
      </c>
      <c r="IS47" s="985" t="str">
        <f t="shared" si="655"/>
        <v/>
      </c>
      <c r="IT47" s="985" t="str">
        <f t="shared" si="655"/>
        <v/>
      </c>
      <c r="IU47" s="985" t="str">
        <f t="shared" si="655"/>
        <v/>
      </c>
      <c r="IV47" s="985" t="str">
        <f t="shared" si="655"/>
        <v/>
      </c>
      <c r="IW47" s="985" t="str">
        <f t="shared" si="655"/>
        <v/>
      </c>
      <c r="IX47" s="987"/>
      <c r="IY47" s="985">
        <f t="shared" ref="IY47:JL47" si="656">IF(AND($I47&lt;&gt;""),IF(AND($P47&gt;IX$8,$P47&lt;=IY$8),$L47,""),"")</f>
        <v>0</v>
      </c>
      <c r="IZ47" s="985" t="str">
        <f t="shared" si="656"/>
        <v/>
      </c>
      <c r="JA47" s="985" t="str">
        <f t="shared" si="656"/>
        <v/>
      </c>
      <c r="JB47" s="985" t="str">
        <f t="shared" si="656"/>
        <v/>
      </c>
      <c r="JC47" s="985" t="str">
        <f t="shared" si="656"/>
        <v/>
      </c>
      <c r="JD47" s="985" t="str">
        <f t="shared" si="656"/>
        <v/>
      </c>
      <c r="JE47" s="985" t="str">
        <f t="shared" si="656"/>
        <v/>
      </c>
      <c r="JF47" s="985" t="str">
        <f t="shared" si="656"/>
        <v/>
      </c>
      <c r="JG47" s="985" t="str">
        <f t="shared" si="656"/>
        <v/>
      </c>
      <c r="JH47" s="985" t="str">
        <f t="shared" si="656"/>
        <v/>
      </c>
      <c r="JI47" s="985" t="str">
        <f t="shared" si="656"/>
        <v/>
      </c>
      <c r="JJ47" s="985" t="str">
        <f t="shared" si="656"/>
        <v/>
      </c>
      <c r="JK47" s="985" t="str">
        <f t="shared" si="656"/>
        <v/>
      </c>
      <c r="JL47" s="985" t="str">
        <f t="shared" si="656"/>
        <v/>
      </c>
      <c r="JM47" s="987"/>
      <c r="JN47" s="985">
        <f t="shared" ref="JN47:KA47" si="657">IF(AND($I47&lt;&gt;""),IF(AND($P47&gt;JM$8,$P47&lt;=JN$8),$M47,""),"")</f>
        <v>0</v>
      </c>
      <c r="JO47" s="985" t="str">
        <f t="shared" si="657"/>
        <v/>
      </c>
      <c r="JP47" s="985" t="str">
        <f t="shared" si="657"/>
        <v/>
      </c>
      <c r="JQ47" s="985" t="str">
        <f t="shared" si="657"/>
        <v/>
      </c>
      <c r="JR47" s="985" t="str">
        <f t="shared" si="657"/>
        <v/>
      </c>
      <c r="JS47" s="985" t="str">
        <f t="shared" si="657"/>
        <v/>
      </c>
      <c r="JT47" s="985" t="str">
        <f t="shared" si="657"/>
        <v/>
      </c>
      <c r="JU47" s="985" t="str">
        <f t="shared" si="657"/>
        <v/>
      </c>
      <c r="JV47" s="985" t="str">
        <f t="shared" si="657"/>
        <v/>
      </c>
      <c r="JW47" s="985" t="str">
        <f t="shared" si="657"/>
        <v/>
      </c>
      <c r="JX47" s="985" t="str">
        <f t="shared" si="657"/>
        <v/>
      </c>
      <c r="JY47" s="985" t="str">
        <f t="shared" si="657"/>
        <v/>
      </c>
      <c r="JZ47" s="985" t="str">
        <f t="shared" si="657"/>
        <v/>
      </c>
      <c r="KA47" s="985" t="str">
        <f t="shared" si="657"/>
        <v/>
      </c>
      <c r="KB47" s="987"/>
      <c r="KC47" s="985">
        <f t="shared" ref="KC47:KP47" si="658">IF(AND($I47&lt;&gt;""),IF(AND($P47&gt;KB$8,$P47&lt;=KC$8),$N47,""),"")</f>
        <v>0</v>
      </c>
      <c r="KD47" s="985" t="str">
        <f t="shared" si="658"/>
        <v/>
      </c>
      <c r="KE47" s="985" t="str">
        <f t="shared" si="658"/>
        <v/>
      </c>
      <c r="KF47" s="985" t="str">
        <f t="shared" si="658"/>
        <v/>
      </c>
      <c r="KG47" s="985" t="str">
        <f t="shared" si="658"/>
        <v/>
      </c>
      <c r="KH47" s="985" t="str">
        <f t="shared" si="658"/>
        <v/>
      </c>
      <c r="KI47" s="985" t="str">
        <f t="shared" si="658"/>
        <v/>
      </c>
      <c r="KJ47" s="985" t="str">
        <f t="shared" si="658"/>
        <v/>
      </c>
      <c r="KK47" s="985" t="str">
        <f t="shared" si="658"/>
        <v/>
      </c>
      <c r="KL47" s="985" t="str">
        <f t="shared" si="658"/>
        <v/>
      </c>
      <c r="KM47" s="985" t="str">
        <f t="shared" si="658"/>
        <v/>
      </c>
      <c r="KN47" s="985" t="str">
        <f t="shared" si="658"/>
        <v/>
      </c>
      <c r="KO47" s="985" t="str">
        <f t="shared" si="658"/>
        <v/>
      </c>
      <c r="KP47" s="985" t="str">
        <f t="shared" si="658"/>
        <v/>
      </c>
    </row>
    <row r="48" spans="2:302" ht="18" customHeight="1">
      <c r="B48" s="978">
        <f t="shared" si="0"/>
        <v>172</v>
      </c>
      <c r="C48" s="979">
        <v>172</v>
      </c>
      <c r="D48" s="979" t="s">
        <v>605</v>
      </c>
      <c r="E48" s="980">
        <v>0</v>
      </c>
      <c r="F48" s="979">
        <v>172</v>
      </c>
      <c r="G48" s="979" t="s">
        <v>605</v>
      </c>
      <c r="H48" s="980">
        <v>0</v>
      </c>
      <c r="I48" s="979" t="s">
        <v>940</v>
      </c>
      <c r="J48" s="979"/>
      <c r="K48" s="980">
        <v>316.65400000000005</v>
      </c>
      <c r="L48" s="980"/>
      <c r="M48" s="980"/>
      <c r="N48" s="980"/>
      <c r="O48" s="980">
        <v>5.0349999999999993</v>
      </c>
      <c r="P48" s="981">
        <v>5.0349999999999993</v>
      </c>
      <c r="Q48" s="981">
        <f t="shared" si="1"/>
        <v>1594.3528900000001</v>
      </c>
      <c r="R48" s="979" t="s">
        <v>704</v>
      </c>
      <c r="S48" s="979" t="s">
        <v>605</v>
      </c>
      <c r="T48" s="980">
        <v>10</v>
      </c>
      <c r="U48" s="979" t="s">
        <v>716</v>
      </c>
      <c r="V48" s="979" t="s">
        <v>605</v>
      </c>
      <c r="W48" s="980">
        <v>0</v>
      </c>
      <c r="X48" s="989" t="s">
        <v>833</v>
      </c>
      <c r="Y48" s="979"/>
      <c r="Z48" s="979"/>
      <c r="AA48" s="980">
        <v>1.3</v>
      </c>
      <c r="AB48" s="980">
        <f t="shared" si="2"/>
        <v>243.58000000000004</v>
      </c>
      <c r="AC48" s="982" t="str" cm="1">
        <f t="array" ref="AC48">IF(X48&lt;&gt;"",IF(LEFT(X48,SEARCH("-",X48,1)-1)="A.CF","CF",IF(LEFT(X48,SEARCH("-",X48,1)-1)="A.CA","CA",IF(LEFT(X48,SEARCH("-",X48,1)-1)="CL","CL","-"))),IF(Y48&lt;&gt;"",BF,"-"))</f>
        <v>CF</v>
      </c>
      <c r="AD48" s="990"/>
      <c r="AE48" s="991" t="str">
        <f t="shared" si="3"/>
        <v>A</v>
      </c>
      <c r="AF48" s="992" t="str">
        <f t="shared" si="4"/>
        <v>CX</v>
      </c>
      <c r="AG48" s="963"/>
      <c r="AH48" s="985" t="str">
        <f t="shared" si="521"/>
        <v/>
      </c>
      <c r="AI48" s="985" t="str">
        <f t="shared" si="521"/>
        <v/>
      </c>
      <c r="AJ48" s="985" t="str">
        <f t="shared" si="521"/>
        <v/>
      </c>
      <c r="AK48" s="985" t="str">
        <f t="shared" si="521"/>
        <v/>
      </c>
      <c r="AL48" s="985" t="str">
        <f t="shared" si="521"/>
        <v/>
      </c>
      <c r="AM48" s="985" t="str">
        <f t="shared" si="521"/>
        <v/>
      </c>
      <c r="AN48" s="985" t="str">
        <f t="shared" si="521"/>
        <v/>
      </c>
      <c r="AO48" s="985" t="str">
        <f t="shared" si="521"/>
        <v/>
      </c>
      <c r="AP48" s="986"/>
      <c r="AQ48" s="985" t="str">
        <f t="shared" ref="AQ48:BD48" si="659">IF(AND($I48&lt;&gt;"",$AF48="C"),IF(AND($P48&gt;AP$8,$P48&lt;=AQ$8),$K48,""),"")</f>
        <v/>
      </c>
      <c r="AR48" s="985" t="str">
        <f t="shared" si="659"/>
        <v/>
      </c>
      <c r="AS48" s="985" t="str">
        <f t="shared" si="659"/>
        <v/>
      </c>
      <c r="AT48" s="985" t="str">
        <f t="shared" si="659"/>
        <v/>
      </c>
      <c r="AU48" s="985" t="str">
        <f t="shared" si="659"/>
        <v/>
      </c>
      <c r="AV48" s="985" t="str">
        <f t="shared" si="659"/>
        <v/>
      </c>
      <c r="AW48" s="985" t="str">
        <f t="shared" si="659"/>
        <v/>
      </c>
      <c r="AX48" s="985" t="str">
        <f t="shared" si="659"/>
        <v/>
      </c>
      <c r="AY48" s="985" t="str">
        <f t="shared" si="659"/>
        <v/>
      </c>
      <c r="AZ48" s="985" t="str">
        <f t="shared" si="659"/>
        <v/>
      </c>
      <c r="BA48" s="985" t="str">
        <f t="shared" si="659"/>
        <v/>
      </c>
      <c r="BB48" s="985" t="str">
        <f t="shared" si="659"/>
        <v/>
      </c>
      <c r="BC48" s="985" t="str">
        <f t="shared" si="659"/>
        <v/>
      </c>
      <c r="BD48" s="985" t="str">
        <f t="shared" si="659"/>
        <v/>
      </c>
      <c r="BE48" s="987"/>
      <c r="BF48" s="985" t="str">
        <f t="shared" ref="BF48:BS48" si="660">IF(AND($I48&lt;&gt;"",$AF48="C"),IF(AND($P48&gt;BE$8,$P48&lt;=BF$8),$L48,""),"")</f>
        <v/>
      </c>
      <c r="BG48" s="985" t="str">
        <f t="shared" si="660"/>
        <v/>
      </c>
      <c r="BH48" s="985" t="str">
        <f t="shared" si="660"/>
        <v/>
      </c>
      <c r="BI48" s="985" t="str">
        <f t="shared" si="660"/>
        <v/>
      </c>
      <c r="BJ48" s="985" t="str">
        <f t="shared" si="660"/>
        <v/>
      </c>
      <c r="BK48" s="985" t="str">
        <f t="shared" si="660"/>
        <v/>
      </c>
      <c r="BL48" s="985" t="str">
        <f t="shared" si="660"/>
        <v/>
      </c>
      <c r="BM48" s="985" t="str">
        <f t="shared" si="660"/>
        <v/>
      </c>
      <c r="BN48" s="985" t="str">
        <f t="shared" si="660"/>
        <v/>
      </c>
      <c r="BO48" s="985" t="str">
        <f t="shared" si="660"/>
        <v/>
      </c>
      <c r="BP48" s="985" t="str">
        <f t="shared" si="660"/>
        <v/>
      </c>
      <c r="BQ48" s="985" t="str">
        <f t="shared" si="660"/>
        <v/>
      </c>
      <c r="BR48" s="985" t="str">
        <f t="shared" si="660"/>
        <v/>
      </c>
      <c r="BS48" s="985" t="str">
        <f t="shared" si="660"/>
        <v/>
      </c>
      <c r="BU48" s="985" t="str">
        <f t="shared" ref="BU48:CF48" si="661">IF(AND($I48&lt;&gt;"",$AF48="C"),IF(AND($P48&gt;BT$8,$P48&lt;=BU$8),$M48,""),"")</f>
        <v/>
      </c>
      <c r="BV48" s="985" t="str">
        <f t="shared" si="661"/>
        <v/>
      </c>
      <c r="BW48" s="985" t="str">
        <f t="shared" si="661"/>
        <v/>
      </c>
      <c r="BX48" s="985" t="str">
        <f t="shared" si="661"/>
        <v/>
      </c>
      <c r="BY48" s="985" t="str">
        <f t="shared" si="661"/>
        <v/>
      </c>
      <c r="BZ48" s="985" t="str">
        <f t="shared" si="661"/>
        <v/>
      </c>
      <c r="CA48" s="985" t="str">
        <f t="shared" si="661"/>
        <v/>
      </c>
      <c r="CB48" s="985" t="str">
        <f t="shared" si="661"/>
        <v/>
      </c>
      <c r="CC48" s="985" t="str">
        <f t="shared" si="661"/>
        <v/>
      </c>
      <c r="CD48" s="985" t="str">
        <f t="shared" si="661"/>
        <v/>
      </c>
      <c r="CE48" s="985" t="str">
        <f t="shared" si="661"/>
        <v/>
      </c>
      <c r="CF48" s="985" t="str">
        <f t="shared" si="661"/>
        <v/>
      </c>
      <c r="CG48" s="987"/>
      <c r="CH48" s="985" t="str">
        <f t="shared" si="525"/>
        <v/>
      </c>
      <c r="CI48" s="985" t="str">
        <f t="shared" si="525"/>
        <v/>
      </c>
      <c r="CJ48" s="985" t="str">
        <f t="shared" si="525"/>
        <v/>
      </c>
      <c r="CK48" s="985" t="str">
        <f t="shared" si="525"/>
        <v/>
      </c>
      <c r="CL48" s="985" t="str">
        <f t="shared" si="525"/>
        <v/>
      </c>
      <c r="CM48" s="985" t="str">
        <f t="shared" si="525"/>
        <v/>
      </c>
      <c r="CN48" s="985" t="str">
        <f t="shared" si="525"/>
        <v/>
      </c>
      <c r="CP48" s="988" t="str">
        <f t="shared" ref="CP48:DC48" si="662">IF(AND($I48&lt;&gt;"",OR($AF48="ELE",$AF48="ELD",$AF48="CX")),IF(AND($P48&gt;CO$8,$P48&lt;=CP$8),$K48,""),"")</f>
        <v/>
      </c>
      <c r="CQ48" s="988" t="str">
        <f t="shared" si="662"/>
        <v/>
      </c>
      <c r="CR48" s="988" t="str">
        <f t="shared" si="662"/>
        <v/>
      </c>
      <c r="CS48" s="988" t="str">
        <f t="shared" si="662"/>
        <v/>
      </c>
      <c r="CT48" s="988" t="str">
        <f t="shared" si="662"/>
        <v/>
      </c>
      <c r="CU48" s="988" t="str">
        <f t="shared" si="662"/>
        <v/>
      </c>
      <c r="CV48" s="988" t="str">
        <f t="shared" si="662"/>
        <v/>
      </c>
      <c r="CW48" s="988" t="str">
        <f t="shared" si="662"/>
        <v/>
      </c>
      <c r="CX48" s="988" t="str">
        <f t="shared" si="662"/>
        <v/>
      </c>
      <c r="CY48" s="988" t="str">
        <f t="shared" si="662"/>
        <v/>
      </c>
      <c r="CZ48" s="988" t="str">
        <f t="shared" si="662"/>
        <v/>
      </c>
      <c r="DA48" s="988" t="str">
        <f t="shared" si="662"/>
        <v/>
      </c>
      <c r="DB48" s="988" t="str">
        <f t="shared" si="662"/>
        <v/>
      </c>
      <c r="DC48" s="988">
        <f t="shared" si="662"/>
        <v>316.65400000000005</v>
      </c>
      <c r="DE48" s="988" t="str">
        <f t="shared" ref="DE48:DR48" si="663">IF(AND($X48&lt;&gt;"",$AC48="CF"),IF(AND($P48&gt;DD$8,$P48&lt;=DE$8),$AB48,""),"")</f>
        <v/>
      </c>
      <c r="DF48" s="988" t="str">
        <f t="shared" si="663"/>
        <v/>
      </c>
      <c r="DG48" s="988" t="str">
        <f t="shared" si="663"/>
        <v/>
      </c>
      <c r="DH48" s="988" t="str">
        <f t="shared" si="663"/>
        <v/>
      </c>
      <c r="DI48" s="988" t="str">
        <f t="shared" si="663"/>
        <v/>
      </c>
      <c r="DJ48" s="988" t="str">
        <f t="shared" si="663"/>
        <v/>
      </c>
      <c r="DK48" s="988" t="str">
        <f t="shared" si="663"/>
        <v/>
      </c>
      <c r="DL48" s="988" t="str">
        <f t="shared" si="663"/>
        <v/>
      </c>
      <c r="DM48" s="988" t="str">
        <f t="shared" si="663"/>
        <v/>
      </c>
      <c r="DN48" s="988" t="str">
        <f t="shared" si="663"/>
        <v/>
      </c>
      <c r="DO48" s="988" t="str">
        <f t="shared" si="663"/>
        <v/>
      </c>
      <c r="DP48" s="988" t="str">
        <f t="shared" si="663"/>
        <v/>
      </c>
      <c r="DQ48" s="988" t="str">
        <f t="shared" si="663"/>
        <v/>
      </c>
      <c r="DR48" s="988">
        <f t="shared" si="663"/>
        <v>243.58000000000004</v>
      </c>
      <c r="DT48" s="988" t="str">
        <f t="shared" ref="DT48:EG48" si="664">IF(AND($X48&lt;&gt;"",$AC48="CA"),IF(AND($P48&gt;DS$8,$P48&lt;=DT$8),$AB48,""),"")</f>
        <v/>
      </c>
      <c r="DU48" s="988" t="str">
        <f t="shared" si="664"/>
        <v/>
      </c>
      <c r="DV48" s="988" t="str">
        <f t="shared" si="664"/>
        <v/>
      </c>
      <c r="DW48" s="988" t="str">
        <f t="shared" si="664"/>
        <v/>
      </c>
      <c r="DX48" s="988" t="str">
        <f t="shared" si="664"/>
        <v/>
      </c>
      <c r="DY48" s="988" t="str">
        <f t="shared" si="664"/>
        <v/>
      </c>
      <c r="DZ48" s="988" t="str">
        <f t="shared" si="664"/>
        <v/>
      </c>
      <c r="EA48" s="988" t="str">
        <f t="shared" si="664"/>
        <v/>
      </c>
      <c r="EB48" s="988" t="str">
        <f t="shared" si="664"/>
        <v/>
      </c>
      <c r="EC48" s="988" t="str">
        <f t="shared" si="664"/>
        <v/>
      </c>
      <c r="ED48" s="988" t="str">
        <f t="shared" si="664"/>
        <v/>
      </c>
      <c r="EE48" s="988" t="str">
        <f t="shared" si="664"/>
        <v/>
      </c>
      <c r="EF48" s="988" t="str">
        <f t="shared" si="664"/>
        <v/>
      </c>
      <c r="EG48" s="988" t="str">
        <f t="shared" si="664"/>
        <v/>
      </c>
      <c r="EI48" s="988" t="str">
        <f t="shared" ref="EI48:EV48" si="665">IF($AE48="BFC",IF(AND($P48&gt;EH$8,$P48&lt;=EI$8),$AB48,""),"")</f>
        <v/>
      </c>
      <c r="EJ48" s="988" t="str">
        <f t="shared" si="665"/>
        <v/>
      </c>
      <c r="EK48" s="988" t="str">
        <f t="shared" si="665"/>
        <v/>
      </c>
      <c r="EL48" s="988" t="str">
        <f t="shared" si="665"/>
        <v/>
      </c>
      <c r="EM48" s="988" t="str">
        <f t="shared" si="665"/>
        <v/>
      </c>
      <c r="EN48" s="988" t="str">
        <f t="shared" si="665"/>
        <v/>
      </c>
      <c r="EO48" s="988" t="str">
        <f t="shared" si="665"/>
        <v/>
      </c>
      <c r="EP48" s="988" t="str">
        <f t="shared" si="665"/>
        <v/>
      </c>
      <c r="EQ48" s="988" t="str">
        <f t="shared" si="665"/>
        <v/>
      </c>
      <c r="ER48" s="988" t="str">
        <f t="shared" si="665"/>
        <v/>
      </c>
      <c r="ES48" s="988" t="str">
        <f t="shared" si="665"/>
        <v/>
      </c>
      <c r="ET48" s="988" t="str">
        <f t="shared" si="665"/>
        <v/>
      </c>
      <c r="EU48" s="988" t="str">
        <f t="shared" si="665"/>
        <v/>
      </c>
      <c r="EV48" s="988" t="str">
        <f t="shared" si="665"/>
        <v/>
      </c>
      <c r="EX48" s="988" t="str">
        <f t="shared" ref="EX48:FK48" si="666">IF($AE48="BFN",IF(AND($P48&gt;EW$8,$P48&lt;=EX$8),$AB48,""),"")</f>
        <v/>
      </c>
      <c r="EY48" s="988" t="str">
        <f t="shared" si="666"/>
        <v/>
      </c>
      <c r="EZ48" s="988" t="str">
        <f t="shared" si="666"/>
        <v/>
      </c>
      <c r="FA48" s="988" t="str">
        <f t="shared" si="666"/>
        <v/>
      </c>
      <c r="FB48" s="988" t="str">
        <f t="shared" si="666"/>
        <v/>
      </c>
      <c r="FC48" s="988" t="str">
        <f t="shared" si="666"/>
        <v/>
      </c>
      <c r="FD48" s="988" t="str">
        <f t="shared" si="666"/>
        <v/>
      </c>
      <c r="FE48" s="988" t="str">
        <f t="shared" si="666"/>
        <v/>
      </c>
      <c r="FF48" s="988" t="str">
        <f t="shared" si="666"/>
        <v/>
      </c>
      <c r="FG48" s="988" t="str">
        <f t="shared" si="666"/>
        <v/>
      </c>
      <c r="FH48" s="988" t="str">
        <f t="shared" si="666"/>
        <v/>
      </c>
      <c r="FI48" s="988" t="str">
        <f t="shared" si="666"/>
        <v/>
      </c>
      <c r="FJ48" s="988" t="str">
        <f t="shared" si="666"/>
        <v/>
      </c>
      <c r="FK48" s="988" t="str">
        <f t="shared" si="666"/>
        <v/>
      </c>
      <c r="FM48" s="988" t="str">
        <f t="shared" ref="FM48:FZ48" si="667">IF(AND($I48&lt;&gt;"",$AF48="RCS"),IF(AND($P48&gt;FL$8,$P48&lt;=FM$8),SUM($K48:$M48),""),"")</f>
        <v/>
      </c>
      <c r="FN48" s="988" t="str">
        <f t="shared" si="667"/>
        <v/>
      </c>
      <c r="FO48" s="988" t="str">
        <f t="shared" si="667"/>
        <v/>
      </c>
      <c r="FP48" s="988" t="str">
        <f t="shared" si="667"/>
        <v/>
      </c>
      <c r="FQ48" s="988" t="str">
        <f t="shared" si="667"/>
        <v/>
      </c>
      <c r="FR48" s="988" t="str">
        <f t="shared" si="667"/>
        <v/>
      </c>
      <c r="FS48" s="988" t="str">
        <f t="shared" si="667"/>
        <v/>
      </c>
      <c r="FT48" s="988" t="str">
        <f t="shared" si="667"/>
        <v/>
      </c>
      <c r="FU48" s="988" t="str">
        <f t="shared" si="667"/>
        <v/>
      </c>
      <c r="FV48" s="988" t="str">
        <f t="shared" si="667"/>
        <v/>
      </c>
      <c r="FW48" s="988" t="str">
        <f t="shared" si="667"/>
        <v/>
      </c>
      <c r="FX48" s="988" t="str">
        <f t="shared" si="667"/>
        <v/>
      </c>
      <c r="FY48" s="988" t="str">
        <f t="shared" si="667"/>
        <v/>
      </c>
      <c r="FZ48" s="988" t="str">
        <f t="shared" si="667"/>
        <v/>
      </c>
      <c r="GB48" s="988" t="str">
        <f t="shared" ref="GB48:GO48" si="668">IF(AND($I48&lt;&gt;"",$AF48="REC"),IF(AND($P48&gt;GA$8,$P48&lt;=GB$8),SUM($K48:$M48),""),"")</f>
        <v/>
      </c>
      <c r="GC48" s="988" t="str">
        <f t="shared" si="668"/>
        <v/>
      </c>
      <c r="GD48" s="988" t="str">
        <f t="shared" si="668"/>
        <v/>
      </c>
      <c r="GE48" s="988" t="str">
        <f t="shared" si="668"/>
        <v/>
      </c>
      <c r="GF48" s="988" t="str">
        <f t="shared" si="668"/>
        <v/>
      </c>
      <c r="GG48" s="988" t="str">
        <f t="shared" si="668"/>
        <v/>
      </c>
      <c r="GH48" s="988" t="str">
        <f t="shared" si="668"/>
        <v/>
      </c>
      <c r="GI48" s="988" t="str">
        <f t="shared" si="668"/>
        <v/>
      </c>
      <c r="GJ48" s="988" t="str">
        <f t="shared" si="668"/>
        <v/>
      </c>
      <c r="GK48" s="988" t="str">
        <f t="shared" si="668"/>
        <v/>
      </c>
      <c r="GL48" s="988" t="str">
        <f t="shared" si="668"/>
        <v/>
      </c>
      <c r="GM48" s="988" t="str">
        <f t="shared" si="668"/>
        <v/>
      </c>
      <c r="GN48" s="988" t="str">
        <f t="shared" si="668"/>
        <v/>
      </c>
      <c r="GO48" s="988" t="str">
        <f t="shared" si="668"/>
        <v/>
      </c>
      <c r="GQ48" s="988" t="str">
        <f t="shared" ref="GQ48:HD48" si="669">IF(AND($I48&lt;&gt;"",$AF48="REB"),IF(AND($P48&gt;GP$8,$P48&lt;=GQ$8),SUM($K48:$M48),""),"")</f>
        <v/>
      </c>
      <c r="GR48" s="988" t="str">
        <f t="shared" si="669"/>
        <v/>
      </c>
      <c r="GS48" s="988" t="str">
        <f t="shared" si="669"/>
        <v/>
      </c>
      <c r="GT48" s="988" t="str">
        <f t="shared" si="669"/>
        <v/>
      </c>
      <c r="GU48" s="988" t="str">
        <f t="shared" si="669"/>
        <v/>
      </c>
      <c r="GV48" s="988" t="str">
        <f t="shared" si="669"/>
        <v/>
      </c>
      <c r="GW48" s="988" t="str">
        <f t="shared" si="669"/>
        <v/>
      </c>
      <c r="GX48" s="988" t="str">
        <f t="shared" si="669"/>
        <v/>
      </c>
      <c r="GY48" s="988" t="str">
        <f t="shared" si="669"/>
        <v/>
      </c>
      <c r="GZ48" s="988" t="str">
        <f t="shared" si="669"/>
        <v/>
      </c>
      <c r="HA48" s="988" t="str">
        <f t="shared" si="669"/>
        <v/>
      </c>
      <c r="HB48" s="988" t="str">
        <f t="shared" si="669"/>
        <v/>
      </c>
      <c r="HC48" s="988" t="str">
        <f t="shared" si="669"/>
        <v/>
      </c>
      <c r="HD48" s="988" t="str">
        <f t="shared" si="669"/>
        <v/>
      </c>
      <c r="HF48" s="988" t="str">
        <f t="shared" ref="HF48:HS48" si="670">IF(AND($I48&lt;&gt;"",$AF48="RBS"),IF(AND($P48&gt;HE$8,$P48&lt;=HF$8),SUM($K48:$M48),""),"")</f>
        <v/>
      </c>
      <c r="HG48" s="988" t="str">
        <f t="shared" si="670"/>
        <v/>
      </c>
      <c r="HH48" s="988" t="str">
        <f t="shared" si="670"/>
        <v/>
      </c>
      <c r="HI48" s="988" t="str">
        <f t="shared" si="670"/>
        <v/>
      </c>
      <c r="HJ48" s="988" t="str">
        <f t="shared" si="670"/>
        <v/>
      </c>
      <c r="HK48" s="988" t="str">
        <f t="shared" si="670"/>
        <v/>
      </c>
      <c r="HL48" s="988" t="str">
        <f t="shared" si="670"/>
        <v/>
      </c>
      <c r="HM48" s="988" t="str">
        <f t="shared" si="670"/>
        <v/>
      </c>
      <c r="HN48" s="988" t="str">
        <f t="shared" si="670"/>
        <v/>
      </c>
      <c r="HO48" s="988" t="str">
        <f t="shared" si="670"/>
        <v/>
      </c>
      <c r="HP48" s="988" t="str">
        <f t="shared" si="670"/>
        <v/>
      </c>
      <c r="HQ48" s="988" t="str">
        <f t="shared" si="670"/>
        <v/>
      </c>
      <c r="HR48" s="988" t="str">
        <f t="shared" si="670"/>
        <v/>
      </c>
      <c r="HS48" s="988" t="str">
        <f t="shared" si="670"/>
        <v/>
      </c>
      <c r="HU48" s="988" t="str">
        <f t="shared" ref="HU48:IH48" si="671">IF(AND($I48&lt;&gt;"",$AF48="RCD"),IF(AND($P48&gt;HT$8,$P48&lt;=HU$8),SUM($K48:$M48),""),"")</f>
        <v/>
      </c>
      <c r="HV48" s="988" t="str">
        <f t="shared" si="671"/>
        <v/>
      </c>
      <c r="HW48" s="988" t="str">
        <f t="shared" si="671"/>
        <v/>
      </c>
      <c r="HX48" s="988" t="str">
        <f t="shared" si="671"/>
        <v/>
      </c>
      <c r="HY48" s="988" t="str">
        <f t="shared" si="671"/>
        <v/>
      </c>
      <c r="HZ48" s="988" t="str">
        <f t="shared" si="671"/>
        <v/>
      </c>
      <c r="IA48" s="988" t="str">
        <f t="shared" si="671"/>
        <v/>
      </c>
      <c r="IB48" s="988" t="str">
        <f t="shared" si="671"/>
        <v/>
      </c>
      <c r="IC48" s="988" t="str">
        <f t="shared" si="671"/>
        <v/>
      </c>
      <c r="ID48" s="988" t="str">
        <f t="shared" si="671"/>
        <v/>
      </c>
      <c r="IE48" s="988" t="str">
        <f t="shared" si="671"/>
        <v/>
      </c>
      <c r="IF48" s="988" t="str">
        <f t="shared" si="671"/>
        <v/>
      </c>
      <c r="IG48" s="988" t="str">
        <f t="shared" si="671"/>
        <v/>
      </c>
      <c r="IH48" s="988" t="str">
        <f t="shared" si="671"/>
        <v/>
      </c>
      <c r="IJ48" s="985" t="str">
        <f t="shared" ref="IJ48:IW48" si="672">IF(AND($I48&lt;&gt;""),IF(AND($P48&gt;II$8,$P48&lt;=IJ$8),$K48,""),"")</f>
        <v/>
      </c>
      <c r="IK48" s="985" t="str">
        <f t="shared" si="672"/>
        <v/>
      </c>
      <c r="IL48" s="985" t="str">
        <f t="shared" si="672"/>
        <v/>
      </c>
      <c r="IM48" s="985" t="str">
        <f t="shared" si="672"/>
        <v/>
      </c>
      <c r="IN48" s="985" t="str">
        <f t="shared" si="672"/>
        <v/>
      </c>
      <c r="IO48" s="985" t="str">
        <f t="shared" si="672"/>
        <v/>
      </c>
      <c r="IP48" s="985" t="str">
        <f t="shared" si="672"/>
        <v/>
      </c>
      <c r="IQ48" s="985" t="str">
        <f t="shared" si="672"/>
        <v/>
      </c>
      <c r="IR48" s="985" t="str">
        <f t="shared" si="672"/>
        <v/>
      </c>
      <c r="IS48" s="985" t="str">
        <f t="shared" si="672"/>
        <v/>
      </c>
      <c r="IT48" s="985" t="str">
        <f t="shared" si="672"/>
        <v/>
      </c>
      <c r="IU48" s="985" t="str">
        <f t="shared" si="672"/>
        <v/>
      </c>
      <c r="IV48" s="985" t="str">
        <f t="shared" si="672"/>
        <v/>
      </c>
      <c r="IW48" s="985">
        <f t="shared" si="672"/>
        <v>316.65400000000005</v>
      </c>
      <c r="IX48" s="987"/>
      <c r="IY48" s="985" t="str">
        <f t="shared" ref="IY48:JL48" si="673">IF(AND($I48&lt;&gt;""),IF(AND($P48&gt;IX$8,$P48&lt;=IY$8),$L48,""),"")</f>
        <v/>
      </c>
      <c r="IZ48" s="985" t="str">
        <f t="shared" si="673"/>
        <v/>
      </c>
      <c r="JA48" s="985" t="str">
        <f t="shared" si="673"/>
        <v/>
      </c>
      <c r="JB48" s="985" t="str">
        <f t="shared" si="673"/>
        <v/>
      </c>
      <c r="JC48" s="985" t="str">
        <f t="shared" si="673"/>
        <v/>
      </c>
      <c r="JD48" s="985" t="str">
        <f t="shared" si="673"/>
        <v/>
      </c>
      <c r="JE48" s="985" t="str">
        <f t="shared" si="673"/>
        <v/>
      </c>
      <c r="JF48" s="985" t="str">
        <f t="shared" si="673"/>
        <v/>
      </c>
      <c r="JG48" s="985" t="str">
        <f t="shared" si="673"/>
        <v/>
      </c>
      <c r="JH48" s="985" t="str">
        <f t="shared" si="673"/>
        <v/>
      </c>
      <c r="JI48" s="985" t="str">
        <f t="shared" si="673"/>
        <v/>
      </c>
      <c r="JJ48" s="985" t="str">
        <f t="shared" si="673"/>
        <v/>
      </c>
      <c r="JK48" s="985" t="str">
        <f t="shared" si="673"/>
        <v/>
      </c>
      <c r="JL48" s="985">
        <f t="shared" si="673"/>
        <v>0</v>
      </c>
      <c r="JM48" s="987"/>
      <c r="JN48" s="985" t="str">
        <f t="shared" ref="JN48:KA48" si="674">IF(AND($I48&lt;&gt;""),IF(AND($P48&gt;JM$8,$P48&lt;=JN$8),$M48,""),"")</f>
        <v/>
      </c>
      <c r="JO48" s="985" t="str">
        <f t="shared" si="674"/>
        <v/>
      </c>
      <c r="JP48" s="985" t="str">
        <f t="shared" si="674"/>
        <v/>
      </c>
      <c r="JQ48" s="985" t="str">
        <f t="shared" si="674"/>
        <v/>
      </c>
      <c r="JR48" s="985" t="str">
        <f t="shared" si="674"/>
        <v/>
      </c>
      <c r="JS48" s="985" t="str">
        <f t="shared" si="674"/>
        <v/>
      </c>
      <c r="JT48" s="985" t="str">
        <f t="shared" si="674"/>
        <v/>
      </c>
      <c r="JU48" s="985" t="str">
        <f t="shared" si="674"/>
        <v/>
      </c>
      <c r="JV48" s="985" t="str">
        <f t="shared" si="674"/>
        <v/>
      </c>
      <c r="JW48" s="985" t="str">
        <f t="shared" si="674"/>
        <v/>
      </c>
      <c r="JX48" s="985" t="str">
        <f t="shared" si="674"/>
        <v/>
      </c>
      <c r="JY48" s="985" t="str">
        <f t="shared" si="674"/>
        <v/>
      </c>
      <c r="JZ48" s="985" t="str">
        <f t="shared" si="674"/>
        <v/>
      </c>
      <c r="KA48" s="985">
        <f t="shared" si="674"/>
        <v>0</v>
      </c>
      <c r="KB48" s="987"/>
      <c r="KC48" s="985" t="str">
        <f t="shared" ref="KC48:KP48" si="675">IF(AND($I48&lt;&gt;""),IF(AND($P48&gt;KB$8,$P48&lt;=KC$8),$N48,""),"")</f>
        <v/>
      </c>
      <c r="KD48" s="985" t="str">
        <f t="shared" si="675"/>
        <v/>
      </c>
      <c r="KE48" s="985" t="str">
        <f t="shared" si="675"/>
        <v/>
      </c>
      <c r="KF48" s="985" t="str">
        <f t="shared" si="675"/>
        <v/>
      </c>
      <c r="KG48" s="985" t="str">
        <f t="shared" si="675"/>
        <v/>
      </c>
      <c r="KH48" s="985" t="str">
        <f t="shared" si="675"/>
        <v/>
      </c>
      <c r="KI48" s="985" t="str">
        <f t="shared" si="675"/>
        <v/>
      </c>
      <c r="KJ48" s="985" t="str">
        <f t="shared" si="675"/>
        <v/>
      </c>
      <c r="KK48" s="985" t="str">
        <f t="shared" si="675"/>
        <v/>
      </c>
      <c r="KL48" s="985" t="str">
        <f t="shared" si="675"/>
        <v/>
      </c>
      <c r="KM48" s="985" t="str">
        <f t="shared" si="675"/>
        <v/>
      </c>
      <c r="KN48" s="985" t="str">
        <f t="shared" si="675"/>
        <v/>
      </c>
      <c r="KO48" s="985" t="str">
        <f t="shared" si="675"/>
        <v/>
      </c>
      <c r="KP48" s="985">
        <f t="shared" si="675"/>
        <v>0</v>
      </c>
    </row>
    <row r="49" spans="1:302" ht="18" customHeight="1">
      <c r="B49" s="978">
        <f t="shared" si="0"/>
        <v>172</v>
      </c>
      <c r="C49" s="979">
        <v>172</v>
      </c>
      <c r="D49" s="979" t="s">
        <v>605</v>
      </c>
      <c r="E49" s="980">
        <v>0</v>
      </c>
      <c r="F49" s="979">
        <v>172</v>
      </c>
      <c r="G49" s="979" t="s">
        <v>605</v>
      </c>
      <c r="H49" s="980">
        <v>0</v>
      </c>
      <c r="I49" s="979" t="s">
        <v>940</v>
      </c>
      <c r="J49" s="979"/>
      <c r="K49" s="980">
        <v>27.294000000000011</v>
      </c>
      <c r="L49" s="980"/>
      <c r="M49" s="980"/>
      <c r="N49" s="980"/>
      <c r="O49" s="980">
        <v>5.81</v>
      </c>
      <c r="P49" s="981">
        <v>5.81</v>
      </c>
      <c r="Q49" s="981">
        <f t="shared" si="1"/>
        <v>158.57814000000005</v>
      </c>
      <c r="R49" s="979" t="s">
        <v>675</v>
      </c>
      <c r="S49" s="979" t="s">
        <v>605</v>
      </c>
      <c r="T49" s="980">
        <v>10</v>
      </c>
      <c r="U49" s="979" t="s">
        <v>701</v>
      </c>
      <c r="V49" s="979" t="s">
        <v>605</v>
      </c>
      <c r="W49" s="980">
        <v>10</v>
      </c>
      <c r="X49" s="989" t="s">
        <v>821</v>
      </c>
      <c r="Y49" s="979"/>
      <c r="Z49" s="979"/>
      <c r="AA49" s="980">
        <v>1.3</v>
      </c>
      <c r="AB49" s="980">
        <f t="shared" si="2"/>
        <v>20.995384615384623</v>
      </c>
      <c r="AC49" s="982" t="str" cm="1">
        <f t="array" ref="AC49">IF(X49&lt;&gt;"",IF(LEFT(X49,SEARCH("-",X49,1)-1)="A.CF","CF",IF(LEFT(X49,SEARCH("-",X49,1)-1)="A.CA","CA",IF(LEFT(X49,SEARCH("-",X49,1)-1)="CL","CL","-"))),IF(Y49&lt;&gt;"",BF,"-"))</f>
        <v>CF</v>
      </c>
      <c r="AD49" s="953"/>
      <c r="AE49" s="983" t="str">
        <f t="shared" si="3"/>
        <v>A</v>
      </c>
      <c r="AF49" s="984" t="str">
        <f t="shared" si="4"/>
        <v>CX</v>
      </c>
      <c r="AG49" s="963"/>
      <c r="AH49" s="985" t="str">
        <f t="shared" si="521"/>
        <v/>
      </c>
      <c r="AI49" s="985" t="str">
        <f t="shared" si="521"/>
        <v/>
      </c>
      <c r="AJ49" s="985" t="str">
        <f t="shared" si="521"/>
        <v/>
      </c>
      <c r="AK49" s="985" t="str">
        <f t="shared" si="521"/>
        <v/>
      </c>
      <c r="AL49" s="985" t="str">
        <f t="shared" si="521"/>
        <v/>
      </c>
      <c r="AM49" s="985" t="str">
        <f t="shared" si="521"/>
        <v/>
      </c>
      <c r="AN49" s="985" t="str">
        <f t="shared" si="521"/>
        <v/>
      </c>
      <c r="AO49" s="985" t="str">
        <f t="shared" si="521"/>
        <v/>
      </c>
      <c r="AP49" s="986"/>
      <c r="AQ49" s="985" t="str">
        <f t="shared" ref="AQ49:BD49" si="676">IF(AND($I49&lt;&gt;"",$AF49="C"),IF(AND($P49&gt;AP$8,$P49&lt;=AQ$8),$K49,""),"")</f>
        <v/>
      </c>
      <c r="AR49" s="985" t="str">
        <f t="shared" si="676"/>
        <v/>
      </c>
      <c r="AS49" s="985" t="str">
        <f t="shared" si="676"/>
        <v/>
      </c>
      <c r="AT49" s="985" t="str">
        <f t="shared" si="676"/>
        <v/>
      </c>
      <c r="AU49" s="985" t="str">
        <f t="shared" si="676"/>
        <v/>
      </c>
      <c r="AV49" s="985" t="str">
        <f t="shared" si="676"/>
        <v/>
      </c>
      <c r="AW49" s="985" t="str">
        <f t="shared" si="676"/>
        <v/>
      </c>
      <c r="AX49" s="985" t="str">
        <f t="shared" si="676"/>
        <v/>
      </c>
      <c r="AY49" s="985" t="str">
        <f t="shared" si="676"/>
        <v/>
      </c>
      <c r="AZ49" s="985" t="str">
        <f t="shared" si="676"/>
        <v/>
      </c>
      <c r="BA49" s="985" t="str">
        <f t="shared" si="676"/>
        <v/>
      </c>
      <c r="BB49" s="985" t="str">
        <f t="shared" si="676"/>
        <v/>
      </c>
      <c r="BC49" s="985" t="str">
        <f t="shared" si="676"/>
        <v/>
      </c>
      <c r="BD49" s="985" t="str">
        <f t="shared" si="676"/>
        <v/>
      </c>
      <c r="BE49" s="987"/>
      <c r="BF49" s="985" t="str">
        <f t="shared" ref="BF49:BS49" si="677">IF(AND($I49&lt;&gt;"",$AF49="C"),IF(AND($P49&gt;BE$8,$P49&lt;=BF$8),$L49,""),"")</f>
        <v/>
      </c>
      <c r="BG49" s="985" t="str">
        <f t="shared" si="677"/>
        <v/>
      </c>
      <c r="BH49" s="985" t="str">
        <f t="shared" si="677"/>
        <v/>
      </c>
      <c r="BI49" s="985" t="str">
        <f t="shared" si="677"/>
        <v/>
      </c>
      <c r="BJ49" s="985" t="str">
        <f t="shared" si="677"/>
        <v/>
      </c>
      <c r="BK49" s="985" t="str">
        <f t="shared" si="677"/>
        <v/>
      </c>
      <c r="BL49" s="985" t="str">
        <f t="shared" si="677"/>
        <v/>
      </c>
      <c r="BM49" s="985" t="str">
        <f t="shared" si="677"/>
        <v/>
      </c>
      <c r="BN49" s="985" t="str">
        <f t="shared" si="677"/>
        <v/>
      </c>
      <c r="BO49" s="985" t="str">
        <f t="shared" si="677"/>
        <v/>
      </c>
      <c r="BP49" s="985" t="str">
        <f t="shared" si="677"/>
        <v/>
      </c>
      <c r="BQ49" s="985" t="str">
        <f t="shared" si="677"/>
        <v/>
      </c>
      <c r="BR49" s="985" t="str">
        <f t="shared" si="677"/>
        <v/>
      </c>
      <c r="BS49" s="985" t="str">
        <f t="shared" si="677"/>
        <v/>
      </c>
      <c r="BU49" s="985" t="str">
        <f t="shared" ref="BU49:CF49" si="678">IF(AND($I49&lt;&gt;"",$AF49="C"),IF(AND($P49&gt;BT$8,$P49&lt;=BU$8),$M49,""),"")</f>
        <v/>
      </c>
      <c r="BV49" s="985" t="str">
        <f t="shared" si="678"/>
        <v/>
      </c>
      <c r="BW49" s="985" t="str">
        <f t="shared" si="678"/>
        <v/>
      </c>
      <c r="BX49" s="985" t="str">
        <f t="shared" si="678"/>
        <v/>
      </c>
      <c r="BY49" s="985" t="str">
        <f t="shared" si="678"/>
        <v/>
      </c>
      <c r="BZ49" s="985" t="str">
        <f t="shared" si="678"/>
        <v/>
      </c>
      <c r="CA49" s="985" t="str">
        <f t="shared" si="678"/>
        <v/>
      </c>
      <c r="CB49" s="985" t="str">
        <f t="shared" si="678"/>
        <v/>
      </c>
      <c r="CC49" s="985" t="str">
        <f t="shared" si="678"/>
        <v/>
      </c>
      <c r="CD49" s="985" t="str">
        <f t="shared" si="678"/>
        <v/>
      </c>
      <c r="CE49" s="985" t="str">
        <f t="shared" si="678"/>
        <v/>
      </c>
      <c r="CF49" s="985" t="str">
        <f t="shared" si="678"/>
        <v/>
      </c>
      <c r="CG49" s="987"/>
      <c r="CH49" s="985" t="str">
        <f t="shared" si="525"/>
        <v/>
      </c>
      <c r="CI49" s="985" t="str">
        <f t="shared" si="525"/>
        <v/>
      </c>
      <c r="CJ49" s="985" t="str">
        <f t="shared" si="525"/>
        <v/>
      </c>
      <c r="CK49" s="985" t="str">
        <f t="shared" si="525"/>
        <v/>
      </c>
      <c r="CL49" s="985" t="str">
        <f t="shared" si="525"/>
        <v/>
      </c>
      <c r="CM49" s="985" t="str">
        <f t="shared" si="525"/>
        <v/>
      </c>
      <c r="CN49" s="985" t="str">
        <f t="shared" si="525"/>
        <v/>
      </c>
      <c r="CP49" s="988" t="str">
        <f t="shared" ref="CP49:DC49" si="679">IF(AND($I49&lt;&gt;"",OR($AF49="ELE",$AF49="ELD",$AF49="CX")),IF(AND($P49&gt;CO$8,$P49&lt;=CP$8),$K49,""),"")</f>
        <v/>
      </c>
      <c r="CQ49" s="988" t="str">
        <f t="shared" si="679"/>
        <v/>
      </c>
      <c r="CR49" s="988" t="str">
        <f t="shared" si="679"/>
        <v/>
      </c>
      <c r="CS49" s="988" t="str">
        <f t="shared" si="679"/>
        <v/>
      </c>
      <c r="CT49" s="988" t="str">
        <f t="shared" si="679"/>
        <v/>
      </c>
      <c r="CU49" s="988" t="str">
        <f t="shared" si="679"/>
        <v/>
      </c>
      <c r="CV49" s="988" t="str">
        <f t="shared" si="679"/>
        <v/>
      </c>
      <c r="CW49" s="988" t="str">
        <f t="shared" si="679"/>
        <v/>
      </c>
      <c r="CX49" s="988" t="str">
        <f t="shared" si="679"/>
        <v/>
      </c>
      <c r="CY49" s="988" t="str">
        <f t="shared" si="679"/>
        <v/>
      </c>
      <c r="CZ49" s="988" t="str">
        <f t="shared" si="679"/>
        <v/>
      </c>
      <c r="DA49" s="988" t="str">
        <f t="shared" si="679"/>
        <v/>
      </c>
      <c r="DB49" s="988" t="str">
        <f t="shared" si="679"/>
        <v/>
      </c>
      <c r="DC49" s="988">
        <f t="shared" si="679"/>
        <v>27.294000000000011</v>
      </c>
      <c r="DE49" s="988" t="str">
        <f t="shared" ref="DE49:DR49" si="680">IF(AND($X49&lt;&gt;"",$AC49="CF"),IF(AND($P49&gt;DD$8,$P49&lt;=DE$8),$AB49,""),"")</f>
        <v/>
      </c>
      <c r="DF49" s="988" t="str">
        <f t="shared" si="680"/>
        <v/>
      </c>
      <c r="DG49" s="988" t="str">
        <f t="shared" si="680"/>
        <v/>
      </c>
      <c r="DH49" s="988" t="str">
        <f t="shared" si="680"/>
        <v/>
      </c>
      <c r="DI49" s="988" t="str">
        <f t="shared" si="680"/>
        <v/>
      </c>
      <c r="DJ49" s="988" t="str">
        <f t="shared" si="680"/>
        <v/>
      </c>
      <c r="DK49" s="988" t="str">
        <f t="shared" si="680"/>
        <v/>
      </c>
      <c r="DL49" s="988" t="str">
        <f t="shared" si="680"/>
        <v/>
      </c>
      <c r="DM49" s="988" t="str">
        <f t="shared" si="680"/>
        <v/>
      </c>
      <c r="DN49" s="988" t="str">
        <f t="shared" si="680"/>
        <v/>
      </c>
      <c r="DO49" s="988" t="str">
        <f t="shared" si="680"/>
        <v/>
      </c>
      <c r="DP49" s="988" t="str">
        <f t="shared" si="680"/>
        <v/>
      </c>
      <c r="DQ49" s="988" t="str">
        <f t="shared" si="680"/>
        <v/>
      </c>
      <c r="DR49" s="988">
        <f t="shared" si="680"/>
        <v>20.995384615384623</v>
      </c>
      <c r="DT49" s="988" t="str">
        <f t="shared" ref="DT49:EG49" si="681">IF(AND($X49&lt;&gt;"",$AC49="CA"),IF(AND($P49&gt;DS$8,$P49&lt;=DT$8),$AB49,""),"")</f>
        <v/>
      </c>
      <c r="DU49" s="988" t="str">
        <f t="shared" si="681"/>
        <v/>
      </c>
      <c r="DV49" s="988" t="str">
        <f t="shared" si="681"/>
        <v/>
      </c>
      <c r="DW49" s="988" t="str">
        <f t="shared" si="681"/>
        <v/>
      </c>
      <c r="DX49" s="988" t="str">
        <f t="shared" si="681"/>
        <v/>
      </c>
      <c r="DY49" s="988" t="str">
        <f t="shared" si="681"/>
        <v/>
      </c>
      <c r="DZ49" s="988" t="str">
        <f t="shared" si="681"/>
        <v/>
      </c>
      <c r="EA49" s="988" t="str">
        <f t="shared" si="681"/>
        <v/>
      </c>
      <c r="EB49" s="988" t="str">
        <f t="shared" si="681"/>
        <v/>
      </c>
      <c r="EC49" s="988" t="str">
        <f t="shared" si="681"/>
        <v/>
      </c>
      <c r="ED49" s="988" t="str">
        <f t="shared" si="681"/>
        <v/>
      </c>
      <c r="EE49" s="988" t="str">
        <f t="shared" si="681"/>
        <v/>
      </c>
      <c r="EF49" s="988" t="str">
        <f t="shared" si="681"/>
        <v/>
      </c>
      <c r="EG49" s="988" t="str">
        <f t="shared" si="681"/>
        <v/>
      </c>
      <c r="EI49" s="988" t="str">
        <f t="shared" ref="EI49:EV49" si="682">IF($AE49="BFC",IF(AND($P49&gt;EH$8,$P49&lt;=EI$8),$AB49,""),"")</f>
        <v/>
      </c>
      <c r="EJ49" s="988" t="str">
        <f t="shared" si="682"/>
        <v/>
      </c>
      <c r="EK49" s="988" t="str">
        <f t="shared" si="682"/>
        <v/>
      </c>
      <c r="EL49" s="988" t="str">
        <f t="shared" si="682"/>
        <v/>
      </c>
      <c r="EM49" s="988" t="str">
        <f t="shared" si="682"/>
        <v/>
      </c>
      <c r="EN49" s="988" t="str">
        <f t="shared" si="682"/>
        <v/>
      </c>
      <c r="EO49" s="988" t="str">
        <f t="shared" si="682"/>
        <v/>
      </c>
      <c r="EP49" s="988" t="str">
        <f t="shared" si="682"/>
        <v/>
      </c>
      <c r="EQ49" s="988" t="str">
        <f t="shared" si="682"/>
        <v/>
      </c>
      <c r="ER49" s="988" t="str">
        <f t="shared" si="682"/>
        <v/>
      </c>
      <c r="ES49" s="988" t="str">
        <f t="shared" si="682"/>
        <v/>
      </c>
      <c r="ET49" s="988" t="str">
        <f t="shared" si="682"/>
        <v/>
      </c>
      <c r="EU49" s="988" t="str">
        <f t="shared" si="682"/>
        <v/>
      </c>
      <c r="EV49" s="988" t="str">
        <f t="shared" si="682"/>
        <v/>
      </c>
      <c r="EX49" s="988" t="str">
        <f t="shared" ref="EX49:FK49" si="683">IF($AE49="BFN",IF(AND($P49&gt;EW$8,$P49&lt;=EX$8),$AB49,""),"")</f>
        <v/>
      </c>
      <c r="EY49" s="988" t="str">
        <f t="shared" si="683"/>
        <v/>
      </c>
      <c r="EZ49" s="988" t="str">
        <f t="shared" si="683"/>
        <v/>
      </c>
      <c r="FA49" s="988" t="str">
        <f t="shared" si="683"/>
        <v/>
      </c>
      <c r="FB49" s="988" t="str">
        <f t="shared" si="683"/>
        <v/>
      </c>
      <c r="FC49" s="988" t="str">
        <f t="shared" si="683"/>
        <v/>
      </c>
      <c r="FD49" s="988" t="str">
        <f t="shared" si="683"/>
        <v/>
      </c>
      <c r="FE49" s="988" t="str">
        <f t="shared" si="683"/>
        <v/>
      </c>
      <c r="FF49" s="988" t="str">
        <f t="shared" si="683"/>
        <v/>
      </c>
      <c r="FG49" s="988" t="str">
        <f t="shared" si="683"/>
        <v/>
      </c>
      <c r="FH49" s="988" t="str">
        <f t="shared" si="683"/>
        <v/>
      </c>
      <c r="FI49" s="988" t="str">
        <f t="shared" si="683"/>
        <v/>
      </c>
      <c r="FJ49" s="988" t="str">
        <f t="shared" si="683"/>
        <v/>
      </c>
      <c r="FK49" s="988" t="str">
        <f t="shared" si="683"/>
        <v/>
      </c>
      <c r="FM49" s="988" t="str">
        <f t="shared" ref="FM49:FZ49" si="684">IF(AND($I49&lt;&gt;"",$AF49="RCS"),IF(AND($P49&gt;FL$8,$P49&lt;=FM$8),SUM($K49:$M49),""),"")</f>
        <v/>
      </c>
      <c r="FN49" s="988" t="str">
        <f t="shared" si="684"/>
        <v/>
      </c>
      <c r="FO49" s="988" t="str">
        <f t="shared" si="684"/>
        <v/>
      </c>
      <c r="FP49" s="988" t="str">
        <f t="shared" si="684"/>
        <v/>
      </c>
      <c r="FQ49" s="988" t="str">
        <f t="shared" si="684"/>
        <v/>
      </c>
      <c r="FR49" s="988" t="str">
        <f t="shared" si="684"/>
        <v/>
      </c>
      <c r="FS49" s="988" t="str">
        <f t="shared" si="684"/>
        <v/>
      </c>
      <c r="FT49" s="988" t="str">
        <f t="shared" si="684"/>
        <v/>
      </c>
      <c r="FU49" s="988" t="str">
        <f t="shared" si="684"/>
        <v/>
      </c>
      <c r="FV49" s="988" t="str">
        <f t="shared" si="684"/>
        <v/>
      </c>
      <c r="FW49" s="988" t="str">
        <f t="shared" si="684"/>
        <v/>
      </c>
      <c r="FX49" s="988" t="str">
        <f t="shared" si="684"/>
        <v/>
      </c>
      <c r="FY49" s="988" t="str">
        <f t="shared" si="684"/>
        <v/>
      </c>
      <c r="FZ49" s="988" t="str">
        <f t="shared" si="684"/>
        <v/>
      </c>
      <c r="GB49" s="988" t="str">
        <f t="shared" ref="GB49:GO49" si="685">IF(AND($I49&lt;&gt;"",$AF49="REC"),IF(AND($P49&gt;GA$8,$P49&lt;=GB$8),SUM($K49:$M49),""),"")</f>
        <v/>
      </c>
      <c r="GC49" s="988" t="str">
        <f t="shared" si="685"/>
        <v/>
      </c>
      <c r="GD49" s="988" t="str">
        <f t="shared" si="685"/>
        <v/>
      </c>
      <c r="GE49" s="988" t="str">
        <f t="shared" si="685"/>
        <v/>
      </c>
      <c r="GF49" s="988" t="str">
        <f t="shared" si="685"/>
        <v/>
      </c>
      <c r="GG49" s="988" t="str">
        <f t="shared" si="685"/>
        <v/>
      </c>
      <c r="GH49" s="988" t="str">
        <f t="shared" si="685"/>
        <v/>
      </c>
      <c r="GI49" s="988" t="str">
        <f t="shared" si="685"/>
        <v/>
      </c>
      <c r="GJ49" s="988" t="str">
        <f t="shared" si="685"/>
        <v/>
      </c>
      <c r="GK49" s="988" t="str">
        <f t="shared" si="685"/>
        <v/>
      </c>
      <c r="GL49" s="988" t="str">
        <f t="shared" si="685"/>
        <v/>
      </c>
      <c r="GM49" s="988" t="str">
        <f t="shared" si="685"/>
        <v/>
      </c>
      <c r="GN49" s="988" t="str">
        <f t="shared" si="685"/>
        <v/>
      </c>
      <c r="GO49" s="988" t="str">
        <f t="shared" si="685"/>
        <v/>
      </c>
      <c r="GQ49" s="988" t="str">
        <f t="shared" ref="GQ49:HD49" si="686">IF(AND($I49&lt;&gt;"",$AF49="REB"),IF(AND($P49&gt;GP$8,$P49&lt;=GQ$8),SUM($K49:$M49),""),"")</f>
        <v/>
      </c>
      <c r="GR49" s="988" t="str">
        <f t="shared" si="686"/>
        <v/>
      </c>
      <c r="GS49" s="988" t="str">
        <f t="shared" si="686"/>
        <v/>
      </c>
      <c r="GT49" s="988" t="str">
        <f t="shared" si="686"/>
        <v/>
      </c>
      <c r="GU49" s="988" t="str">
        <f t="shared" si="686"/>
        <v/>
      </c>
      <c r="GV49" s="988" t="str">
        <f t="shared" si="686"/>
        <v/>
      </c>
      <c r="GW49" s="988" t="str">
        <f t="shared" si="686"/>
        <v/>
      </c>
      <c r="GX49" s="988" t="str">
        <f t="shared" si="686"/>
        <v/>
      </c>
      <c r="GY49" s="988" t="str">
        <f t="shared" si="686"/>
        <v/>
      </c>
      <c r="GZ49" s="988" t="str">
        <f t="shared" si="686"/>
        <v/>
      </c>
      <c r="HA49" s="988" t="str">
        <f t="shared" si="686"/>
        <v/>
      </c>
      <c r="HB49" s="988" t="str">
        <f t="shared" si="686"/>
        <v/>
      </c>
      <c r="HC49" s="988" t="str">
        <f t="shared" si="686"/>
        <v/>
      </c>
      <c r="HD49" s="988" t="str">
        <f t="shared" si="686"/>
        <v/>
      </c>
      <c r="HF49" s="988" t="str">
        <f t="shared" ref="HF49:HS49" si="687">IF(AND($I49&lt;&gt;"",$AF49="RBS"),IF(AND($P49&gt;HE$8,$P49&lt;=HF$8),SUM($K49:$M49),""),"")</f>
        <v/>
      </c>
      <c r="HG49" s="988" t="str">
        <f t="shared" si="687"/>
        <v/>
      </c>
      <c r="HH49" s="988" t="str">
        <f t="shared" si="687"/>
        <v/>
      </c>
      <c r="HI49" s="988" t="str">
        <f t="shared" si="687"/>
        <v/>
      </c>
      <c r="HJ49" s="988" t="str">
        <f t="shared" si="687"/>
        <v/>
      </c>
      <c r="HK49" s="988" t="str">
        <f t="shared" si="687"/>
        <v/>
      </c>
      <c r="HL49" s="988" t="str">
        <f t="shared" si="687"/>
        <v/>
      </c>
      <c r="HM49" s="988" t="str">
        <f t="shared" si="687"/>
        <v/>
      </c>
      <c r="HN49" s="988" t="str">
        <f t="shared" si="687"/>
        <v/>
      </c>
      <c r="HO49" s="988" t="str">
        <f t="shared" si="687"/>
        <v/>
      </c>
      <c r="HP49" s="988" t="str">
        <f t="shared" si="687"/>
        <v/>
      </c>
      <c r="HQ49" s="988" t="str">
        <f t="shared" si="687"/>
        <v/>
      </c>
      <c r="HR49" s="988" t="str">
        <f t="shared" si="687"/>
        <v/>
      </c>
      <c r="HS49" s="988" t="str">
        <f t="shared" si="687"/>
        <v/>
      </c>
      <c r="HU49" s="988" t="str">
        <f t="shared" ref="HU49:IH49" si="688">IF(AND($I49&lt;&gt;"",$AF49="RCD"),IF(AND($P49&gt;HT$8,$P49&lt;=HU$8),SUM($K49:$M49),""),"")</f>
        <v/>
      </c>
      <c r="HV49" s="988" t="str">
        <f t="shared" si="688"/>
        <v/>
      </c>
      <c r="HW49" s="988" t="str">
        <f t="shared" si="688"/>
        <v/>
      </c>
      <c r="HX49" s="988" t="str">
        <f t="shared" si="688"/>
        <v/>
      </c>
      <c r="HY49" s="988" t="str">
        <f t="shared" si="688"/>
        <v/>
      </c>
      <c r="HZ49" s="988" t="str">
        <f t="shared" si="688"/>
        <v/>
      </c>
      <c r="IA49" s="988" t="str">
        <f t="shared" si="688"/>
        <v/>
      </c>
      <c r="IB49" s="988" t="str">
        <f t="shared" si="688"/>
        <v/>
      </c>
      <c r="IC49" s="988" t="str">
        <f t="shared" si="688"/>
        <v/>
      </c>
      <c r="ID49" s="988" t="str">
        <f t="shared" si="688"/>
        <v/>
      </c>
      <c r="IE49" s="988" t="str">
        <f t="shared" si="688"/>
        <v/>
      </c>
      <c r="IF49" s="988" t="str">
        <f t="shared" si="688"/>
        <v/>
      </c>
      <c r="IG49" s="988" t="str">
        <f t="shared" si="688"/>
        <v/>
      </c>
      <c r="IH49" s="988" t="str">
        <f t="shared" si="688"/>
        <v/>
      </c>
      <c r="IJ49" s="985" t="str">
        <f t="shared" ref="IJ49:IW49" si="689">IF(AND($I49&lt;&gt;""),IF(AND($P49&gt;II$8,$P49&lt;=IJ$8),$K49,""),"")</f>
        <v/>
      </c>
      <c r="IK49" s="985" t="str">
        <f t="shared" si="689"/>
        <v/>
      </c>
      <c r="IL49" s="985" t="str">
        <f t="shared" si="689"/>
        <v/>
      </c>
      <c r="IM49" s="985" t="str">
        <f t="shared" si="689"/>
        <v/>
      </c>
      <c r="IN49" s="985" t="str">
        <f t="shared" si="689"/>
        <v/>
      </c>
      <c r="IO49" s="985" t="str">
        <f t="shared" si="689"/>
        <v/>
      </c>
      <c r="IP49" s="985" t="str">
        <f t="shared" si="689"/>
        <v/>
      </c>
      <c r="IQ49" s="985" t="str">
        <f t="shared" si="689"/>
        <v/>
      </c>
      <c r="IR49" s="985" t="str">
        <f t="shared" si="689"/>
        <v/>
      </c>
      <c r="IS49" s="985" t="str">
        <f t="shared" si="689"/>
        <v/>
      </c>
      <c r="IT49" s="985" t="str">
        <f t="shared" si="689"/>
        <v/>
      </c>
      <c r="IU49" s="985" t="str">
        <f t="shared" si="689"/>
        <v/>
      </c>
      <c r="IV49" s="985" t="str">
        <f t="shared" si="689"/>
        <v/>
      </c>
      <c r="IW49" s="985">
        <f t="shared" si="689"/>
        <v>27.294000000000011</v>
      </c>
      <c r="IX49" s="987"/>
      <c r="IY49" s="985" t="str">
        <f t="shared" ref="IY49:JL49" si="690">IF(AND($I49&lt;&gt;""),IF(AND($P49&gt;IX$8,$P49&lt;=IY$8),$L49,""),"")</f>
        <v/>
      </c>
      <c r="IZ49" s="985" t="str">
        <f t="shared" si="690"/>
        <v/>
      </c>
      <c r="JA49" s="985" t="str">
        <f t="shared" si="690"/>
        <v/>
      </c>
      <c r="JB49" s="985" t="str">
        <f t="shared" si="690"/>
        <v/>
      </c>
      <c r="JC49" s="985" t="str">
        <f t="shared" si="690"/>
        <v/>
      </c>
      <c r="JD49" s="985" t="str">
        <f t="shared" si="690"/>
        <v/>
      </c>
      <c r="JE49" s="985" t="str">
        <f t="shared" si="690"/>
        <v/>
      </c>
      <c r="JF49" s="985" t="str">
        <f t="shared" si="690"/>
        <v/>
      </c>
      <c r="JG49" s="985" t="str">
        <f t="shared" si="690"/>
        <v/>
      </c>
      <c r="JH49" s="985" t="str">
        <f t="shared" si="690"/>
        <v/>
      </c>
      <c r="JI49" s="985" t="str">
        <f t="shared" si="690"/>
        <v/>
      </c>
      <c r="JJ49" s="985" t="str">
        <f t="shared" si="690"/>
        <v/>
      </c>
      <c r="JK49" s="985" t="str">
        <f t="shared" si="690"/>
        <v/>
      </c>
      <c r="JL49" s="985">
        <f t="shared" si="690"/>
        <v>0</v>
      </c>
      <c r="JM49" s="987"/>
      <c r="JN49" s="985" t="str">
        <f t="shared" ref="JN49:KA49" si="691">IF(AND($I49&lt;&gt;""),IF(AND($P49&gt;JM$8,$P49&lt;=JN$8),$M49,""),"")</f>
        <v/>
      </c>
      <c r="JO49" s="985" t="str">
        <f t="shared" si="691"/>
        <v/>
      </c>
      <c r="JP49" s="985" t="str">
        <f t="shared" si="691"/>
        <v/>
      </c>
      <c r="JQ49" s="985" t="str">
        <f t="shared" si="691"/>
        <v/>
      </c>
      <c r="JR49" s="985" t="str">
        <f t="shared" si="691"/>
        <v/>
      </c>
      <c r="JS49" s="985" t="str">
        <f t="shared" si="691"/>
        <v/>
      </c>
      <c r="JT49" s="985" t="str">
        <f t="shared" si="691"/>
        <v/>
      </c>
      <c r="JU49" s="985" t="str">
        <f t="shared" si="691"/>
        <v/>
      </c>
      <c r="JV49" s="985" t="str">
        <f t="shared" si="691"/>
        <v/>
      </c>
      <c r="JW49" s="985" t="str">
        <f t="shared" si="691"/>
        <v/>
      </c>
      <c r="JX49" s="985" t="str">
        <f t="shared" si="691"/>
        <v/>
      </c>
      <c r="JY49" s="985" t="str">
        <f t="shared" si="691"/>
        <v/>
      </c>
      <c r="JZ49" s="985" t="str">
        <f t="shared" si="691"/>
        <v/>
      </c>
      <c r="KA49" s="985">
        <f t="shared" si="691"/>
        <v>0</v>
      </c>
      <c r="KB49" s="987"/>
      <c r="KC49" s="985" t="str">
        <f t="shared" ref="KC49:KP49" si="692">IF(AND($I49&lt;&gt;""),IF(AND($P49&gt;KB$8,$P49&lt;=KC$8),$N49,""),"")</f>
        <v/>
      </c>
      <c r="KD49" s="985" t="str">
        <f t="shared" si="692"/>
        <v/>
      </c>
      <c r="KE49" s="985" t="str">
        <f t="shared" si="692"/>
        <v/>
      </c>
      <c r="KF49" s="985" t="str">
        <f t="shared" si="692"/>
        <v/>
      </c>
      <c r="KG49" s="985" t="str">
        <f t="shared" si="692"/>
        <v/>
      </c>
      <c r="KH49" s="985" t="str">
        <f t="shared" si="692"/>
        <v/>
      </c>
      <c r="KI49" s="985" t="str">
        <f t="shared" si="692"/>
        <v/>
      </c>
      <c r="KJ49" s="985" t="str">
        <f t="shared" si="692"/>
        <v/>
      </c>
      <c r="KK49" s="985" t="str">
        <f t="shared" si="692"/>
        <v/>
      </c>
      <c r="KL49" s="985" t="str">
        <f t="shared" si="692"/>
        <v/>
      </c>
      <c r="KM49" s="985" t="str">
        <f t="shared" si="692"/>
        <v/>
      </c>
      <c r="KN49" s="985" t="str">
        <f t="shared" si="692"/>
        <v/>
      </c>
      <c r="KO49" s="985" t="str">
        <f t="shared" si="692"/>
        <v/>
      </c>
      <c r="KP49" s="985">
        <f t="shared" si="692"/>
        <v>0</v>
      </c>
    </row>
    <row r="50" spans="1:302" ht="18" customHeight="1">
      <c r="B50" s="978">
        <f t="shared" si="0"/>
        <v>172</v>
      </c>
      <c r="C50" s="979">
        <v>172</v>
      </c>
      <c r="D50" s="979" t="s">
        <v>605</v>
      </c>
      <c r="E50" s="980">
        <v>0</v>
      </c>
      <c r="F50" s="979">
        <v>172</v>
      </c>
      <c r="G50" s="979" t="s">
        <v>605</v>
      </c>
      <c r="H50" s="980">
        <v>0</v>
      </c>
      <c r="I50" s="979" t="s">
        <v>940</v>
      </c>
      <c r="J50" s="979"/>
      <c r="K50" s="980">
        <v>96.317000000000007</v>
      </c>
      <c r="L50" s="980"/>
      <c r="M50" s="980"/>
      <c r="N50" s="980"/>
      <c r="O50" s="980">
        <v>6.9499999999999993</v>
      </c>
      <c r="P50" s="981">
        <v>6.9499999999999993</v>
      </c>
      <c r="Q50" s="981">
        <f t="shared" si="1"/>
        <v>669.40314999999998</v>
      </c>
      <c r="R50" s="979" t="s">
        <v>654</v>
      </c>
      <c r="S50" s="979" t="s">
        <v>605</v>
      </c>
      <c r="T50" s="980">
        <v>10</v>
      </c>
      <c r="U50" s="979" t="s">
        <v>665</v>
      </c>
      <c r="V50" s="979" t="s">
        <v>605</v>
      </c>
      <c r="W50" s="980">
        <v>10</v>
      </c>
      <c r="X50" s="989" t="s">
        <v>816</v>
      </c>
      <c r="Y50" s="979"/>
      <c r="Z50" s="979"/>
      <c r="AA50" s="980">
        <v>1.3</v>
      </c>
      <c r="AB50" s="980">
        <f t="shared" si="2"/>
        <v>74.09</v>
      </c>
      <c r="AC50" s="982" t="str" cm="1">
        <f t="array" ref="AC50">IF(X50&lt;&gt;"",IF(LEFT(X50,SEARCH("-",X50,1)-1)="A.CF","CF",IF(LEFT(X50,SEARCH("-",X50,1)-1)="A.CA","CA",IF(LEFT(X50,SEARCH("-",X50,1)-1)="CL","CL","-"))),IF(Y50&lt;&gt;"",BF,"-"))</f>
        <v>CF</v>
      </c>
      <c r="AD50" s="953"/>
      <c r="AE50" s="983" t="str">
        <f t="shared" si="3"/>
        <v>A</v>
      </c>
      <c r="AF50" s="984" t="str">
        <f t="shared" si="4"/>
        <v>CX</v>
      </c>
      <c r="AG50" s="963"/>
      <c r="AH50" s="985" t="str">
        <f t="shared" ref="AH50:AO55" si="693">IF(AND($I50&lt;&gt;"",$AF50="CL"),IF(AND($P50&gt;AG$8,$P50&lt;=AH$8),$K50,""),"")</f>
        <v/>
      </c>
      <c r="AI50" s="985" t="str">
        <f t="shared" si="693"/>
        <v/>
      </c>
      <c r="AJ50" s="985" t="str">
        <f t="shared" si="693"/>
        <v/>
      </c>
      <c r="AK50" s="985" t="str">
        <f t="shared" si="693"/>
        <v/>
      </c>
      <c r="AL50" s="985" t="str">
        <f t="shared" si="693"/>
        <v/>
      </c>
      <c r="AM50" s="985" t="str">
        <f t="shared" si="693"/>
        <v/>
      </c>
      <c r="AN50" s="985" t="str">
        <f t="shared" si="693"/>
        <v/>
      </c>
      <c r="AO50" s="985" t="str">
        <f t="shared" si="693"/>
        <v/>
      </c>
      <c r="AP50" s="986"/>
      <c r="AQ50" s="985" t="str">
        <f t="shared" ref="AQ50:BD50" si="694">IF(AND($I50&lt;&gt;"",$AF50="C"),IF(AND($P50&gt;AP$8,$P50&lt;=AQ$8),$K50,""),"")</f>
        <v/>
      </c>
      <c r="AR50" s="985" t="str">
        <f t="shared" si="694"/>
        <v/>
      </c>
      <c r="AS50" s="985" t="str">
        <f t="shared" si="694"/>
        <v/>
      </c>
      <c r="AT50" s="985" t="str">
        <f t="shared" si="694"/>
        <v/>
      </c>
      <c r="AU50" s="985" t="str">
        <f t="shared" si="694"/>
        <v/>
      </c>
      <c r="AV50" s="985" t="str">
        <f t="shared" si="694"/>
        <v/>
      </c>
      <c r="AW50" s="985" t="str">
        <f t="shared" si="694"/>
        <v/>
      </c>
      <c r="AX50" s="985" t="str">
        <f t="shared" si="694"/>
        <v/>
      </c>
      <c r="AY50" s="985" t="str">
        <f t="shared" si="694"/>
        <v/>
      </c>
      <c r="AZ50" s="985" t="str">
        <f t="shared" si="694"/>
        <v/>
      </c>
      <c r="BA50" s="985" t="str">
        <f t="shared" si="694"/>
        <v/>
      </c>
      <c r="BB50" s="985" t="str">
        <f t="shared" si="694"/>
        <v/>
      </c>
      <c r="BC50" s="985" t="str">
        <f t="shared" si="694"/>
        <v/>
      </c>
      <c r="BD50" s="985" t="str">
        <f t="shared" si="694"/>
        <v/>
      </c>
      <c r="BE50" s="987"/>
      <c r="BF50" s="985" t="str">
        <f t="shared" ref="BF50:BS50" si="695">IF(AND($I50&lt;&gt;"",$AF50="C"),IF(AND($P50&gt;BE$8,$P50&lt;=BF$8),$L50,""),"")</f>
        <v/>
      </c>
      <c r="BG50" s="985" t="str">
        <f t="shared" si="695"/>
        <v/>
      </c>
      <c r="BH50" s="985" t="str">
        <f t="shared" si="695"/>
        <v/>
      </c>
      <c r="BI50" s="985" t="str">
        <f t="shared" si="695"/>
        <v/>
      </c>
      <c r="BJ50" s="985" t="str">
        <f t="shared" si="695"/>
        <v/>
      </c>
      <c r="BK50" s="985" t="str">
        <f t="shared" si="695"/>
        <v/>
      </c>
      <c r="BL50" s="985" t="str">
        <f t="shared" si="695"/>
        <v/>
      </c>
      <c r="BM50" s="985" t="str">
        <f t="shared" si="695"/>
        <v/>
      </c>
      <c r="BN50" s="985" t="str">
        <f t="shared" si="695"/>
        <v/>
      </c>
      <c r="BO50" s="985" t="str">
        <f t="shared" si="695"/>
        <v/>
      </c>
      <c r="BP50" s="985" t="str">
        <f t="shared" si="695"/>
        <v/>
      </c>
      <c r="BQ50" s="985" t="str">
        <f t="shared" si="695"/>
        <v/>
      </c>
      <c r="BR50" s="985" t="str">
        <f t="shared" si="695"/>
        <v/>
      </c>
      <c r="BS50" s="985" t="str">
        <f t="shared" si="695"/>
        <v/>
      </c>
      <c r="BU50" s="985" t="str">
        <f t="shared" ref="BU50:CF50" si="696">IF(AND($I50&lt;&gt;"",$AF50="C"),IF(AND($P50&gt;BT$8,$P50&lt;=BU$8),$M50,""),"")</f>
        <v/>
      </c>
      <c r="BV50" s="985" t="str">
        <f t="shared" si="696"/>
        <v/>
      </c>
      <c r="BW50" s="985" t="str">
        <f t="shared" si="696"/>
        <v/>
      </c>
      <c r="BX50" s="985" t="str">
        <f t="shared" si="696"/>
        <v/>
      </c>
      <c r="BY50" s="985" t="str">
        <f t="shared" si="696"/>
        <v/>
      </c>
      <c r="BZ50" s="985" t="str">
        <f t="shared" si="696"/>
        <v/>
      </c>
      <c r="CA50" s="985" t="str">
        <f t="shared" si="696"/>
        <v/>
      </c>
      <c r="CB50" s="985" t="str">
        <f t="shared" si="696"/>
        <v/>
      </c>
      <c r="CC50" s="985" t="str">
        <f t="shared" si="696"/>
        <v/>
      </c>
      <c r="CD50" s="985" t="str">
        <f t="shared" si="696"/>
        <v/>
      </c>
      <c r="CE50" s="985" t="str">
        <f t="shared" si="696"/>
        <v/>
      </c>
      <c r="CF50" s="985" t="str">
        <f t="shared" si="696"/>
        <v/>
      </c>
      <c r="CG50" s="987"/>
      <c r="CH50" s="985" t="str">
        <f t="shared" ref="CH50:CN55" si="697">IF(AND($I50&lt;&gt;"",$AF50="SM"),IF(AND($P50&gt;CG$8,$P50&lt;=CH$8),$N50,""),"")</f>
        <v/>
      </c>
      <c r="CI50" s="985" t="str">
        <f t="shared" si="697"/>
        <v/>
      </c>
      <c r="CJ50" s="985" t="str">
        <f t="shared" si="697"/>
        <v/>
      </c>
      <c r="CK50" s="985" t="str">
        <f t="shared" si="697"/>
        <v/>
      </c>
      <c r="CL50" s="985" t="str">
        <f t="shared" si="697"/>
        <v/>
      </c>
      <c r="CM50" s="985" t="str">
        <f t="shared" si="697"/>
        <v/>
      </c>
      <c r="CN50" s="985" t="str">
        <f t="shared" si="697"/>
        <v/>
      </c>
      <c r="CP50" s="988" t="str">
        <f t="shared" ref="CP50:DC50" si="698">IF(AND($I50&lt;&gt;"",OR($AF50="ELE",$AF50="ELD",$AF50="CX")),IF(AND($P50&gt;CO$8,$P50&lt;=CP$8),$K50,""),"")</f>
        <v/>
      </c>
      <c r="CQ50" s="988" t="str">
        <f t="shared" si="698"/>
        <v/>
      </c>
      <c r="CR50" s="988" t="str">
        <f t="shared" si="698"/>
        <v/>
      </c>
      <c r="CS50" s="988" t="str">
        <f t="shared" si="698"/>
        <v/>
      </c>
      <c r="CT50" s="988" t="str">
        <f t="shared" si="698"/>
        <v/>
      </c>
      <c r="CU50" s="988" t="str">
        <f t="shared" si="698"/>
        <v/>
      </c>
      <c r="CV50" s="988" t="str">
        <f t="shared" si="698"/>
        <v/>
      </c>
      <c r="CW50" s="988" t="str">
        <f t="shared" si="698"/>
        <v/>
      </c>
      <c r="CX50" s="988" t="str">
        <f t="shared" si="698"/>
        <v/>
      </c>
      <c r="CY50" s="988" t="str">
        <f t="shared" si="698"/>
        <v/>
      </c>
      <c r="CZ50" s="988" t="str">
        <f t="shared" si="698"/>
        <v/>
      </c>
      <c r="DA50" s="988" t="str">
        <f t="shared" si="698"/>
        <v/>
      </c>
      <c r="DB50" s="988" t="str">
        <f t="shared" si="698"/>
        <v/>
      </c>
      <c r="DC50" s="988">
        <f t="shared" si="698"/>
        <v>96.317000000000007</v>
      </c>
      <c r="DE50" s="988" t="str">
        <f t="shared" ref="DE50:DR50" si="699">IF(AND($X50&lt;&gt;"",$AC50="CF"),IF(AND($P50&gt;DD$8,$P50&lt;=DE$8),$AB50,""),"")</f>
        <v/>
      </c>
      <c r="DF50" s="988" t="str">
        <f t="shared" si="699"/>
        <v/>
      </c>
      <c r="DG50" s="988" t="str">
        <f t="shared" si="699"/>
        <v/>
      </c>
      <c r="DH50" s="988" t="str">
        <f t="shared" si="699"/>
        <v/>
      </c>
      <c r="DI50" s="988" t="str">
        <f t="shared" si="699"/>
        <v/>
      </c>
      <c r="DJ50" s="988" t="str">
        <f t="shared" si="699"/>
        <v/>
      </c>
      <c r="DK50" s="988" t="str">
        <f t="shared" si="699"/>
        <v/>
      </c>
      <c r="DL50" s="988" t="str">
        <f t="shared" si="699"/>
        <v/>
      </c>
      <c r="DM50" s="988" t="str">
        <f t="shared" si="699"/>
        <v/>
      </c>
      <c r="DN50" s="988" t="str">
        <f t="shared" si="699"/>
        <v/>
      </c>
      <c r="DO50" s="988" t="str">
        <f t="shared" si="699"/>
        <v/>
      </c>
      <c r="DP50" s="988" t="str">
        <f t="shared" si="699"/>
        <v/>
      </c>
      <c r="DQ50" s="988" t="str">
        <f t="shared" si="699"/>
        <v/>
      </c>
      <c r="DR50" s="988">
        <f t="shared" si="699"/>
        <v>74.09</v>
      </c>
      <c r="DT50" s="988" t="str">
        <f t="shared" ref="DT50:EG50" si="700">IF(AND($X50&lt;&gt;"",$AC50="CA"),IF(AND($P50&gt;DS$8,$P50&lt;=DT$8),$AB50,""),"")</f>
        <v/>
      </c>
      <c r="DU50" s="988" t="str">
        <f t="shared" si="700"/>
        <v/>
      </c>
      <c r="DV50" s="988" t="str">
        <f t="shared" si="700"/>
        <v/>
      </c>
      <c r="DW50" s="988" t="str">
        <f t="shared" si="700"/>
        <v/>
      </c>
      <c r="DX50" s="988" t="str">
        <f t="shared" si="700"/>
        <v/>
      </c>
      <c r="DY50" s="988" t="str">
        <f t="shared" si="700"/>
        <v/>
      </c>
      <c r="DZ50" s="988" t="str">
        <f t="shared" si="700"/>
        <v/>
      </c>
      <c r="EA50" s="988" t="str">
        <f t="shared" si="700"/>
        <v/>
      </c>
      <c r="EB50" s="988" t="str">
        <f t="shared" si="700"/>
        <v/>
      </c>
      <c r="EC50" s="988" t="str">
        <f t="shared" si="700"/>
        <v/>
      </c>
      <c r="ED50" s="988" t="str">
        <f t="shared" si="700"/>
        <v/>
      </c>
      <c r="EE50" s="988" t="str">
        <f t="shared" si="700"/>
        <v/>
      </c>
      <c r="EF50" s="988" t="str">
        <f t="shared" si="700"/>
        <v/>
      </c>
      <c r="EG50" s="988" t="str">
        <f t="shared" si="700"/>
        <v/>
      </c>
      <c r="EI50" s="988" t="str">
        <f t="shared" ref="EI50:EV50" si="701">IF($AE50="BFC",IF(AND($P50&gt;EH$8,$P50&lt;=EI$8),$AB50,""),"")</f>
        <v/>
      </c>
      <c r="EJ50" s="988" t="str">
        <f t="shared" si="701"/>
        <v/>
      </c>
      <c r="EK50" s="988" t="str">
        <f t="shared" si="701"/>
        <v/>
      </c>
      <c r="EL50" s="988" t="str">
        <f t="shared" si="701"/>
        <v/>
      </c>
      <c r="EM50" s="988" t="str">
        <f t="shared" si="701"/>
        <v/>
      </c>
      <c r="EN50" s="988" t="str">
        <f t="shared" si="701"/>
        <v/>
      </c>
      <c r="EO50" s="988" t="str">
        <f t="shared" si="701"/>
        <v/>
      </c>
      <c r="EP50" s="988" t="str">
        <f t="shared" si="701"/>
        <v/>
      </c>
      <c r="EQ50" s="988" t="str">
        <f t="shared" si="701"/>
        <v/>
      </c>
      <c r="ER50" s="988" t="str">
        <f t="shared" si="701"/>
        <v/>
      </c>
      <c r="ES50" s="988" t="str">
        <f t="shared" si="701"/>
        <v/>
      </c>
      <c r="ET50" s="988" t="str">
        <f t="shared" si="701"/>
        <v/>
      </c>
      <c r="EU50" s="988" t="str">
        <f t="shared" si="701"/>
        <v/>
      </c>
      <c r="EV50" s="988" t="str">
        <f t="shared" si="701"/>
        <v/>
      </c>
      <c r="EX50" s="988" t="str">
        <f t="shared" ref="EX50:FK50" si="702">IF($AE50="BFN",IF(AND($P50&gt;EW$8,$P50&lt;=EX$8),$AB50,""),"")</f>
        <v/>
      </c>
      <c r="EY50" s="988" t="str">
        <f t="shared" si="702"/>
        <v/>
      </c>
      <c r="EZ50" s="988" t="str">
        <f t="shared" si="702"/>
        <v/>
      </c>
      <c r="FA50" s="988" t="str">
        <f t="shared" si="702"/>
        <v/>
      </c>
      <c r="FB50" s="988" t="str">
        <f t="shared" si="702"/>
        <v/>
      </c>
      <c r="FC50" s="988" t="str">
        <f t="shared" si="702"/>
        <v/>
      </c>
      <c r="FD50" s="988" t="str">
        <f t="shared" si="702"/>
        <v/>
      </c>
      <c r="FE50" s="988" t="str">
        <f t="shared" si="702"/>
        <v/>
      </c>
      <c r="FF50" s="988" t="str">
        <f t="shared" si="702"/>
        <v/>
      </c>
      <c r="FG50" s="988" t="str">
        <f t="shared" si="702"/>
        <v/>
      </c>
      <c r="FH50" s="988" t="str">
        <f t="shared" si="702"/>
        <v/>
      </c>
      <c r="FI50" s="988" t="str">
        <f t="shared" si="702"/>
        <v/>
      </c>
      <c r="FJ50" s="988" t="str">
        <f t="shared" si="702"/>
        <v/>
      </c>
      <c r="FK50" s="988" t="str">
        <f t="shared" si="702"/>
        <v/>
      </c>
      <c r="FM50" s="988" t="str">
        <f t="shared" ref="FM50:FZ50" si="703">IF(AND($I50&lt;&gt;"",$AF50="RCS"),IF(AND($P50&gt;FL$8,$P50&lt;=FM$8),SUM($K50:$M50),""),"")</f>
        <v/>
      </c>
      <c r="FN50" s="988" t="str">
        <f t="shared" si="703"/>
        <v/>
      </c>
      <c r="FO50" s="988" t="str">
        <f t="shared" si="703"/>
        <v/>
      </c>
      <c r="FP50" s="988" t="str">
        <f t="shared" si="703"/>
        <v/>
      </c>
      <c r="FQ50" s="988" t="str">
        <f t="shared" si="703"/>
        <v/>
      </c>
      <c r="FR50" s="988" t="str">
        <f t="shared" si="703"/>
        <v/>
      </c>
      <c r="FS50" s="988" t="str">
        <f t="shared" si="703"/>
        <v/>
      </c>
      <c r="FT50" s="988" t="str">
        <f t="shared" si="703"/>
        <v/>
      </c>
      <c r="FU50" s="988" t="str">
        <f t="shared" si="703"/>
        <v/>
      </c>
      <c r="FV50" s="988" t="str">
        <f t="shared" si="703"/>
        <v/>
      </c>
      <c r="FW50" s="988" t="str">
        <f t="shared" si="703"/>
        <v/>
      </c>
      <c r="FX50" s="988" t="str">
        <f t="shared" si="703"/>
        <v/>
      </c>
      <c r="FY50" s="988" t="str">
        <f t="shared" si="703"/>
        <v/>
      </c>
      <c r="FZ50" s="988" t="str">
        <f t="shared" si="703"/>
        <v/>
      </c>
      <c r="GB50" s="988" t="str">
        <f t="shared" ref="GB50:GO50" si="704">IF(AND($I50&lt;&gt;"",$AF50="REC"),IF(AND($P50&gt;GA$8,$P50&lt;=GB$8),SUM($K50:$M50),""),"")</f>
        <v/>
      </c>
      <c r="GC50" s="988" t="str">
        <f t="shared" si="704"/>
        <v/>
      </c>
      <c r="GD50" s="988" t="str">
        <f t="shared" si="704"/>
        <v/>
      </c>
      <c r="GE50" s="988" t="str">
        <f t="shared" si="704"/>
        <v/>
      </c>
      <c r="GF50" s="988" t="str">
        <f t="shared" si="704"/>
        <v/>
      </c>
      <c r="GG50" s="988" t="str">
        <f t="shared" si="704"/>
        <v/>
      </c>
      <c r="GH50" s="988" t="str">
        <f t="shared" si="704"/>
        <v/>
      </c>
      <c r="GI50" s="988" t="str">
        <f t="shared" si="704"/>
        <v/>
      </c>
      <c r="GJ50" s="988" t="str">
        <f t="shared" si="704"/>
        <v/>
      </c>
      <c r="GK50" s="988" t="str">
        <f t="shared" si="704"/>
        <v/>
      </c>
      <c r="GL50" s="988" t="str">
        <f t="shared" si="704"/>
        <v/>
      </c>
      <c r="GM50" s="988" t="str">
        <f t="shared" si="704"/>
        <v/>
      </c>
      <c r="GN50" s="988" t="str">
        <f t="shared" si="704"/>
        <v/>
      </c>
      <c r="GO50" s="988" t="str">
        <f t="shared" si="704"/>
        <v/>
      </c>
      <c r="GQ50" s="988" t="str">
        <f t="shared" ref="GQ50:HD50" si="705">IF(AND($I50&lt;&gt;"",$AF50="REB"),IF(AND($P50&gt;GP$8,$P50&lt;=GQ$8),SUM($K50:$M50),""),"")</f>
        <v/>
      </c>
      <c r="GR50" s="988" t="str">
        <f t="shared" si="705"/>
        <v/>
      </c>
      <c r="GS50" s="988" t="str">
        <f t="shared" si="705"/>
        <v/>
      </c>
      <c r="GT50" s="988" t="str">
        <f t="shared" si="705"/>
        <v/>
      </c>
      <c r="GU50" s="988" t="str">
        <f t="shared" si="705"/>
        <v/>
      </c>
      <c r="GV50" s="988" t="str">
        <f t="shared" si="705"/>
        <v/>
      </c>
      <c r="GW50" s="988" t="str">
        <f t="shared" si="705"/>
        <v/>
      </c>
      <c r="GX50" s="988" t="str">
        <f t="shared" si="705"/>
        <v/>
      </c>
      <c r="GY50" s="988" t="str">
        <f t="shared" si="705"/>
        <v/>
      </c>
      <c r="GZ50" s="988" t="str">
        <f t="shared" si="705"/>
        <v/>
      </c>
      <c r="HA50" s="988" t="str">
        <f t="shared" si="705"/>
        <v/>
      </c>
      <c r="HB50" s="988" t="str">
        <f t="shared" si="705"/>
        <v/>
      </c>
      <c r="HC50" s="988" t="str">
        <f t="shared" si="705"/>
        <v/>
      </c>
      <c r="HD50" s="988" t="str">
        <f t="shared" si="705"/>
        <v/>
      </c>
      <c r="HF50" s="988" t="str">
        <f t="shared" ref="HF50:HS50" si="706">IF(AND($I50&lt;&gt;"",$AF50="RBS"),IF(AND($P50&gt;HE$8,$P50&lt;=HF$8),SUM($K50:$M50),""),"")</f>
        <v/>
      </c>
      <c r="HG50" s="988" t="str">
        <f t="shared" si="706"/>
        <v/>
      </c>
      <c r="HH50" s="988" t="str">
        <f t="shared" si="706"/>
        <v/>
      </c>
      <c r="HI50" s="988" t="str">
        <f t="shared" si="706"/>
        <v/>
      </c>
      <c r="HJ50" s="988" t="str">
        <f t="shared" si="706"/>
        <v/>
      </c>
      <c r="HK50" s="988" t="str">
        <f t="shared" si="706"/>
        <v/>
      </c>
      <c r="HL50" s="988" t="str">
        <f t="shared" si="706"/>
        <v/>
      </c>
      <c r="HM50" s="988" t="str">
        <f t="shared" si="706"/>
        <v/>
      </c>
      <c r="HN50" s="988" t="str">
        <f t="shared" si="706"/>
        <v/>
      </c>
      <c r="HO50" s="988" t="str">
        <f t="shared" si="706"/>
        <v/>
      </c>
      <c r="HP50" s="988" t="str">
        <f t="shared" si="706"/>
        <v/>
      </c>
      <c r="HQ50" s="988" t="str">
        <f t="shared" si="706"/>
        <v/>
      </c>
      <c r="HR50" s="988" t="str">
        <f t="shared" si="706"/>
        <v/>
      </c>
      <c r="HS50" s="988" t="str">
        <f t="shared" si="706"/>
        <v/>
      </c>
      <c r="HU50" s="988" t="str">
        <f t="shared" ref="HU50:IH50" si="707">IF(AND($I50&lt;&gt;"",$AF50="RCD"),IF(AND($P50&gt;HT$8,$P50&lt;=HU$8),SUM($K50:$M50),""),"")</f>
        <v/>
      </c>
      <c r="HV50" s="988" t="str">
        <f t="shared" si="707"/>
        <v/>
      </c>
      <c r="HW50" s="988" t="str">
        <f t="shared" si="707"/>
        <v/>
      </c>
      <c r="HX50" s="988" t="str">
        <f t="shared" si="707"/>
        <v/>
      </c>
      <c r="HY50" s="988" t="str">
        <f t="shared" si="707"/>
        <v/>
      </c>
      <c r="HZ50" s="988" t="str">
        <f t="shared" si="707"/>
        <v/>
      </c>
      <c r="IA50" s="988" t="str">
        <f t="shared" si="707"/>
        <v/>
      </c>
      <c r="IB50" s="988" t="str">
        <f t="shared" si="707"/>
        <v/>
      </c>
      <c r="IC50" s="988" t="str">
        <f t="shared" si="707"/>
        <v/>
      </c>
      <c r="ID50" s="988" t="str">
        <f t="shared" si="707"/>
        <v/>
      </c>
      <c r="IE50" s="988" t="str">
        <f t="shared" si="707"/>
        <v/>
      </c>
      <c r="IF50" s="988" t="str">
        <f t="shared" si="707"/>
        <v/>
      </c>
      <c r="IG50" s="988" t="str">
        <f t="shared" si="707"/>
        <v/>
      </c>
      <c r="IH50" s="988" t="str">
        <f t="shared" si="707"/>
        <v/>
      </c>
      <c r="IJ50" s="985" t="str">
        <f t="shared" ref="IJ50:IW50" si="708">IF(AND($I50&lt;&gt;""),IF(AND($P50&gt;II$8,$P50&lt;=IJ$8),$K50,""),"")</f>
        <v/>
      </c>
      <c r="IK50" s="985" t="str">
        <f t="shared" si="708"/>
        <v/>
      </c>
      <c r="IL50" s="985" t="str">
        <f t="shared" si="708"/>
        <v/>
      </c>
      <c r="IM50" s="985" t="str">
        <f t="shared" si="708"/>
        <v/>
      </c>
      <c r="IN50" s="985" t="str">
        <f t="shared" si="708"/>
        <v/>
      </c>
      <c r="IO50" s="985" t="str">
        <f t="shared" si="708"/>
        <v/>
      </c>
      <c r="IP50" s="985" t="str">
        <f t="shared" si="708"/>
        <v/>
      </c>
      <c r="IQ50" s="985" t="str">
        <f t="shared" si="708"/>
        <v/>
      </c>
      <c r="IR50" s="985" t="str">
        <f t="shared" si="708"/>
        <v/>
      </c>
      <c r="IS50" s="985" t="str">
        <f t="shared" si="708"/>
        <v/>
      </c>
      <c r="IT50" s="985" t="str">
        <f t="shared" si="708"/>
        <v/>
      </c>
      <c r="IU50" s="985" t="str">
        <f t="shared" si="708"/>
        <v/>
      </c>
      <c r="IV50" s="985" t="str">
        <f t="shared" si="708"/>
        <v/>
      </c>
      <c r="IW50" s="985">
        <f t="shared" si="708"/>
        <v>96.317000000000007</v>
      </c>
      <c r="IX50" s="987"/>
      <c r="IY50" s="985" t="str">
        <f t="shared" ref="IY50:JL50" si="709">IF(AND($I50&lt;&gt;""),IF(AND($P50&gt;IX$8,$P50&lt;=IY$8),$L50,""),"")</f>
        <v/>
      </c>
      <c r="IZ50" s="985" t="str">
        <f t="shared" si="709"/>
        <v/>
      </c>
      <c r="JA50" s="985" t="str">
        <f t="shared" si="709"/>
        <v/>
      </c>
      <c r="JB50" s="985" t="str">
        <f t="shared" si="709"/>
        <v/>
      </c>
      <c r="JC50" s="985" t="str">
        <f t="shared" si="709"/>
        <v/>
      </c>
      <c r="JD50" s="985" t="str">
        <f t="shared" si="709"/>
        <v/>
      </c>
      <c r="JE50" s="985" t="str">
        <f t="shared" si="709"/>
        <v/>
      </c>
      <c r="JF50" s="985" t="str">
        <f t="shared" si="709"/>
        <v/>
      </c>
      <c r="JG50" s="985" t="str">
        <f t="shared" si="709"/>
        <v/>
      </c>
      <c r="JH50" s="985" t="str">
        <f t="shared" si="709"/>
        <v/>
      </c>
      <c r="JI50" s="985" t="str">
        <f t="shared" si="709"/>
        <v/>
      </c>
      <c r="JJ50" s="985" t="str">
        <f t="shared" si="709"/>
        <v/>
      </c>
      <c r="JK50" s="985" t="str">
        <f t="shared" si="709"/>
        <v/>
      </c>
      <c r="JL50" s="985">
        <f t="shared" si="709"/>
        <v>0</v>
      </c>
      <c r="JM50" s="987"/>
      <c r="JN50" s="985" t="str">
        <f t="shared" ref="JN50:KA50" si="710">IF(AND($I50&lt;&gt;""),IF(AND($P50&gt;JM$8,$P50&lt;=JN$8),$M50,""),"")</f>
        <v/>
      </c>
      <c r="JO50" s="985" t="str">
        <f t="shared" si="710"/>
        <v/>
      </c>
      <c r="JP50" s="985" t="str">
        <f t="shared" si="710"/>
        <v/>
      </c>
      <c r="JQ50" s="985" t="str">
        <f t="shared" si="710"/>
        <v/>
      </c>
      <c r="JR50" s="985" t="str">
        <f t="shared" si="710"/>
        <v/>
      </c>
      <c r="JS50" s="985" t="str">
        <f t="shared" si="710"/>
        <v/>
      </c>
      <c r="JT50" s="985" t="str">
        <f t="shared" si="710"/>
        <v/>
      </c>
      <c r="JU50" s="985" t="str">
        <f t="shared" si="710"/>
        <v/>
      </c>
      <c r="JV50" s="985" t="str">
        <f t="shared" si="710"/>
        <v/>
      </c>
      <c r="JW50" s="985" t="str">
        <f t="shared" si="710"/>
        <v/>
      </c>
      <c r="JX50" s="985" t="str">
        <f t="shared" si="710"/>
        <v/>
      </c>
      <c r="JY50" s="985" t="str">
        <f t="shared" si="710"/>
        <v/>
      </c>
      <c r="JZ50" s="985" t="str">
        <f t="shared" si="710"/>
        <v/>
      </c>
      <c r="KA50" s="985">
        <f t="shared" si="710"/>
        <v>0</v>
      </c>
      <c r="KB50" s="987"/>
      <c r="KC50" s="985" t="str">
        <f t="shared" ref="KC50:KP50" si="711">IF(AND($I50&lt;&gt;""),IF(AND($P50&gt;KB$8,$P50&lt;=KC$8),$N50,""),"")</f>
        <v/>
      </c>
      <c r="KD50" s="985" t="str">
        <f t="shared" si="711"/>
        <v/>
      </c>
      <c r="KE50" s="985" t="str">
        <f t="shared" si="711"/>
        <v/>
      </c>
      <c r="KF50" s="985" t="str">
        <f t="shared" si="711"/>
        <v/>
      </c>
      <c r="KG50" s="985" t="str">
        <f t="shared" si="711"/>
        <v/>
      </c>
      <c r="KH50" s="985" t="str">
        <f t="shared" si="711"/>
        <v/>
      </c>
      <c r="KI50" s="985" t="str">
        <f t="shared" si="711"/>
        <v/>
      </c>
      <c r="KJ50" s="985" t="str">
        <f t="shared" si="711"/>
        <v/>
      </c>
      <c r="KK50" s="985" t="str">
        <f t="shared" si="711"/>
        <v/>
      </c>
      <c r="KL50" s="985" t="str">
        <f t="shared" si="711"/>
        <v/>
      </c>
      <c r="KM50" s="985" t="str">
        <f t="shared" si="711"/>
        <v/>
      </c>
      <c r="KN50" s="985" t="str">
        <f t="shared" si="711"/>
        <v/>
      </c>
      <c r="KO50" s="985" t="str">
        <f t="shared" si="711"/>
        <v/>
      </c>
      <c r="KP50" s="985">
        <f t="shared" si="711"/>
        <v>0</v>
      </c>
    </row>
    <row r="51" spans="1:302" ht="18" customHeight="1">
      <c r="B51" s="978">
        <f t="shared" si="0"/>
        <v>172</v>
      </c>
      <c r="C51" s="979">
        <v>172</v>
      </c>
      <c r="D51" s="979" t="s">
        <v>605</v>
      </c>
      <c r="E51" s="980">
        <v>0</v>
      </c>
      <c r="F51" s="979">
        <v>172</v>
      </c>
      <c r="G51" s="979" t="s">
        <v>605</v>
      </c>
      <c r="H51" s="980">
        <v>0</v>
      </c>
      <c r="I51" s="979" t="s">
        <v>940</v>
      </c>
      <c r="J51" s="979"/>
      <c r="K51" s="980">
        <v>784.80799999999965</v>
      </c>
      <c r="L51" s="980"/>
      <c r="M51" s="980"/>
      <c r="N51" s="980"/>
      <c r="O51" s="980">
        <v>7.2549999999999999</v>
      </c>
      <c r="P51" s="981">
        <v>7.2549999999999999</v>
      </c>
      <c r="Q51" s="981">
        <f t="shared" si="1"/>
        <v>5693.7820399999973</v>
      </c>
      <c r="R51" s="979" t="s">
        <v>608</v>
      </c>
      <c r="S51" s="979" t="s">
        <v>605</v>
      </c>
      <c r="T51" s="980">
        <v>0</v>
      </c>
      <c r="U51" s="979" t="s">
        <v>637</v>
      </c>
      <c r="V51" s="979" t="s">
        <v>605</v>
      </c>
      <c r="W51" s="980">
        <v>10</v>
      </c>
      <c r="X51" s="989" t="s">
        <v>809</v>
      </c>
      <c r="Y51" s="979"/>
      <c r="Z51" s="979"/>
      <c r="AA51" s="980">
        <v>1.3</v>
      </c>
      <c r="AB51" s="980">
        <f t="shared" si="2"/>
        <v>603.69846153846129</v>
      </c>
      <c r="AC51" s="982" t="str" cm="1">
        <f t="array" ref="AC51">IF(X51&lt;&gt;"",IF(LEFT(X51,SEARCH("-",X51,1)-1)="A.CF","CF",IF(LEFT(X51,SEARCH("-",X51,1)-1)="A.CA","CA",IF(LEFT(X51,SEARCH("-",X51,1)-1)="CL","CL","-"))),IF(Y51&lt;&gt;"",BF,"-"))</f>
        <v>CF</v>
      </c>
      <c r="AD51" s="953"/>
      <c r="AE51" s="983" t="str">
        <f t="shared" si="3"/>
        <v>A</v>
      </c>
      <c r="AF51" s="984" t="str">
        <f t="shared" si="4"/>
        <v>CX</v>
      </c>
      <c r="AG51" s="963"/>
      <c r="AH51" s="985" t="str">
        <f t="shared" si="693"/>
        <v/>
      </c>
      <c r="AI51" s="985" t="str">
        <f t="shared" si="693"/>
        <v/>
      </c>
      <c r="AJ51" s="985" t="str">
        <f t="shared" si="693"/>
        <v/>
      </c>
      <c r="AK51" s="985" t="str">
        <f t="shared" si="693"/>
        <v/>
      </c>
      <c r="AL51" s="985" t="str">
        <f t="shared" si="693"/>
        <v/>
      </c>
      <c r="AM51" s="985" t="str">
        <f t="shared" si="693"/>
        <v/>
      </c>
      <c r="AN51" s="985" t="str">
        <f t="shared" si="693"/>
        <v/>
      </c>
      <c r="AO51" s="985" t="str">
        <f t="shared" si="693"/>
        <v/>
      </c>
      <c r="AP51" s="986"/>
      <c r="AQ51" s="985" t="str">
        <f t="shared" ref="AQ51:BD51" si="712">IF(AND($I51&lt;&gt;"",$AF51="C"),IF(AND($P51&gt;AP$8,$P51&lt;=AQ$8),$K51,""),"")</f>
        <v/>
      </c>
      <c r="AR51" s="985" t="str">
        <f t="shared" si="712"/>
        <v/>
      </c>
      <c r="AS51" s="985" t="str">
        <f t="shared" si="712"/>
        <v/>
      </c>
      <c r="AT51" s="985" t="str">
        <f t="shared" si="712"/>
        <v/>
      </c>
      <c r="AU51" s="985" t="str">
        <f t="shared" si="712"/>
        <v/>
      </c>
      <c r="AV51" s="985" t="str">
        <f t="shared" si="712"/>
        <v/>
      </c>
      <c r="AW51" s="985" t="str">
        <f t="shared" si="712"/>
        <v/>
      </c>
      <c r="AX51" s="985" t="str">
        <f t="shared" si="712"/>
        <v/>
      </c>
      <c r="AY51" s="985" t="str">
        <f t="shared" si="712"/>
        <v/>
      </c>
      <c r="AZ51" s="985" t="str">
        <f t="shared" si="712"/>
        <v/>
      </c>
      <c r="BA51" s="985" t="str">
        <f t="shared" si="712"/>
        <v/>
      </c>
      <c r="BB51" s="985" t="str">
        <f t="shared" si="712"/>
        <v/>
      </c>
      <c r="BC51" s="985" t="str">
        <f t="shared" si="712"/>
        <v/>
      </c>
      <c r="BD51" s="985" t="str">
        <f t="shared" si="712"/>
        <v/>
      </c>
      <c r="BE51" s="987"/>
      <c r="BF51" s="985" t="str">
        <f t="shared" ref="BF51:BS51" si="713">IF(AND($I51&lt;&gt;"",$AF51="C"),IF(AND($P51&gt;BE$8,$P51&lt;=BF$8),$L51,""),"")</f>
        <v/>
      </c>
      <c r="BG51" s="985" t="str">
        <f t="shared" si="713"/>
        <v/>
      </c>
      <c r="BH51" s="985" t="str">
        <f t="shared" si="713"/>
        <v/>
      </c>
      <c r="BI51" s="985" t="str">
        <f t="shared" si="713"/>
        <v/>
      </c>
      <c r="BJ51" s="985" t="str">
        <f t="shared" si="713"/>
        <v/>
      </c>
      <c r="BK51" s="985" t="str">
        <f t="shared" si="713"/>
        <v/>
      </c>
      <c r="BL51" s="985" t="str">
        <f t="shared" si="713"/>
        <v/>
      </c>
      <c r="BM51" s="985" t="str">
        <f t="shared" si="713"/>
        <v/>
      </c>
      <c r="BN51" s="985" t="str">
        <f t="shared" si="713"/>
        <v/>
      </c>
      <c r="BO51" s="985" t="str">
        <f t="shared" si="713"/>
        <v/>
      </c>
      <c r="BP51" s="985" t="str">
        <f t="shared" si="713"/>
        <v/>
      </c>
      <c r="BQ51" s="985" t="str">
        <f t="shared" si="713"/>
        <v/>
      </c>
      <c r="BR51" s="985" t="str">
        <f t="shared" si="713"/>
        <v/>
      </c>
      <c r="BS51" s="985" t="str">
        <f t="shared" si="713"/>
        <v/>
      </c>
      <c r="BU51" s="985" t="str">
        <f t="shared" ref="BU51:CF51" si="714">IF(AND($I51&lt;&gt;"",$AF51="C"),IF(AND($P51&gt;BT$8,$P51&lt;=BU$8),$M51,""),"")</f>
        <v/>
      </c>
      <c r="BV51" s="985" t="str">
        <f t="shared" si="714"/>
        <v/>
      </c>
      <c r="BW51" s="985" t="str">
        <f t="shared" si="714"/>
        <v/>
      </c>
      <c r="BX51" s="985" t="str">
        <f t="shared" si="714"/>
        <v/>
      </c>
      <c r="BY51" s="985" t="str">
        <f t="shared" si="714"/>
        <v/>
      </c>
      <c r="BZ51" s="985" t="str">
        <f t="shared" si="714"/>
        <v/>
      </c>
      <c r="CA51" s="985" t="str">
        <f t="shared" si="714"/>
        <v/>
      </c>
      <c r="CB51" s="985" t="str">
        <f t="shared" si="714"/>
        <v/>
      </c>
      <c r="CC51" s="985" t="str">
        <f t="shared" si="714"/>
        <v/>
      </c>
      <c r="CD51" s="985" t="str">
        <f t="shared" si="714"/>
        <v/>
      </c>
      <c r="CE51" s="985" t="str">
        <f t="shared" si="714"/>
        <v/>
      </c>
      <c r="CF51" s="985" t="str">
        <f t="shared" si="714"/>
        <v/>
      </c>
      <c r="CG51" s="987"/>
      <c r="CH51" s="985" t="str">
        <f t="shared" si="697"/>
        <v/>
      </c>
      <c r="CI51" s="985" t="str">
        <f t="shared" si="697"/>
        <v/>
      </c>
      <c r="CJ51" s="985" t="str">
        <f t="shared" si="697"/>
        <v/>
      </c>
      <c r="CK51" s="985" t="str">
        <f t="shared" si="697"/>
        <v/>
      </c>
      <c r="CL51" s="985" t="str">
        <f t="shared" si="697"/>
        <v/>
      </c>
      <c r="CM51" s="985" t="str">
        <f t="shared" si="697"/>
        <v/>
      </c>
      <c r="CN51" s="985" t="str">
        <f t="shared" si="697"/>
        <v/>
      </c>
      <c r="CP51" s="988" t="str">
        <f t="shared" ref="CP51:DC51" si="715">IF(AND($I51&lt;&gt;"",OR($AF51="ELE",$AF51="ELD",$AF51="CX")),IF(AND($P51&gt;CO$8,$P51&lt;=CP$8),$K51,""),"")</f>
        <v/>
      </c>
      <c r="CQ51" s="988" t="str">
        <f t="shared" si="715"/>
        <v/>
      </c>
      <c r="CR51" s="988" t="str">
        <f t="shared" si="715"/>
        <v/>
      </c>
      <c r="CS51" s="988" t="str">
        <f t="shared" si="715"/>
        <v/>
      </c>
      <c r="CT51" s="988" t="str">
        <f t="shared" si="715"/>
        <v/>
      </c>
      <c r="CU51" s="988" t="str">
        <f t="shared" si="715"/>
        <v/>
      </c>
      <c r="CV51" s="988" t="str">
        <f t="shared" si="715"/>
        <v/>
      </c>
      <c r="CW51" s="988" t="str">
        <f t="shared" si="715"/>
        <v/>
      </c>
      <c r="CX51" s="988" t="str">
        <f t="shared" si="715"/>
        <v/>
      </c>
      <c r="CY51" s="988" t="str">
        <f t="shared" si="715"/>
        <v/>
      </c>
      <c r="CZ51" s="988" t="str">
        <f t="shared" si="715"/>
        <v/>
      </c>
      <c r="DA51" s="988" t="str">
        <f t="shared" si="715"/>
        <v/>
      </c>
      <c r="DB51" s="988" t="str">
        <f t="shared" si="715"/>
        <v/>
      </c>
      <c r="DC51" s="988">
        <f t="shared" si="715"/>
        <v>784.80799999999965</v>
      </c>
      <c r="DE51" s="988" t="str">
        <f t="shared" ref="DE51:DR51" si="716">IF(AND($X51&lt;&gt;"",$AC51="CF"),IF(AND($P51&gt;DD$8,$P51&lt;=DE$8),$AB51,""),"")</f>
        <v/>
      </c>
      <c r="DF51" s="988" t="str">
        <f t="shared" si="716"/>
        <v/>
      </c>
      <c r="DG51" s="988" t="str">
        <f t="shared" si="716"/>
        <v/>
      </c>
      <c r="DH51" s="988" t="str">
        <f t="shared" si="716"/>
        <v/>
      </c>
      <c r="DI51" s="988" t="str">
        <f t="shared" si="716"/>
        <v/>
      </c>
      <c r="DJ51" s="988" t="str">
        <f t="shared" si="716"/>
        <v/>
      </c>
      <c r="DK51" s="988" t="str">
        <f t="shared" si="716"/>
        <v/>
      </c>
      <c r="DL51" s="988" t="str">
        <f t="shared" si="716"/>
        <v/>
      </c>
      <c r="DM51" s="988" t="str">
        <f t="shared" si="716"/>
        <v/>
      </c>
      <c r="DN51" s="988" t="str">
        <f t="shared" si="716"/>
        <v/>
      </c>
      <c r="DO51" s="988" t="str">
        <f t="shared" si="716"/>
        <v/>
      </c>
      <c r="DP51" s="988" t="str">
        <f t="shared" si="716"/>
        <v/>
      </c>
      <c r="DQ51" s="988" t="str">
        <f t="shared" si="716"/>
        <v/>
      </c>
      <c r="DR51" s="988">
        <f t="shared" si="716"/>
        <v>603.69846153846129</v>
      </c>
      <c r="DT51" s="988" t="str">
        <f t="shared" ref="DT51:EG51" si="717">IF(AND($X51&lt;&gt;"",$AC51="CA"),IF(AND($P51&gt;DS$8,$P51&lt;=DT$8),$AB51,""),"")</f>
        <v/>
      </c>
      <c r="DU51" s="988" t="str">
        <f t="shared" si="717"/>
        <v/>
      </c>
      <c r="DV51" s="988" t="str">
        <f t="shared" si="717"/>
        <v/>
      </c>
      <c r="DW51" s="988" t="str">
        <f t="shared" si="717"/>
        <v/>
      </c>
      <c r="DX51" s="988" t="str">
        <f t="shared" si="717"/>
        <v/>
      </c>
      <c r="DY51" s="988" t="str">
        <f t="shared" si="717"/>
        <v/>
      </c>
      <c r="DZ51" s="988" t="str">
        <f t="shared" si="717"/>
        <v/>
      </c>
      <c r="EA51" s="988" t="str">
        <f t="shared" si="717"/>
        <v/>
      </c>
      <c r="EB51" s="988" t="str">
        <f t="shared" si="717"/>
        <v/>
      </c>
      <c r="EC51" s="988" t="str">
        <f t="shared" si="717"/>
        <v/>
      </c>
      <c r="ED51" s="988" t="str">
        <f t="shared" si="717"/>
        <v/>
      </c>
      <c r="EE51" s="988" t="str">
        <f t="shared" si="717"/>
        <v/>
      </c>
      <c r="EF51" s="988" t="str">
        <f t="shared" si="717"/>
        <v/>
      </c>
      <c r="EG51" s="988" t="str">
        <f t="shared" si="717"/>
        <v/>
      </c>
      <c r="EI51" s="988" t="str">
        <f t="shared" ref="EI51:EV51" si="718">IF($AE51="BFC",IF(AND($P51&gt;EH$8,$P51&lt;=EI$8),$AB51,""),"")</f>
        <v/>
      </c>
      <c r="EJ51" s="988" t="str">
        <f t="shared" si="718"/>
        <v/>
      </c>
      <c r="EK51" s="988" t="str">
        <f t="shared" si="718"/>
        <v/>
      </c>
      <c r="EL51" s="988" t="str">
        <f t="shared" si="718"/>
        <v/>
      </c>
      <c r="EM51" s="988" t="str">
        <f t="shared" si="718"/>
        <v/>
      </c>
      <c r="EN51" s="988" t="str">
        <f t="shared" si="718"/>
        <v/>
      </c>
      <c r="EO51" s="988" t="str">
        <f t="shared" si="718"/>
        <v/>
      </c>
      <c r="EP51" s="988" t="str">
        <f t="shared" si="718"/>
        <v/>
      </c>
      <c r="EQ51" s="988" t="str">
        <f t="shared" si="718"/>
        <v/>
      </c>
      <c r="ER51" s="988" t="str">
        <f t="shared" si="718"/>
        <v/>
      </c>
      <c r="ES51" s="988" t="str">
        <f t="shared" si="718"/>
        <v/>
      </c>
      <c r="ET51" s="988" t="str">
        <f t="shared" si="718"/>
        <v/>
      </c>
      <c r="EU51" s="988" t="str">
        <f t="shared" si="718"/>
        <v/>
      </c>
      <c r="EV51" s="988" t="str">
        <f t="shared" si="718"/>
        <v/>
      </c>
      <c r="EX51" s="988" t="str">
        <f t="shared" ref="EX51:FK51" si="719">IF($AE51="BFN",IF(AND($P51&gt;EW$8,$P51&lt;=EX$8),$AB51,""),"")</f>
        <v/>
      </c>
      <c r="EY51" s="988" t="str">
        <f t="shared" si="719"/>
        <v/>
      </c>
      <c r="EZ51" s="988" t="str">
        <f t="shared" si="719"/>
        <v/>
      </c>
      <c r="FA51" s="988" t="str">
        <f t="shared" si="719"/>
        <v/>
      </c>
      <c r="FB51" s="988" t="str">
        <f t="shared" si="719"/>
        <v/>
      </c>
      <c r="FC51" s="988" t="str">
        <f t="shared" si="719"/>
        <v/>
      </c>
      <c r="FD51" s="988" t="str">
        <f t="shared" si="719"/>
        <v/>
      </c>
      <c r="FE51" s="988" t="str">
        <f t="shared" si="719"/>
        <v/>
      </c>
      <c r="FF51" s="988" t="str">
        <f t="shared" si="719"/>
        <v/>
      </c>
      <c r="FG51" s="988" t="str">
        <f t="shared" si="719"/>
        <v/>
      </c>
      <c r="FH51" s="988" t="str">
        <f t="shared" si="719"/>
        <v/>
      </c>
      <c r="FI51" s="988" t="str">
        <f t="shared" si="719"/>
        <v/>
      </c>
      <c r="FJ51" s="988" t="str">
        <f t="shared" si="719"/>
        <v/>
      </c>
      <c r="FK51" s="988" t="str">
        <f t="shared" si="719"/>
        <v/>
      </c>
      <c r="FM51" s="988" t="str">
        <f t="shared" ref="FM51:FZ51" si="720">IF(AND($I51&lt;&gt;"",$AF51="RCS"),IF(AND($P51&gt;FL$8,$P51&lt;=FM$8),SUM($K51:$M51),""),"")</f>
        <v/>
      </c>
      <c r="FN51" s="988" t="str">
        <f t="shared" si="720"/>
        <v/>
      </c>
      <c r="FO51" s="988" t="str">
        <f t="shared" si="720"/>
        <v/>
      </c>
      <c r="FP51" s="988" t="str">
        <f t="shared" si="720"/>
        <v/>
      </c>
      <c r="FQ51" s="988" t="str">
        <f t="shared" si="720"/>
        <v/>
      </c>
      <c r="FR51" s="988" t="str">
        <f t="shared" si="720"/>
        <v/>
      </c>
      <c r="FS51" s="988" t="str">
        <f t="shared" si="720"/>
        <v/>
      </c>
      <c r="FT51" s="988" t="str">
        <f t="shared" si="720"/>
        <v/>
      </c>
      <c r="FU51" s="988" t="str">
        <f t="shared" si="720"/>
        <v/>
      </c>
      <c r="FV51" s="988" t="str">
        <f t="shared" si="720"/>
        <v/>
      </c>
      <c r="FW51" s="988" t="str">
        <f t="shared" si="720"/>
        <v/>
      </c>
      <c r="FX51" s="988" t="str">
        <f t="shared" si="720"/>
        <v/>
      </c>
      <c r="FY51" s="988" t="str">
        <f t="shared" si="720"/>
        <v/>
      </c>
      <c r="FZ51" s="988" t="str">
        <f t="shared" si="720"/>
        <v/>
      </c>
      <c r="GB51" s="988" t="str">
        <f t="shared" ref="GB51:GO51" si="721">IF(AND($I51&lt;&gt;"",$AF51="REC"),IF(AND($P51&gt;GA$8,$P51&lt;=GB$8),SUM($K51:$M51),""),"")</f>
        <v/>
      </c>
      <c r="GC51" s="988" t="str">
        <f t="shared" si="721"/>
        <v/>
      </c>
      <c r="GD51" s="988" t="str">
        <f t="shared" si="721"/>
        <v/>
      </c>
      <c r="GE51" s="988" t="str">
        <f t="shared" si="721"/>
        <v/>
      </c>
      <c r="GF51" s="988" t="str">
        <f t="shared" si="721"/>
        <v/>
      </c>
      <c r="GG51" s="988" t="str">
        <f t="shared" si="721"/>
        <v/>
      </c>
      <c r="GH51" s="988" t="str">
        <f t="shared" si="721"/>
        <v/>
      </c>
      <c r="GI51" s="988" t="str">
        <f t="shared" si="721"/>
        <v/>
      </c>
      <c r="GJ51" s="988" t="str">
        <f t="shared" si="721"/>
        <v/>
      </c>
      <c r="GK51" s="988" t="str">
        <f t="shared" si="721"/>
        <v/>
      </c>
      <c r="GL51" s="988" t="str">
        <f t="shared" si="721"/>
        <v/>
      </c>
      <c r="GM51" s="988" t="str">
        <f t="shared" si="721"/>
        <v/>
      </c>
      <c r="GN51" s="988" t="str">
        <f t="shared" si="721"/>
        <v/>
      </c>
      <c r="GO51" s="988" t="str">
        <f t="shared" si="721"/>
        <v/>
      </c>
      <c r="GQ51" s="988" t="str">
        <f t="shared" ref="GQ51:HD51" si="722">IF(AND($I51&lt;&gt;"",$AF51="REB"),IF(AND($P51&gt;GP$8,$P51&lt;=GQ$8),SUM($K51:$M51),""),"")</f>
        <v/>
      </c>
      <c r="GR51" s="988" t="str">
        <f t="shared" si="722"/>
        <v/>
      </c>
      <c r="GS51" s="988" t="str">
        <f t="shared" si="722"/>
        <v/>
      </c>
      <c r="GT51" s="988" t="str">
        <f t="shared" si="722"/>
        <v/>
      </c>
      <c r="GU51" s="988" t="str">
        <f t="shared" si="722"/>
        <v/>
      </c>
      <c r="GV51" s="988" t="str">
        <f t="shared" si="722"/>
        <v/>
      </c>
      <c r="GW51" s="988" t="str">
        <f t="shared" si="722"/>
        <v/>
      </c>
      <c r="GX51" s="988" t="str">
        <f t="shared" si="722"/>
        <v/>
      </c>
      <c r="GY51" s="988" t="str">
        <f t="shared" si="722"/>
        <v/>
      </c>
      <c r="GZ51" s="988" t="str">
        <f t="shared" si="722"/>
        <v/>
      </c>
      <c r="HA51" s="988" t="str">
        <f t="shared" si="722"/>
        <v/>
      </c>
      <c r="HB51" s="988" t="str">
        <f t="shared" si="722"/>
        <v/>
      </c>
      <c r="HC51" s="988" t="str">
        <f t="shared" si="722"/>
        <v/>
      </c>
      <c r="HD51" s="988" t="str">
        <f t="shared" si="722"/>
        <v/>
      </c>
      <c r="HF51" s="988" t="str">
        <f t="shared" ref="HF51:HS51" si="723">IF(AND($I51&lt;&gt;"",$AF51="RBS"),IF(AND($P51&gt;HE$8,$P51&lt;=HF$8),SUM($K51:$M51),""),"")</f>
        <v/>
      </c>
      <c r="HG51" s="988" t="str">
        <f t="shared" si="723"/>
        <v/>
      </c>
      <c r="HH51" s="988" t="str">
        <f t="shared" si="723"/>
        <v/>
      </c>
      <c r="HI51" s="988" t="str">
        <f t="shared" si="723"/>
        <v/>
      </c>
      <c r="HJ51" s="988" t="str">
        <f t="shared" si="723"/>
        <v/>
      </c>
      <c r="HK51" s="988" t="str">
        <f t="shared" si="723"/>
        <v/>
      </c>
      <c r="HL51" s="988" t="str">
        <f t="shared" si="723"/>
        <v/>
      </c>
      <c r="HM51" s="988" t="str">
        <f t="shared" si="723"/>
        <v/>
      </c>
      <c r="HN51" s="988" t="str">
        <f t="shared" si="723"/>
        <v/>
      </c>
      <c r="HO51" s="988" t="str">
        <f t="shared" si="723"/>
        <v/>
      </c>
      <c r="HP51" s="988" t="str">
        <f t="shared" si="723"/>
        <v/>
      </c>
      <c r="HQ51" s="988" t="str">
        <f t="shared" si="723"/>
        <v/>
      </c>
      <c r="HR51" s="988" t="str">
        <f t="shared" si="723"/>
        <v/>
      </c>
      <c r="HS51" s="988" t="str">
        <f t="shared" si="723"/>
        <v/>
      </c>
      <c r="HU51" s="988" t="str">
        <f t="shared" ref="HU51:IH51" si="724">IF(AND($I51&lt;&gt;"",$AF51="RCD"),IF(AND($P51&gt;HT$8,$P51&lt;=HU$8),SUM($K51:$M51),""),"")</f>
        <v/>
      </c>
      <c r="HV51" s="988" t="str">
        <f t="shared" si="724"/>
        <v/>
      </c>
      <c r="HW51" s="988" t="str">
        <f t="shared" si="724"/>
        <v/>
      </c>
      <c r="HX51" s="988" t="str">
        <f t="shared" si="724"/>
        <v/>
      </c>
      <c r="HY51" s="988" t="str">
        <f t="shared" si="724"/>
        <v/>
      </c>
      <c r="HZ51" s="988" t="str">
        <f t="shared" si="724"/>
        <v/>
      </c>
      <c r="IA51" s="988" t="str">
        <f t="shared" si="724"/>
        <v/>
      </c>
      <c r="IB51" s="988" t="str">
        <f t="shared" si="724"/>
        <v/>
      </c>
      <c r="IC51" s="988" t="str">
        <f t="shared" si="724"/>
        <v/>
      </c>
      <c r="ID51" s="988" t="str">
        <f t="shared" si="724"/>
        <v/>
      </c>
      <c r="IE51" s="988" t="str">
        <f t="shared" si="724"/>
        <v/>
      </c>
      <c r="IF51" s="988" t="str">
        <f t="shared" si="724"/>
        <v/>
      </c>
      <c r="IG51" s="988" t="str">
        <f t="shared" si="724"/>
        <v/>
      </c>
      <c r="IH51" s="988" t="str">
        <f t="shared" si="724"/>
        <v/>
      </c>
      <c r="IJ51" s="985" t="str">
        <f t="shared" ref="IJ51:IW51" si="725">IF(AND($I51&lt;&gt;""),IF(AND($P51&gt;II$8,$P51&lt;=IJ$8),$K51,""),"")</f>
        <v/>
      </c>
      <c r="IK51" s="985" t="str">
        <f t="shared" si="725"/>
        <v/>
      </c>
      <c r="IL51" s="985" t="str">
        <f t="shared" si="725"/>
        <v/>
      </c>
      <c r="IM51" s="985" t="str">
        <f t="shared" si="725"/>
        <v/>
      </c>
      <c r="IN51" s="985" t="str">
        <f t="shared" si="725"/>
        <v/>
      </c>
      <c r="IO51" s="985" t="str">
        <f t="shared" si="725"/>
        <v/>
      </c>
      <c r="IP51" s="985" t="str">
        <f t="shared" si="725"/>
        <v/>
      </c>
      <c r="IQ51" s="985" t="str">
        <f t="shared" si="725"/>
        <v/>
      </c>
      <c r="IR51" s="985" t="str">
        <f t="shared" si="725"/>
        <v/>
      </c>
      <c r="IS51" s="985" t="str">
        <f t="shared" si="725"/>
        <v/>
      </c>
      <c r="IT51" s="985" t="str">
        <f t="shared" si="725"/>
        <v/>
      </c>
      <c r="IU51" s="985" t="str">
        <f t="shared" si="725"/>
        <v/>
      </c>
      <c r="IV51" s="985" t="str">
        <f t="shared" si="725"/>
        <v/>
      </c>
      <c r="IW51" s="985">
        <f t="shared" si="725"/>
        <v>784.80799999999965</v>
      </c>
      <c r="IX51" s="987"/>
      <c r="IY51" s="985" t="str">
        <f t="shared" ref="IY51:JL51" si="726">IF(AND($I51&lt;&gt;""),IF(AND($P51&gt;IX$8,$P51&lt;=IY$8),$L51,""),"")</f>
        <v/>
      </c>
      <c r="IZ51" s="985" t="str">
        <f t="shared" si="726"/>
        <v/>
      </c>
      <c r="JA51" s="985" t="str">
        <f t="shared" si="726"/>
        <v/>
      </c>
      <c r="JB51" s="985" t="str">
        <f t="shared" si="726"/>
        <v/>
      </c>
      <c r="JC51" s="985" t="str">
        <f t="shared" si="726"/>
        <v/>
      </c>
      <c r="JD51" s="985" t="str">
        <f t="shared" si="726"/>
        <v/>
      </c>
      <c r="JE51" s="985" t="str">
        <f t="shared" si="726"/>
        <v/>
      </c>
      <c r="JF51" s="985" t="str">
        <f t="shared" si="726"/>
        <v/>
      </c>
      <c r="JG51" s="985" t="str">
        <f t="shared" si="726"/>
        <v/>
      </c>
      <c r="JH51" s="985" t="str">
        <f t="shared" si="726"/>
        <v/>
      </c>
      <c r="JI51" s="985" t="str">
        <f t="shared" si="726"/>
        <v/>
      </c>
      <c r="JJ51" s="985" t="str">
        <f t="shared" si="726"/>
        <v/>
      </c>
      <c r="JK51" s="985" t="str">
        <f t="shared" si="726"/>
        <v/>
      </c>
      <c r="JL51" s="985">
        <f t="shared" si="726"/>
        <v>0</v>
      </c>
      <c r="JM51" s="987"/>
      <c r="JN51" s="985" t="str">
        <f t="shared" ref="JN51:KA51" si="727">IF(AND($I51&lt;&gt;""),IF(AND($P51&gt;JM$8,$P51&lt;=JN$8),$M51,""),"")</f>
        <v/>
      </c>
      <c r="JO51" s="985" t="str">
        <f t="shared" si="727"/>
        <v/>
      </c>
      <c r="JP51" s="985" t="str">
        <f t="shared" si="727"/>
        <v/>
      </c>
      <c r="JQ51" s="985" t="str">
        <f t="shared" si="727"/>
        <v/>
      </c>
      <c r="JR51" s="985" t="str">
        <f t="shared" si="727"/>
        <v/>
      </c>
      <c r="JS51" s="985" t="str">
        <f t="shared" si="727"/>
        <v/>
      </c>
      <c r="JT51" s="985" t="str">
        <f t="shared" si="727"/>
        <v/>
      </c>
      <c r="JU51" s="985" t="str">
        <f t="shared" si="727"/>
        <v/>
      </c>
      <c r="JV51" s="985" t="str">
        <f t="shared" si="727"/>
        <v/>
      </c>
      <c r="JW51" s="985" t="str">
        <f t="shared" si="727"/>
        <v/>
      </c>
      <c r="JX51" s="985" t="str">
        <f t="shared" si="727"/>
        <v/>
      </c>
      <c r="JY51" s="985" t="str">
        <f t="shared" si="727"/>
        <v/>
      </c>
      <c r="JZ51" s="985" t="str">
        <f t="shared" si="727"/>
        <v/>
      </c>
      <c r="KA51" s="985">
        <f t="shared" si="727"/>
        <v>0</v>
      </c>
      <c r="KB51" s="987"/>
      <c r="KC51" s="985" t="str">
        <f t="shared" ref="KC51:KP51" si="728">IF(AND($I51&lt;&gt;""),IF(AND($P51&gt;KB$8,$P51&lt;=KC$8),$N51,""),"")</f>
        <v/>
      </c>
      <c r="KD51" s="985" t="str">
        <f t="shared" si="728"/>
        <v/>
      </c>
      <c r="KE51" s="985" t="str">
        <f t="shared" si="728"/>
        <v/>
      </c>
      <c r="KF51" s="985" t="str">
        <f t="shared" si="728"/>
        <v/>
      </c>
      <c r="KG51" s="985" t="str">
        <f t="shared" si="728"/>
        <v/>
      </c>
      <c r="KH51" s="985" t="str">
        <f t="shared" si="728"/>
        <v/>
      </c>
      <c r="KI51" s="985" t="str">
        <f t="shared" si="728"/>
        <v/>
      </c>
      <c r="KJ51" s="985" t="str">
        <f t="shared" si="728"/>
        <v/>
      </c>
      <c r="KK51" s="985" t="str">
        <f t="shared" si="728"/>
        <v/>
      </c>
      <c r="KL51" s="985" t="str">
        <f t="shared" si="728"/>
        <v/>
      </c>
      <c r="KM51" s="985" t="str">
        <f t="shared" si="728"/>
        <v/>
      </c>
      <c r="KN51" s="985" t="str">
        <f t="shared" si="728"/>
        <v/>
      </c>
      <c r="KO51" s="985" t="str">
        <f t="shared" si="728"/>
        <v/>
      </c>
      <c r="KP51" s="985">
        <f t="shared" si="728"/>
        <v>0</v>
      </c>
    </row>
    <row r="52" spans="1:302" ht="18" hidden="1" customHeight="1">
      <c r="B52" s="978"/>
      <c r="C52" s="979" t="str">
        <f>IFERROR(INDEX(#REF!,MATCH('4.0 - QDM OK'!$I10,#REF!,0)),"")</f>
        <v/>
      </c>
      <c r="D52" s="979" t="s">
        <v>605</v>
      </c>
      <c r="E52" s="980" t="str">
        <f>IFERROR(INDEX(#REF!,MATCH('4.0 - QDM OK'!$I10,#REF!,0)),"")</f>
        <v/>
      </c>
      <c r="F52" s="979" t="str">
        <f>IFERROR(INDEX(#REF!,MATCH('4.0 - QDM OK'!$I10,#REF!,0)),"")</f>
        <v/>
      </c>
      <c r="G52" s="979" t="s">
        <v>605</v>
      </c>
      <c r="H52" s="980" t="str">
        <f>IFERROR(INDEX(#REF!,MATCH('4.0 - QDM OK'!$I10,#REF!,0)),"")</f>
        <v/>
      </c>
      <c r="I52" s="979"/>
      <c r="J52" s="979"/>
      <c r="K52" s="980"/>
      <c r="L52" s="980"/>
      <c r="M52" s="980"/>
      <c r="N52" s="980"/>
      <c r="O52" s="980"/>
      <c r="P52" s="981">
        <f>IFERROR(IF(OR(IFERROR(RIGHT(I52,LEN(I52)-SEARCH(":",I52,1))="INTER",0),IFERROR(RIGHT(X52,LEN(X52)-SEARCH(":",X52,1))="INTER",0)),O52,ABS((R52*20+T52+U52*20+W52)/2-(C52*20+E52+F52*20+H52)/2)/1000+20/1000),0)</f>
        <v>0</v>
      </c>
      <c r="Q52" s="981">
        <f t="shared" si="1"/>
        <v>0</v>
      </c>
      <c r="R52" s="979">
        <v>0</v>
      </c>
      <c r="S52" s="979" t="s">
        <v>605</v>
      </c>
      <c r="T52" s="980">
        <v>0</v>
      </c>
      <c r="U52" s="979">
        <v>0</v>
      </c>
      <c r="V52" s="979" t="s">
        <v>605</v>
      </c>
      <c r="W52" s="980">
        <v>0</v>
      </c>
      <c r="X52" s="989"/>
      <c r="Y52" s="979"/>
      <c r="Z52" s="979"/>
      <c r="AA52" s="980">
        <v>1.3</v>
      </c>
      <c r="AB52" s="980">
        <f t="shared" si="2"/>
        <v>0</v>
      </c>
      <c r="AC52" s="982" t="str" cm="1">
        <f t="array" ref="AC52">IF(X52&lt;&gt;"",IF(LEFT(X52,SEARCH("-",X52,1)-1)="A.CF","CF",IF(LEFT(X52,SEARCH("-",X52,1)-1)="A.CA","CA",IF(LEFT(X52,SEARCH("-",X52,1)-1)="CL","CL","-"))),IF(Y52&lt;&gt;"",BF,"-"))</f>
        <v>-</v>
      </c>
      <c r="AD52" s="953"/>
      <c r="AE52" s="983" t="str">
        <f t="shared" si="3"/>
        <v/>
      </c>
      <c r="AF52" s="984" t="str">
        <f t="shared" si="4"/>
        <v/>
      </c>
      <c r="AG52" s="963"/>
      <c r="AH52" s="985" t="str">
        <f t="shared" si="693"/>
        <v/>
      </c>
      <c r="AI52" s="985" t="str">
        <f t="shared" si="693"/>
        <v/>
      </c>
      <c r="AJ52" s="985" t="str">
        <f t="shared" si="693"/>
        <v/>
      </c>
      <c r="AK52" s="985" t="str">
        <f t="shared" si="693"/>
        <v/>
      </c>
      <c r="AL52" s="985" t="str">
        <f t="shared" si="693"/>
        <v/>
      </c>
      <c r="AM52" s="985" t="str">
        <f t="shared" si="693"/>
        <v/>
      </c>
      <c r="AN52" s="985" t="str">
        <f t="shared" si="693"/>
        <v/>
      </c>
      <c r="AO52" s="985" t="str">
        <f t="shared" si="693"/>
        <v/>
      </c>
      <c r="AP52" s="986"/>
      <c r="AQ52" s="985" t="str">
        <f t="shared" ref="AQ52:BD52" si="729">IF(AND($I52&lt;&gt;"",$AF52="C"),IF(AND($P52&gt;AP$8,$P52&lt;=AQ$8),$K52,""),"")</f>
        <v/>
      </c>
      <c r="AR52" s="985" t="str">
        <f t="shared" si="729"/>
        <v/>
      </c>
      <c r="AS52" s="985" t="str">
        <f t="shared" si="729"/>
        <v/>
      </c>
      <c r="AT52" s="985" t="str">
        <f t="shared" si="729"/>
        <v/>
      </c>
      <c r="AU52" s="985" t="str">
        <f t="shared" si="729"/>
        <v/>
      </c>
      <c r="AV52" s="985" t="str">
        <f t="shared" si="729"/>
        <v/>
      </c>
      <c r="AW52" s="985" t="str">
        <f t="shared" si="729"/>
        <v/>
      </c>
      <c r="AX52" s="985" t="str">
        <f t="shared" si="729"/>
        <v/>
      </c>
      <c r="AY52" s="985" t="str">
        <f t="shared" si="729"/>
        <v/>
      </c>
      <c r="AZ52" s="985" t="str">
        <f t="shared" si="729"/>
        <v/>
      </c>
      <c r="BA52" s="985" t="str">
        <f t="shared" si="729"/>
        <v/>
      </c>
      <c r="BB52" s="985" t="str">
        <f t="shared" si="729"/>
        <v/>
      </c>
      <c r="BC52" s="985" t="str">
        <f t="shared" si="729"/>
        <v/>
      </c>
      <c r="BD52" s="985" t="str">
        <f t="shared" si="729"/>
        <v/>
      </c>
      <c r="BE52" s="987"/>
      <c r="BF52" s="985" t="str">
        <f t="shared" ref="BF52:BS52" si="730">IF(AND($I52&lt;&gt;"",$AF52="C"),IF(AND($P52&gt;BE$8,$P52&lt;=BF$8),$L52,""),"")</f>
        <v/>
      </c>
      <c r="BG52" s="985" t="str">
        <f t="shared" si="730"/>
        <v/>
      </c>
      <c r="BH52" s="985" t="str">
        <f t="shared" si="730"/>
        <v/>
      </c>
      <c r="BI52" s="985" t="str">
        <f t="shared" si="730"/>
        <v/>
      </c>
      <c r="BJ52" s="985" t="str">
        <f t="shared" si="730"/>
        <v/>
      </c>
      <c r="BK52" s="985" t="str">
        <f t="shared" si="730"/>
        <v/>
      </c>
      <c r="BL52" s="985" t="str">
        <f t="shared" si="730"/>
        <v/>
      </c>
      <c r="BM52" s="985" t="str">
        <f t="shared" si="730"/>
        <v/>
      </c>
      <c r="BN52" s="985" t="str">
        <f t="shared" si="730"/>
        <v/>
      </c>
      <c r="BO52" s="985" t="str">
        <f t="shared" si="730"/>
        <v/>
      </c>
      <c r="BP52" s="985" t="str">
        <f t="shared" si="730"/>
        <v/>
      </c>
      <c r="BQ52" s="985" t="str">
        <f t="shared" si="730"/>
        <v/>
      </c>
      <c r="BR52" s="985" t="str">
        <f t="shared" si="730"/>
        <v/>
      </c>
      <c r="BS52" s="985" t="str">
        <f t="shared" si="730"/>
        <v/>
      </c>
      <c r="BU52" s="985" t="str">
        <f t="shared" ref="BU52:CF52" si="731">IF(AND($I52&lt;&gt;"",$AF52="C"),IF(AND($P52&gt;BT$8,$P52&lt;=BU$8),$M52,""),"")</f>
        <v/>
      </c>
      <c r="BV52" s="985" t="str">
        <f t="shared" si="731"/>
        <v/>
      </c>
      <c r="BW52" s="985" t="str">
        <f t="shared" si="731"/>
        <v/>
      </c>
      <c r="BX52" s="985" t="str">
        <f t="shared" si="731"/>
        <v/>
      </c>
      <c r="BY52" s="985" t="str">
        <f t="shared" si="731"/>
        <v/>
      </c>
      <c r="BZ52" s="985" t="str">
        <f t="shared" si="731"/>
        <v/>
      </c>
      <c r="CA52" s="985" t="str">
        <f t="shared" si="731"/>
        <v/>
      </c>
      <c r="CB52" s="985" t="str">
        <f t="shared" si="731"/>
        <v/>
      </c>
      <c r="CC52" s="985" t="str">
        <f t="shared" si="731"/>
        <v/>
      </c>
      <c r="CD52" s="985" t="str">
        <f t="shared" si="731"/>
        <v/>
      </c>
      <c r="CE52" s="985" t="str">
        <f t="shared" si="731"/>
        <v/>
      </c>
      <c r="CF52" s="985" t="str">
        <f t="shared" si="731"/>
        <v/>
      </c>
      <c r="CG52" s="987"/>
      <c r="CH52" s="985" t="str">
        <f t="shared" si="697"/>
        <v/>
      </c>
      <c r="CI52" s="985" t="str">
        <f t="shared" si="697"/>
        <v/>
      </c>
      <c r="CJ52" s="985" t="str">
        <f t="shared" si="697"/>
        <v/>
      </c>
      <c r="CK52" s="985" t="str">
        <f t="shared" si="697"/>
        <v/>
      </c>
      <c r="CL52" s="985" t="str">
        <f t="shared" si="697"/>
        <v/>
      </c>
      <c r="CM52" s="985" t="str">
        <f t="shared" si="697"/>
        <v/>
      </c>
      <c r="CN52" s="985" t="str">
        <f t="shared" si="697"/>
        <v/>
      </c>
      <c r="CP52" s="988" t="str">
        <f t="shared" ref="CP52:DC52" si="732">IF(AND($I52&lt;&gt;"",OR($AF52="ELE",$AF52="ELD",$AF52="CX")),IF(AND($P52&gt;CO$8,$P52&lt;=CP$8),$K52,""),"")</f>
        <v/>
      </c>
      <c r="CQ52" s="988" t="str">
        <f t="shared" si="732"/>
        <v/>
      </c>
      <c r="CR52" s="988" t="str">
        <f t="shared" si="732"/>
        <v/>
      </c>
      <c r="CS52" s="988" t="str">
        <f t="shared" si="732"/>
        <v/>
      </c>
      <c r="CT52" s="988" t="str">
        <f t="shared" si="732"/>
        <v/>
      </c>
      <c r="CU52" s="988" t="str">
        <f t="shared" si="732"/>
        <v/>
      </c>
      <c r="CV52" s="988" t="str">
        <f t="shared" si="732"/>
        <v/>
      </c>
      <c r="CW52" s="988" t="str">
        <f t="shared" si="732"/>
        <v/>
      </c>
      <c r="CX52" s="988" t="str">
        <f t="shared" si="732"/>
        <v/>
      </c>
      <c r="CY52" s="988" t="str">
        <f t="shared" si="732"/>
        <v/>
      </c>
      <c r="CZ52" s="988" t="str">
        <f t="shared" si="732"/>
        <v/>
      </c>
      <c r="DA52" s="988" t="str">
        <f t="shared" si="732"/>
        <v/>
      </c>
      <c r="DB52" s="988" t="str">
        <f t="shared" si="732"/>
        <v/>
      </c>
      <c r="DC52" s="988" t="str">
        <f t="shared" si="732"/>
        <v/>
      </c>
      <c r="DE52" s="988" t="str">
        <f t="shared" ref="DE52:DR52" si="733">IF(AND($X52&lt;&gt;"",$AC52="CF"),IF(AND($P52&gt;DD$8,$P52&lt;=DE$8),$AB52,""),"")</f>
        <v/>
      </c>
      <c r="DF52" s="988" t="str">
        <f t="shared" si="733"/>
        <v/>
      </c>
      <c r="DG52" s="988" t="str">
        <f t="shared" si="733"/>
        <v/>
      </c>
      <c r="DH52" s="988" t="str">
        <f t="shared" si="733"/>
        <v/>
      </c>
      <c r="DI52" s="988" t="str">
        <f t="shared" si="733"/>
        <v/>
      </c>
      <c r="DJ52" s="988" t="str">
        <f t="shared" si="733"/>
        <v/>
      </c>
      <c r="DK52" s="988" t="str">
        <f t="shared" si="733"/>
        <v/>
      </c>
      <c r="DL52" s="988" t="str">
        <f t="shared" si="733"/>
        <v/>
      </c>
      <c r="DM52" s="988" t="str">
        <f t="shared" si="733"/>
        <v/>
      </c>
      <c r="DN52" s="988" t="str">
        <f t="shared" si="733"/>
        <v/>
      </c>
      <c r="DO52" s="988" t="str">
        <f t="shared" si="733"/>
        <v/>
      </c>
      <c r="DP52" s="988" t="str">
        <f t="shared" si="733"/>
        <v/>
      </c>
      <c r="DQ52" s="988" t="str">
        <f t="shared" si="733"/>
        <v/>
      </c>
      <c r="DR52" s="988" t="str">
        <f t="shared" si="733"/>
        <v/>
      </c>
      <c r="DT52" s="988" t="str">
        <f t="shared" ref="DT52:EG52" si="734">IF(AND($X52&lt;&gt;"",$AC52="CA"),IF(AND($P52&gt;DS$8,$P52&lt;=DT$8),$AB52,""),"")</f>
        <v/>
      </c>
      <c r="DU52" s="988" t="str">
        <f t="shared" si="734"/>
        <v/>
      </c>
      <c r="DV52" s="988" t="str">
        <f t="shared" si="734"/>
        <v/>
      </c>
      <c r="DW52" s="988" t="str">
        <f t="shared" si="734"/>
        <v/>
      </c>
      <c r="DX52" s="988" t="str">
        <f t="shared" si="734"/>
        <v/>
      </c>
      <c r="DY52" s="988" t="str">
        <f t="shared" si="734"/>
        <v/>
      </c>
      <c r="DZ52" s="988" t="str">
        <f t="shared" si="734"/>
        <v/>
      </c>
      <c r="EA52" s="988" t="str">
        <f t="shared" si="734"/>
        <v/>
      </c>
      <c r="EB52" s="988" t="str">
        <f t="shared" si="734"/>
        <v/>
      </c>
      <c r="EC52" s="988" t="str">
        <f t="shared" si="734"/>
        <v/>
      </c>
      <c r="ED52" s="988" t="str">
        <f t="shared" si="734"/>
        <v/>
      </c>
      <c r="EE52" s="988" t="str">
        <f t="shared" si="734"/>
        <v/>
      </c>
      <c r="EF52" s="988" t="str">
        <f t="shared" si="734"/>
        <v/>
      </c>
      <c r="EG52" s="988" t="str">
        <f t="shared" si="734"/>
        <v/>
      </c>
      <c r="EI52" s="988" t="str">
        <f t="shared" ref="EI52:EV52" si="735">IF($AE52="BFC",IF(AND($P52&gt;EH$8,$P52&lt;=EI$8),$AB52,""),"")</f>
        <v/>
      </c>
      <c r="EJ52" s="988" t="str">
        <f t="shared" si="735"/>
        <v/>
      </c>
      <c r="EK52" s="988" t="str">
        <f t="shared" si="735"/>
        <v/>
      </c>
      <c r="EL52" s="988" t="str">
        <f t="shared" si="735"/>
        <v/>
      </c>
      <c r="EM52" s="988" t="str">
        <f t="shared" si="735"/>
        <v/>
      </c>
      <c r="EN52" s="988" t="str">
        <f t="shared" si="735"/>
        <v/>
      </c>
      <c r="EO52" s="988" t="str">
        <f t="shared" si="735"/>
        <v/>
      </c>
      <c r="EP52" s="988" t="str">
        <f t="shared" si="735"/>
        <v/>
      </c>
      <c r="EQ52" s="988" t="str">
        <f t="shared" si="735"/>
        <v/>
      </c>
      <c r="ER52" s="988" t="str">
        <f t="shared" si="735"/>
        <v/>
      </c>
      <c r="ES52" s="988" t="str">
        <f t="shared" si="735"/>
        <v/>
      </c>
      <c r="ET52" s="988" t="str">
        <f t="shared" si="735"/>
        <v/>
      </c>
      <c r="EU52" s="988" t="str">
        <f t="shared" si="735"/>
        <v/>
      </c>
      <c r="EV52" s="988" t="str">
        <f t="shared" si="735"/>
        <v/>
      </c>
      <c r="EX52" s="988" t="str">
        <f t="shared" ref="EX52:FK52" si="736">IF($AE52="BFN",IF(AND($P52&gt;EW$8,$P52&lt;=EX$8),$AB52,""),"")</f>
        <v/>
      </c>
      <c r="EY52" s="988" t="str">
        <f t="shared" si="736"/>
        <v/>
      </c>
      <c r="EZ52" s="988" t="str">
        <f t="shared" si="736"/>
        <v/>
      </c>
      <c r="FA52" s="988" t="str">
        <f t="shared" si="736"/>
        <v/>
      </c>
      <c r="FB52" s="988" t="str">
        <f t="shared" si="736"/>
        <v/>
      </c>
      <c r="FC52" s="988" t="str">
        <f t="shared" si="736"/>
        <v/>
      </c>
      <c r="FD52" s="988" t="str">
        <f t="shared" si="736"/>
        <v/>
      </c>
      <c r="FE52" s="988" t="str">
        <f t="shared" si="736"/>
        <v/>
      </c>
      <c r="FF52" s="988" t="str">
        <f t="shared" si="736"/>
        <v/>
      </c>
      <c r="FG52" s="988" t="str">
        <f t="shared" si="736"/>
        <v/>
      </c>
      <c r="FH52" s="988" t="str">
        <f t="shared" si="736"/>
        <v/>
      </c>
      <c r="FI52" s="988" t="str">
        <f t="shared" si="736"/>
        <v/>
      </c>
      <c r="FJ52" s="988" t="str">
        <f t="shared" si="736"/>
        <v/>
      </c>
      <c r="FK52" s="988" t="str">
        <f t="shared" si="736"/>
        <v/>
      </c>
      <c r="FM52" s="988" t="str">
        <f t="shared" ref="FM52:FZ52" si="737">IF(AND($I52&lt;&gt;"",$AF52="RCS"),IF(AND($P52&gt;FL$8,$P52&lt;=FM$8),SUM($K52:$M52),""),"")</f>
        <v/>
      </c>
      <c r="FN52" s="988" t="str">
        <f t="shared" si="737"/>
        <v/>
      </c>
      <c r="FO52" s="988" t="str">
        <f t="shared" si="737"/>
        <v/>
      </c>
      <c r="FP52" s="988" t="str">
        <f t="shared" si="737"/>
        <v/>
      </c>
      <c r="FQ52" s="988" t="str">
        <f t="shared" si="737"/>
        <v/>
      </c>
      <c r="FR52" s="988" t="str">
        <f t="shared" si="737"/>
        <v/>
      </c>
      <c r="FS52" s="988" t="str">
        <f t="shared" si="737"/>
        <v/>
      </c>
      <c r="FT52" s="988" t="str">
        <f t="shared" si="737"/>
        <v/>
      </c>
      <c r="FU52" s="988" t="str">
        <f t="shared" si="737"/>
        <v/>
      </c>
      <c r="FV52" s="988" t="str">
        <f t="shared" si="737"/>
        <v/>
      </c>
      <c r="FW52" s="988" t="str">
        <f t="shared" si="737"/>
        <v/>
      </c>
      <c r="FX52" s="988" t="str">
        <f t="shared" si="737"/>
        <v/>
      </c>
      <c r="FY52" s="988" t="str">
        <f t="shared" si="737"/>
        <v/>
      </c>
      <c r="FZ52" s="988" t="str">
        <f t="shared" si="737"/>
        <v/>
      </c>
      <c r="GB52" s="988" t="str">
        <f t="shared" ref="GB52:GO52" si="738">IF(AND($I52&lt;&gt;"",$AF52="REC"),IF(AND($P52&gt;GA$8,$P52&lt;=GB$8),SUM($K52:$M52),""),"")</f>
        <v/>
      </c>
      <c r="GC52" s="988" t="str">
        <f t="shared" si="738"/>
        <v/>
      </c>
      <c r="GD52" s="988" t="str">
        <f t="shared" si="738"/>
        <v/>
      </c>
      <c r="GE52" s="988" t="str">
        <f t="shared" si="738"/>
        <v/>
      </c>
      <c r="GF52" s="988" t="str">
        <f t="shared" si="738"/>
        <v/>
      </c>
      <c r="GG52" s="988" t="str">
        <f t="shared" si="738"/>
        <v/>
      </c>
      <c r="GH52" s="988" t="str">
        <f t="shared" si="738"/>
        <v/>
      </c>
      <c r="GI52" s="988" t="str">
        <f t="shared" si="738"/>
        <v/>
      </c>
      <c r="GJ52" s="988" t="str">
        <f t="shared" si="738"/>
        <v/>
      </c>
      <c r="GK52" s="988" t="str">
        <f t="shared" si="738"/>
        <v/>
      </c>
      <c r="GL52" s="988" t="str">
        <f t="shared" si="738"/>
        <v/>
      </c>
      <c r="GM52" s="988" t="str">
        <f t="shared" si="738"/>
        <v/>
      </c>
      <c r="GN52" s="988" t="str">
        <f t="shared" si="738"/>
        <v/>
      </c>
      <c r="GO52" s="988" t="str">
        <f t="shared" si="738"/>
        <v/>
      </c>
      <c r="GQ52" s="988" t="str">
        <f t="shared" ref="GQ52:HD52" si="739">IF(AND($I52&lt;&gt;"",$AF52="REB"),IF(AND($P52&gt;GP$8,$P52&lt;=GQ$8),SUM($K52:$M52),""),"")</f>
        <v/>
      </c>
      <c r="GR52" s="988" t="str">
        <f t="shared" si="739"/>
        <v/>
      </c>
      <c r="GS52" s="988" t="str">
        <f t="shared" si="739"/>
        <v/>
      </c>
      <c r="GT52" s="988" t="str">
        <f t="shared" si="739"/>
        <v/>
      </c>
      <c r="GU52" s="988" t="str">
        <f t="shared" si="739"/>
        <v/>
      </c>
      <c r="GV52" s="988" t="str">
        <f t="shared" si="739"/>
        <v/>
      </c>
      <c r="GW52" s="988" t="str">
        <f t="shared" si="739"/>
        <v/>
      </c>
      <c r="GX52" s="988" t="str">
        <f t="shared" si="739"/>
        <v/>
      </c>
      <c r="GY52" s="988" t="str">
        <f t="shared" si="739"/>
        <v/>
      </c>
      <c r="GZ52" s="988" t="str">
        <f t="shared" si="739"/>
        <v/>
      </c>
      <c r="HA52" s="988" t="str">
        <f t="shared" si="739"/>
        <v/>
      </c>
      <c r="HB52" s="988" t="str">
        <f t="shared" si="739"/>
        <v/>
      </c>
      <c r="HC52" s="988" t="str">
        <f t="shared" si="739"/>
        <v/>
      </c>
      <c r="HD52" s="988" t="str">
        <f t="shared" si="739"/>
        <v/>
      </c>
      <c r="HF52" s="988" t="str">
        <f t="shared" ref="HF52:HS52" si="740">IF(AND($I52&lt;&gt;"",$AF52="RBS"),IF(AND($P52&gt;HE$8,$P52&lt;=HF$8),SUM($K52:$M52),""),"")</f>
        <v/>
      </c>
      <c r="HG52" s="988" t="str">
        <f t="shared" si="740"/>
        <v/>
      </c>
      <c r="HH52" s="988" t="str">
        <f t="shared" si="740"/>
        <v/>
      </c>
      <c r="HI52" s="988" t="str">
        <f t="shared" si="740"/>
        <v/>
      </c>
      <c r="HJ52" s="988" t="str">
        <f t="shared" si="740"/>
        <v/>
      </c>
      <c r="HK52" s="988" t="str">
        <f t="shared" si="740"/>
        <v/>
      </c>
      <c r="HL52" s="988" t="str">
        <f t="shared" si="740"/>
        <v/>
      </c>
      <c r="HM52" s="988" t="str">
        <f t="shared" si="740"/>
        <v/>
      </c>
      <c r="HN52" s="988" t="str">
        <f t="shared" si="740"/>
        <v/>
      </c>
      <c r="HO52" s="988" t="str">
        <f t="shared" si="740"/>
        <v/>
      </c>
      <c r="HP52" s="988" t="str">
        <f t="shared" si="740"/>
        <v/>
      </c>
      <c r="HQ52" s="988" t="str">
        <f t="shared" si="740"/>
        <v/>
      </c>
      <c r="HR52" s="988" t="str">
        <f t="shared" si="740"/>
        <v/>
      </c>
      <c r="HS52" s="988" t="str">
        <f t="shared" si="740"/>
        <v/>
      </c>
      <c r="HU52" s="988" t="str">
        <f t="shared" ref="HU52:IH52" si="741">IF(AND($I52&lt;&gt;"",$AF52="RCD"),IF(AND($P52&gt;HT$8,$P52&lt;=HU$8),SUM($K52:$M52),""),"")</f>
        <v/>
      </c>
      <c r="HV52" s="988" t="str">
        <f t="shared" si="741"/>
        <v/>
      </c>
      <c r="HW52" s="988" t="str">
        <f t="shared" si="741"/>
        <v/>
      </c>
      <c r="HX52" s="988" t="str">
        <f t="shared" si="741"/>
        <v/>
      </c>
      <c r="HY52" s="988" t="str">
        <f t="shared" si="741"/>
        <v/>
      </c>
      <c r="HZ52" s="988" t="str">
        <f t="shared" si="741"/>
        <v/>
      </c>
      <c r="IA52" s="988" t="str">
        <f t="shared" si="741"/>
        <v/>
      </c>
      <c r="IB52" s="988" t="str">
        <f t="shared" si="741"/>
        <v/>
      </c>
      <c r="IC52" s="988" t="str">
        <f t="shared" si="741"/>
        <v/>
      </c>
      <c r="ID52" s="988" t="str">
        <f t="shared" si="741"/>
        <v/>
      </c>
      <c r="IE52" s="988" t="str">
        <f t="shared" si="741"/>
        <v/>
      </c>
      <c r="IF52" s="988" t="str">
        <f t="shared" si="741"/>
        <v/>
      </c>
      <c r="IG52" s="988" t="str">
        <f t="shared" si="741"/>
        <v/>
      </c>
      <c r="IH52" s="988" t="str">
        <f t="shared" si="741"/>
        <v/>
      </c>
      <c r="IJ52" s="985" t="str">
        <f t="shared" ref="IJ52:IW52" si="742">IF(AND($I52&lt;&gt;""),IF(AND($P52&gt;II$8,$P52&lt;=IJ$8),$K52,""),"")</f>
        <v/>
      </c>
      <c r="IK52" s="985" t="str">
        <f t="shared" si="742"/>
        <v/>
      </c>
      <c r="IL52" s="985" t="str">
        <f t="shared" si="742"/>
        <v/>
      </c>
      <c r="IM52" s="985" t="str">
        <f t="shared" si="742"/>
        <v/>
      </c>
      <c r="IN52" s="985" t="str">
        <f t="shared" si="742"/>
        <v/>
      </c>
      <c r="IO52" s="985" t="str">
        <f t="shared" si="742"/>
        <v/>
      </c>
      <c r="IP52" s="985" t="str">
        <f t="shared" si="742"/>
        <v/>
      </c>
      <c r="IQ52" s="985" t="str">
        <f t="shared" si="742"/>
        <v/>
      </c>
      <c r="IR52" s="985" t="str">
        <f t="shared" si="742"/>
        <v/>
      </c>
      <c r="IS52" s="985" t="str">
        <f t="shared" si="742"/>
        <v/>
      </c>
      <c r="IT52" s="985" t="str">
        <f t="shared" si="742"/>
        <v/>
      </c>
      <c r="IU52" s="985" t="str">
        <f t="shared" si="742"/>
        <v/>
      </c>
      <c r="IV52" s="985" t="str">
        <f t="shared" si="742"/>
        <v/>
      </c>
      <c r="IW52" s="985" t="str">
        <f t="shared" si="742"/>
        <v/>
      </c>
      <c r="IX52" s="987"/>
      <c r="IY52" s="985" t="str">
        <f t="shared" ref="IY52:JL52" si="743">IF(AND($I52&lt;&gt;""),IF(AND($P52&gt;IX$8,$P52&lt;=IY$8),$L52,""),"")</f>
        <v/>
      </c>
      <c r="IZ52" s="985" t="str">
        <f t="shared" si="743"/>
        <v/>
      </c>
      <c r="JA52" s="985" t="str">
        <f t="shared" si="743"/>
        <v/>
      </c>
      <c r="JB52" s="985" t="str">
        <f t="shared" si="743"/>
        <v/>
      </c>
      <c r="JC52" s="985" t="str">
        <f t="shared" si="743"/>
        <v/>
      </c>
      <c r="JD52" s="985" t="str">
        <f t="shared" si="743"/>
        <v/>
      </c>
      <c r="JE52" s="985" t="str">
        <f t="shared" si="743"/>
        <v/>
      </c>
      <c r="JF52" s="985" t="str">
        <f t="shared" si="743"/>
        <v/>
      </c>
      <c r="JG52" s="985" t="str">
        <f t="shared" si="743"/>
        <v/>
      </c>
      <c r="JH52" s="985" t="str">
        <f t="shared" si="743"/>
        <v/>
      </c>
      <c r="JI52" s="985" t="str">
        <f t="shared" si="743"/>
        <v/>
      </c>
      <c r="JJ52" s="985" t="str">
        <f t="shared" si="743"/>
        <v/>
      </c>
      <c r="JK52" s="985" t="str">
        <f t="shared" si="743"/>
        <v/>
      </c>
      <c r="JL52" s="985" t="str">
        <f t="shared" si="743"/>
        <v/>
      </c>
      <c r="JM52" s="987"/>
      <c r="JN52" s="985" t="str">
        <f t="shared" ref="JN52:KA52" si="744">IF(AND($I52&lt;&gt;""),IF(AND($P52&gt;JM$8,$P52&lt;=JN$8),$M52,""),"")</f>
        <v/>
      </c>
      <c r="JO52" s="985" t="str">
        <f t="shared" si="744"/>
        <v/>
      </c>
      <c r="JP52" s="985" t="str">
        <f t="shared" si="744"/>
        <v/>
      </c>
      <c r="JQ52" s="985" t="str">
        <f t="shared" si="744"/>
        <v/>
      </c>
      <c r="JR52" s="985" t="str">
        <f t="shared" si="744"/>
        <v/>
      </c>
      <c r="JS52" s="985" t="str">
        <f t="shared" si="744"/>
        <v/>
      </c>
      <c r="JT52" s="985" t="str">
        <f t="shared" si="744"/>
        <v/>
      </c>
      <c r="JU52" s="985" t="str">
        <f t="shared" si="744"/>
        <v/>
      </c>
      <c r="JV52" s="985" t="str">
        <f t="shared" si="744"/>
        <v/>
      </c>
      <c r="JW52" s="985" t="str">
        <f t="shared" si="744"/>
        <v/>
      </c>
      <c r="JX52" s="985" t="str">
        <f t="shared" si="744"/>
        <v/>
      </c>
      <c r="JY52" s="985" t="str">
        <f t="shared" si="744"/>
        <v/>
      </c>
      <c r="JZ52" s="985" t="str">
        <f t="shared" si="744"/>
        <v/>
      </c>
      <c r="KA52" s="985" t="str">
        <f t="shared" si="744"/>
        <v/>
      </c>
      <c r="KB52" s="987"/>
      <c r="KC52" s="985" t="str">
        <f t="shared" ref="KC52:KP52" si="745">IF(AND($I52&lt;&gt;""),IF(AND($P52&gt;KB$8,$P52&lt;=KC$8),$N52,""),"")</f>
        <v/>
      </c>
      <c r="KD52" s="985" t="str">
        <f t="shared" si="745"/>
        <v/>
      </c>
      <c r="KE52" s="985" t="str">
        <f t="shared" si="745"/>
        <v/>
      </c>
      <c r="KF52" s="985" t="str">
        <f t="shared" si="745"/>
        <v/>
      </c>
      <c r="KG52" s="985" t="str">
        <f t="shared" si="745"/>
        <v/>
      </c>
      <c r="KH52" s="985" t="str">
        <f t="shared" si="745"/>
        <v/>
      </c>
      <c r="KI52" s="985" t="str">
        <f t="shared" si="745"/>
        <v/>
      </c>
      <c r="KJ52" s="985" t="str">
        <f t="shared" si="745"/>
        <v/>
      </c>
      <c r="KK52" s="985" t="str">
        <f t="shared" si="745"/>
        <v/>
      </c>
      <c r="KL52" s="985" t="str">
        <f t="shared" si="745"/>
        <v/>
      </c>
      <c r="KM52" s="985" t="str">
        <f t="shared" si="745"/>
        <v/>
      </c>
      <c r="KN52" s="985" t="str">
        <f t="shared" si="745"/>
        <v/>
      </c>
      <c r="KO52" s="985" t="str">
        <f t="shared" si="745"/>
        <v/>
      </c>
      <c r="KP52" s="985" t="str">
        <f t="shared" si="745"/>
        <v/>
      </c>
    </row>
    <row r="53" spans="1:302" ht="18" hidden="1" customHeight="1">
      <c r="B53" s="978"/>
      <c r="C53" s="979" t="str">
        <f>IFERROR(INDEX(#REF!,MATCH('4.0 - QDM OK'!$I11,#REF!,0)),"")</f>
        <v/>
      </c>
      <c r="D53" s="979" t="s">
        <v>605</v>
      </c>
      <c r="E53" s="980" t="str">
        <f>IFERROR(INDEX(#REF!,MATCH('4.0 - QDM OK'!$I11,#REF!,0)),"")</f>
        <v/>
      </c>
      <c r="F53" s="979" t="str">
        <f>IFERROR(INDEX(#REF!,MATCH('4.0 - QDM OK'!$I11,#REF!,0)),"")</f>
        <v/>
      </c>
      <c r="G53" s="979" t="s">
        <v>605</v>
      </c>
      <c r="H53" s="980" t="str">
        <f>IFERROR(INDEX(#REF!,MATCH('4.0 - QDM OK'!$I11,#REF!,0)),"")</f>
        <v/>
      </c>
      <c r="I53" s="979"/>
      <c r="J53" s="979"/>
      <c r="K53" s="980"/>
      <c r="L53" s="980"/>
      <c r="M53" s="980"/>
      <c r="N53" s="980"/>
      <c r="O53" s="980"/>
      <c r="P53" s="981">
        <f>IFERROR(IF(OR(IFERROR(RIGHT(I53,LEN(I53)-SEARCH(":",I53,1))="INTER",0),IFERROR(RIGHT(X53,LEN(X53)-SEARCH(":",X53,1))="INTER",0)),O53,ABS((R53*20+T53+U53*20+W53)/2-(C53*20+E53+F53*20+H53)/2)/1000+20/1000),0)</f>
        <v>0</v>
      </c>
      <c r="Q53" s="981">
        <f t="shared" si="1"/>
        <v>0</v>
      </c>
      <c r="R53" s="979" t="str">
        <f>IFERROR(INDEX(#REF!,MATCH('4.0 - QDM OK'!$X11,#REF!,0)),"")</f>
        <v/>
      </c>
      <c r="S53" s="979" t="s">
        <v>605</v>
      </c>
      <c r="T53" s="980" t="str">
        <f>IFERROR(INDEX(#REF!,MATCH('4.0 - QDM OK'!$X11,#REF!,0)),"")</f>
        <v/>
      </c>
      <c r="U53" s="979" t="str">
        <f>IFERROR(INDEX(#REF!,MATCH('4.0 - QDM OK'!$X11,#REF!,0)),"")</f>
        <v/>
      </c>
      <c r="V53" s="979" t="s">
        <v>605</v>
      </c>
      <c r="W53" s="980" t="str">
        <f>IFERROR(INDEX(#REF!,MATCH('4.0 - QDM OK'!$X11,#REF!,0)),"")</f>
        <v/>
      </c>
      <c r="X53" s="989"/>
      <c r="Y53" s="979"/>
      <c r="Z53" s="979"/>
      <c r="AA53" s="980">
        <v>1.3</v>
      </c>
      <c r="AB53" s="980">
        <f t="shared" si="2"/>
        <v>0</v>
      </c>
      <c r="AC53" s="982" t="str" cm="1">
        <f t="array" ref="AC53">IF(X53&lt;&gt;"",IF(LEFT(X53,SEARCH("-",X53,1)-1)="A.CF","CF",IF(LEFT(X53,SEARCH("-",X53,1)-1)="A.CA","CA",IF(LEFT(X53,SEARCH("-",X53,1)-1)="CL","CL","-"))),IF(Y53&lt;&gt;"",BF,"-"))</f>
        <v>-</v>
      </c>
      <c r="AD53" s="953"/>
      <c r="AE53" s="983" t="str">
        <f t="shared" si="3"/>
        <v/>
      </c>
      <c r="AF53" s="984" t="str">
        <f t="shared" si="4"/>
        <v/>
      </c>
      <c r="AG53" s="963"/>
      <c r="AH53" s="985" t="str">
        <f t="shared" si="693"/>
        <v/>
      </c>
      <c r="AI53" s="985" t="str">
        <f t="shared" si="693"/>
        <v/>
      </c>
      <c r="AJ53" s="985" t="str">
        <f t="shared" si="693"/>
        <v/>
      </c>
      <c r="AK53" s="985" t="str">
        <f t="shared" si="693"/>
        <v/>
      </c>
      <c r="AL53" s="985" t="str">
        <f t="shared" si="693"/>
        <v/>
      </c>
      <c r="AM53" s="985" t="str">
        <f t="shared" si="693"/>
        <v/>
      </c>
      <c r="AN53" s="985" t="str">
        <f t="shared" si="693"/>
        <v/>
      </c>
      <c r="AO53" s="985" t="str">
        <f t="shared" si="693"/>
        <v/>
      </c>
      <c r="AP53" s="986"/>
      <c r="AQ53" s="985" t="str">
        <f t="shared" ref="AQ53:BD53" si="746">IF(AND($I53&lt;&gt;"",$AF53="C"),IF(AND($P53&gt;AP$8,$P53&lt;=AQ$8),$K53,""),"")</f>
        <v/>
      </c>
      <c r="AR53" s="985" t="str">
        <f t="shared" si="746"/>
        <v/>
      </c>
      <c r="AS53" s="985" t="str">
        <f t="shared" si="746"/>
        <v/>
      </c>
      <c r="AT53" s="985" t="str">
        <f t="shared" si="746"/>
        <v/>
      </c>
      <c r="AU53" s="985" t="str">
        <f t="shared" si="746"/>
        <v/>
      </c>
      <c r="AV53" s="985" t="str">
        <f t="shared" si="746"/>
        <v/>
      </c>
      <c r="AW53" s="985" t="str">
        <f t="shared" si="746"/>
        <v/>
      </c>
      <c r="AX53" s="985" t="str">
        <f t="shared" si="746"/>
        <v/>
      </c>
      <c r="AY53" s="985" t="str">
        <f t="shared" si="746"/>
        <v/>
      </c>
      <c r="AZ53" s="985" t="str">
        <f t="shared" si="746"/>
        <v/>
      </c>
      <c r="BA53" s="985" t="str">
        <f t="shared" si="746"/>
        <v/>
      </c>
      <c r="BB53" s="985" t="str">
        <f t="shared" si="746"/>
        <v/>
      </c>
      <c r="BC53" s="985" t="str">
        <f t="shared" si="746"/>
        <v/>
      </c>
      <c r="BD53" s="985" t="str">
        <f t="shared" si="746"/>
        <v/>
      </c>
      <c r="BE53" s="987"/>
      <c r="BF53" s="985" t="str">
        <f t="shared" ref="BF53:BS53" si="747">IF(AND($I53&lt;&gt;"",$AF53="C"),IF(AND($P53&gt;BE$8,$P53&lt;=BF$8),$L53,""),"")</f>
        <v/>
      </c>
      <c r="BG53" s="985" t="str">
        <f t="shared" si="747"/>
        <v/>
      </c>
      <c r="BH53" s="985" t="str">
        <f t="shared" si="747"/>
        <v/>
      </c>
      <c r="BI53" s="985" t="str">
        <f t="shared" si="747"/>
        <v/>
      </c>
      <c r="BJ53" s="985" t="str">
        <f t="shared" si="747"/>
        <v/>
      </c>
      <c r="BK53" s="985" t="str">
        <f t="shared" si="747"/>
        <v/>
      </c>
      <c r="BL53" s="985" t="str">
        <f t="shared" si="747"/>
        <v/>
      </c>
      <c r="BM53" s="985" t="str">
        <f t="shared" si="747"/>
        <v/>
      </c>
      <c r="BN53" s="985" t="str">
        <f t="shared" si="747"/>
        <v/>
      </c>
      <c r="BO53" s="985" t="str">
        <f t="shared" si="747"/>
        <v/>
      </c>
      <c r="BP53" s="985" t="str">
        <f t="shared" si="747"/>
        <v/>
      </c>
      <c r="BQ53" s="985" t="str">
        <f t="shared" si="747"/>
        <v/>
      </c>
      <c r="BR53" s="985" t="str">
        <f t="shared" si="747"/>
        <v/>
      </c>
      <c r="BS53" s="985" t="str">
        <f t="shared" si="747"/>
        <v/>
      </c>
      <c r="BU53" s="985" t="str">
        <f t="shared" ref="BU53:CF53" si="748">IF(AND($I53&lt;&gt;"",$AF53="C"),IF(AND($P53&gt;BT$8,$P53&lt;=BU$8),$M53,""),"")</f>
        <v/>
      </c>
      <c r="BV53" s="985" t="str">
        <f t="shared" si="748"/>
        <v/>
      </c>
      <c r="BW53" s="985" t="str">
        <f t="shared" si="748"/>
        <v/>
      </c>
      <c r="BX53" s="985" t="str">
        <f t="shared" si="748"/>
        <v/>
      </c>
      <c r="BY53" s="985" t="str">
        <f t="shared" si="748"/>
        <v/>
      </c>
      <c r="BZ53" s="985" t="str">
        <f t="shared" si="748"/>
        <v/>
      </c>
      <c r="CA53" s="985" t="str">
        <f t="shared" si="748"/>
        <v/>
      </c>
      <c r="CB53" s="985" t="str">
        <f t="shared" si="748"/>
        <v/>
      </c>
      <c r="CC53" s="985" t="str">
        <f t="shared" si="748"/>
        <v/>
      </c>
      <c r="CD53" s="985" t="str">
        <f t="shared" si="748"/>
        <v/>
      </c>
      <c r="CE53" s="985" t="str">
        <f t="shared" si="748"/>
        <v/>
      </c>
      <c r="CF53" s="985" t="str">
        <f t="shared" si="748"/>
        <v/>
      </c>
      <c r="CG53" s="987"/>
      <c r="CH53" s="985" t="str">
        <f t="shared" si="697"/>
        <v/>
      </c>
      <c r="CI53" s="985" t="str">
        <f t="shared" si="697"/>
        <v/>
      </c>
      <c r="CJ53" s="985" t="str">
        <f t="shared" si="697"/>
        <v/>
      </c>
      <c r="CK53" s="985" t="str">
        <f t="shared" si="697"/>
        <v/>
      </c>
      <c r="CL53" s="985" t="str">
        <f t="shared" si="697"/>
        <v/>
      </c>
      <c r="CM53" s="985" t="str">
        <f t="shared" si="697"/>
        <v/>
      </c>
      <c r="CN53" s="985" t="str">
        <f t="shared" si="697"/>
        <v/>
      </c>
      <c r="CP53" s="988" t="str">
        <f t="shared" ref="CP53:DC53" si="749">IF(AND($I53&lt;&gt;"",OR($AF53="ELE",$AF53="ELD",$AF53="CX")),IF(AND($P53&gt;CO$8,$P53&lt;=CP$8),$K53,""),"")</f>
        <v/>
      </c>
      <c r="CQ53" s="988" t="str">
        <f t="shared" si="749"/>
        <v/>
      </c>
      <c r="CR53" s="988" t="str">
        <f t="shared" si="749"/>
        <v/>
      </c>
      <c r="CS53" s="988" t="str">
        <f t="shared" si="749"/>
        <v/>
      </c>
      <c r="CT53" s="988" t="str">
        <f t="shared" si="749"/>
        <v/>
      </c>
      <c r="CU53" s="988" t="str">
        <f t="shared" si="749"/>
        <v/>
      </c>
      <c r="CV53" s="988" t="str">
        <f t="shared" si="749"/>
        <v/>
      </c>
      <c r="CW53" s="988" t="str">
        <f t="shared" si="749"/>
        <v/>
      </c>
      <c r="CX53" s="988" t="str">
        <f t="shared" si="749"/>
        <v/>
      </c>
      <c r="CY53" s="988" t="str">
        <f t="shared" si="749"/>
        <v/>
      </c>
      <c r="CZ53" s="988" t="str">
        <f t="shared" si="749"/>
        <v/>
      </c>
      <c r="DA53" s="988" t="str">
        <f t="shared" si="749"/>
        <v/>
      </c>
      <c r="DB53" s="988" t="str">
        <f t="shared" si="749"/>
        <v/>
      </c>
      <c r="DC53" s="988" t="str">
        <f t="shared" si="749"/>
        <v/>
      </c>
      <c r="DE53" s="988" t="str">
        <f t="shared" ref="DE53:DR53" si="750">IF(AND($X53&lt;&gt;"",$AC53="CF"),IF(AND($P53&gt;DD$8,$P53&lt;=DE$8),$AB53,""),"")</f>
        <v/>
      </c>
      <c r="DF53" s="988" t="str">
        <f t="shared" si="750"/>
        <v/>
      </c>
      <c r="DG53" s="988" t="str">
        <f t="shared" si="750"/>
        <v/>
      </c>
      <c r="DH53" s="988" t="str">
        <f t="shared" si="750"/>
        <v/>
      </c>
      <c r="DI53" s="988" t="str">
        <f t="shared" si="750"/>
        <v/>
      </c>
      <c r="DJ53" s="988" t="str">
        <f t="shared" si="750"/>
        <v/>
      </c>
      <c r="DK53" s="988" t="str">
        <f t="shared" si="750"/>
        <v/>
      </c>
      <c r="DL53" s="988" t="str">
        <f t="shared" si="750"/>
        <v/>
      </c>
      <c r="DM53" s="988" t="str">
        <f t="shared" si="750"/>
        <v/>
      </c>
      <c r="DN53" s="988" t="str">
        <f t="shared" si="750"/>
        <v/>
      </c>
      <c r="DO53" s="988" t="str">
        <f t="shared" si="750"/>
        <v/>
      </c>
      <c r="DP53" s="988" t="str">
        <f t="shared" si="750"/>
        <v/>
      </c>
      <c r="DQ53" s="988" t="str">
        <f t="shared" si="750"/>
        <v/>
      </c>
      <c r="DR53" s="988" t="str">
        <f t="shared" si="750"/>
        <v/>
      </c>
      <c r="DT53" s="988" t="str">
        <f t="shared" ref="DT53:EG53" si="751">IF(AND($X53&lt;&gt;"",$AC53="CA"),IF(AND($P53&gt;DS$8,$P53&lt;=DT$8),$AB53,""),"")</f>
        <v/>
      </c>
      <c r="DU53" s="988" t="str">
        <f t="shared" si="751"/>
        <v/>
      </c>
      <c r="DV53" s="988" t="str">
        <f t="shared" si="751"/>
        <v/>
      </c>
      <c r="DW53" s="988" t="str">
        <f t="shared" si="751"/>
        <v/>
      </c>
      <c r="DX53" s="988" t="str">
        <f t="shared" si="751"/>
        <v/>
      </c>
      <c r="DY53" s="988" t="str">
        <f t="shared" si="751"/>
        <v/>
      </c>
      <c r="DZ53" s="988" t="str">
        <f t="shared" si="751"/>
        <v/>
      </c>
      <c r="EA53" s="988" t="str">
        <f t="shared" si="751"/>
        <v/>
      </c>
      <c r="EB53" s="988" t="str">
        <f t="shared" si="751"/>
        <v/>
      </c>
      <c r="EC53" s="988" t="str">
        <f t="shared" si="751"/>
        <v/>
      </c>
      <c r="ED53" s="988" t="str">
        <f t="shared" si="751"/>
        <v/>
      </c>
      <c r="EE53" s="988" t="str">
        <f t="shared" si="751"/>
        <v/>
      </c>
      <c r="EF53" s="988" t="str">
        <f t="shared" si="751"/>
        <v/>
      </c>
      <c r="EG53" s="988" t="str">
        <f t="shared" si="751"/>
        <v/>
      </c>
      <c r="EI53" s="988" t="str">
        <f t="shared" ref="EI53:EV53" si="752">IF($AE53="BFC",IF(AND($P53&gt;EH$8,$P53&lt;=EI$8),$AB53,""),"")</f>
        <v/>
      </c>
      <c r="EJ53" s="988" t="str">
        <f t="shared" si="752"/>
        <v/>
      </c>
      <c r="EK53" s="988" t="str">
        <f t="shared" si="752"/>
        <v/>
      </c>
      <c r="EL53" s="988" t="str">
        <f t="shared" si="752"/>
        <v/>
      </c>
      <c r="EM53" s="988" t="str">
        <f t="shared" si="752"/>
        <v/>
      </c>
      <c r="EN53" s="988" t="str">
        <f t="shared" si="752"/>
        <v/>
      </c>
      <c r="EO53" s="988" t="str">
        <f t="shared" si="752"/>
        <v/>
      </c>
      <c r="EP53" s="988" t="str">
        <f t="shared" si="752"/>
        <v/>
      </c>
      <c r="EQ53" s="988" t="str">
        <f t="shared" si="752"/>
        <v/>
      </c>
      <c r="ER53" s="988" t="str">
        <f t="shared" si="752"/>
        <v/>
      </c>
      <c r="ES53" s="988" t="str">
        <f t="shared" si="752"/>
        <v/>
      </c>
      <c r="ET53" s="988" t="str">
        <f t="shared" si="752"/>
        <v/>
      </c>
      <c r="EU53" s="988" t="str">
        <f t="shared" si="752"/>
        <v/>
      </c>
      <c r="EV53" s="988" t="str">
        <f t="shared" si="752"/>
        <v/>
      </c>
      <c r="EX53" s="988" t="str">
        <f t="shared" ref="EX53:FK53" si="753">IF($AE53="BFN",IF(AND($P53&gt;EW$8,$P53&lt;=EX$8),$AB53,""),"")</f>
        <v/>
      </c>
      <c r="EY53" s="988" t="str">
        <f t="shared" si="753"/>
        <v/>
      </c>
      <c r="EZ53" s="988" t="str">
        <f t="shared" si="753"/>
        <v/>
      </c>
      <c r="FA53" s="988" t="str">
        <f t="shared" si="753"/>
        <v/>
      </c>
      <c r="FB53" s="988" t="str">
        <f t="shared" si="753"/>
        <v/>
      </c>
      <c r="FC53" s="988" t="str">
        <f t="shared" si="753"/>
        <v/>
      </c>
      <c r="FD53" s="988" t="str">
        <f t="shared" si="753"/>
        <v/>
      </c>
      <c r="FE53" s="988" t="str">
        <f t="shared" si="753"/>
        <v/>
      </c>
      <c r="FF53" s="988" t="str">
        <f t="shared" si="753"/>
        <v/>
      </c>
      <c r="FG53" s="988" t="str">
        <f t="shared" si="753"/>
        <v/>
      </c>
      <c r="FH53" s="988" t="str">
        <f t="shared" si="753"/>
        <v/>
      </c>
      <c r="FI53" s="988" t="str">
        <f t="shared" si="753"/>
        <v/>
      </c>
      <c r="FJ53" s="988" t="str">
        <f t="shared" si="753"/>
        <v/>
      </c>
      <c r="FK53" s="988" t="str">
        <f t="shared" si="753"/>
        <v/>
      </c>
      <c r="FM53" s="988" t="str">
        <f t="shared" ref="FM53:FZ53" si="754">IF(AND($I53&lt;&gt;"",$AF53="RCS"),IF(AND($P53&gt;FL$8,$P53&lt;=FM$8),SUM($K53:$M53),""),"")</f>
        <v/>
      </c>
      <c r="FN53" s="988" t="str">
        <f t="shared" si="754"/>
        <v/>
      </c>
      <c r="FO53" s="988" t="str">
        <f t="shared" si="754"/>
        <v/>
      </c>
      <c r="FP53" s="988" t="str">
        <f t="shared" si="754"/>
        <v/>
      </c>
      <c r="FQ53" s="988" t="str">
        <f t="shared" si="754"/>
        <v/>
      </c>
      <c r="FR53" s="988" t="str">
        <f t="shared" si="754"/>
        <v/>
      </c>
      <c r="FS53" s="988" t="str">
        <f t="shared" si="754"/>
        <v/>
      </c>
      <c r="FT53" s="988" t="str">
        <f t="shared" si="754"/>
        <v/>
      </c>
      <c r="FU53" s="988" t="str">
        <f t="shared" si="754"/>
        <v/>
      </c>
      <c r="FV53" s="988" t="str">
        <f t="shared" si="754"/>
        <v/>
      </c>
      <c r="FW53" s="988" t="str">
        <f t="shared" si="754"/>
        <v/>
      </c>
      <c r="FX53" s="988" t="str">
        <f t="shared" si="754"/>
        <v/>
      </c>
      <c r="FY53" s="988" t="str">
        <f t="shared" si="754"/>
        <v/>
      </c>
      <c r="FZ53" s="988" t="str">
        <f t="shared" si="754"/>
        <v/>
      </c>
      <c r="GB53" s="988" t="str">
        <f t="shared" ref="GB53:GO53" si="755">IF(AND($I53&lt;&gt;"",$AF53="REC"),IF(AND($P53&gt;GA$8,$P53&lt;=GB$8),SUM($K53:$M53),""),"")</f>
        <v/>
      </c>
      <c r="GC53" s="988" t="str">
        <f t="shared" si="755"/>
        <v/>
      </c>
      <c r="GD53" s="988" t="str">
        <f t="shared" si="755"/>
        <v/>
      </c>
      <c r="GE53" s="988" t="str">
        <f t="shared" si="755"/>
        <v/>
      </c>
      <c r="GF53" s="988" t="str">
        <f t="shared" si="755"/>
        <v/>
      </c>
      <c r="GG53" s="988" t="str">
        <f t="shared" si="755"/>
        <v/>
      </c>
      <c r="GH53" s="988" t="str">
        <f t="shared" si="755"/>
        <v/>
      </c>
      <c r="GI53" s="988" t="str">
        <f t="shared" si="755"/>
        <v/>
      </c>
      <c r="GJ53" s="988" t="str">
        <f t="shared" si="755"/>
        <v/>
      </c>
      <c r="GK53" s="988" t="str">
        <f t="shared" si="755"/>
        <v/>
      </c>
      <c r="GL53" s="988" t="str">
        <f t="shared" si="755"/>
        <v/>
      </c>
      <c r="GM53" s="988" t="str">
        <f t="shared" si="755"/>
        <v/>
      </c>
      <c r="GN53" s="988" t="str">
        <f t="shared" si="755"/>
        <v/>
      </c>
      <c r="GO53" s="988" t="str">
        <f t="shared" si="755"/>
        <v/>
      </c>
      <c r="GQ53" s="988" t="str">
        <f t="shared" ref="GQ53:HD53" si="756">IF(AND($I53&lt;&gt;"",$AF53="REB"),IF(AND($P53&gt;GP$8,$P53&lt;=GQ$8),SUM($K53:$M53),""),"")</f>
        <v/>
      </c>
      <c r="GR53" s="988" t="str">
        <f t="shared" si="756"/>
        <v/>
      </c>
      <c r="GS53" s="988" t="str">
        <f t="shared" si="756"/>
        <v/>
      </c>
      <c r="GT53" s="988" t="str">
        <f t="shared" si="756"/>
        <v/>
      </c>
      <c r="GU53" s="988" t="str">
        <f t="shared" si="756"/>
        <v/>
      </c>
      <c r="GV53" s="988" t="str">
        <f t="shared" si="756"/>
        <v/>
      </c>
      <c r="GW53" s="988" t="str">
        <f t="shared" si="756"/>
        <v/>
      </c>
      <c r="GX53" s="988" t="str">
        <f t="shared" si="756"/>
        <v/>
      </c>
      <c r="GY53" s="988" t="str">
        <f t="shared" si="756"/>
        <v/>
      </c>
      <c r="GZ53" s="988" t="str">
        <f t="shared" si="756"/>
        <v/>
      </c>
      <c r="HA53" s="988" t="str">
        <f t="shared" si="756"/>
        <v/>
      </c>
      <c r="HB53" s="988" t="str">
        <f t="shared" si="756"/>
        <v/>
      </c>
      <c r="HC53" s="988" t="str">
        <f t="shared" si="756"/>
        <v/>
      </c>
      <c r="HD53" s="988" t="str">
        <f t="shared" si="756"/>
        <v/>
      </c>
      <c r="HF53" s="988" t="str">
        <f t="shared" ref="HF53:HS53" si="757">IF(AND($I53&lt;&gt;"",$AF53="RBS"),IF(AND($P53&gt;HE$8,$P53&lt;=HF$8),SUM($K53:$M53),""),"")</f>
        <v/>
      </c>
      <c r="HG53" s="988" t="str">
        <f t="shared" si="757"/>
        <v/>
      </c>
      <c r="HH53" s="988" t="str">
        <f t="shared" si="757"/>
        <v/>
      </c>
      <c r="HI53" s="988" t="str">
        <f t="shared" si="757"/>
        <v/>
      </c>
      <c r="HJ53" s="988" t="str">
        <f t="shared" si="757"/>
        <v/>
      </c>
      <c r="HK53" s="988" t="str">
        <f t="shared" si="757"/>
        <v/>
      </c>
      <c r="HL53" s="988" t="str">
        <f t="shared" si="757"/>
        <v/>
      </c>
      <c r="HM53" s="988" t="str">
        <f t="shared" si="757"/>
        <v/>
      </c>
      <c r="HN53" s="988" t="str">
        <f t="shared" si="757"/>
        <v/>
      </c>
      <c r="HO53" s="988" t="str">
        <f t="shared" si="757"/>
        <v/>
      </c>
      <c r="HP53" s="988" t="str">
        <f t="shared" si="757"/>
        <v/>
      </c>
      <c r="HQ53" s="988" t="str">
        <f t="shared" si="757"/>
        <v/>
      </c>
      <c r="HR53" s="988" t="str">
        <f t="shared" si="757"/>
        <v/>
      </c>
      <c r="HS53" s="988" t="str">
        <f t="shared" si="757"/>
        <v/>
      </c>
      <c r="HU53" s="988" t="str">
        <f t="shared" ref="HU53:IH53" si="758">IF(AND($I53&lt;&gt;"",$AF53="RCD"),IF(AND($P53&gt;HT$8,$P53&lt;=HU$8),SUM($K53:$M53),""),"")</f>
        <v/>
      </c>
      <c r="HV53" s="988" t="str">
        <f t="shared" si="758"/>
        <v/>
      </c>
      <c r="HW53" s="988" t="str">
        <f t="shared" si="758"/>
        <v/>
      </c>
      <c r="HX53" s="988" t="str">
        <f t="shared" si="758"/>
        <v/>
      </c>
      <c r="HY53" s="988" t="str">
        <f t="shared" si="758"/>
        <v/>
      </c>
      <c r="HZ53" s="988" t="str">
        <f t="shared" si="758"/>
        <v/>
      </c>
      <c r="IA53" s="988" t="str">
        <f t="shared" si="758"/>
        <v/>
      </c>
      <c r="IB53" s="988" t="str">
        <f t="shared" si="758"/>
        <v/>
      </c>
      <c r="IC53" s="988" t="str">
        <f t="shared" si="758"/>
        <v/>
      </c>
      <c r="ID53" s="988" t="str">
        <f t="shared" si="758"/>
        <v/>
      </c>
      <c r="IE53" s="988" t="str">
        <f t="shared" si="758"/>
        <v/>
      </c>
      <c r="IF53" s="988" t="str">
        <f t="shared" si="758"/>
        <v/>
      </c>
      <c r="IG53" s="988" t="str">
        <f t="shared" si="758"/>
        <v/>
      </c>
      <c r="IH53" s="988" t="str">
        <f t="shared" si="758"/>
        <v/>
      </c>
      <c r="IJ53" s="985" t="str">
        <f t="shared" ref="IJ53:IW53" si="759">IF(AND($I53&lt;&gt;""),IF(AND($P53&gt;II$8,$P53&lt;=IJ$8),$K53,""),"")</f>
        <v/>
      </c>
      <c r="IK53" s="985" t="str">
        <f t="shared" si="759"/>
        <v/>
      </c>
      <c r="IL53" s="985" t="str">
        <f t="shared" si="759"/>
        <v/>
      </c>
      <c r="IM53" s="985" t="str">
        <f t="shared" si="759"/>
        <v/>
      </c>
      <c r="IN53" s="985" t="str">
        <f t="shared" si="759"/>
        <v/>
      </c>
      <c r="IO53" s="985" t="str">
        <f t="shared" si="759"/>
        <v/>
      </c>
      <c r="IP53" s="985" t="str">
        <f t="shared" si="759"/>
        <v/>
      </c>
      <c r="IQ53" s="985" t="str">
        <f t="shared" si="759"/>
        <v/>
      </c>
      <c r="IR53" s="985" t="str">
        <f t="shared" si="759"/>
        <v/>
      </c>
      <c r="IS53" s="985" t="str">
        <f t="shared" si="759"/>
        <v/>
      </c>
      <c r="IT53" s="985" t="str">
        <f t="shared" si="759"/>
        <v/>
      </c>
      <c r="IU53" s="985" t="str">
        <f t="shared" si="759"/>
        <v/>
      </c>
      <c r="IV53" s="985" t="str">
        <f t="shared" si="759"/>
        <v/>
      </c>
      <c r="IW53" s="985" t="str">
        <f t="shared" si="759"/>
        <v/>
      </c>
      <c r="IX53" s="987"/>
      <c r="IY53" s="985" t="str">
        <f t="shared" ref="IY53:JL53" si="760">IF(AND($I53&lt;&gt;""),IF(AND($P53&gt;IX$8,$P53&lt;=IY$8),$L53,""),"")</f>
        <v/>
      </c>
      <c r="IZ53" s="985" t="str">
        <f t="shared" si="760"/>
        <v/>
      </c>
      <c r="JA53" s="985" t="str">
        <f t="shared" si="760"/>
        <v/>
      </c>
      <c r="JB53" s="985" t="str">
        <f t="shared" si="760"/>
        <v/>
      </c>
      <c r="JC53" s="985" t="str">
        <f t="shared" si="760"/>
        <v/>
      </c>
      <c r="JD53" s="985" t="str">
        <f t="shared" si="760"/>
        <v/>
      </c>
      <c r="JE53" s="985" t="str">
        <f t="shared" si="760"/>
        <v/>
      </c>
      <c r="JF53" s="985" t="str">
        <f t="shared" si="760"/>
        <v/>
      </c>
      <c r="JG53" s="985" t="str">
        <f t="shared" si="760"/>
        <v/>
      </c>
      <c r="JH53" s="985" t="str">
        <f t="shared" si="760"/>
        <v/>
      </c>
      <c r="JI53" s="985" t="str">
        <f t="shared" si="760"/>
        <v/>
      </c>
      <c r="JJ53" s="985" t="str">
        <f t="shared" si="760"/>
        <v/>
      </c>
      <c r="JK53" s="985" t="str">
        <f t="shared" si="760"/>
        <v/>
      </c>
      <c r="JL53" s="985" t="str">
        <f t="shared" si="760"/>
        <v/>
      </c>
      <c r="JM53" s="987"/>
      <c r="JN53" s="985" t="str">
        <f t="shared" ref="JN53:KA53" si="761">IF(AND($I53&lt;&gt;""),IF(AND($P53&gt;JM$8,$P53&lt;=JN$8),$M53,""),"")</f>
        <v/>
      </c>
      <c r="JO53" s="985" t="str">
        <f t="shared" si="761"/>
        <v/>
      </c>
      <c r="JP53" s="985" t="str">
        <f t="shared" si="761"/>
        <v/>
      </c>
      <c r="JQ53" s="985" t="str">
        <f t="shared" si="761"/>
        <v/>
      </c>
      <c r="JR53" s="985" t="str">
        <f t="shared" si="761"/>
        <v/>
      </c>
      <c r="JS53" s="985" t="str">
        <f t="shared" si="761"/>
        <v/>
      </c>
      <c r="JT53" s="985" t="str">
        <f t="shared" si="761"/>
        <v/>
      </c>
      <c r="JU53" s="985" t="str">
        <f t="shared" si="761"/>
        <v/>
      </c>
      <c r="JV53" s="985" t="str">
        <f t="shared" si="761"/>
        <v/>
      </c>
      <c r="JW53" s="985" t="str">
        <f t="shared" si="761"/>
        <v/>
      </c>
      <c r="JX53" s="985" t="str">
        <f t="shared" si="761"/>
        <v/>
      </c>
      <c r="JY53" s="985" t="str">
        <f t="shared" si="761"/>
        <v/>
      </c>
      <c r="JZ53" s="985" t="str">
        <f t="shared" si="761"/>
        <v/>
      </c>
      <c r="KA53" s="985" t="str">
        <f t="shared" si="761"/>
        <v/>
      </c>
      <c r="KB53" s="987"/>
      <c r="KC53" s="985" t="str">
        <f t="shared" ref="KC53:KP53" si="762">IF(AND($I53&lt;&gt;""),IF(AND($P53&gt;KB$8,$P53&lt;=KC$8),$N53,""),"")</f>
        <v/>
      </c>
      <c r="KD53" s="985" t="str">
        <f t="shared" si="762"/>
        <v/>
      </c>
      <c r="KE53" s="985" t="str">
        <f t="shared" si="762"/>
        <v/>
      </c>
      <c r="KF53" s="985" t="str">
        <f t="shared" si="762"/>
        <v/>
      </c>
      <c r="KG53" s="985" t="str">
        <f t="shared" si="762"/>
        <v/>
      </c>
      <c r="KH53" s="985" t="str">
        <f t="shared" si="762"/>
        <v/>
      </c>
      <c r="KI53" s="985" t="str">
        <f t="shared" si="762"/>
        <v/>
      </c>
      <c r="KJ53" s="985" t="str">
        <f t="shared" si="762"/>
        <v/>
      </c>
      <c r="KK53" s="985" t="str">
        <f t="shared" si="762"/>
        <v/>
      </c>
      <c r="KL53" s="985" t="str">
        <f t="shared" si="762"/>
        <v/>
      </c>
      <c r="KM53" s="985" t="str">
        <f t="shared" si="762"/>
        <v/>
      </c>
      <c r="KN53" s="985" t="str">
        <f t="shared" si="762"/>
        <v/>
      </c>
      <c r="KO53" s="985" t="str">
        <f t="shared" si="762"/>
        <v/>
      </c>
      <c r="KP53" s="985" t="str">
        <f t="shared" si="762"/>
        <v/>
      </c>
    </row>
    <row r="54" spans="1:302" ht="18" hidden="1" customHeight="1">
      <c r="B54" s="978"/>
      <c r="C54" s="979" t="str">
        <f>IFERROR(INDEX(#REF!,MATCH('4.0 - QDM OK'!$I54,#REF!,0)),"")</f>
        <v/>
      </c>
      <c r="D54" s="979" t="s">
        <v>605</v>
      </c>
      <c r="E54" s="980" t="str">
        <f>IFERROR(INDEX(#REF!,MATCH('4.0 - QDM OK'!$I54,#REF!,0)),"")</f>
        <v/>
      </c>
      <c r="F54" s="979" t="str">
        <f>IFERROR(INDEX(#REF!,MATCH('4.0 - QDM OK'!$I54,#REF!,0)),"")</f>
        <v/>
      </c>
      <c r="G54" s="979" t="s">
        <v>605</v>
      </c>
      <c r="H54" s="980" t="str">
        <f>IFERROR(INDEX(#REF!,MATCH('4.0 - QDM OK'!$I54,#REF!,0)),"")</f>
        <v/>
      </c>
      <c r="I54" s="979"/>
      <c r="J54" s="979"/>
      <c r="K54" s="980"/>
      <c r="L54" s="980"/>
      <c r="M54" s="980"/>
      <c r="N54" s="980"/>
      <c r="O54" s="980"/>
      <c r="P54" s="981">
        <f>IFERROR(IF(OR(IFERROR(RIGHT(I54,LEN(I54)-SEARCH(":",I54,1))="INTER",0),IFERROR(RIGHT(X54,LEN(X54)-SEARCH(":",X54,1))="INTER",0)),O54,ABS((R54*20+T54+U54*20+W54)/2-(C54*20+E54+F54*20+H54)/2)/1000+20/1000),0)</f>
        <v>0</v>
      </c>
      <c r="Q54" s="981">
        <f t="shared" si="1"/>
        <v>0</v>
      </c>
      <c r="R54" s="979" t="str">
        <f>IFERROR(INDEX(#REF!,MATCH('4.0 - QDM OK'!$X54,#REF!,0)),"")</f>
        <v/>
      </c>
      <c r="S54" s="979" t="s">
        <v>605</v>
      </c>
      <c r="T54" s="980" t="str">
        <f>IFERROR(INDEX(#REF!,MATCH('4.0 - QDM OK'!$X54,#REF!,0)),"")</f>
        <v/>
      </c>
      <c r="U54" s="979" t="str">
        <f>IFERROR(INDEX(#REF!,MATCH('4.0 - QDM OK'!$X54,#REF!,0)),"")</f>
        <v/>
      </c>
      <c r="V54" s="979" t="s">
        <v>605</v>
      </c>
      <c r="W54" s="980" t="str">
        <f>IFERROR(INDEX(#REF!,MATCH('4.0 - QDM OK'!$X54,#REF!,0)),"")</f>
        <v/>
      </c>
      <c r="X54" s="989"/>
      <c r="Y54" s="979"/>
      <c r="Z54" s="979"/>
      <c r="AA54" s="980">
        <v>1.3</v>
      </c>
      <c r="AB54" s="980">
        <f t="shared" si="2"/>
        <v>0</v>
      </c>
      <c r="AC54" s="982" t="str" cm="1">
        <f t="array" ref="AC54">IF(X54&lt;&gt;"",IF(LEFT(X54,SEARCH("-",X54,1)-1)="A.CF","CF",IF(LEFT(X54,SEARCH("-",X54,1)-1)="A.CA","CA",IF(LEFT(X54,SEARCH("-",X54,1)-1)="CL","CL","-"))),IF(Y54&lt;&gt;"",BF,"-"))</f>
        <v>-</v>
      </c>
      <c r="AD54" s="953"/>
      <c r="AE54" s="983" t="str">
        <f t="shared" si="3"/>
        <v/>
      </c>
      <c r="AF54" s="984" t="str">
        <f t="shared" si="4"/>
        <v/>
      </c>
      <c r="AG54" s="963"/>
      <c r="AH54" s="985" t="str">
        <f t="shared" si="693"/>
        <v/>
      </c>
      <c r="AI54" s="985" t="str">
        <f t="shared" si="693"/>
        <v/>
      </c>
      <c r="AJ54" s="985" t="str">
        <f t="shared" si="693"/>
        <v/>
      </c>
      <c r="AK54" s="985" t="str">
        <f t="shared" si="693"/>
        <v/>
      </c>
      <c r="AL54" s="985" t="str">
        <f t="shared" si="693"/>
        <v/>
      </c>
      <c r="AM54" s="985" t="str">
        <f t="shared" si="693"/>
        <v/>
      </c>
      <c r="AN54" s="985" t="str">
        <f t="shared" si="693"/>
        <v/>
      </c>
      <c r="AO54" s="985" t="str">
        <f t="shared" si="693"/>
        <v/>
      </c>
      <c r="AP54" s="986"/>
      <c r="AQ54" s="985" t="str">
        <f t="shared" ref="AQ54:BD54" si="763">IF(AND($I54&lt;&gt;"",$AF54="C"),IF(AND($P54&gt;AP$8,$P54&lt;=AQ$8),$K54,""),"")</f>
        <v/>
      </c>
      <c r="AR54" s="985" t="str">
        <f t="shared" si="763"/>
        <v/>
      </c>
      <c r="AS54" s="985" t="str">
        <f t="shared" si="763"/>
        <v/>
      </c>
      <c r="AT54" s="985" t="str">
        <f t="shared" si="763"/>
        <v/>
      </c>
      <c r="AU54" s="985" t="str">
        <f t="shared" si="763"/>
        <v/>
      </c>
      <c r="AV54" s="985" t="str">
        <f t="shared" si="763"/>
        <v/>
      </c>
      <c r="AW54" s="985" t="str">
        <f t="shared" si="763"/>
        <v/>
      </c>
      <c r="AX54" s="985" t="str">
        <f t="shared" si="763"/>
        <v/>
      </c>
      <c r="AY54" s="985" t="str">
        <f t="shared" si="763"/>
        <v/>
      </c>
      <c r="AZ54" s="985" t="str">
        <f t="shared" si="763"/>
        <v/>
      </c>
      <c r="BA54" s="985" t="str">
        <f t="shared" si="763"/>
        <v/>
      </c>
      <c r="BB54" s="985" t="str">
        <f t="shared" si="763"/>
        <v/>
      </c>
      <c r="BC54" s="985" t="str">
        <f t="shared" si="763"/>
        <v/>
      </c>
      <c r="BD54" s="985" t="str">
        <f t="shared" si="763"/>
        <v/>
      </c>
      <c r="BE54" s="987"/>
      <c r="BF54" s="985" t="str">
        <f t="shared" ref="BF54:BS54" si="764">IF(AND($I54&lt;&gt;"",$AF54="C"),IF(AND($P54&gt;BE$8,$P54&lt;=BF$8),$L54,""),"")</f>
        <v/>
      </c>
      <c r="BG54" s="985" t="str">
        <f t="shared" si="764"/>
        <v/>
      </c>
      <c r="BH54" s="985" t="str">
        <f t="shared" si="764"/>
        <v/>
      </c>
      <c r="BI54" s="985" t="str">
        <f t="shared" si="764"/>
        <v/>
      </c>
      <c r="BJ54" s="985" t="str">
        <f t="shared" si="764"/>
        <v/>
      </c>
      <c r="BK54" s="985" t="str">
        <f t="shared" si="764"/>
        <v/>
      </c>
      <c r="BL54" s="985" t="str">
        <f t="shared" si="764"/>
        <v/>
      </c>
      <c r="BM54" s="985" t="str">
        <f t="shared" si="764"/>
        <v/>
      </c>
      <c r="BN54" s="985" t="str">
        <f t="shared" si="764"/>
        <v/>
      </c>
      <c r="BO54" s="985" t="str">
        <f t="shared" si="764"/>
        <v/>
      </c>
      <c r="BP54" s="985" t="str">
        <f t="shared" si="764"/>
        <v/>
      </c>
      <c r="BQ54" s="985" t="str">
        <f t="shared" si="764"/>
        <v/>
      </c>
      <c r="BR54" s="985" t="str">
        <f t="shared" si="764"/>
        <v/>
      </c>
      <c r="BS54" s="985" t="str">
        <f t="shared" si="764"/>
        <v/>
      </c>
      <c r="BU54" s="985" t="str">
        <f t="shared" ref="BU54:CF54" si="765">IF(AND($I54&lt;&gt;"",$AF54="C"),IF(AND($P54&gt;BT$8,$P54&lt;=BU$8),$M54,""),"")</f>
        <v/>
      </c>
      <c r="BV54" s="985" t="str">
        <f t="shared" si="765"/>
        <v/>
      </c>
      <c r="BW54" s="985" t="str">
        <f t="shared" si="765"/>
        <v/>
      </c>
      <c r="BX54" s="985" t="str">
        <f t="shared" si="765"/>
        <v/>
      </c>
      <c r="BY54" s="985" t="str">
        <f t="shared" si="765"/>
        <v/>
      </c>
      <c r="BZ54" s="985" t="str">
        <f t="shared" si="765"/>
        <v/>
      </c>
      <c r="CA54" s="985" t="str">
        <f t="shared" si="765"/>
        <v/>
      </c>
      <c r="CB54" s="985" t="str">
        <f t="shared" si="765"/>
        <v/>
      </c>
      <c r="CC54" s="985" t="str">
        <f t="shared" si="765"/>
        <v/>
      </c>
      <c r="CD54" s="985" t="str">
        <f t="shared" si="765"/>
        <v/>
      </c>
      <c r="CE54" s="985" t="str">
        <f t="shared" si="765"/>
        <v/>
      </c>
      <c r="CF54" s="985" t="str">
        <f t="shared" si="765"/>
        <v/>
      </c>
      <c r="CG54" s="987"/>
      <c r="CH54" s="985" t="str">
        <f t="shared" si="697"/>
        <v/>
      </c>
      <c r="CI54" s="985" t="str">
        <f t="shared" si="697"/>
        <v/>
      </c>
      <c r="CJ54" s="985" t="str">
        <f t="shared" si="697"/>
        <v/>
      </c>
      <c r="CK54" s="985" t="str">
        <f t="shared" si="697"/>
        <v/>
      </c>
      <c r="CL54" s="985" t="str">
        <f t="shared" si="697"/>
        <v/>
      </c>
      <c r="CM54" s="985" t="str">
        <f t="shared" si="697"/>
        <v/>
      </c>
      <c r="CN54" s="985" t="str">
        <f t="shared" si="697"/>
        <v/>
      </c>
      <c r="CP54" s="988" t="str">
        <f t="shared" ref="CP54:DC54" si="766">IF(AND($I54&lt;&gt;"",OR($AF54="ELE",$AF54="ELD",$AF54="CX")),IF(AND($P54&gt;CO$8,$P54&lt;=CP$8),$K54,""),"")</f>
        <v/>
      </c>
      <c r="CQ54" s="988" t="str">
        <f t="shared" si="766"/>
        <v/>
      </c>
      <c r="CR54" s="988" t="str">
        <f t="shared" si="766"/>
        <v/>
      </c>
      <c r="CS54" s="988" t="str">
        <f t="shared" si="766"/>
        <v/>
      </c>
      <c r="CT54" s="988" t="str">
        <f t="shared" si="766"/>
        <v/>
      </c>
      <c r="CU54" s="988" t="str">
        <f t="shared" si="766"/>
        <v/>
      </c>
      <c r="CV54" s="988" t="str">
        <f t="shared" si="766"/>
        <v/>
      </c>
      <c r="CW54" s="988" t="str">
        <f t="shared" si="766"/>
        <v/>
      </c>
      <c r="CX54" s="988" t="str">
        <f t="shared" si="766"/>
        <v/>
      </c>
      <c r="CY54" s="988" t="str">
        <f t="shared" si="766"/>
        <v/>
      </c>
      <c r="CZ54" s="988" t="str">
        <f t="shared" si="766"/>
        <v/>
      </c>
      <c r="DA54" s="988" t="str">
        <f t="shared" si="766"/>
        <v/>
      </c>
      <c r="DB54" s="988" t="str">
        <f t="shared" si="766"/>
        <v/>
      </c>
      <c r="DC54" s="988" t="str">
        <f t="shared" si="766"/>
        <v/>
      </c>
      <c r="DE54" s="988" t="str">
        <f t="shared" ref="DE54:DR54" si="767">IF(AND($X54&lt;&gt;"",$AC54="CF"),IF(AND($P54&gt;DD$8,$P54&lt;=DE$8),$AB54,""),"")</f>
        <v/>
      </c>
      <c r="DF54" s="988" t="str">
        <f t="shared" si="767"/>
        <v/>
      </c>
      <c r="DG54" s="988" t="str">
        <f t="shared" si="767"/>
        <v/>
      </c>
      <c r="DH54" s="988" t="str">
        <f t="shared" si="767"/>
        <v/>
      </c>
      <c r="DI54" s="988" t="str">
        <f t="shared" si="767"/>
        <v/>
      </c>
      <c r="DJ54" s="988" t="str">
        <f t="shared" si="767"/>
        <v/>
      </c>
      <c r="DK54" s="988" t="str">
        <f t="shared" si="767"/>
        <v/>
      </c>
      <c r="DL54" s="988" t="str">
        <f t="shared" si="767"/>
        <v/>
      </c>
      <c r="DM54" s="988" t="str">
        <f t="shared" si="767"/>
        <v/>
      </c>
      <c r="DN54" s="988" t="str">
        <f t="shared" si="767"/>
        <v/>
      </c>
      <c r="DO54" s="988" t="str">
        <f t="shared" si="767"/>
        <v/>
      </c>
      <c r="DP54" s="988" t="str">
        <f t="shared" si="767"/>
        <v/>
      </c>
      <c r="DQ54" s="988" t="str">
        <f t="shared" si="767"/>
        <v/>
      </c>
      <c r="DR54" s="988" t="str">
        <f t="shared" si="767"/>
        <v/>
      </c>
      <c r="DT54" s="988" t="str">
        <f t="shared" ref="DT54:EG54" si="768">IF(AND($X54&lt;&gt;"",$AC54="CA"),IF(AND($P54&gt;DS$8,$P54&lt;=DT$8),$AB54,""),"")</f>
        <v/>
      </c>
      <c r="DU54" s="988" t="str">
        <f t="shared" si="768"/>
        <v/>
      </c>
      <c r="DV54" s="988" t="str">
        <f t="shared" si="768"/>
        <v/>
      </c>
      <c r="DW54" s="988" t="str">
        <f t="shared" si="768"/>
        <v/>
      </c>
      <c r="DX54" s="988" t="str">
        <f t="shared" si="768"/>
        <v/>
      </c>
      <c r="DY54" s="988" t="str">
        <f t="shared" si="768"/>
        <v/>
      </c>
      <c r="DZ54" s="988" t="str">
        <f t="shared" si="768"/>
        <v/>
      </c>
      <c r="EA54" s="988" t="str">
        <f t="shared" si="768"/>
        <v/>
      </c>
      <c r="EB54" s="988" t="str">
        <f t="shared" si="768"/>
        <v/>
      </c>
      <c r="EC54" s="988" t="str">
        <f t="shared" si="768"/>
        <v/>
      </c>
      <c r="ED54" s="988" t="str">
        <f t="shared" si="768"/>
        <v/>
      </c>
      <c r="EE54" s="988" t="str">
        <f t="shared" si="768"/>
        <v/>
      </c>
      <c r="EF54" s="988" t="str">
        <f t="shared" si="768"/>
        <v/>
      </c>
      <c r="EG54" s="988" t="str">
        <f t="shared" si="768"/>
        <v/>
      </c>
      <c r="EI54" s="988" t="str">
        <f t="shared" ref="EI54:EV54" si="769">IF($AE54="BFC",IF(AND($P54&gt;EH$8,$P54&lt;=EI$8),$AB54,""),"")</f>
        <v/>
      </c>
      <c r="EJ54" s="988" t="str">
        <f t="shared" si="769"/>
        <v/>
      </c>
      <c r="EK54" s="988" t="str">
        <f t="shared" si="769"/>
        <v/>
      </c>
      <c r="EL54" s="988" t="str">
        <f t="shared" si="769"/>
        <v/>
      </c>
      <c r="EM54" s="988" t="str">
        <f t="shared" si="769"/>
        <v/>
      </c>
      <c r="EN54" s="988" t="str">
        <f t="shared" si="769"/>
        <v/>
      </c>
      <c r="EO54" s="988" t="str">
        <f t="shared" si="769"/>
        <v/>
      </c>
      <c r="EP54" s="988" t="str">
        <f t="shared" si="769"/>
        <v/>
      </c>
      <c r="EQ54" s="988" t="str">
        <f t="shared" si="769"/>
        <v/>
      </c>
      <c r="ER54" s="988" t="str">
        <f t="shared" si="769"/>
        <v/>
      </c>
      <c r="ES54" s="988" t="str">
        <f t="shared" si="769"/>
        <v/>
      </c>
      <c r="ET54" s="988" t="str">
        <f t="shared" si="769"/>
        <v/>
      </c>
      <c r="EU54" s="988" t="str">
        <f t="shared" si="769"/>
        <v/>
      </c>
      <c r="EV54" s="988" t="str">
        <f t="shared" si="769"/>
        <v/>
      </c>
      <c r="EX54" s="988" t="str">
        <f t="shared" ref="EX54:FK54" si="770">IF($AE54="BFN",IF(AND($P54&gt;EW$8,$P54&lt;=EX$8),$AB54,""),"")</f>
        <v/>
      </c>
      <c r="EY54" s="988" t="str">
        <f t="shared" si="770"/>
        <v/>
      </c>
      <c r="EZ54" s="988" t="str">
        <f t="shared" si="770"/>
        <v/>
      </c>
      <c r="FA54" s="988" t="str">
        <f t="shared" si="770"/>
        <v/>
      </c>
      <c r="FB54" s="988" t="str">
        <f t="shared" si="770"/>
        <v/>
      </c>
      <c r="FC54" s="988" t="str">
        <f t="shared" si="770"/>
        <v/>
      </c>
      <c r="FD54" s="988" t="str">
        <f t="shared" si="770"/>
        <v/>
      </c>
      <c r="FE54" s="988" t="str">
        <f t="shared" si="770"/>
        <v/>
      </c>
      <c r="FF54" s="988" t="str">
        <f t="shared" si="770"/>
        <v/>
      </c>
      <c r="FG54" s="988" t="str">
        <f t="shared" si="770"/>
        <v/>
      </c>
      <c r="FH54" s="988" t="str">
        <f t="shared" si="770"/>
        <v/>
      </c>
      <c r="FI54" s="988" t="str">
        <f t="shared" si="770"/>
        <v/>
      </c>
      <c r="FJ54" s="988" t="str">
        <f t="shared" si="770"/>
        <v/>
      </c>
      <c r="FK54" s="988" t="str">
        <f t="shared" si="770"/>
        <v/>
      </c>
      <c r="FM54" s="988" t="str">
        <f t="shared" ref="FM54:FZ54" si="771">IF(AND($I54&lt;&gt;"",$AF54="RCS"),IF(AND($P54&gt;FL$8,$P54&lt;=FM$8),SUM($K54:$M54),""),"")</f>
        <v/>
      </c>
      <c r="FN54" s="988" t="str">
        <f t="shared" si="771"/>
        <v/>
      </c>
      <c r="FO54" s="988" t="str">
        <f t="shared" si="771"/>
        <v/>
      </c>
      <c r="FP54" s="988" t="str">
        <f t="shared" si="771"/>
        <v/>
      </c>
      <c r="FQ54" s="988" t="str">
        <f t="shared" si="771"/>
        <v/>
      </c>
      <c r="FR54" s="988" t="str">
        <f t="shared" si="771"/>
        <v/>
      </c>
      <c r="FS54" s="988" t="str">
        <f t="shared" si="771"/>
        <v/>
      </c>
      <c r="FT54" s="988" t="str">
        <f t="shared" si="771"/>
        <v/>
      </c>
      <c r="FU54" s="988" t="str">
        <f t="shared" si="771"/>
        <v/>
      </c>
      <c r="FV54" s="988" t="str">
        <f t="shared" si="771"/>
        <v/>
      </c>
      <c r="FW54" s="988" t="str">
        <f t="shared" si="771"/>
        <v/>
      </c>
      <c r="FX54" s="988" t="str">
        <f t="shared" si="771"/>
        <v/>
      </c>
      <c r="FY54" s="988" t="str">
        <f t="shared" si="771"/>
        <v/>
      </c>
      <c r="FZ54" s="988" t="str">
        <f t="shared" si="771"/>
        <v/>
      </c>
      <c r="GB54" s="988" t="str">
        <f t="shared" ref="GB54:GO54" si="772">IF(AND($I54&lt;&gt;"",$AF54="REC"),IF(AND($P54&gt;GA$8,$P54&lt;=GB$8),SUM($K54:$M54),""),"")</f>
        <v/>
      </c>
      <c r="GC54" s="988" t="str">
        <f t="shared" si="772"/>
        <v/>
      </c>
      <c r="GD54" s="988" t="str">
        <f t="shared" si="772"/>
        <v/>
      </c>
      <c r="GE54" s="988" t="str">
        <f t="shared" si="772"/>
        <v/>
      </c>
      <c r="GF54" s="988" t="str">
        <f t="shared" si="772"/>
        <v/>
      </c>
      <c r="GG54" s="988" t="str">
        <f t="shared" si="772"/>
        <v/>
      </c>
      <c r="GH54" s="988" t="str">
        <f t="shared" si="772"/>
        <v/>
      </c>
      <c r="GI54" s="988" t="str">
        <f t="shared" si="772"/>
        <v/>
      </c>
      <c r="GJ54" s="988" t="str">
        <f t="shared" si="772"/>
        <v/>
      </c>
      <c r="GK54" s="988" t="str">
        <f t="shared" si="772"/>
        <v/>
      </c>
      <c r="GL54" s="988" t="str">
        <f t="shared" si="772"/>
        <v/>
      </c>
      <c r="GM54" s="988" t="str">
        <f t="shared" si="772"/>
        <v/>
      </c>
      <c r="GN54" s="988" t="str">
        <f t="shared" si="772"/>
        <v/>
      </c>
      <c r="GO54" s="988" t="str">
        <f t="shared" si="772"/>
        <v/>
      </c>
      <c r="GQ54" s="988" t="str">
        <f t="shared" ref="GQ54:HD54" si="773">IF(AND($I54&lt;&gt;"",$AF54="REB"),IF(AND($P54&gt;GP$8,$P54&lt;=GQ$8),SUM($K54:$M54),""),"")</f>
        <v/>
      </c>
      <c r="GR54" s="988" t="str">
        <f t="shared" si="773"/>
        <v/>
      </c>
      <c r="GS54" s="988" t="str">
        <f t="shared" si="773"/>
        <v/>
      </c>
      <c r="GT54" s="988" t="str">
        <f t="shared" si="773"/>
        <v/>
      </c>
      <c r="GU54" s="988" t="str">
        <f t="shared" si="773"/>
        <v/>
      </c>
      <c r="GV54" s="988" t="str">
        <f t="shared" si="773"/>
        <v/>
      </c>
      <c r="GW54" s="988" t="str">
        <f t="shared" si="773"/>
        <v/>
      </c>
      <c r="GX54" s="988" t="str">
        <f t="shared" si="773"/>
        <v/>
      </c>
      <c r="GY54" s="988" t="str">
        <f t="shared" si="773"/>
        <v/>
      </c>
      <c r="GZ54" s="988" t="str">
        <f t="shared" si="773"/>
        <v/>
      </c>
      <c r="HA54" s="988" t="str">
        <f t="shared" si="773"/>
        <v/>
      </c>
      <c r="HB54" s="988" t="str">
        <f t="shared" si="773"/>
        <v/>
      </c>
      <c r="HC54" s="988" t="str">
        <f t="shared" si="773"/>
        <v/>
      </c>
      <c r="HD54" s="988" t="str">
        <f t="shared" si="773"/>
        <v/>
      </c>
      <c r="HF54" s="988" t="str">
        <f t="shared" ref="HF54:HS54" si="774">IF(AND($I54&lt;&gt;"",$AF54="RBS"),IF(AND($P54&gt;HE$8,$P54&lt;=HF$8),SUM($K54:$M54),""),"")</f>
        <v/>
      </c>
      <c r="HG54" s="988" t="str">
        <f t="shared" si="774"/>
        <v/>
      </c>
      <c r="HH54" s="988" t="str">
        <f t="shared" si="774"/>
        <v/>
      </c>
      <c r="HI54" s="988" t="str">
        <f t="shared" si="774"/>
        <v/>
      </c>
      <c r="HJ54" s="988" t="str">
        <f t="shared" si="774"/>
        <v/>
      </c>
      <c r="HK54" s="988" t="str">
        <f t="shared" si="774"/>
        <v/>
      </c>
      <c r="HL54" s="988" t="str">
        <f t="shared" si="774"/>
        <v/>
      </c>
      <c r="HM54" s="988" t="str">
        <f t="shared" si="774"/>
        <v/>
      </c>
      <c r="HN54" s="988" t="str">
        <f t="shared" si="774"/>
        <v/>
      </c>
      <c r="HO54" s="988" t="str">
        <f t="shared" si="774"/>
        <v/>
      </c>
      <c r="HP54" s="988" t="str">
        <f t="shared" si="774"/>
        <v/>
      </c>
      <c r="HQ54" s="988" t="str">
        <f t="shared" si="774"/>
        <v/>
      </c>
      <c r="HR54" s="988" t="str">
        <f t="shared" si="774"/>
        <v/>
      </c>
      <c r="HS54" s="988" t="str">
        <f t="shared" si="774"/>
        <v/>
      </c>
      <c r="HU54" s="988" t="str">
        <f t="shared" ref="HU54:IH54" si="775">IF(AND($I54&lt;&gt;"",$AF54="RCD"),IF(AND($P54&gt;HT$8,$P54&lt;=HU$8),SUM($K54:$M54),""),"")</f>
        <v/>
      </c>
      <c r="HV54" s="988" t="str">
        <f t="shared" si="775"/>
        <v/>
      </c>
      <c r="HW54" s="988" t="str">
        <f t="shared" si="775"/>
        <v/>
      </c>
      <c r="HX54" s="988" t="str">
        <f t="shared" si="775"/>
        <v/>
      </c>
      <c r="HY54" s="988" t="str">
        <f t="shared" si="775"/>
        <v/>
      </c>
      <c r="HZ54" s="988" t="str">
        <f t="shared" si="775"/>
        <v/>
      </c>
      <c r="IA54" s="988" t="str">
        <f t="shared" si="775"/>
        <v/>
      </c>
      <c r="IB54" s="988" t="str">
        <f t="shared" si="775"/>
        <v/>
      </c>
      <c r="IC54" s="988" t="str">
        <f t="shared" si="775"/>
        <v/>
      </c>
      <c r="ID54" s="988" t="str">
        <f t="shared" si="775"/>
        <v/>
      </c>
      <c r="IE54" s="988" t="str">
        <f t="shared" si="775"/>
        <v/>
      </c>
      <c r="IF54" s="988" t="str">
        <f t="shared" si="775"/>
        <v/>
      </c>
      <c r="IG54" s="988" t="str">
        <f t="shared" si="775"/>
        <v/>
      </c>
      <c r="IH54" s="988" t="str">
        <f t="shared" si="775"/>
        <v/>
      </c>
      <c r="IJ54" s="985" t="str">
        <f t="shared" ref="IJ54:IW54" si="776">IF(AND($I54&lt;&gt;""),IF(AND($P54&gt;II$8,$P54&lt;=IJ$8),$K54,""),"")</f>
        <v/>
      </c>
      <c r="IK54" s="985" t="str">
        <f t="shared" si="776"/>
        <v/>
      </c>
      <c r="IL54" s="985" t="str">
        <f t="shared" si="776"/>
        <v/>
      </c>
      <c r="IM54" s="985" t="str">
        <f t="shared" si="776"/>
        <v/>
      </c>
      <c r="IN54" s="985" t="str">
        <f t="shared" si="776"/>
        <v/>
      </c>
      <c r="IO54" s="985" t="str">
        <f t="shared" si="776"/>
        <v/>
      </c>
      <c r="IP54" s="985" t="str">
        <f t="shared" si="776"/>
        <v/>
      </c>
      <c r="IQ54" s="985" t="str">
        <f t="shared" si="776"/>
        <v/>
      </c>
      <c r="IR54" s="985" t="str">
        <f t="shared" si="776"/>
        <v/>
      </c>
      <c r="IS54" s="985" t="str">
        <f t="shared" si="776"/>
        <v/>
      </c>
      <c r="IT54" s="985" t="str">
        <f t="shared" si="776"/>
        <v/>
      </c>
      <c r="IU54" s="985" t="str">
        <f t="shared" si="776"/>
        <v/>
      </c>
      <c r="IV54" s="985" t="str">
        <f t="shared" si="776"/>
        <v/>
      </c>
      <c r="IW54" s="985" t="str">
        <f t="shared" si="776"/>
        <v/>
      </c>
      <c r="IX54" s="987"/>
      <c r="IY54" s="985" t="str">
        <f t="shared" ref="IY54:JL54" si="777">IF(AND($I54&lt;&gt;""),IF(AND($P54&gt;IX$8,$P54&lt;=IY$8),$L54,""),"")</f>
        <v/>
      </c>
      <c r="IZ54" s="985" t="str">
        <f t="shared" si="777"/>
        <v/>
      </c>
      <c r="JA54" s="985" t="str">
        <f t="shared" si="777"/>
        <v/>
      </c>
      <c r="JB54" s="985" t="str">
        <f t="shared" si="777"/>
        <v/>
      </c>
      <c r="JC54" s="985" t="str">
        <f t="shared" si="777"/>
        <v/>
      </c>
      <c r="JD54" s="985" t="str">
        <f t="shared" si="777"/>
        <v/>
      </c>
      <c r="JE54" s="985" t="str">
        <f t="shared" si="777"/>
        <v/>
      </c>
      <c r="JF54" s="985" t="str">
        <f t="shared" si="777"/>
        <v/>
      </c>
      <c r="JG54" s="985" t="str">
        <f t="shared" si="777"/>
        <v/>
      </c>
      <c r="JH54" s="985" t="str">
        <f t="shared" si="777"/>
        <v/>
      </c>
      <c r="JI54" s="985" t="str">
        <f t="shared" si="777"/>
        <v/>
      </c>
      <c r="JJ54" s="985" t="str">
        <f t="shared" si="777"/>
        <v/>
      </c>
      <c r="JK54" s="985" t="str">
        <f t="shared" si="777"/>
        <v/>
      </c>
      <c r="JL54" s="985" t="str">
        <f t="shared" si="777"/>
        <v/>
      </c>
      <c r="JM54" s="987"/>
      <c r="JN54" s="985" t="str">
        <f t="shared" ref="JN54:KA54" si="778">IF(AND($I54&lt;&gt;""),IF(AND($P54&gt;JM$8,$P54&lt;=JN$8),$M54,""),"")</f>
        <v/>
      </c>
      <c r="JO54" s="985" t="str">
        <f t="shared" si="778"/>
        <v/>
      </c>
      <c r="JP54" s="985" t="str">
        <f t="shared" si="778"/>
        <v/>
      </c>
      <c r="JQ54" s="985" t="str">
        <f t="shared" si="778"/>
        <v/>
      </c>
      <c r="JR54" s="985" t="str">
        <f t="shared" si="778"/>
        <v/>
      </c>
      <c r="JS54" s="985" t="str">
        <f t="shared" si="778"/>
        <v/>
      </c>
      <c r="JT54" s="985" t="str">
        <f t="shared" si="778"/>
        <v/>
      </c>
      <c r="JU54" s="985" t="str">
        <f t="shared" si="778"/>
        <v/>
      </c>
      <c r="JV54" s="985" t="str">
        <f t="shared" si="778"/>
        <v/>
      </c>
      <c r="JW54" s="985" t="str">
        <f t="shared" si="778"/>
        <v/>
      </c>
      <c r="JX54" s="985" t="str">
        <f t="shared" si="778"/>
        <v/>
      </c>
      <c r="JY54" s="985" t="str">
        <f t="shared" si="778"/>
        <v/>
      </c>
      <c r="JZ54" s="985" t="str">
        <f t="shared" si="778"/>
        <v/>
      </c>
      <c r="KA54" s="985" t="str">
        <f t="shared" si="778"/>
        <v/>
      </c>
      <c r="KB54" s="987"/>
      <c r="KC54" s="985" t="str">
        <f t="shared" ref="KC54:KP54" si="779">IF(AND($I54&lt;&gt;""),IF(AND($P54&gt;KB$8,$P54&lt;=KC$8),$N54,""),"")</f>
        <v/>
      </c>
      <c r="KD54" s="985" t="str">
        <f t="shared" si="779"/>
        <v/>
      </c>
      <c r="KE54" s="985" t="str">
        <f t="shared" si="779"/>
        <v/>
      </c>
      <c r="KF54" s="985" t="str">
        <f t="shared" si="779"/>
        <v/>
      </c>
      <c r="KG54" s="985" t="str">
        <f t="shared" si="779"/>
        <v/>
      </c>
      <c r="KH54" s="985" t="str">
        <f t="shared" si="779"/>
        <v/>
      </c>
      <c r="KI54" s="985" t="str">
        <f t="shared" si="779"/>
        <v/>
      </c>
      <c r="KJ54" s="985" t="str">
        <f t="shared" si="779"/>
        <v/>
      </c>
      <c r="KK54" s="985" t="str">
        <f t="shared" si="779"/>
        <v/>
      </c>
      <c r="KL54" s="985" t="str">
        <f t="shared" si="779"/>
        <v/>
      </c>
      <c r="KM54" s="985" t="str">
        <f t="shared" si="779"/>
        <v/>
      </c>
      <c r="KN54" s="985" t="str">
        <f t="shared" si="779"/>
        <v/>
      </c>
      <c r="KO54" s="985" t="str">
        <f t="shared" si="779"/>
        <v/>
      </c>
      <c r="KP54" s="985" t="str">
        <f t="shared" si="779"/>
        <v/>
      </c>
    </row>
    <row r="55" spans="1:302" ht="18" hidden="1" customHeight="1">
      <c r="B55" s="978"/>
      <c r="C55" s="979" t="str">
        <f>IFERROR(INDEX(#REF!,MATCH('4.0 - QDM OK'!$I55,#REF!,0)),"")</f>
        <v/>
      </c>
      <c r="D55" s="979" t="s">
        <v>605</v>
      </c>
      <c r="E55" s="980" t="str">
        <f>IFERROR(INDEX(#REF!,MATCH('4.0 - QDM OK'!$I55,#REF!,0)),"")</f>
        <v/>
      </c>
      <c r="F55" s="979" t="str">
        <f>IFERROR(INDEX(#REF!,MATCH('4.0 - QDM OK'!$I55,#REF!,0)),"")</f>
        <v/>
      </c>
      <c r="G55" s="979" t="s">
        <v>605</v>
      </c>
      <c r="H55" s="980" t="str">
        <f>IFERROR(INDEX(#REF!,MATCH('4.0 - QDM OK'!$I55,#REF!,0)),"")</f>
        <v/>
      </c>
      <c r="I55" s="979"/>
      <c r="J55" s="979"/>
      <c r="K55" s="980"/>
      <c r="L55" s="980"/>
      <c r="M55" s="980"/>
      <c r="N55" s="980"/>
      <c r="O55" s="980"/>
      <c r="P55" s="981">
        <f>IFERROR(IF(OR(IFERROR(RIGHT(I55,LEN(I55)-SEARCH(":",I55,1))="INTER",0),IFERROR(RIGHT(X55,LEN(X55)-SEARCH(":",X55,1))="INTER",0)),O55,ABS((R55*20+T55+U55*20+W55)/2-(C55*20+E55+F55*20+H55)/2)/1000+20/1000),0)</f>
        <v>0</v>
      </c>
      <c r="Q55" s="981">
        <f t="shared" si="1"/>
        <v>0</v>
      </c>
      <c r="R55" s="979" t="str">
        <f>IFERROR(INDEX(#REF!,MATCH('4.0 - QDM OK'!$X55,#REF!,0)),"")</f>
        <v/>
      </c>
      <c r="S55" s="979" t="s">
        <v>605</v>
      </c>
      <c r="T55" s="980" t="str">
        <f>IFERROR(INDEX(#REF!,MATCH('4.0 - QDM OK'!$X55,#REF!,0)),"")</f>
        <v/>
      </c>
      <c r="U55" s="979" t="str">
        <f>IFERROR(INDEX(#REF!,MATCH('4.0 - QDM OK'!$X55,#REF!,0)),"")</f>
        <v/>
      </c>
      <c r="V55" s="979" t="s">
        <v>605</v>
      </c>
      <c r="W55" s="980" t="str">
        <f>IFERROR(INDEX(#REF!,MATCH('4.0 - QDM OK'!$X55,#REF!,0)),"")</f>
        <v/>
      </c>
      <c r="X55" s="989"/>
      <c r="Y55" s="979"/>
      <c r="Z55" s="979"/>
      <c r="AA55" s="980">
        <v>1.3</v>
      </c>
      <c r="AB55" s="980">
        <f t="shared" si="2"/>
        <v>0</v>
      </c>
      <c r="AC55" s="982" t="str" cm="1">
        <f t="array" ref="AC55">IF(X55&lt;&gt;"",IF(LEFT(X55,SEARCH("-",X55,1)-1)="A.CF","CF",IF(LEFT(X55,SEARCH("-",X55,1)-1)="A.CA","CA",IF(LEFT(X55,SEARCH("-",X55,1)-1)="CL","CL","-"))),IF(Y55&lt;&gt;"",BF,"-"))</f>
        <v>-</v>
      </c>
      <c r="AD55" s="953"/>
      <c r="AE55" s="983" t="str">
        <f t="shared" si="3"/>
        <v/>
      </c>
      <c r="AF55" s="984" t="str">
        <f t="shared" si="4"/>
        <v/>
      </c>
      <c r="AG55" s="963"/>
      <c r="AH55" s="985" t="str">
        <f t="shared" si="693"/>
        <v/>
      </c>
      <c r="AI55" s="985" t="str">
        <f t="shared" si="693"/>
        <v/>
      </c>
      <c r="AJ55" s="985" t="str">
        <f t="shared" si="693"/>
        <v/>
      </c>
      <c r="AK55" s="985" t="str">
        <f t="shared" si="693"/>
        <v/>
      </c>
      <c r="AL55" s="985" t="str">
        <f t="shared" si="693"/>
        <v/>
      </c>
      <c r="AM55" s="985" t="str">
        <f t="shared" si="693"/>
        <v/>
      </c>
      <c r="AN55" s="985" t="str">
        <f t="shared" si="693"/>
        <v/>
      </c>
      <c r="AO55" s="985" t="str">
        <f t="shared" si="693"/>
        <v/>
      </c>
      <c r="AP55" s="986"/>
      <c r="AQ55" s="985" t="str">
        <f t="shared" ref="AQ55:BD55" si="780">IF(AND($I55&lt;&gt;"",$AF55="C"),IF(AND($P55&gt;AP$8,$P55&lt;=AQ$8),$K55,""),"")</f>
        <v/>
      </c>
      <c r="AR55" s="985" t="str">
        <f t="shared" si="780"/>
        <v/>
      </c>
      <c r="AS55" s="985" t="str">
        <f t="shared" si="780"/>
        <v/>
      </c>
      <c r="AT55" s="985" t="str">
        <f t="shared" si="780"/>
        <v/>
      </c>
      <c r="AU55" s="985" t="str">
        <f t="shared" si="780"/>
        <v/>
      </c>
      <c r="AV55" s="985" t="str">
        <f t="shared" si="780"/>
        <v/>
      </c>
      <c r="AW55" s="985" t="str">
        <f t="shared" si="780"/>
        <v/>
      </c>
      <c r="AX55" s="985" t="str">
        <f t="shared" si="780"/>
        <v/>
      </c>
      <c r="AY55" s="985" t="str">
        <f t="shared" si="780"/>
        <v/>
      </c>
      <c r="AZ55" s="985" t="str">
        <f t="shared" si="780"/>
        <v/>
      </c>
      <c r="BA55" s="985" t="str">
        <f t="shared" si="780"/>
        <v/>
      </c>
      <c r="BB55" s="985" t="str">
        <f t="shared" si="780"/>
        <v/>
      </c>
      <c r="BC55" s="985" t="str">
        <f t="shared" si="780"/>
        <v/>
      </c>
      <c r="BD55" s="985" t="str">
        <f t="shared" si="780"/>
        <v/>
      </c>
      <c r="BE55" s="987"/>
      <c r="BF55" s="985" t="str">
        <f t="shared" ref="BF55:BS55" si="781">IF(AND($I55&lt;&gt;"",$AF55="C"),IF(AND($P55&gt;BE$8,$P55&lt;=BF$8),$L55,""),"")</f>
        <v/>
      </c>
      <c r="BG55" s="985" t="str">
        <f t="shared" si="781"/>
        <v/>
      </c>
      <c r="BH55" s="985" t="str">
        <f t="shared" si="781"/>
        <v/>
      </c>
      <c r="BI55" s="985" t="str">
        <f t="shared" si="781"/>
        <v/>
      </c>
      <c r="BJ55" s="985" t="str">
        <f t="shared" si="781"/>
        <v/>
      </c>
      <c r="BK55" s="985" t="str">
        <f t="shared" si="781"/>
        <v/>
      </c>
      <c r="BL55" s="985" t="str">
        <f t="shared" si="781"/>
        <v/>
      </c>
      <c r="BM55" s="985" t="str">
        <f t="shared" si="781"/>
        <v/>
      </c>
      <c r="BN55" s="985" t="str">
        <f t="shared" si="781"/>
        <v/>
      </c>
      <c r="BO55" s="985" t="str">
        <f t="shared" si="781"/>
        <v/>
      </c>
      <c r="BP55" s="985" t="str">
        <f t="shared" si="781"/>
        <v/>
      </c>
      <c r="BQ55" s="985" t="str">
        <f t="shared" si="781"/>
        <v/>
      </c>
      <c r="BR55" s="985" t="str">
        <f t="shared" si="781"/>
        <v/>
      </c>
      <c r="BS55" s="985" t="str">
        <f t="shared" si="781"/>
        <v/>
      </c>
      <c r="BU55" s="985" t="str">
        <f t="shared" ref="BU55:CF55" si="782">IF(AND($I55&lt;&gt;"",$AF55="C"),IF(AND($P55&gt;BT$8,$P55&lt;=BU$8),$M55,""),"")</f>
        <v/>
      </c>
      <c r="BV55" s="985" t="str">
        <f t="shared" si="782"/>
        <v/>
      </c>
      <c r="BW55" s="985" t="str">
        <f t="shared" si="782"/>
        <v/>
      </c>
      <c r="BX55" s="985" t="str">
        <f t="shared" si="782"/>
        <v/>
      </c>
      <c r="BY55" s="985" t="str">
        <f t="shared" si="782"/>
        <v/>
      </c>
      <c r="BZ55" s="985" t="str">
        <f t="shared" si="782"/>
        <v/>
      </c>
      <c r="CA55" s="985" t="str">
        <f t="shared" si="782"/>
        <v/>
      </c>
      <c r="CB55" s="985" t="str">
        <f t="shared" si="782"/>
        <v/>
      </c>
      <c r="CC55" s="985" t="str">
        <f t="shared" si="782"/>
        <v/>
      </c>
      <c r="CD55" s="985" t="str">
        <f t="shared" si="782"/>
        <v/>
      </c>
      <c r="CE55" s="985" t="str">
        <f t="shared" si="782"/>
        <v/>
      </c>
      <c r="CF55" s="985" t="str">
        <f t="shared" si="782"/>
        <v/>
      </c>
      <c r="CG55" s="987"/>
      <c r="CH55" s="985" t="str">
        <f t="shared" si="697"/>
        <v/>
      </c>
      <c r="CI55" s="985" t="str">
        <f t="shared" si="697"/>
        <v/>
      </c>
      <c r="CJ55" s="985" t="str">
        <f t="shared" si="697"/>
        <v/>
      </c>
      <c r="CK55" s="985" t="str">
        <f t="shared" si="697"/>
        <v/>
      </c>
      <c r="CL55" s="985" t="str">
        <f t="shared" si="697"/>
        <v/>
      </c>
      <c r="CM55" s="985" t="str">
        <f t="shared" si="697"/>
        <v/>
      </c>
      <c r="CN55" s="985" t="str">
        <f t="shared" si="697"/>
        <v/>
      </c>
      <c r="CP55" s="988" t="str">
        <f t="shared" ref="CP55:DC55" si="783">IF(AND($I55&lt;&gt;"",OR($AF55="ELE",$AF55="ELD",$AF55="CX")),IF(AND($P55&gt;CO$8,$P55&lt;=CP$8),$K55,""),"")</f>
        <v/>
      </c>
      <c r="CQ55" s="988" t="str">
        <f t="shared" si="783"/>
        <v/>
      </c>
      <c r="CR55" s="988" t="str">
        <f t="shared" si="783"/>
        <v/>
      </c>
      <c r="CS55" s="988" t="str">
        <f t="shared" si="783"/>
        <v/>
      </c>
      <c r="CT55" s="988" t="str">
        <f t="shared" si="783"/>
        <v/>
      </c>
      <c r="CU55" s="988" t="str">
        <f t="shared" si="783"/>
        <v/>
      </c>
      <c r="CV55" s="988" t="str">
        <f t="shared" si="783"/>
        <v/>
      </c>
      <c r="CW55" s="988" t="str">
        <f t="shared" si="783"/>
        <v/>
      </c>
      <c r="CX55" s="988" t="str">
        <f t="shared" si="783"/>
        <v/>
      </c>
      <c r="CY55" s="988" t="str">
        <f t="shared" si="783"/>
        <v/>
      </c>
      <c r="CZ55" s="988" t="str">
        <f t="shared" si="783"/>
        <v/>
      </c>
      <c r="DA55" s="988" t="str">
        <f t="shared" si="783"/>
        <v/>
      </c>
      <c r="DB55" s="988" t="str">
        <f t="shared" si="783"/>
        <v/>
      </c>
      <c r="DC55" s="988" t="str">
        <f t="shared" si="783"/>
        <v/>
      </c>
      <c r="DE55" s="988" t="str">
        <f t="shared" ref="DE55:DR55" si="784">IF(AND($X55&lt;&gt;"",$AC55="CF"),IF(AND($P55&gt;DD$8,$P55&lt;=DE$8),$AB55,""),"")</f>
        <v/>
      </c>
      <c r="DF55" s="988" t="str">
        <f t="shared" si="784"/>
        <v/>
      </c>
      <c r="DG55" s="988" t="str">
        <f t="shared" si="784"/>
        <v/>
      </c>
      <c r="DH55" s="988" t="str">
        <f t="shared" si="784"/>
        <v/>
      </c>
      <c r="DI55" s="988" t="str">
        <f t="shared" si="784"/>
        <v/>
      </c>
      <c r="DJ55" s="988" t="str">
        <f t="shared" si="784"/>
        <v/>
      </c>
      <c r="DK55" s="988" t="str">
        <f t="shared" si="784"/>
        <v/>
      </c>
      <c r="DL55" s="988" t="str">
        <f t="shared" si="784"/>
        <v/>
      </c>
      <c r="DM55" s="988" t="str">
        <f t="shared" si="784"/>
        <v/>
      </c>
      <c r="DN55" s="988" t="str">
        <f t="shared" si="784"/>
        <v/>
      </c>
      <c r="DO55" s="988" t="str">
        <f t="shared" si="784"/>
        <v/>
      </c>
      <c r="DP55" s="988" t="str">
        <f t="shared" si="784"/>
        <v/>
      </c>
      <c r="DQ55" s="988" t="str">
        <f t="shared" si="784"/>
        <v/>
      </c>
      <c r="DR55" s="988" t="str">
        <f t="shared" si="784"/>
        <v/>
      </c>
      <c r="DT55" s="988" t="str">
        <f t="shared" ref="DT55:EG55" si="785">IF(AND($X55&lt;&gt;"",$AC55="CA"),IF(AND($P55&gt;DS$8,$P55&lt;=DT$8),$AB55,""),"")</f>
        <v/>
      </c>
      <c r="DU55" s="988" t="str">
        <f t="shared" si="785"/>
        <v/>
      </c>
      <c r="DV55" s="988" t="str">
        <f t="shared" si="785"/>
        <v/>
      </c>
      <c r="DW55" s="988" t="str">
        <f t="shared" si="785"/>
        <v/>
      </c>
      <c r="DX55" s="988" t="str">
        <f t="shared" si="785"/>
        <v/>
      </c>
      <c r="DY55" s="988" t="str">
        <f t="shared" si="785"/>
        <v/>
      </c>
      <c r="DZ55" s="988" t="str">
        <f t="shared" si="785"/>
        <v/>
      </c>
      <c r="EA55" s="988" t="str">
        <f t="shared" si="785"/>
        <v/>
      </c>
      <c r="EB55" s="988" t="str">
        <f t="shared" si="785"/>
        <v/>
      </c>
      <c r="EC55" s="988" t="str">
        <f t="shared" si="785"/>
        <v/>
      </c>
      <c r="ED55" s="988" t="str">
        <f t="shared" si="785"/>
        <v/>
      </c>
      <c r="EE55" s="988" t="str">
        <f t="shared" si="785"/>
        <v/>
      </c>
      <c r="EF55" s="988" t="str">
        <f t="shared" si="785"/>
        <v/>
      </c>
      <c r="EG55" s="988" t="str">
        <f t="shared" si="785"/>
        <v/>
      </c>
      <c r="EI55" s="988" t="str">
        <f t="shared" ref="EI55:EV55" si="786">IF($AE55="BFC",IF(AND($P55&gt;EH$8,$P55&lt;=EI$8),$AB55,""),"")</f>
        <v/>
      </c>
      <c r="EJ55" s="988" t="str">
        <f t="shared" si="786"/>
        <v/>
      </c>
      <c r="EK55" s="988" t="str">
        <f t="shared" si="786"/>
        <v/>
      </c>
      <c r="EL55" s="988" t="str">
        <f t="shared" si="786"/>
        <v/>
      </c>
      <c r="EM55" s="988" t="str">
        <f t="shared" si="786"/>
        <v/>
      </c>
      <c r="EN55" s="988" t="str">
        <f t="shared" si="786"/>
        <v/>
      </c>
      <c r="EO55" s="988" t="str">
        <f t="shared" si="786"/>
        <v/>
      </c>
      <c r="EP55" s="988" t="str">
        <f t="shared" si="786"/>
        <v/>
      </c>
      <c r="EQ55" s="988" t="str">
        <f t="shared" si="786"/>
        <v/>
      </c>
      <c r="ER55" s="988" t="str">
        <f t="shared" si="786"/>
        <v/>
      </c>
      <c r="ES55" s="988" t="str">
        <f t="shared" si="786"/>
        <v/>
      </c>
      <c r="ET55" s="988" t="str">
        <f t="shared" si="786"/>
        <v/>
      </c>
      <c r="EU55" s="988" t="str">
        <f t="shared" si="786"/>
        <v/>
      </c>
      <c r="EV55" s="988" t="str">
        <f t="shared" si="786"/>
        <v/>
      </c>
      <c r="EX55" s="988" t="str">
        <f t="shared" ref="EX55:FK55" si="787">IF($AE55="BFN",IF(AND($P55&gt;EW$8,$P55&lt;=EX$8),$AB55,""),"")</f>
        <v/>
      </c>
      <c r="EY55" s="988" t="str">
        <f t="shared" si="787"/>
        <v/>
      </c>
      <c r="EZ55" s="988" t="str">
        <f t="shared" si="787"/>
        <v/>
      </c>
      <c r="FA55" s="988" t="str">
        <f t="shared" si="787"/>
        <v/>
      </c>
      <c r="FB55" s="988" t="str">
        <f t="shared" si="787"/>
        <v/>
      </c>
      <c r="FC55" s="988" t="str">
        <f t="shared" si="787"/>
        <v/>
      </c>
      <c r="FD55" s="988" t="str">
        <f t="shared" si="787"/>
        <v/>
      </c>
      <c r="FE55" s="988" t="str">
        <f t="shared" si="787"/>
        <v/>
      </c>
      <c r="FF55" s="988" t="str">
        <f t="shared" si="787"/>
        <v/>
      </c>
      <c r="FG55" s="988" t="str">
        <f t="shared" si="787"/>
        <v/>
      </c>
      <c r="FH55" s="988" t="str">
        <f t="shared" si="787"/>
        <v/>
      </c>
      <c r="FI55" s="988" t="str">
        <f t="shared" si="787"/>
        <v/>
      </c>
      <c r="FJ55" s="988" t="str">
        <f t="shared" si="787"/>
        <v/>
      </c>
      <c r="FK55" s="988" t="str">
        <f t="shared" si="787"/>
        <v/>
      </c>
      <c r="FM55" s="988" t="str">
        <f t="shared" ref="FM55:FZ55" si="788">IF(AND($I55&lt;&gt;"",$AF55="RCS"),IF(AND($P55&gt;FL$8,$P55&lt;=FM$8),SUM($K55:$M55),""),"")</f>
        <v/>
      </c>
      <c r="FN55" s="988" t="str">
        <f t="shared" si="788"/>
        <v/>
      </c>
      <c r="FO55" s="988" t="str">
        <f t="shared" si="788"/>
        <v/>
      </c>
      <c r="FP55" s="988" t="str">
        <f t="shared" si="788"/>
        <v/>
      </c>
      <c r="FQ55" s="988" t="str">
        <f t="shared" si="788"/>
        <v/>
      </c>
      <c r="FR55" s="988" t="str">
        <f t="shared" si="788"/>
        <v/>
      </c>
      <c r="FS55" s="988" t="str">
        <f t="shared" si="788"/>
        <v/>
      </c>
      <c r="FT55" s="988" t="str">
        <f t="shared" si="788"/>
        <v/>
      </c>
      <c r="FU55" s="988" t="str">
        <f t="shared" si="788"/>
        <v/>
      </c>
      <c r="FV55" s="988" t="str">
        <f t="shared" si="788"/>
        <v/>
      </c>
      <c r="FW55" s="988" t="str">
        <f t="shared" si="788"/>
        <v/>
      </c>
      <c r="FX55" s="988" t="str">
        <f t="shared" si="788"/>
        <v/>
      </c>
      <c r="FY55" s="988" t="str">
        <f t="shared" si="788"/>
        <v/>
      </c>
      <c r="FZ55" s="988" t="str">
        <f t="shared" si="788"/>
        <v/>
      </c>
      <c r="GB55" s="988" t="str">
        <f t="shared" ref="GB55:GO55" si="789">IF(AND($I55&lt;&gt;"",$AF55="REC"),IF(AND($P55&gt;GA$8,$P55&lt;=GB$8),SUM($K55:$M55),""),"")</f>
        <v/>
      </c>
      <c r="GC55" s="988" t="str">
        <f t="shared" si="789"/>
        <v/>
      </c>
      <c r="GD55" s="988" t="str">
        <f t="shared" si="789"/>
        <v/>
      </c>
      <c r="GE55" s="988" t="str">
        <f t="shared" si="789"/>
        <v/>
      </c>
      <c r="GF55" s="988" t="str">
        <f t="shared" si="789"/>
        <v/>
      </c>
      <c r="GG55" s="988" t="str">
        <f t="shared" si="789"/>
        <v/>
      </c>
      <c r="GH55" s="988" t="str">
        <f t="shared" si="789"/>
        <v/>
      </c>
      <c r="GI55" s="988" t="str">
        <f t="shared" si="789"/>
        <v/>
      </c>
      <c r="GJ55" s="988" t="str">
        <f t="shared" si="789"/>
        <v/>
      </c>
      <c r="GK55" s="988" t="str">
        <f t="shared" si="789"/>
        <v/>
      </c>
      <c r="GL55" s="988" t="str">
        <f t="shared" si="789"/>
        <v/>
      </c>
      <c r="GM55" s="988" t="str">
        <f t="shared" si="789"/>
        <v/>
      </c>
      <c r="GN55" s="988" t="str">
        <f t="shared" si="789"/>
        <v/>
      </c>
      <c r="GO55" s="988" t="str">
        <f t="shared" si="789"/>
        <v/>
      </c>
      <c r="GQ55" s="988" t="str">
        <f t="shared" ref="GQ55:HD55" si="790">IF(AND($I55&lt;&gt;"",$AF55="REB"),IF(AND($P55&gt;GP$8,$P55&lt;=GQ$8),SUM($K55:$M55),""),"")</f>
        <v/>
      </c>
      <c r="GR55" s="988" t="str">
        <f t="shared" si="790"/>
        <v/>
      </c>
      <c r="GS55" s="988" t="str">
        <f t="shared" si="790"/>
        <v/>
      </c>
      <c r="GT55" s="988" t="str">
        <f t="shared" si="790"/>
        <v/>
      </c>
      <c r="GU55" s="988" t="str">
        <f t="shared" si="790"/>
        <v/>
      </c>
      <c r="GV55" s="988" t="str">
        <f t="shared" si="790"/>
        <v/>
      </c>
      <c r="GW55" s="988" t="str">
        <f t="shared" si="790"/>
        <v/>
      </c>
      <c r="GX55" s="988" t="str">
        <f t="shared" si="790"/>
        <v/>
      </c>
      <c r="GY55" s="988" t="str">
        <f t="shared" si="790"/>
        <v/>
      </c>
      <c r="GZ55" s="988" t="str">
        <f t="shared" si="790"/>
        <v/>
      </c>
      <c r="HA55" s="988" t="str">
        <f t="shared" si="790"/>
        <v/>
      </c>
      <c r="HB55" s="988" t="str">
        <f t="shared" si="790"/>
        <v/>
      </c>
      <c r="HC55" s="988" t="str">
        <f t="shared" si="790"/>
        <v/>
      </c>
      <c r="HD55" s="988" t="str">
        <f t="shared" si="790"/>
        <v/>
      </c>
      <c r="HF55" s="988" t="str">
        <f t="shared" ref="HF55:HS55" si="791">IF(AND($I55&lt;&gt;"",$AF55="RBS"),IF(AND($P55&gt;HE$8,$P55&lt;=HF$8),SUM($K55:$M55),""),"")</f>
        <v/>
      </c>
      <c r="HG55" s="988" t="str">
        <f t="shared" si="791"/>
        <v/>
      </c>
      <c r="HH55" s="988" t="str">
        <f t="shared" si="791"/>
        <v/>
      </c>
      <c r="HI55" s="988" t="str">
        <f t="shared" si="791"/>
        <v/>
      </c>
      <c r="HJ55" s="988" t="str">
        <f t="shared" si="791"/>
        <v/>
      </c>
      <c r="HK55" s="988" t="str">
        <f t="shared" si="791"/>
        <v/>
      </c>
      <c r="HL55" s="988" t="str">
        <f t="shared" si="791"/>
        <v/>
      </c>
      <c r="HM55" s="988" t="str">
        <f t="shared" si="791"/>
        <v/>
      </c>
      <c r="HN55" s="988" t="str">
        <f t="shared" si="791"/>
        <v/>
      </c>
      <c r="HO55" s="988" t="str">
        <f t="shared" si="791"/>
        <v/>
      </c>
      <c r="HP55" s="988" t="str">
        <f t="shared" si="791"/>
        <v/>
      </c>
      <c r="HQ55" s="988" t="str">
        <f t="shared" si="791"/>
        <v/>
      </c>
      <c r="HR55" s="988" t="str">
        <f t="shared" si="791"/>
        <v/>
      </c>
      <c r="HS55" s="988" t="str">
        <f t="shared" si="791"/>
        <v/>
      </c>
      <c r="HU55" s="988" t="str">
        <f t="shared" ref="HU55:IH55" si="792">IF(AND($I55&lt;&gt;"",$AF55="RCD"),IF(AND($P55&gt;HT$8,$P55&lt;=HU$8),SUM($K55:$M55),""),"")</f>
        <v/>
      </c>
      <c r="HV55" s="988" t="str">
        <f t="shared" si="792"/>
        <v/>
      </c>
      <c r="HW55" s="988" t="str">
        <f t="shared" si="792"/>
        <v/>
      </c>
      <c r="HX55" s="988" t="str">
        <f t="shared" si="792"/>
        <v/>
      </c>
      <c r="HY55" s="988" t="str">
        <f t="shared" si="792"/>
        <v/>
      </c>
      <c r="HZ55" s="988" t="str">
        <f t="shared" si="792"/>
        <v/>
      </c>
      <c r="IA55" s="988" t="str">
        <f t="shared" si="792"/>
        <v/>
      </c>
      <c r="IB55" s="988" t="str">
        <f t="shared" si="792"/>
        <v/>
      </c>
      <c r="IC55" s="988" t="str">
        <f t="shared" si="792"/>
        <v/>
      </c>
      <c r="ID55" s="988" t="str">
        <f t="shared" si="792"/>
        <v/>
      </c>
      <c r="IE55" s="988" t="str">
        <f t="shared" si="792"/>
        <v/>
      </c>
      <c r="IF55" s="988" t="str">
        <f t="shared" si="792"/>
        <v/>
      </c>
      <c r="IG55" s="988" t="str">
        <f t="shared" si="792"/>
        <v/>
      </c>
      <c r="IH55" s="988" t="str">
        <f t="shared" si="792"/>
        <v/>
      </c>
      <c r="IJ55" s="985" t="str">
        <f t="shared" ref="IJ55:IW55" si="793">IF(AND($I55&lt;&gt;""),IF(AND($P55&gt;II$8,$P55&lt;=IJ$8),$K55,""),"")</f>
        <v/>
      </c>
      <c r="IK55" s="985" t="str">
        <f t="shared" si="793"/>
        <v/>
      </c>
      <c r="IL55" s="985" t="str">
        <f t="shared" si="793"/>
        <v/>
      </c>
      <c r="IM55" s="985" t="str">
        <f t="shared" si="793"/>
        <v/>
      </c>
      <c r="IN55" s="985" t="str">
        <f t="shared" si="793"/>
        <v/>
      </c>
      <c r="IO55" s="985" t="str">
        <f t="shared" si="793"/>
        <v/>
      </c>
      <c r="IP55" s="985" t="str">
        <f t="shared" si="793"/>
        <v/>
      </c>
      <c r="IQ55" s="985" t="str">
        <f t="shared" si="793"/>
        <v/>
      </c>
      <c r="IR55" s="985" t="str">
        <f t="shared" si="793"/>
        <v/>
      </c>
      <c r="IS55" s="985" t="str">
        <f t="shared" si="793"/>
        <v/>
      </c>
      <c r="IT55" s="985" t="str">
        <f t="shared" si="793"/>
        <v/>
      </c>
      <c r="IU55" s="985" t="str">
        <f t="shared" si="793"/>
        <v/>
      </c>
      <c r="IV55" s="985" t="str">
        <f t="shared" si="793"/>
        <v/>
      </c>
      <c r="IW55" s="985" t="str">
        <f t="shared" si="793"/>
        <v/>
      </c>
      <c r="IX55" s="987"/>
      <c r="IY55" s="985" t="str">
        <f t="shared" ref="IY55:JL55" si="794">IF(AND($I55&lt;&gt;""),IF(AND($P55&gt;IX$8,$P55&lt;=IY$8),$L55,""),"")</f>
        <v/>
      </c>
      <c r="IZ55" s="985" t="str">
        <f t="shared" si="794"/>
        <v/>
      </c>
      <c r="JA55" s="985" t="str">
        <f t="shared" si="794"/>
        <v/>
      </c>
      <c r="JB55" s="985" t="str">
        <f t="shared" si="794"/>
        <v/>
      </c>
      <c r="JC55" s="985" t="str">
        <f t="shared" si="794"/>
        <v/>
      </c>
      <c r="JD55" s="985" t="str">
        <f t="shared" si="794"/>
        <v/>
      </c>
      <c r="JE55" s="985" t="str">
        <f t="shared" si="794"/>
        <v/>
      </c>
      <c r="JF55" s="985" t="str">
        <f t="shared" si="794"/>
        <v/>
      </c>
      <c r="JG55" s="985" t="str">
        <f t="shared" si="794"/>
        <v/>
      </c>
      <c r="JH55" s="985" t="str">
        <f t="shared" si="794"/>
        <v/>
      </c>
      <c r="JI55" s="985" t="str">
        <f t="shared" si="794"/>
        <v/>
      </c>
      <c r="JJ55" s="985" t="str">
        <f t="shared" si="794"/>
        <v/>
      </c>
      <c r="JK55" s="985" t="str">
        <f t="shared" si="794"/>
        <v/>
      </c>
      <c r="JL55" s="985" t="str">
        <f t="shared" si="794"/>
        <v/>
      </c>
      <c r="JM55" s="987"/>
      <c r="JN55" s="985" t="str">
        <f t="shared" ref="JN55:KA55" si="795">IF(AND($I55&lt;&gt;""),IF(AND($P55&gt;JM$8,$P55&lt;=JN$8),$M55,""),"")</f>
        <v/>
      </c>
      <c r="JO55" s="985" t="str">
        <f t="shared" si="795"/>
        <v/>
      </c>
      <c r="JP55" s="985" t="str">
        <f t="shared" si="795"/>
        <v/>
      </c>
      <c r="JQ55" s="985" t="str">
        <f t="shared" si="795"/>
        <v/>
      </c>
      <c r="JR55" s="985" t="str">
        <f t="shared" si="795"/>
        <v/>
      </c>
      <c r="JS55" s="985" t="str">
        <f t="shared" si="795"/>
        <v/>
      </c>
      <c r="JT55" s="985" t="str">
        <f t="shared" si="795"/>
        <v/>
      </c>
      <c r="JU55" s="985" t="str">
        <f t="shared" si="795"/>
        <v/>
      </c>
      <c r="JV55" s="985" t="str">
        <f t="shared" si="795"/>
        <v/>
      </c>
      <c r="JW55" s="985" t="str">
        <f t="shared" si="795"/>
        <v/>
      </c>
      <c r="JX55" s="985" t="str">
        <f t="shared" si="795"/>
        <v/>
      </c>
      <c r="JY55" s="985" t="str">
        <f t="shared" si="795"/>
        <v/>
      </c>
      <c r="JZ55" s="985" t="str">
        <f t="shared" si="795"/>
        <v/>
      </c>
      <c r="KA55" s="985" t="str">
        <f t="shared" si="795"/>
        <v/>
      </c>
      <c r="KB55" s="987"/>
      <c r="KC55" s="985" t="str">
        <f t="shared" ref="KC55:KP55" si="796">IF(AND($I55&lt;&gt;""),IF(AND($P55&gt;KB$8,$P55&lt;=KC$8),$N55,""),"")</f>
        <v/>
      </c>
      <c r="KD55" s="985" t="str">
        <f t="shared" si="796"/>
        <v/>
      </c>
      <c r="KE55" s="985" t="str">
        <f t="shared" si="796"/>
        <v/>
      </c>
      <c r="KF55" s="985" t="str">
        <f t="shared" si="796"/>
        <v/>
      </c>
      <c r="KG55" s="985" t="str">
        <f t="shared" si="796"/>
        <v/>
      </c>
      <c r="KH55" s="985" t="str">
        <f t="shared" si="796"/>
        <v/>
      </c>
      <c r="KI55" s="985" t="str">
        <f t="shared" si="796"/>
        <v/>
      </c>
      <c r="KJ55" s="985" t="str">
        <f t="shared" si="796"/>
        <v/>
      </c>
      <c r="KK55" s="985" t="str">
        <f t="shared" si="796"/>
        <v/>
      </c>
      <c r="KL55" s="985" t="str">
        <f t="shared" si="796"/>
        <v/>
      </c>
      <c r="KM55" s="985" t="str">
        <f t="shared" si="796"/>
        <v/>
      </c>
      <c r="KN55" s="985" t="str">
        <f t="shared" si="796"/>
        <v/>
      </c>
      <c r="KO55" s="985" t="str">
        <f t="shared" si="796"/>
        <v/>
      </c>
      <c r="KP55" s="985" t="str">
        <f t="shared" si="796"/>
        <v/>
      </c>
    </row>
    <row r="56" spans="1:302">
      <c r="C56" s="963"/>
      <c r="D56" s="963"/>
      <c r="E56" s="993"/>
      <c r="F56" s="963"/>
      <c r="G56" s="963"/>
      <c r="H56" s="993"/>
      <c r="I56" s="963"/>
      <c r="J56" s="963"/>
      <c r="K56" s="963"/>
      <c r="L56" s="963"/>
      <c r="M56" s="963"/>
      <c r="N56" s="963"/>
      <c r="O56" s="963"/>
      <c r="P56" s="963"/>
      <c r="Q56" s="963"/>
      <c r="R56" s="963"/>
      <c r="S56" s="963"/>
      <c r="T56" s="963"/>
      <c r="U56" s="963"/>
      <c r="V56" s="963"/>
      <c r="W56" s="963"/>
      <c r="X56" s="963"/>
      <c r="Y56" s="963"/>
      <c r="Z56" s="963"/>
      <c r="AA56" s="963"/>
      <c r="AB56" s="963"/>
      <c r="AC56" s="963"/>
      <c r="AD56" s="963"/>
      <c r="AE56" s="963"/>
      <c r="AF56" s="963"/>
      <c r="AG56" s="963"/>
      <c r="AH56" s="987"/>
      <c r="AI56" s="987"/>
      <c r="AJ56" s="987"/>
      <c r="AK56" s="987"/>
      <c r="AL56" s="987"/>
      <c r="AM56" s="987"/>
      <c r="AN56" s="987"/>
      <c r="AO56" s="987"/>
      <c r="AP56" s="963"/>
      <c r="AQ56" s="987"/>
      <c r="AR56" s="987"/>
      <c r="AS56" s="987"/>
      <c r="AT56" s="987"/>
      <c r="AU56" s="987"/>
      <c r="AV56" s="987"/>
      <c r="AW56" s="987"/>
      <c r="AX56" s="987"/>
      <c r="AY56" s="987"/>
      <c r="AZ56" s="987"/>
      <c r="BA56" s="987"/>
      <c r="BB56" s="987"/>
      <c r="BC56" s="987"/>
      <c r="BD56" s="987"/>
      <c r="BE56" s="987"/>
      <c r="BF56" s="987"/>
      <c r="BG56" s="987"/>
      <c r="BH56" s="987"/>
      <c r="BI56" s="987"/>
      <c r="BJ56" s="987"/>
      <c r="BK56" s="987"/>
      <c r="BL56" s="987"/>
      <c r="BM56" s="987"/>
      <c r="BN56" s="987"/>
      <c r="BO56" s="987"/>
      <c r="BP56" s="987"/>
      <c r="BQ56" s="987"/>
      <c r="BR56" s="987"/>
      <c r="BS56" s="987"/>
      <c r="BT56" s="987"/>
      <c r="BU56" s="987"/>
      <c r="BV56" s="987"/>
      <c r="BW56" s="987"/>
      <c r="BX56" s="987"/>
      <c r="BY56" s="987"/>
      <c r="BZ56" s="987"/>
      <c r="CA56" s="987"/>
      <c r="CB56" s="987"/>
      <c r="CC56" s="987"/>
      <c r="CD56" s="987"/>
      <c r="CE56" s="987"/>
      <c r="CF56" s="987"/>
      <c r="CG56" s="987"/>
      <c r="CH56" s="987"/>
      <c r="CI56" s="987"/>
      <c r="CJ56" s="987"/>
      <c r="CK56" s="987"/>
      <c r="CL56" s="987"/>
      <c r="CM56" s="987"/>
      <c r="CN56" s="987"/>
      <c r="IJ56" s="987"/>
      <c r="IK56" s="987"/>
      <c r="IL56" s="987"/>
      <c r="IM56" s="987"/>
      <c r="IN56" s="987"/>
      <c r="IO56" s="987"/>
      <c r="IP56" s="987"/>
      <c r="IQ56" s="987"/>
      <c r="IR56" s="987"/>
      <c r="IS56" s="987"/>
      <c r="IT56" s="987"/>
      <c r="IU56" s="987"/>
      <c r="IV56" s="987"/>
      <c r="IW56" s="987"/>
      <c r="IX56" s="987"/>
      <c r="IY56" s="987"/>
      <c r="JM56" s="987"/>
      <c r="JN56" s="987"/>
      <c r="KB56" s="987"/>
      <c r="KC56" s="987"/>
    </row>
    <row r="57" spans="1:302">
      <c r="C57" s="963"/>
      <c r="D57" s="963"/>
      <c r="E57" s="993"/>
      <c r="F57" s="963"/>
      <c r="G57" s="963"/>
      <c r="H57" s="993"/>
      <c r="I57" s="963"/>
      <c r="J57" s="963"/>
      <c r="K57" s="963"/>
      <c r="L57" s="963"/>
      <c r="M57" s="963"/>
      <c r="N57" s="963"/>
      <c r="O57" s="956"/>
      <c r="P57" s="963"/>
      <c r="Q57" s="956"/>
      <c r="R57" s="963"/>
      <c r="S57" s="963"/>
      <c r="T57" s="963"/>
      <c r="U57" s="963"/>
      <c r="V57" s="963"/>
      <c r="W57" s="963"/>
      <c r="X57" s="963"/>
      <c r="Y57" s="963"/>
      <c r="Z57" s="963"/>
      <c r="AA57" s="963"/>
      <c r="AB57" s="956"/>
      <c r="AC57" s="994"/>
      <c r="AD57" s="994"/>
      <c r="AE57" s="994"/>
      <c r="AF57" s="963"/>
      <c r="AG57" s="963"/>
      <c r="AH57" s="987">
        <f t="shared" ref="AH57:BM57" si="797">SUM(AH10:AH55)</f>
        <v>237.23000000000005</v>
      </c>
      <c r="AI57" s="987">
        <f t="shared" si="797"/>
        <v>0</v>
      </c>
      <c r="AJ57" s="987">
        <f t="shared" si="797"/>
        <v>0</v>
      </c>
      <c r="AK57" s="987">
        <f t="shared" si="797"/>
        <v>0</v>
      </c>
      <c r="AL57" s="987">
        <f t="shared" si="797"/>
        <v>0</v>
      </c>
      <c r="AM57" s="987">
        <f t="shared" si="797"/>
        <v>0</v>
      </c>
      <c r="AN57" s="987">
        <f t="shared" si="797"/>
        <v>0</v>
      </c>
      <c r="AO57" s="987">
        <f t="shared" si="797"/>
        <v>0</v>
      </c>
      <c r="AP57" s="987">
        <f t="shared" si="797"/>
        <v>0</v>
      </c>
      <c r="AQ57" s="987">
        <f t="shared" si="797"/>
        <v>0</v>
      </c>
      <c r="AR57" s="987">
        <f t="shared" si="797"/>
        <v>140.75600000000003</v>
      </c>
      <c r="AS57" s="987">
        <f t="shared" si="797"/>
        <v>94.98399999999998</v>
      </c>
      <c r="AT57" s="987">
        <f t="shared" si="797"/>
        <v>15.350000000000001</v>
      </c>
      <c r="AU57" s="987">
        <f t="shared" si="797"/>
        <v>0</v>
      </c>
      <c r="AV57" s="987">
        <f t="shared" si="797"/>
        <v>0</v>
      </c>
      <c r="AW57" s="987">
        <f t="shared" si="797"/>
        <v>0</v>
      </c>
      <c r="AX57" s="987">
        <f t="shared" si="797"/>
        <v>0</v>
      </c>
      <c r="AY57" s="987">
        <f t="shared" si="797"/>
        <v>0</v>
      </c>
      <c r="AZ57" s="987">
        <f t="shared" si="797"/>
        <v>0</v>
      </c>
      <c r="BA57" s="987">
        <f t="shared" si="797"/>
        <v>0</v>
      </c>
      <c r="BB57" s="987">
        <f t="shared" si="797"/>
        <v>0</v>
      </c>
      <c r="BC57" s="987">
        <f t="shared" si="797"/>
        <v>0</v>
      </c>
      <c r="BD57" s="987">
        <f t="shared" si="797"/>
        <v>0</v>
      </c>
      <c r="BE57" s="987">
        <f t="shared" si="797"/>
        <v>0</v>
      </c>
      <c r="BF57" s="987">
        <f t="shared" si="797"/>
        <v>0</v>
      </c>
      <c r="BG57" s="987">
        <f t="shared" si="797"/>
        <v>0</v>
      </c>
      <c r="BH57" s="987">
        <f t="shared" si="797"/>
        <v>0</v>
      </c>
      <c r="BI57" s="987">
        <f t="shared" si="797"/>
        <v>0</v>
      </c>
      <c r="BJ57" s="987">
        <f t="shared" si="797"/>
        <v>0</v>
      </c>
      <c r="BK57" s="987">
        <f t="shared" si="797"/>
        <v>0</v>
      </c>
      <c r="BL57" s="987">
        <f t="shared" si="797"/>
        <v>0</v>
      </c>
      <c r="BM57" s="987">
        <f t="shared" si="797"/>
        <v>0</v>
      </c>
      <c r="BN57" s="987">
        <f t="shared" ref="BN57:CS57" si="798">SUM(BN10:BN55)</f>
        <v>0</v>
      </c>
      <c r="BO57" s="987">
        <f t="shared" si="798"/>
        <v>0</v>
      </c>
      <c r="BP57" s="987">
        <f t="shared" si="798"/>
        <v>0</v>
      </c>
      <c r="BQ57" s="987">
        <f t="shared" si="798"/>
        <v>0</v>
      </c>
      <c r="BR57" s="987">
        <f t="shared" si="798"/>
        <v>0</v>
      </c>
      <c r="BS57" s="987">
        <f t="shared" si="798"/>
        <v>0</v>
      </c>
      <c r="BT57" s="987">
        <f t="shared" si="798"/>
        <v>0</v>
      </c>
      <c r="BU57" s="987">
        <f t="shared" si="798"/>
        <v>0</v>
      </c>
      <c r="BV57" s="987">
        <f t="shared" si="798"/>
        <v>0</v>
      </c>
      <c r="BW57" s="987">
        <f t="shared" si="798"/>
        <v>0</v>
      </c>
      <c r="BX57" s="987">
        <f t="shared" si="798"/>
        <v>0</v>
      </c>
      <c r="BY57" s="987">
        <f t="shared" si="798"/>
        <v>0</v>
      </c>
      <c r="BZ57" s="987">
        <f t="shared" si="798"/>
        <v>0</v>
      </c>
      <c r="CA57" s="987">
        <f t="shared" si="798"/>
        <v>0</v>
      </c>
      <c r="CB57" s="987">
        <f t="shared" si="798"/>
        <v>0</v>
      </c>
      <c r="CC57" s="987">
        <f t="shared" si="798"/>
        <v>0</v>
      </c>
      <c r="CD57" s="987">
        <f t="shared" si="798"/>
        <v>0</v>
      </c>
      <c r="CE57" s="987">
        <f t="shared" si="798"/>
        <v>0</v>
      </c>
      <c r="CF57" s="987">
        <f t="shared" si="798"/>
        <v>0</v>
      </c>
      <c r="CG57" s="987">
        <f t="shared" si="798"/>
        <v>0</v>
      </c>
      <c r="CH57" s="987">
        <f t="shared" si="798"/>
        <v>0</v>
      </c>
      <c r="CI57" s="987">
        <f t="shared" si="798"/>
        <v>0</v>
      </c>
      <c r="CJ57" s="987">
        <f t="shared" si="798"/>
        <v>0</v>
      </c>
      <c r="CK57" s="987">
        <f t="shared" si="798"/>
        <v>0</v>
      </c>
      <c r="CL57" s="987">
        <f t="shared" si="798"/>
        <v>0</v>
      </c>
      <c r="CM57" s="987">
        <f t="shared" si="798"/>
        <v>0</v>
      </c>
      <c r="CN57" s="987">
        <f t="shared" si="798"/>
        <v>0</v>
      </c>
      <c r="CO57" s="987">
        <f t="shared" si="798"/>
        <v>0</v>
      </c>
      <c r="CP57" s="987">
        <f t="shared" si="798"/>
        <v>0</v>
      </c>
      <c r="CQ57" s="987">
        <f t="shared" si="798"/>
        <v>0</v>
      </c>
      <c r="CR57" s="987">
        <f t="shared" si="798"/>
        <v>0</v>
      </c>
      <c r="CS57" s="987">
        <f t="shared" si="798"/>
        <v>0</v>
      </c>
      <c r="CT57" s="987">
        <f t="shared" ref="CT57:FE57" si="799">SUM(CT10:CT55)</f>
        <v>0</v>
      </c>
      <c r="CU57" s="987">
        <f t="shared" si="799"/>
        <v>0</v>
      </c>
      <c r="CV57" s="987">
        <f t="shared" si="799"/>
        <v>0</v>
      </c>
      <c r="CW57" s="987">
        <f t="shared" si="799"/>
        <v>0</v>
      </c>
      <c r="CX57" s="987">
        <f t="shared" si="799"/>
        <v>0</v>
      </c>
      <c r="CY57" s="987">
        <f t="shared" si="799"/>
        <v>0</v>
      </c>
      <c r="CZ57" s="987">
        <f t="shared" si="799"/>
        <v>0</v>
      </c>
      <c r="DA57" s="987">
        <f t="shared" si="799"/>
        <v>0</v>
      </c>
      <c r="DB57" s="987">
        <f t="shared" si="799"/>
        <v>0</v>
      </c>
      <c r="DC57" s="987">
        <f t="shared" si="799"/>
        <v>1225.0729999999999</v>
      </c>
      <c r="DD57" s="987">
        <f t="shared" si="799"/>
        <v>0</v>
      </c>
      <c r="DE57" s="987">
        <f t="shared" si="799"/>
        <v>7260.7246153846163</v>
      </c>
      <c r="DF57" s="987">
        <f t="shared" si="799"/>
        <v>108.27384615384616</v>
      </c>
      <c r="DG57" s="987">
        <f t="shared" si="799"/>
        <v>73.064615384615365</v>
      </c>
      <c r="DH57" s="987">
        <f t="shared" si="799"/>
        <v>11.807692307692308</v>
      </c>
      <c r="DI57" s="987">
        <f t="shared" si="799"/>
        <v>0</v>
      </c>
      <c r="DJ57" s="987">
        <f t="shared" si="799"/>
        <v>0</v>
      </c>
      <c r="DK57" s="987">
        <f t="shared" si="799"/>
        <v>0</v>
      </c>
      <c r="DL57" s="987">
        <f t="shared" si="799"/>
        <v>0</v>
      </c>
      <c r="DM57" s="987">
        <f t="shared" si="799"/>
        <v>0</v>
      </c>
      <c r="DN57" s="987">
        <f t="shared" si="799"/>
        <v>0</v>
      </c>
      <c r="DO57" s="987">
        <f t="shared" si="799"/>
        <v>0</v>
      </c>
      <c r="DP57" s="987">
        <f t="shared" si="799"/>
        <v>0</v>
      </c>
      <c r="DQ57" s="987">
        <f t="shared" si="799"/>
        <v>0</v>
      </c>
      <c r="DR57" s="987">
        <f t="shared" si="799"/>
        <v>942.363846153846</v>
      </c>
      <c r="DS57" s="987">
        <f t="shared" si="799"/>
        <v>0</v>
      </c>
      <c r="DT57" s="987">
        <f t="shared" si="799"/>
        <v>0</v>
      </c>
      <c r="DU57" s="987">
        <f t="shared" si="799"/>
        <v>0</v>
      </c>
      <c r="DV57" s="987">
        <f t="shared" si="799"/>
        <v>0</v>
      </c>
      <c r="DW57" s="987">
        <f t="shared" si="799"/>
        <v>0</v>
      </c>
      <c r="DX57" s="987">
        <f t="shared" si="799"/>
        <v>0</v>
      </c>
      <c r="DY57" s="987">
        <f t="shared" si="799"/>
        <v>0</v>
      </c>
      <c r="DZ57" s="987">
        <f t="shared" si="799"/>
        <v>0</v>
      </c>
      <c r="EA57" s="987">
        <f t="shared" si="799"/>
        <v>0</v>
      </c>
      <c r="EB57" s="987">
        <f t="shared" si="799"/>
        <v>0</v>
      </c>
      <c r="EC57" s="987">
        <f t="shared" si="799"/>
        <v>0</v>
      </c>
      <c r="ED57" s="987">
        <f t="shared" si="799"/>
        <v>0</v>
      </c>
      <c r="EE57" s="987">
        <f t="shared" si="799"/>
        <v>0</v>
      </c>
      <c r="EF57" s="987">
        <f t="shared" si="799"/>
        <v>0</v>
      </c>
      <c r="EG57" s="987">
        <f t="shared" si="799"/>
        <v>0</v>
      </c>
      <c r="EH57" s="987">
        <f t="shared" si="799"/>
        <v>0</v>
      </c>
      <c r="EI57" s="987">
        <f t="shared" si="799"/>
        <v>0</v>
      </c>
      <c r="EJ57" s="987">
        <f t="shared" si="799"/>
        <v>0</v>
      </c>
      <c r="EK57" s="987">
        <f t="shared" si="799"/>
        <v>0</v>
      </c>
      <c r="EL57" s="987">
        <f t="shared" si="799"/>
        <v>0</v>
      </c>
      <c r="EM57" s="987">
        <f t="shared" si="799"/>
        <v>0</v>
      </c>
      <c r="EN57" s="987">
        <f t="shared" si="799"/>
        <v>0</v>
      </c>
      <c r="EO57" s="987">
        <f t="shared" si="799"/>
        <v>0</v>
      </c>
      <c r="EP57" s="987">
        <f t="shared" si="799"/>
        <v>0</v>
      </c>
      <c r="EQ57" s="987">
        <f t="shared" si="799"/>
        <v>0</v>
      </c>
      <c r="ER57" s="987">
        <f t="shared" si="799"/>
        <v>0</v>
      </c>
      <c r="ES57" s="987">
        <f t="shared" si="799"/>
        <v>0</v>
      </c>
      <c r="ET57" s="987">
        <f t="shared" si="799"/>
        <v>0</v>
      </c>
      <c r="EU57" s="987">
        <f t="shared" si="799"/>
        <v>0</v>
      </c>
      <c r="EV57" s="987">
        <f t="shared" si="799"/>
        <v>0</v>
      </c>
      <c r="EW57" s="987">
        <f t="shared" si="799"/>
        <v>0</v>
      </c>
      <c r="EX57" s="987">
        <f t="shared" si="799"/>
        <v>0</v>
      </c>
      <c r="EY57" s="987">
        <f t="shared" si="799"/>
        <v>0</v>
      </c>
      <c r="EZ57" s="987">
        <f t="shared" si="799"/>
        <v>0</v>
      </c>
      <c r="FA57" s="987">
        <f t="shared" si="799"/>
        <v>0</v>
      </c>
      <c r="FB57" s="987">
        <f t="shared" si="799"/>
        <v>0</v>
      </c>
      <c r="FC57" s="987">
        <f t="shared" si="799"/>
        <v>0</v>
      </c>
      <c r="FD57" s="987">
        <f t="shared" si="799"/>
        <v>0</v>
      </c>
      <c r="FE57" s="987">
        <f t="shared" si="799"/>
        <v>0</v>
      </c>
      <c r="FF57" s="987">
        <f t="shared" ref="FF57:GK57" si="800">SUM(FF10:FF55)</f>
        <v>0</v>
      </c>
      <c r="FG57" s="987">
        <f t="shared" si="800"/>
        <v>0</v>
      </c>
      <c r="FH57" s="987">
        <f t="shared" si="800"/>
        <v>0</v>
      </c>
      <c r="FI57" s="987">
        <f t="shared" si="800"/>
        <v>0</v>
      </c>
      <c r="FJ57" s="987">
        <f t="shared" si="800"/>
        <v>0</v>
      </c>
      <c r="FK57" s="987">
        <f t="shared" si="800"/>
        <v>0</v>
      </c>
      <c r="FL57" s="987">
        <f t="shared" si="800"/>
        <v>0</v>
      </c>
      <c r="FM57" s="987">
        <f t="shared" si="800"/>
        <v>0</v>
      </c>
      <c r="FN57" s="987">
        <f t="shared" si="800"/>
        <v>0</v>
      </c>
      <c r="FO57" s="987">
        <f t="shared" si="800"/>
        <v>0</v>
      </c>
      <c r="FP57" s="987">
        <f t="shared" si="800"/>
        <v>0</v>
      </c>
      <c r="FQ57" s="987">
        <f t="shared" si="800"/>
        <v>0</v>
      </c>
      <c r="FR57" s="987">
        <f t="shared" si="800"/>
        <v>0</v>
      </c>
      <c r="FS57" s="987">
        <f t="shared" si="800"/>
        <v>0</v>
      </c>
      <c r="FT57" s="987">
        <f t="shared" si="800"/>
        <v>0</v>
      </c>
      <c r="FU57" s="987">
        <f t="shared" si="800"/>
        <v>0</v>
      </c>
      <c r="FV57" s="987">
        <f t="shared" si="800"/>
        <v>0</v>
      </c>
      <c r="FW57" s="987">
        <f t="shared" si="800"/>
        <v>0</v>
      </c>
      <c r="FX57" s="987">
        <f t="shared" si="800"/>
        <v>0</v>
      </c>
      <c r="FY57" s="987">
        <f t="shared" si="800"/>
        <v>0</v>
      </c>
      <c r="FZ57" s="987">
        <f t="shared" si="800"/>
        <v>0</v>
      </c>
      <c r="GA57" s="987">
        <f t="shared" si="800"/>
        <v>0</v>
      </c>
      <c r="GB57" s="987">
        <f t="shared" si="800"/>
        <v>1141.8699999999999</v>
      </c>
      <c r="GC57" s="987">
        <f t="shared" si="800"/>
        <v>0</v>
      </c>
      <c r="GD57" s="987">
        <f t="shared" si="800"/>
        <v>0</v>
      </c>
      <c r="GE57" s="987">
        <f t="shared" si="800"/>
        <v>0</v>
      </c>
      <c r="GF57" s="987">
        <f t="shared" si="800"/>
        <v>0</v>
      </c>
      <c r="GG57" s="987">
        <f t="shared" si="800"/>
        <v>0</v>
      </c>
      <c r="GH57" s="987">
        <f t="shared" si="800"/>
        <v>0</v>
      </c>
      <c r="GI57" s="987">
        <f t="shared" si="800"/>
        <v>0</v>
      </c>
      <c r="GJ57" s="987">
        <f t="shared" si="800"/>
        <v>0</v>
      </c>
      <c r="GK57" s="987">
        <f t="shared" si="800"/>
        <v>0</v>
      </c>
      <c r="GL57" s="987">
        <f t="shared" ref="GL57:HQ57" si="801">SUM(GL10:GL55)</f>
        <v>0</v>
      </c>
      <c r="GM57" s="987">
        <f t="shared" si="801"/>
        <v>0</v>
      </c>
      <c r="GN57" s="987">
        <f t="shared" si="801"/>
        <v>0</v>
      </c>
      <c r="GO57" s="987">
        <f t="shared" si="801"/>
        <v>0</v>
      </c>
      <c r="GP57" s="987">
        <f t="shared" si="801"/>
        <v>0</v>
      </c>
      <c r="GQ57" s="987">
        <f t="shared" si="801"/>
        <v>5936.3700000000008</v>
      </c>
      <c r="GR57" s="987">
        <f t="shared" si="801"/>
        <v>0</v>
      </c>
      <c r="GS57" s="987">
        <f t="shared" si="801"/>
        <v>0</v>
      </c>
      <c r="GT57" s="987">
        <f t="shared" si="801"/>
        <v>0</v>
      </c>
      <c r="GU57" s="987">
        <f t="shared" si="801"/>
        <v>0</v>
      </c>
      <c r="GV57" s="987">
        <f t="shared" si="801"/>
        <v>0</v>
      </c>
      <c r="GW57" s="987">
        <f t="shared" si="801"/>
        <v>0</v>
      </c>
      <c r="GX57" s="987">
        <f t="shared" si="801"/>
        <v>0</v>
      </c>
      <c r="GY57" s="987">
        <f t="shared" si="801"/>
        <v>0</v>
      </c>
      <c r="GZ57" s="987">
        <f t="shared" si="801"/>
        <v>0</v>
      </c>
      <c r="HA57" s="987">
        <f t="shared" si="801"/>
        <v>0</v>
      </c>
      <c r="HB57" s="987">
        <f t="shared" si="801"/>
        <v>0</v>
      </c>
      <c r="HC57" s="987">
        <f t="shared" si="801"/>
        <v>0</v>
      </c>
      <c r="HD57" s="987">
        <f t="shared" si="801"/>
        <v>0</v>
      </c>
      <c r="HE57" s="987">
        <f t="shared" si="801"/>
        <v>0</v>
      </c>
      <c r="HF57" s="987">
        <f t="shared" si="801"/>
        <v>0</v>
      </c>
      <c r="HG57" s="987">
        <f t="shared" si="801"/>
        <v>0</v>
      </c>
      <c r="HH57" s="987">
        <f t="shared" si="801"/>
        <v>0</v>
      </c>
      <c r="HI57" s="987">
        <f t="shared" si="801"/>
        <v>0</v>
      </c>
      <c r="HJ57" s="987">
        <f t="shared" si="801"/>
        <v>0</v>
      </c>
      <c r="HK57" s="987">
        <f t="shared" si="801"/>
        <v>0</v>
      </c>
      <c r="HL57" s="987">
        <f t="shared" si="801"/>
        <v>0</v>
      </c>
      <c r="HM57" s="987">
        <f t="shared" si="801"/>
        <v>0</v>
      </c>
      <c r="HN57" s="987">
        <f t="shared" si="801"/>
        <v>0</v>
      </c>
      <c r="HO57" s="987">
        <f t="shared" si="801"/>
        <v>0</v>
      </c>
      <c r="HP57" s="987">
        <f t="shared" si="801"/>
        <v>0</v>
      </c>
      <c r="HQ57" s="987">
        <f t="shared" si="801"/>
        <v>0</v>
      </c>
      <c r="HR57" s="987">
        <f t="shared" ref="HR57:IW57" si="802">SUM(HR10:HR55)</f>
        <v>0</v>
      </c>
      <c r="HS57" s="987">
        <f t="shared" si="802"/>
        <v>0</v>
      </c>
      <c r="HT57" s="987">
        <f t="shared" si="802"/>
        <v>0</v>
      </c>
      <c r="HU57" s="987">
        <f t="shared" si="802"/>
        <v>0</v>
      </c>
      <c r="HV57" s="987">
        <f t="shared" si="802"/>
        <v>0</v>
      </c>
      <c r="HW57" s="987">
        <f t="shared" si="802"/>
        <v>0</v>
      </c>
      <c r="HX57" s="987">
        <f t="shared" si="802"/>
        <v>0</v>
      </c>
      <c r="HY57" s="987">
        <f t="shared" si="802"/>
        <v>0</v>
      </c>
      <c r="HZ57" s="987">
        <f t="shared" si="802"/>
        <v>0</v>
      </c>
      <c r="IA57" s="987">
        <f t="shared" si="802"/>
        <v>0</v>
      </c>
      <c r="IB57" s="987">
        <f t="shared" si="802"/>
        <v>0</v>
      </c>
      <c r="IC57" s="987">
        <f t="shared" si="802"/>
        <v>0</v>
      </c>
      <c r="ID57" s="987">
        <f t="shared" si="802"/>
        <v>0</v>
      </c>
      <c r="IE57" s="987">
        <f t="shared" si="802"/>
        <v>0</v>
      </c>
      <c r="IF57" s="987">
        <f t="shared" si="802"/>
        <v>0</v>
      </c>
      <c r="IG57" s="987">
        <f t="shared" si="802"/>
        <v>0</v>
      </c>
      <c r="IH57" s="987">
        <f t="shared" si="802"/>
        <v>0</v>
      </c>
      <c r="II57" s="987">
        <f t="shared" si="802"/>
        <v>0</v>
      </c>
      <c r="IJ57" s="987">
        <f t="shared" si="802"/>
        <v>7315.4700000000012</v>
      </c>
      <c r="IK57" s="987">
        <f t="shared" si="802"/>
        <v>140.75600000000003</v>
      </c>
      <c r="IL57" s="987">
        <f t="shared" si="802"/>
        <v>94.98399999999998</v>
      </c>
      <c r="IM57" s="987">
        <f t="shared" si="802"/>
        <v>15.350000000000001</v>
      </c>
      <c r="IN57" s="987">
        <f t="shared" si="802"/>
        <v>0</v>
      </c>
      <c r="IO57" s="987">
        <f t="shared" si="802"/>
        <v>0</v>
      </c>
      <c r="IP57" s="987">
        <f t="shared" si="802"/>
        <v>0</v>
      </c>
      <c r="IQ57" s="987">
        <f t="shared" si="802"/>
        <v>0</v>
      </c>
      <c r="IR57" s="987">
        <f t="shared" si="802"/>
        <v>0</v>
      </c>
      <c r="IS57" s="987">
        <f t="shared" si="802"/>
        <v>0</v>
      </c>
      <c r="IT57" s="987">
        <f t="shared" si="802"/>
        <v>0</v>
      </c>
      <c r="IU57" s="987">
        <f t="shared" si="802"/>
        <v>0</v>
      </c>
      <c r="IV57" s="987">
        <f t="shared" si="802"/>
        <v>0</v>
      </c>
      <c r="IW57" s="987">
        <f t="shared" si="802"/>
        <v>1225.0729999999999</v>
      </c>
      <c r="IX57" s="987">
        <f t="shared" ref="IX57:KC57" si="803">SUM(IX10:IX55)</f>
        <v>0</v>
      </c>
      <c r="IY57" s="987">
        <f t="shared" si="803"/>
        <v>0</v>
      </c>
      <c r="IZ57" s="987">
        <f t="shared" si="803"/>
        <v>0</v>
      </c>
      <c r="JA57" s="987">
        <f t="shared" si="803"/>
        <v>0</v>
      </c>
      <c r="JB57" s="987">
        <f t="shared" si="803"/>
        <v>0</v>
      </c>
      <c r="JC57" s="987">
        <f t="shared" si="803"/>
        <v>0</v>
      </c>
      <c r="JD57" s="987">
        <f t="shared" si="803"/>
        <v>0</v>
      </c>
      <c r="JE57" s="987">
        <f t="shared" si="803"/>
        <v>0</v>
      </c>
      <c r="JF57" s="987">
        <f t="shared" si="803"/>
        <v>0</v>
      </c>
      <c r="JG57" s="987">
        <f t="shared" si="803"/>
        <v>0</v>
      </c>
      <c r="JH57" s="987">
        <f t="shared" si="803"/>
        <v>0</v>
      </c>
      <c r="JI57" s="987">
        <f t="shared" si="803"/>
        <v>0</v>
      </c>
      <c r="JJ57" s="987">
        <f t="shared" si="803"/>
        <v>0</v>
      </c>
      <c r="JK57" s="987">
        <f t="shared" si="803"/>
        <v>0</v>
      </c>
      <c r="JL57" s="987">
        <f t="shared" si="803"/>
        <v>0</v>
      </c>
      <c r="JM57" s="987">
        <f t="shared" si="803"/>
        <v>0</v>
      </c>
      <c r="JN57" s="987">
        <f t="shared" si="803"/>
        <v>0</v>
      </c>
      <c r="JO57" s="987">
        <f t="shared" si="803"/>
        <v>0</v>
      </c>
      <c r="JP57" s="987">
        <f t="shared" si="803"/>
        <v>0</v>
      </c>
      <c r="JQ57" s="987">
        <f t="shared" si="803"/>
        <v>0</v>
      </c>
      <c r="JR57" s="987">
        <f t="shared" si="803"/>
        <v>0</v>
      </c>
      <c r="JS57" s="987">
        <f t="shared" si="803"/>
        <v>0</v>
      </c>
      <c r="JT57" s="987">
        <f t="shared" si="803"/>
        <v>0</v>
      </c>
      <c r="JU57" s="987">
        <f t="shared" si="803"/>
        <v>0</v>
      </c>
      <c r="JV57" s="987">
        <f t="shared" si="803"/>
        <v>0</v>
      </c>
      <c r="JW57" s="987">
        <f t="shared" si="803"/>
        <v>0</v>
      </c>
      <c r="JX57" s="987">
        <f t="shared" si="803"/>
        <v>0</v>
      </c>
      <c r="JY57" s="987">
        <f t="shared" si="803"/>
        <v>0</v>
      </c>
      <c r="JZ57" s="987">
        <f t="shared" si="803"/>
        <v>0</v>
      </c>
      <c r="KA57" s="987">
        <f t="shared" si="803"/>
        <v>0</v>
      </c>
      <c r="KB57" s="987">
        <f t="shared" si="803"/>
        <v>0</v>
      </c>
      <c r="KC57" s="987">
        <f t="shared" si="803"/>
        <v>0</v>
      </c>
      <c r="KD57" s="987">
        <f t="shared" ref="KD57:KP57" si="804">SUM(KD10:KD55)</f>
        <v>0</v>
      </c>
      <c r="KE57" s="987">
        <f t="shared" si="804"/>
        <v>0</v>
      </c>
      <c r="KF57" s="987">
        <f t="shared" si="804"/>
        <v>0</v>
      </c>
      <c r="KG57" s="987">
        <f t="shared" si="804"/>
        <v>0</v>
      </c>
      <c r="KH57" s="987">
        <f t="shared" si="804"/>
        <v>0</v>
      </c>
      <c r="KI57" s="987">
        <f t="shared" si="804"/>
        <v>0</v>
      </c>
      <c r="KJ57" s="987">
        <f t="shared" si="804"/>
        <v>0</v>
      </c>
      <c r="KK57" s="987">
        <f t="shared" si="804"/>
        <v>0</v>
      </c>
      <c r="KL57" s="987">
        <f t="shared" si="804"/>
        <v>0</v>
      </c>
      <c r="KM57" s="987">
        <f t="shared" si="804"/>
        <v>0</v>
      </c>
      <c r="KN57" s="987">
        <f t="shared" si="804"/>
        <v>0</v>
      </c>
      <c r="KO57" s="987">
        <f t="shared" si="804"/>
        <v>0</v>
      </c>
      <c r="KP57" s="987">
        <f t="shared" si="804"/>
        <v>0</v>
      </c>
    </row>
    <row r="58" spans="1:302" ht="18" customHeight="1">
      <c r="C58" s="963"/>
      <c r="D58" s="963"/>
      <c r="E58" s="993"/>
      <c r="F58" s="963"/>
      <c r="G58" s="963"/>
      <c r="H58" s="993"/>
      <c r="I58" s="963"/>
      <c r="J58" s="963"/>
      <c r="K58" s="963"/>
      <c r="L58" s="963"/>
      <c r="M58" s="963"/>
      <c r="N58" s="963"/>
      <c r="O58" s="963"/>
      <c r="P58" s="963"/>
      <c r="Q58" s="963"/>
      <c r="R58" s="963"/>
      <c r="S58" s="963"/>
      <c r="T58" s="963"/>
      <c r="U58" s="963"/>
      <c r="V58" s="963"/>
      <c r="W58" s="963"/>
      <c r="X58" s="963"/>
      <c r="Y58" s="963"/>
      <c r="Z58" s="963"/>
      <c r="AA58" s="963"/>
      <c r="AB58" s="963"/>
      <c r="AC58" s="963"/>
      <c r="AD58" s="963"/>
      <c r="AE58" s="963"/>
      <c r="AF58" s="963"/>
      <c r="AG58" s="963"/>
      <c r="AH58" s="2041" t="s">
        <v>886</v>
      </c>
      <c r="AI58" s="2041"/>
      <c r="AJ58" s="2041"/>
      <c r="AK58" s="2041"/>
      <c r="AL58" s="2041"/>
      <c r="AM58" s="2041"/>
      <c r="AN58" s="2041"/>
      <c r="AO58" s="2041"/>
      <c r="AQ58" s="2041" t="s">
        <v>887</v>
      </c>
      <c r="AR58" s="2041"/>
      <c r="AS58" s="2041"/>
      <c r="AT58" s="2041"/>
      <c r="AU58" s="2041"/>
      <c r="AV58" s="2041"/>
      <c r="AW58" s="2041"/>
      <c r="AX58" s="2041"/>
      <c r="AY58" s="2041"/>
      <c r="AZ58" s="2041"/>
      <c r="BA58" s="2041"/>
      <c r="BB58" s="2041"/>
      <c r="BC58" s="2041"/>
      <c r="BD58" s="2041"/>
      <c r="BF58" s="2042" t="s">
        <v>888</v>
      </c>
      <c r="BG58" s="2043"/>
      <c r="BH58" s="2043"/>
      <c r="BI58" s="2043"/>
      <c r="BJ58" s="2043"/>
      <c r="BK58" s="2043"/>
      <c r="BL58" s="2043"/>
      <c r="BM58" s="2043"/>
      <c r="BN58" s="2043"/>
      <c r="BO58" s="2043"/>
      <c r="BP58" s="2043"/>
      <c r="BQ58" s="2043"/>
      <c r="BR58" s="2043"/>
      <c r="BS58" s="2043"/>
      <c r="BT58" s="958"/>
      <c r="BU58" s="2042" t="s">
        <v>889</v>
      </c>
      <c r="BV58" s="2043"/>
      <c r="BW58" s="2043"/>
      <c r="BX58" s="2043"/>
      <c r="BY58" s="2043"/>
      <c r="BZ58" s="2043"/>
      <c r="CA58" s="2043"/>
      <c r="CB58" s="2043"/>
      <c r="CC58" s="2043"/>
      <c r="CD58" s="2043"/>
      <c r="CE58" s="2043"/>
      <c r="CF58" s="2043"/>
      <c r="CG58" s="959"/>
      <c r="CH58" s="2044" t="s">
        <v>890</v>
      </c>
      <c r="CI58" s="2045"/>
      <c r="CJ58" s="2045"/>
      <c r="CK58" s="2045"/>
      <c r="CL58" s="2045"/>
      <c r="CM58" s="2045"/>
      <c r="CN58" s="2046"/>
      <c r="CP58" s="2041" t="s">
        <v>891</v>
      </c>
      <c r="CQ58" s="2041"/>
      <c r="CR58" s="2041"/>
      <c r="CS58" s="2041"/>
      <c r="CT58" s="2041"/>
      <c r="CU58" s="2041"/>
      <c r="CV58" s="2041"/>
      <c r="CW58" s="2041"/>
      <c r="CX58" s="2041"/>
      <c r="CY58" s="2041"/>
      <c r="CZ58" s="2041"/>
      <c r="DA58" s="2041"/>
      <c r="DB58" s="2041"/>
      <c r="DC58" s="2041"/>
      <c r="DE58" s="2041" t="s">
        <v>892</v>
      </c>
      <c r="DF58" s="2041"/>
      <c r="DG58" s="2041"/>
      <c r="DH58" s="2041"/>
      <c r="DI58" s="2041"/>
      <c r="DJ58" s="2041"/>
      <c r="DK58" s="2041"/>
      <c r="DL58" s="2041"/>
      <c r="DM58" s="2041"/>
      <c r="DN58" s="2041"/>
      <c r="DO58" s="2041"/>
      <c r="DP58" s="2041"/>
      <c r="DQ58" s="2041"/>
      <c r="DR58" s="2041"/>
      <c r="DT58" s="2041" t="s">
        <v>893</v>
      </c>
      <c r="DU58" s="2041"/>
      <c r="DV58" s="2041"/>
      <c r="DW58" s="2041"/>
      <c r="DX58" s="2041"/>
      <c r="DY58" s="2041"/>
      <c r="DZ58" s="2041"/>
      <c r="EA58" s="2041"/>
      <c r="EB58" s="2041"/>
      <c r="EC58" s="2041"/>
      <c r="ED58" s="2041"/>
      <c r="EE58" s="2041"/>
      <c r="EF58" s="2041"/>
      <c r="EG58" s="2041"/>
      <c r="EI58" s="2041" t="s">
        <v>894</v>
      </c>
      <c r="EJ58" s="2041"/>
      <c r="EK58" s="2041"/>
      <c r="EL58" s="2041"/>
      <c r="EM58" s="2041"/>
      <c r="EN58" s="2041"/>
      <c r="EO58" s="2041"/>
      <c r="EP58" s="2041"/>
      <c r="EQ58" s="2041"/>
      <c r="ER58" s="2041"/>
      <c r="ES58" s="2041"/>
      <c r="ET58" s="2041"/>
      <c r="EU58" s="2041"/>
      <c r="EV58" s="2041"/>
      <c r="EX58" s="2041" t="s">
        <v>895</v>
      </c>
      <c r="EY58" s="2041"/>
      <c r="EZ58" s="2041"/>
      <c r="FA58" s="2041"/>
      <c r="FB58" s="2041"/>
      <c r="FC58" s="2041"/>
      <c r="FD58" s="2041"/>
      <c r="FE58" s="2041"/>
      <c r="FF58" s="2041"/>
      <c r="FG58" s="2041"/>
      <c r="FH58" s="2041"/>
      <c r="FI58" s="2041"/>
      <c r="FJ58" s="2041"/>
      <c r="FK58" s="2041"/>
      <c r="FM58" s="2041" t="s">
        <v>896</v>
      </c>
      <c r="FN58" s="2041"/>
      <c r="FO58" s="2041"/>
      <c r="FP58" s="2041"/>
      <c r="FQ58" s="2041"/>
      <c r="FR58" s="2041"/>
      <c r="FS58" s="2041"/>
      <c r="FT58" s="2041"/>
      <c r="FU58" s="2041"/>
      <c r="FV58" s="2041"/>
      <c r="FW58" s="2041"/>
      <c r="FX58" s="2041"/>
      <c r="FY58" s="2041"/>
      <c r="FZ58" s="2041"/>
      <c r="GB58" s="2041" t="s">
        <v>897</v>
      </c>
      <c r="GC58" s="2041"/>
      <c r="GD58" s="2041"/>
      <c r="GE58" s="2041"/>
      <c r="GF58" s="2041"/>
      <c r="GG58" s="2041"/>
      <c r="GH58" s="2041"/>
      <c r="GI58" s="2041"/>
      <c r="GJ58" s="2041"/>
      <c r="GK58" s="2041"/>
      <c r="GL58" s="2041"/>
      <c r="GM58" s="2041"/>
      <c r="GN58" s="2041"/>
      <c r="GO58" s="2041"/>
      <c r="GQ58" s="2041" t="s">
        <v>898</v>
      </c>
      <c r="GR58" s="2041"/>
      <c r="GS58" s="2041"/>
      <c r="GT58" s="2041"/>
      <c r="GU58" s="2041"/>
      <c r="GV58" s="2041"/>
      <c r="GW58" s="2041"/>
      <c r="GX58" s="2041"/>
      <c r="GY58" s="2041"/>
      <c r="GZ58" s="2041"/>
      <c r="HA58" s="2041"/>
      <c r="HB58" s="2041"/>
      <c r="HC58" s="2041"/>
      <c r="HD58" s="2041"/>
      <c r="HF58" s="2041" t="s">
        <v>899</v>
      </c>
      <c r="HG58" s="2041"/>
      <c r="HH58" s="2041"/>
      <c r="HI58" s="2041"/>
      <c r="HJ58" s="2041"/>
      <c r="HK58" s="2041"/>
      <c r="HL58" s="2041"/>
      <c r="HM58" s="2041"/>
      <c r="HN58" s="2041"/>
      <c r="HO58" s="2041"/>
      <c r="HP58" s="2041"/>
      <c r="HQ58" s="2041"/>
      <c r="HR58" s="2041"/>
      <c r="HS58" s="2041"/>
      <c r="HU58" s="2041" t="s">
        <v>900</v>
      </c>
      <c r="HV58" s="2041"/>
      <c r="HW58" s="2041"/>
      <c r="HX58" s="2041"/>
      <c r="HY58" s="2041"/>
      <c r="HZ58" s="2041"/>
      <c r="IA58" s="2041"/>
      <c r="IB58" s="2041"/>
      <c r="IC58" s="2041"/>
      <c r="ID58" s="2041"/>
      <c r="IE58" s="2041"/>
      <c r="IF58" s="2041"/>
      <c r="IG58" s="2041"/>
      <c r="IH58" s="2041"/>
      <c r="IJ58" s="2036" t="s">
        <v>887</v>
      </c>
      <c r="IK58" s="2036"/>
      <c r="IL58" s="2036"/>
      <c r="IM58" s="2036"/>
      <c r="IN58" s="2036"/>
      <c r="IO58" s="2036"/>
      <c r="IP58" s="2036"/>
      <c r="IQ58" s="2036"/>
      <c r="IR58" s="2036"/>
      <c r="IS58" s="2036"/>
      <c r="IT58" s="2036"/>
      <c r="IU58" s="2036"/>
      <c r="IV58" s="2036"/>
      <c r="IW58" s="2036"/>
      <c r="IY58" s="2036" t="s">
        <v>888</v>
      </c>
      <c r="IZ58" s="2036"/>
      <c r="JA58" s="2036"/>
      <c r="JB58" s="2036"/>
      <c r="JC58" s="2036"/>
      <c r="JD58" s="2036"/>
      <c r="JE58" s="2036"/>
      <c r="JF58" s="2036"/>
      <c r="JG58" s="2036"/>
      <c r="JH58" s="2036"/>
      <c r="JI58" s="2036"/>
      <c r="JJ58" s="2036"/>
      <c r="JK58" s="2036"/>
      <c r="JL58" s="2036"/>
      <c r="JN58" s="2036" t="s">
        <v>889</v>
      </c>
      <c r="JO58" s="2036"/>
      <c r="JP58" s="2036"/>
      <c r="JQ58" s="2036"/>
      <c r="JR58" s="2036"/>
      <c r="JS58" s="2036"/>
      <c r="JT58" s="2036"/>
      <c r="JU58" s="2036"/>
      <c r="JV58" s="2036"/>
      <c r="JW58" s="2036"/>
      <c r="JX58" s="2036"/>
      <c r="JY58" s="2036"/>
      <c r="JZ58" s="2036"/>
      <c r="KA58" s="2036"/>
      <c r="KC58" s="2036" t="s">
        <v>890</v>
      </c>
      <c r="KD58" s="2036"/>
      <c r="KE58" s="2036"/>
      <c r="KF58" s="2036"/>
      <c r="KG58" s="2036"/>
      <c r="KH58" s="2036"/>
      <c r="KI58" s="2036"/>
      <c r="KJ58" s="2036"/>
      <c r="KK58" s="2036"/>
      <c r="KL58" s="2036"/>
      <c r="KM58" s="2036"/>
      <c r="KN58" s="2036"/>
      <c r="KO58" s="2036"/>
      <c r="KP58" s="2036"/>
    </row>
    <row r="59" spans="1:302" s="997" customFormat="1">
      <c r="A59" s="995"/>
      <c r="B59" s="996"/>
      <c r="C59" s="995"/>
      <c r="D59" s="995"/>
      <c r="I59" s="998"/>
      <c r="J59" s="2037" t="s">
        <v>941</v>
      </c>
      <c r="K59" s="999">
        <f>SUM(K10:K55)</f>
        <v>8791.6330000000016</v>
      </c>
      <c r="L59" s="999">
        <f>SUM(L10:L55)</f>
        <v>0</v>
      </c>
      <c r="M59" s="999">
        <f>SUM(M10:M55)</f>
        <v>0</v>
      </c>
      <c r="N59" s="999">
        <f>SUM(N10:N55)</f>
        <v>0</v>
      </c>
      <c r="O59" s="1000"/>
      <c r="P59" s="1001">
        <f>Q59/K60*1000</f>
        <v>944.79611458667523</v>
      </c>
      <c r="Q59" s="1002">
        <f>SUM(Q10:Q55)</f>
        <v>8306.3006992719966</v>
      </c>
      <c r="V59" s="995"/>
      <c r="W59" s="995"/>
      <c r="X59" s="995"/>
      <c r="Y59" s="995"/>
      <c r="Z59" s="995"/>
      <c r="AA59" s="995"/>
      <c r="AB59" s="1002">
        <f>SUM(AB10:AB55)</f>
        <v>8396.2346153846174</v>
      </c>
      <c r="AC59" s="995"/>
      <c r="AD59" s="995"/>
      <c r="AE59" s="995"/>
      <c r="AF59" s="995"/>
      <c r="AG59" s="995"/>
      <c r="AH59" s="1003">
        <f t="array" ref="AH59:AH66">TRANSPOSE(AH57:AO57)</f>
        <v>237.23000000000005</v>
      </c>
      <c r="AI59" s="1005"/>
      <c r="AJ59" s="1005"/>
      <c r="AK59" s="1005"/>
      <c r="AL59" s="1005"/>
      <c r="AM59" s="1005"/>
      <c r="AN59" s="1005"/>
      <c r="AO59" s="1005"/>
      <c r="AP59" s="1006"/>
      <c r="AQ59" s="1003">
        <f t="array" ref="AQ59:AQ72">TRANSPOSE(AQ57:BD57)</f>
        <v>0</v>
      </c>
      <c r="AR59" s="1005"/>
      <c r="AS59" s="1005"/>
      <c r="AT59" s="1005"/>
      <c r="AU59" s="1005"/>
      <c r="AV59" s="1005"/>
      <c r="AW59" s="1005"/>
      <c r="AX59" s="1005"/>
      <c r="AY59" s="1005"/>
      <c r="AZ59" s="1005"/>
      <c r="BA59" s="1005"/>
      <c r="BB59" s="1005"/>
      <c r="BC59" s="1005"/>
      <c r="BD59" s="1005"/>
      <c r="BE59" s="1005"/>
      <c r="BF59" s="1003">
        <f t="array" ref="BF59:BF72">TRANSPOSE(BF57:BS57)</f>
        <v>0</v>
      </c>
      <c r="BG59" s="1005"/>
      <c r="BH59" s="1005"/>
      <c r="BI59" s="1005"/>
      <c r="BJ59" s="1005"/>
      <c r="BK59" s="1005"/>
      <c r="BL59" s="1005"/>
      <c r="BM59" s="1005"/>
      <c r="BN59" s="1005"/>
      <c r="BO59" s="1005"/>
      <c r="BP59" s="1005"/>
      <c r="BQ59" s="1005"/>
      <c r="BR59" s="1005"/>
      <c r="BS59" s="1005"/>
      <c r="BT59" s="1005"/>
      <c r="BU59" s="1003">
        <f t="array" ref="BU59:BU70">TRANSPOSE(BU57:CF57)</f>
        <v>0</v>
      </c>
      <c r="BV59" s="1005"/>
      <c r="BW59" s="1005"/>
      <c r="BX59" s="1005"/>
      <c r="BY59" s="1005"/>
      <c r="BZ59" s="1005"/>
      <c r="CA59" s="1005"/>
      <c r="CB59" s="1005"/>
      <c r="CC59" s="1005"/>
      <c r="CD59" s="1005"/>
      <c r="CE59" s="1005"/>
      <c r="CF59" s="1005"/>
      <c r="CG59" s="1005"/>
      <c r="CH59" s="1003">
        <f t="array" ref="CH59:CH65">TRANSPOSE(CH57:CN57)</f>
        <v>0</v>
      </c>
      <c r="CI59" s="1005"/>
      <c r="CJ59" s="1005"/>
      <c r="CK59" s="1005"/>
      <c r="CL59" s="1005"/>
      <c r="CM59" s="1005"/>
      <c r="CN59" s="1005"/>
      <c r="CO59" s="995"/>
      <c r="CP59" s="1007">
        <f t="array" ref="CP59:CP72">TRANSPOSE(CP57:DC57)</f>
        <v>0</v>
      </c>
      <c r="CQ59" s="995"/>
      <c r="CR59" s="995"/>
      <c r="CS59" s="995"/>
      <c r="CT59" s="995"/>
      <c r="CU59" s="995"/>
      <c r="CV59" s="995"/>
      <c r="CW59" s="995"/>
      <c r="CX59" s="995"/>
      <c r="CY59" s="995"/>
      <c r="CZ59" s="995"/>
      <c r="DA59" s="995"/>
      <c r="DB59" s="995"/>
      <c r="DC59" s="995"/>
      <c r="DD59" s="995"/>
      <c r="DE59" s="1007">
        <f t="array" ref="DE59:DE72">TRANSPOSE(DE57:DR57)</f>
        <v>7260.7246153846163</v>
      </c>
      <c r="DF59" s="995"/>
      <c r="DG59" s="995"/>
      <c r="DH59" s="995"/>
      <c r="DI59" s="995"/>
      <c r="DJ59" s="995"/>
      <c r="DK59" s="995"/>
      <c r="DL59" s="995"/>
      <c r="DM59" s="995"/>
      <c r="DN59" s="995"/>
      <c r="DO59" s="995"/>
      <c r="DP59" s="995"/>
      <c r="DQ59" s="995"/>
      <c r="DR59" s="995"/>
      <c r="DS59" s="995"/>
      <c r="DT59" s="1007">
        <f t="array" ref="DT59:DT72">TRANSPOSE(DT57:EG57)</f>
        <v>0</v>
      </c>
      <c r="DU59" s="995"/>
      <c r="DV59" s="995"/>
      <c r="DW59" s="995"/>
      <c r="DX59" s="995"/>
      <c r="DY59" s="995"/>
      <c r="DZ59" s="995"/>
      <c r="EA59" s="995"/>
      <c r="EB59" s="995"/>
      <c r="EC59" s="995"/>
      <c r="ED59" s="995"/>
      <c r="EE59" s="995"/>
      <c r="EF59" s="995"/>
      <c r="EG59" s="995"/>
      <c r="EH59" s="995"/>
      <c r="EI59" s="1007">
        <f t="array" ref="EI59:EI72">TRANSPOSE(EI57:EV57)</f>
        <v>0</v>
      </c>
      <c r="EJ59" s="995"/>
      <c r="EK59" s="995"/>
      <c r="EL59" s="995"/>
      <c r="EM59" s="995"/>
      <c r="EN59" s="995"/>
      <c r="EO59" s="995"/>
      <c r="EP59" s="995"/>
      <c r="EQ59" s="995"/>
      <c r="ER59" s="995"/>
      <c r="ES59" s="995"/>
      <c r="ET59" s="995"/>
      <c r="EU59" s="995"/>
      <c r="EV59" s="995"/>
      <c r="EW59" s="995"/>
      <c r="EX59" s="1007">
        <f t="array" ref="EX59:EX72">TRANSPOSE(EX57:FK57)</f>
        <v>0</v>
      </c>
      <c r="EY59" s="995"/>
      <c r="EZ59" s="995"/>
      <c r="FA59" s="995"/>
      <c r="FB59" s="995"/>
      <c r="FC59" s="995"/>
      <c r="FD59" s="995"/>
      <c r="FE59" s="995"/>
      <c r="FF59" s="995"/>
      <c r="FG59" s="995"/>
      <c r="FH59" s="995"/>
      <c r="FI59" s="995"/>
      <c r="FJ59" s="995"/>
      <c r="FK59" s="995"/>
      <c r="FL59" s="995"/>
      <c r="FM59" s="1007">
        <f t="array" ref="FM59:FM72">TRANSPOSE(FM57:FZ57)</f>
        <v>0</v>
      </c>
      <c r="FN59" s="995"/>
      <c r="FO59" s="995"/>
      <c r="FP59" s="995"/>
      <c r="FQ59" s="995"/>
      <c r="FR59" s="995"/>
      <c r="FS59" s="995"/>
      <c r="FT59" s="995"/>
      <c r="FU59" s="995"/>
      <c r="FV59" s="995"/>
      <c r="FW59" s="995"/>
      <c r="FX59" s="995"/>
      <c r="FY59" s="995"/>
      <c r="FZ59" s="995"/>
      <c r="GA59" s="995"/>
      <c r="GB59" s="1007">
        <f t="array" ref="GB59:GB72">TRANSPOSE(GB57:GO57)</f>
        <v>1141.8699999999999</v>
      </c>
      <c r="GC59" s="995"/>
      <c r="GD59" s="995"/>
      <c r="GE59" s="995"/>
      <c r="GF59" s="995"/>
      <c r="GG59" s="995"/>
      <c r="GH59" s="995"/>
      <c r="GI59" s="995"/>
      <c r="GJ59" s="995"/>
      <c r="GK59" s="995"/>
      <c r="GL59" s="995"/>
      <c r="GM59" s="995"/>
      <c r="GN59" s="995"/>
      <c r="GO59" s="995"/>
      <c r="GP59" s="995"/>
      <c r="GQ59" s="1007">
        <f t="array" ref="GQ59:GQ72">TRANSPOSE(GQ57:HD57)</f>
        <v>5936.3700000000008</v>
      </c>
      <c r="GR59" s="995"/>
      <c r="GS59" s="995"/>
      <c r="GT59" s="995"/>
      <c r="GU59" s="995"/>
      <c r="GV59" s="995"/>
      <c r="GW59" s="995"/>
      <c r="GX59" s="995"/>
      <c r="GY59" s="995"/>
      <c r="GZ59" s="995"/>
      <c r="HA59" s="995"/>
      <c r="HB59" s="995"/>
      <c r="HC59" s="995"/>
      <c r="HD59" s="995"/>
      <c r="HE59" s="995"/>
      <c r="HF59" s="1007">
        <f t="array" ref="HF59:HF72">TRANSPOSE(HF57:HS57)</f>
        <v>0</v>
      </c>
      <c r="HG59" s="995"/>
      <c r="HH59" s="995"/>
      <c r="HI59" s="995"/>
      <c r="HJ59" s="995"/>
      <c r="HK59" s="995"/>
      <c r="HL59" s="995"/>
      <c r="HM59" s="995"/>
      <c r="HN59" s="995"/>
      <c r="HO59" s="995"/>
      <c r="HP59" s="995"/>
      <c r="HQ59" s="995"/>
      <c r="HR59" s="995"/>
      <c r="HS59" s="995"/>
      <c r="HT59" s="995"/>
      <c r="HU59" s="1007">
        <f t="array" ref="HU59:HU72">TRANSPOSE(HU57:IH57)</f>
        <v>0</v>
      </c>
      <c r="HV59" s="995"/>
      <c r="HW59" s="995"/>
      <c r="HX59" s="995"/>
      <c r="HY59" s="995"/>
      <c r="HZ59" s="995"/>
      <c r="IA59" s="995"/>
      <c r="IB59" s="995"/>
      <c r="IC59" s="995"/>
      <c r="ID59" s="995"/>
      <c r="IE59" s="995"/>
      <c r="IF59" s="995"/>
      <c r="IG59" s="995"/>
      <c r="IH59" s="995"/>
      <c r="II59" s="995"/>
      <c r="IJ59" s="1003">
        <f t="array" ref="IJ59:IJ72">TRANSPOSE(IJ57:IW57)</f>
        <v>7315.4700000000012</v>
      </c>
      <c r="IK59" s="1005"/>
      <c r="IL59" s="1005"/>
      <c r="IM59" s="1005"/>
      <c r="IN59" s="1005"/>
      <c r="IO59" s="1005"/>
      <c r="IP59" s="1005"/>
      <c r="IQ59" s="1005"/>
      <c r="IR59" s="1005"/>
      <c r="IS59" s="1005"/>
      <c r="IT59" s="1005"/>
      <c r="IU59" s="1005"/>
      <c r="IV59" s="1005"/>
      <c r="IW59" s="1005"/>
      <c r="IX59" s="1005"/>
      <c r="IY59" s="1003">
        <f t="array" ref="IY59:IY72">TRANSPOSE(IY57:JL57)</f>
        <v>0</v>
      </c>
      <c r="JM59" s="1005"/>
      <c r="JN59" s="1003">
        <f t="array" ref="JN59:JN72">TRANSPOSE(JN57:KA57)</f>
        <v>0</v>
      </c>
      <c r="KB59" s="1005"/>
      <c r="KC59" s="1003">
        <f t="array" ref="KC59:KC72">TRANSPOSE(KC57:KP57)</f>
        <v>0</v>
      </c>
    </row>
    <row r="60" spans="1:302" ht="12.75" customHeight="1">
      <c r="E60" s="956"/>
      <c r="F60" s="956"/>
      <c r="G60" s="956"/>
      <c r="H60" s="956"/>
      <c r="I60" s="1009" t="s">
        <v>941</v>
      </c>
      <c r="J60" s="2037"/>
      <c r="K60" s="1010">
        <f>SUM(K59:N59)</f>
        <v>8791.6330000000016</v>
      </c>
      <c r="L60" s="956"/>
      <c r="M60" s="956"/>
      <c r="N60" s="956"/>
      <c r="O60" s="1011"/>
      <c r="P60" s="1012"/>
      <c r="Q60" s="956"/>
      <c r="R60" s="956"/>
      <c r="S60" s="956"/>
      <c r="T60" s="956"/>
      <c r="U60" s="956"/>
      <c r="AH60" s="1004">
        <v>0</v>
      </c>
      <c r="AI60" s="987"/>
      <c r="AJ60" s="987"/>
      <c r="AK60" s="987"/>
      <c r="AL60" s="987"/>
      <c r="AM60" s="987"/>
      <c r="AN60" s="987"/>
      <c r="AO60" s="987"/>
      <c r="AP60" s="963"/>
      <c r="AQ60" s="1004">
        <v>140.75600000000003</v>
      </c>
      <c r="AR60" s="987"/>
      <c r="AS60" s="987"/>
      <c r="AT60" s="987"/>
      <c r="AU60" s="987"/>
      <c r="AV60" s="987"/>
      <c r="AW60" s="987"/>
      <c r="AX60" s="987"/>
      <c r="AY60" s="987"/>
      <c r="AZ60" s="987"/>
      <c r="BA60" s="987"/>
      <c r="BB60" s="987"/>
      <c r="BC60" s="987"/>
      <c r="BD60" s="987"/>
      <c r="BE60" s="987"/>
      <c r="BF60" s="1004">
        <v>0</v>
      </c>
      <c r="BG60" s="987"/>
      <c r="BH60" s="987"/>
      <c r="BI60" s="987"/>
      <c r="BJ60" s="987"/>
      <c r="BK60" s="987"/>
      <c r="BL60" s="987"/>
      <c r="BM60" s="987"/>
      <c r="BN60" s="987"/>
      <c r="BO60" s="987"/>
      <c r="BP60" s="987"/>
      <c r="BQ60" s="987"/>
      <c r="BR60" s="987"/>
      <c r="BS60" s="987"/>
      <c r="BT60" s="987"/>
      <c r="BU60" s="1004">
        <v>0</v>
      </c>
      <c r="BV60" s="987"/>
      <c r="BW60" s="987"/>
      <c r="BX60" s="987"/>
      <c r="BY60" s="987"/>
      <c r="BZ60" s="987"/>
      <c r="CA60" s="987"/>
      <c r="CB60" s="987"/>
      <c r="CC60" s="987"/>
      <c r="CD60" s="987"/>
      <c r="CE60" s="987"/>
      <c r="CF60" s="987"/>
      <c r="CG60" s="987"/>
      <c r="CH60" s="1004">
        <v>0</v>
      </c>
      <c r="CI60" s="987"/>
      <c r="CJ60" s="987"/>
      <c r="CK60" s="987"/>
      <c r="CL60" s="987"/>
      <c r="CM60" s="987"/>
      <c r="CN60" s="987"/>
      <c r="CP60" s="1008">
        <v>0</v>
      </c>
      <c r="DE60" s="1008">
        <v>108.27384615384616</v>
      </c>
      <c r="DT60" s="1008">
        <v>0</v>
      </c>
      <c r="EI60" s="1008">
        <v>0</v>
      </c>
      <c r="EX60" s="1008">
        <v>0</v>
      </c>
      <c r="FM60" s="1008">
        <v>0</v>
      </c>
      <c r="GB60" s="1008">
        <v>0</v>
      </c>
      <c r="GQ60" s="1008">
        <v>0</v>
      </c>
      <c r="HF60" s="1008">
        <v>0</v>
      </c>
      <c r="HU60" s="1008">
        <v>0</v>
      </c>
      <c r="IJ60" s="1004">
        <v>140.75600000000003</v>
      </c>
      <c r="IK60" s="987"/>
      <c r="IL60" s="987"/>
      <c r="IM60" s="987"/>
      <c r="IN60" s="987"/>
      <c r="IO60" s="987"/>
      <c r="IP60" s="987"/>
      <c r="IQ60" s="987"/>
      <c r="IR60" s="987"/>
      <c r="IS60" s="987"/>
      <c r="IT60" s="987"/>
      <c r="IU60" s="987"/>
      <c r="IV60" s="987"/>
      <c r="IW60" s="987"/>
      <c r="IX60" s="987"/>
      <c r="IY60" s="1004">
        <v>0</v>
      </c>
      <c r="JM60" s="987"/>
      <c r="JN60" s="1004">
        <v>0</v>
      </c>
      <c r="KB60" s="987"/>
      <c r="KC60" s="1004">
        <v>0</v>
      </c>
    </row>
    <row r="61" spans="1:302" s="997" customFormat="1">
      <c r="A61" s="995"/>
      <c r="B61" s="996"/>
      <c r="C61" s="995"/>
      <c r="D61" s="995"/>
      <c r="V61" s="995"/>
      <c r="W61" s="995"/>
      <c r="X61" s="995"/>
      <c r="Y61" s="995"/>
      <c r="Z61" s="995"/>
      <c r="AA61" s="995"/>
      <c r="AC61" s="995"/>
      <c r="AD61" s="995"/>
      <c r="AE61" s="995"/>
      <c r="AF61" s="995"/>
      <c r="AG61" s="995"/>
      <c r="AH61" s="1003">
        <v>0</v>
      </c>
      <c r="AI61" s="1005"/>
      <c r="AJ61" s="1005"/>
      <c r="AK61" s="1005"/>
      <c r="AL61" s="1005"/>
      <c r="AM61" s="1005"/>
      <c r="AN61" s="1005"/>
      <c r="AO61" s="1005"/>
      <c r="AP61" s="1006"/>
      <c r="AQ61" s="1003">
        <v>94.98399999999998</v>
      </c>
      <c r="AR61" s="1005"/>
      <c r="AS61" s="1005"/>
      <c r="AT61" s="1005"/>
      <c r="AU61" s="1005"/>
      <c r="AV61" s="1005"/>
      <c r="AW61" s="1005"/>
      <c r="AX61" s="1005"/>
      <c r="AY61" s="1005"/>
      <c r="AZ61" s="1005"/>
      <c r="BA61" s="1005"/>
      <c r="BB61" s="1005"/>
      <c r="BC61" s="1005"/>
      <c r="BD61" s="1005"/>
      <c r="BE61" s="1005"/>
      <c r="BF61" s="1003">
        <v>0</v>
      </c>
      <c r="BG61" s="1005"/>
      <c r="BH61" s="1005"/>
      <c r="BI61" s="1005"/>
      <c r="BJ61" s="1005"/>
      <c r="BK61" s="1005"/>
      <c r="BL61" s="1005"/>
      <c r="BM61" s="1005"/>
      <c r="BN61" s="1005"/>
      <c r="BO61" s="1005"/>
      <c r="BP61" s="1005"/>
      <c r="BQ61" s="1005"/>
      <c r="BR61" s="1005"/>
      <c r="BS61" s="1005"/>
      <c r="BT61" s="1005"/>
      <c r="BU61" s="1003">
        <v>0</v>
      </c>
      <c r="BV61" s="1005"/>
      <c r="BW61" s="1005"/>
      <c r="BX61" s="1005"/>
      <c r="BY61" s="1005"/>
      <c r="BZ61" s="1005"/>
      <c r="CA61" s="1005"/>
      <c r="CB61" s="1005"/>
      <c r="CC61" s="1005"/>
      <c r="CD61" s="1005"/>
      <c r="CE61" s="1005"/>
      <c r="CF61" s="1005"/>
      <c r="CG61" s="1005"/>
      <c r="CH61" s="1003">
        <v>0</v>
      </c>
      <c r="CI61" s="1005"/>
      <c r="CJ61" s="1005"/>
      <c r="CK61" s="1005"/>
      <c r="CL61" s="1005"/>
      <c r="CM61" s="1005"/>
      <c r="CN61" s="1005"/>
      <c r="CO61" s="995"/>
      <c r="CP61" s="1007">
        <v>0</v>
      </c>
      <c r="CQ61" s="995"/>
      <c r="CR61" s="995"/>
      <c r="CS61" s="995"/>
      <c r="CT61" s="995"/>
      <c r="CU61" s="995"/>
      <c r="CV61" s="995"/>
      <c r="CW61" s="995"/>
      <c r="CX61" s="995"/>
      <c r="CY61" s="995"/>
      <c r="CZ61" s="995"/>
      <c r="DA61" s="995"/>
      <c r="DB61" s="995"/>
      <c r="DC61" s="995"/>
      <c r="DD61" s="995"/>
      <c r="DE61" s="1007">
        <v>73.064615384615365</v>
      </c>
      <c r="DF61" s="995"/>
      <c r="DG61" s="995"/>
      <c r="DH61" s="995"/>
      <c r="DI61" s="995"/>
      <c r="DJ61" s="995"/>
      <c r="DK61" s="995"/>
      <c r="DL61" s="995"/>
      <c r="DM61" s="995"/>
      <c r="DN61" s="995"/>
      <c r="DO61" s="995"/>
      <c r="DP61" s="995"/>
      <c r="DQ61" s="995"/>
      <c r="DR61" s="995"/>
      <c r="DS61" s="995"/>
      <c r="DT61" s="1007">
        <v>0</v>
      </c>
      <c r="DU61" s="995"/>
      <c r="DV61" s="995"/>
      <c r="DW61" s="995"/>
      <c r="DX61" s="995"/>
      <c r="DY61" s="995"/>
      <c r="DZ61" s="995"/>
      <c r="EA61" s="995"/>
      <c r="EB61" s="995"/>
      <c r="EC61" s="995"/>
      <c r="ED61" s="995"/>
      <c r="EE61" s="995"/>
      <c r="EF61" s="995"/>
      <c r="EG61" s="995"/>
      <c r="EH61" s="995"/>
      <c r="EI61" s="1007">
        <v>0</v>
      </c>
      <c r="EJ61" s="995"/>
      <c r="EK61" s="995"/>
      <c r="EL61" s="995"/>
      <c r="EM61" s="995"/>
      <c r="EN61" s="995"/>
      <c r="EO61" s="995"/>
      <c r="EP61" s="995"/>
      <c r="EQ61" s="995"/>
      <c r="ER61" s="995"/>
      <c r="ES61" s="995"/>
      <c r="ET61" s="995"/>
      <c r="EU61" s="995"/>
      <c r="EV61" s="995"/>
      <c r="EW61" s="995"/>
      <c r="EX61" s="1007">
        <v>0</v>
      </c>
      <c r="EY61" s="995"/>
      <c r="EZ61" s="995"/>
      <c r="FA61" s="995"/>
      <c r="FB61" s="995"/>
      <c r="FC61" s="995"/>
      <c r="FD61" s="995"/>
      <c r="FE61" s="995"/>
      <c r="FF61" s="995"/>
      <c r="FG61" s="995"/>
      <c r="FH61" s="995"/>
      <c r="FI61" s="995"/>
      <c r="FJ61" s="995"/>
      <c r="FK61" s="995"/>
      <c r="FL61" s="995"/>
      <c r="FM61" s="1007">
        <v>0</v>
      </c>
      <c r="FN61" s="995"/>
      <c r="FO61" s="995"/>
      <c r="FP61" s="995"/>
      <c r="FQ61" s="995"/>
      <c r="FR61" s="995"/>
      <c r="FS61" s="995"/>
      <c r="FT61" s="995"/>
      <c r="FU61" s="995"/>
      <c r="FV61" s="995"/>
      <c r="FW61" s="995"/>
      <c r="FX61" s="995"/>
      <c r="FY61" s="995"/>
      <c r="FZ61" s="995"/>
      <c r="GA61" s="995"/>
      <c r="GB61" s="1007">
        <v>0</v>
      </c>
      <c r="GC61" s="995"/>
      <c r="GD61" s="995"/>
      <c r="GE61" s="995"/>
      <c r="GF61" s="995"/>
      <c r="GG61" s="995"/>
      <c r="GH61" s="995"/>
      <c r="GI61" s="995"/>
      <c r="GJ61" s="995"/>
      <c r="GK61" s="995"/>
      <c r="GL61" s="995"/>
      <c r="GM61" s="995"/>
      <c r="GN61" s="995"/>
      <c r="GO61" s="995"/>
      <c r="GP61" s="995"/>
      <c r="GQ61" s="1007">
        <v>0</v>
      </c>
      <c r="GR61" s="995"/>
      <c r="GS61" s="995"/>
      <c r="GT61" s="995"/>
      <c r="GU61" s="995"/>
      <c r="GV61" s="995"/>
      <c r="GW61" s="995"/>
      <c r="GX61" s="995"/>
      <c r="GY61" s="995"/>
      <c r="GZ61" s="995"/>
      <c r="HA61" s="995"/>
      <c r="HB61" s="995"/>
      <c r="HC61" s="995"/>
      <c r="HD61" s="995"/>
      <c r="HE61" s="995"/>
      <c r="HF61" s="1007">
        <v>0</v>
      </c>
      <c r="HG61" s="995"/>
      <c r="HH61" s="995"/>
      <c r="HI61" s="995"/>
      <c r="HJ61" s="995"/>
      <c r="HK61" s="995"/>
      <c r="HL61" s="995"/>
      <c r="HM61" s="995"/>
      <c r="HN61" s="995"/>
      <c r="HO61" s="995"/>
      <c r="HP61" s="995"/>
      <c r="HQ61" s="995"/>
      <c r="HR61" s="995"/>
      <c r="HS61" s="995"/>
      <c r="HT61" s="995"/>
      <c r="HU61" s="1007">
        <v>0</v>
      </c>
      <c r="HV61" s="995"/>
      <c r="HW61" s="995"/>
      <c r="HX61" s="995"/>
      <c r="HY61" s="995"/>
      <c r="HZ61" s="995"/>
      <c r="IA61" s="995"/>
      <c r="IB61" s="995"/>
      <c r="IC61" s="995"/>
      <c r="ID61" s="995"/>
      <c r="IE61" s="995"/>
      <c r="IF61" s="995"/>
      <c r="IG61" s="995"/>
      <c r="IH61" s="995"/>
      <c r="II61" s="995"/>
      <c r="IJ61" s="1003">
        <v>94.98399999999998</v>
      </c>
      <c r="IK61" s="1005"/>
      <c r="IL61" s="1005"/>
      <c r="IM61" s="1005"/>
      <c r="IN61" s="1005"/>
      <c r="IO61" s="1005"/>
      <c r="IP61" s="1005"/>
      <c r="IQ61" s="1005"/>
      <c r="IR61" s="1005"/>
      <c r="IS61" s="1005"/>
      <c r="IT61" s="1005"/>
      <c r="IU61" s="1005"/>
      <c r="IV61" s="1005"/>
      <c r="IW61" s="1005"/>
      <c r="IX61" s="1005"/>
      <c r="IY61" s="1003">
        <v>0</v>
      </c>
      <c r="JM61" s="1005"/>
      <c r="JN61" s="1003">
        <v>0</v>
      </c>
      <c r="KB61" s="1005"/>
      <c r="KC61" s="1003">
        <v>0</v>
      </c>
    </row>
    <row r="62" spans="1:302">
      <c r="E62" s="956"/>
      <c r="F62" s="956"/>
      <c r="G62" s="956"/>
      <c r="H62" s="956"/>
      <c r="I62" s="956"/>
      <c r="J62" s="956"/>
      <c r="K62" s="956"/>
      <c r="L62" s="956"/>
      <c r="M62" s="956"/>
      <c r="N62" s="956"/>
      <c r="O62" s="956"/>
      <c r="P62" s="956"/>
      <c r="Q62" s="956"/>
      <c r="R62" s="956"/>
      <c r="S62" s="956"/>
      <c r="T62" s="956"/>
      <c r="U62" s="956"/>
      <c r="AH62" s="1003">
        <v>0</v>
      </c>
      <c r="AI62" s="987"/>
      <c r="AJ62" s="987"/>
      <c r="AK62" s="987"/>
      <c r="AL62" s="987"/>
      <c r="AM62" s="987"/>
      <c r="AN62" s="987"/>
      <c r="AO62" s="987"/>
      <c r="AP62" s="963"/>
      <c r="AQ62" s="1003">
        <v>15.350000000000001</v>
      </c>
      <c r="AR62" s="987"/>
      <c r="AS62" s="987"/>
      <c r="AT62" s="987"/>
      <c r="AU62" s="987"/>
      <c r="AV62" s="987"/>
      <c r="AW62" s="987"/>
      <c r="AX62" s="987"/>
      <c r="AY62" s="987"/>
      <c r="AZ62" s="987"/>
      <c r="BA62" s="987"/>
      <c r="BB62" s="987"/>
      <c r="BC62" s="987"/>
      <c r="BD62" s="987"/>
      <c r="BE62" s="987"/>
      <c r="BF62" s="1003">
        <v>0</v>
      </c>
      <c r="BG62" s="987"/>
      <c r="BH62" s="987"/>
      <c r="BI62" s="987"/>
      <c r="BJ62" s="987"/>
      <c r="BK62" s="987"/>
      <c r="BL62" s="987"/>
      <c r="BM62" s="987"/>
      <c r="BN62" s="987"/>
      <c r="BO62" s="987"/>
      <c r="BP62" s="987"/>
      <c r="BQ62" s="987"/>
      <c r="BR62" s="987"/>
      <c r="BS62" s="987"/>
      <c r="BT62" s="987"/>
      <c r="BU62" s="1003">
        <v>0</v>
      </c>
      <c r="BV62" s="987"/>
      <c r="BW62" s="987"/>
      <c r="BX62" s="987"/>
      <c r="BY62" s="987"/>
      <c r="BZ62" s="987"/>
      <c r="CA62" s="987"/>
      <c r="CB62" s="987"/>
      <c r="CC62" s="987"/>
      <c r="CD62" s="987"/>
      <c r="CE62" s="987"/>
      <c r="CF62" s="987"/>
      <c r="CG62" s="987"/>
      <c r="CH62" s="1003">
        <v>0</v>
      </c>
      <c r="CI62" s="987"/>
      <c r="CJ62" s="987"/>
      <c r="CK62" s="987"/>
      <c r="CL62" s="987"/>
      <c r="CM62" s="987"/>
      <c r="CN62" s="987"/>
      <c r="CP62" s="1007">
        <v>0</v>
      </c>
      <c r="DE62" s="1007">
        <v>11.807692307692308</v>
      </c>
      <c r="DT62" s="1007">
        <v>0</v>
      </c>
      <c r="EI62" s="1007">
        <v>0</v>
      </c>
      <c r="EX62" s="1007">
        <v>0</v>
      </c>
      <c r="FM62" s="1007">
        <v>0</v>
      </c>
      <c r="GB62" s="1007">
        <v>0</v>
      </c>
      <c r="GQ62" s="1007">
        <v>0</v>
      </c>
      <c r="HF62" s="1007">
        <v>0</v>
      </c>
      <c r="HU62" s="1007">
        <v>0</v>
      </c>
      <c r="IJ62" s="1003">
        <v>15.350000000000001</v>
      </c>
      <c r="IK62" s="987"/>
      <c r="IL62" s="987"/>
      <c r="IM62" s="987"/>
      <c r="IN62" s="987"/>
      <c r="IO62" s="987"/>
      <c r="IP62" s="987"/>
      <c r="IQ62" s="987"/>
      <c r="IR62" s="987"/>
      <c r="IS62" s="987"/>
      <c r="IT62" s="987"/>
      <c r="IU62" s="987"/>
      <c r="IV62" s="987"/>
      <c r="IW62" s="987"/>
      <c r="IX62" s="987"/>
      <c r="IY62" s="1003">
        <v>0</v>
      </c>
      <c r="JM62" s="987"/>
      <c r="JN62" s="1003">
        <v>0</v>
      </c>
      <c r="KB62" s="987"/>
      <c r="KC62" s="1003">
        <v>0</v>
      </c>
    </row>
    <row r="63" spans="1:302" ht="12.75" customHeight="1">
      <c r="E63" s="1013"/>
      <c r="F63" s="1014"/>
      <c r="G63" s="1014"/>
      <c r="H63" s="1013" t="s">
        <v>942</v>
      </c>
      <c r="I63" s="1014"/>
      <c r="J63" s="1015"/>
      <c r="K63" s="1016"/>
      <c r="L63" s="956"/>
      <c r="M63" s="1017"/>
      <c r="N63" s="1018"/>
      <c r="O63" s="1015"/>
      <c r="P63" s="1018"/>
      <c r="Q63" s="1017" t="s">
        <v>943</v>
      </c>
      <c r="R63" s="1018"/>
      <c r="S63" s="1018"/>
      <c r="T63" s="1018"/>
      <c r="U63" s="1019"/>
      <c r="V63" s="956"/>
      <c r="W63" s="956"/>
      <c r="X63" s="956"/>
      <c r="Y63" s="956"/>
      <c r="Z63" s="956"/>
      <c r="AA63" s="956"/>
      <c r="AB63" s="956"/>
      <c r="AH63" s="1003">
        <v>0</v>
      </c>
      <c r="AI63" s="987"/>
      <c r="AJ63" s="987"/>
      <c r="AK63" s="987"/>
      <c r="AL63" s="987"/>
      <c r="AM63" s="987"/>
      <c r="AN63" s="987"/>
      <c r="AO63" s="987"/>
      <c r="AP63" s="963"/>
      <c r="AQ63" s="1003">
        <v>0</v>
      </c>
      <c r="AR63" s="987"/>
      <c r="AS63" s="987"/>
      <c r="AT63" s="987"/>
      <c r="AU63" s="987"/>
      <c r="AV63" s="987"/>
      <c r="AW63" s="987"/>
      <c r="AX63" s="987"/>
      <c r="AY63" s="987"/>
      <c r="AZ63" s="987"/>
      <c r="BA63" s="987"/>
      <c r="BB63" s="987"/>
      <c r="BC63" s="987"/>
      <c r="BD63" s="987"/>
      <c r="BE63" s="987"/>
      <c r="BF63" s="1003">
        <v>0</v>
      </c>
      <c r="BG63" s="987"/>
      <c r="BH63" s="987"/>
      <c r="BI63" s="987"/>
      <c r="BJ63" s="987"/>
      <c r="BK63" s="987"/>
      <c r="BL63" s="987"/>
      <c r="BM63" s="987"/>
      <c r="BN63" s="987"/>
      <c r="BO63" s="987"/>
      <c r="BP63" s="987"/>
      <c r="BQ63" s="987"/>
      <c r="BR63" s="987"/>
      <c r="BS63" s="987"/>
      <c r="BT63" s="987"/>
      <c r="BU63" s="1003">
        <v>0</v>
      </c>
      <c r="BV63" s="987"/>
      <c r="BW63" s="987"/>
      <c r="BX63" s="987"/>
      <c r="BY63" s="987"/>
      <c r="BZ63" s="987"/>
      <c r="CA63" s="987"/>
      <c r="CB63" s="987"/>
      <c r="CC63" s="987"/>
      <c r="CD63" s="987"/>
      <c r="CE63" s="987"/>
      <c r="CF63" s="987"/>
      <c r="CG63" s="987"/>
      <c r="CH63" s="1003">
        <v>0</v>
      </c>
      <c r="CI63" s="987"/>
      <c r="CJ63" s="987"/>
      <c r="CK63" s="987"/>
      <c r="CL63" s="987"/>
      <c r="CM63" s="987"/>
      <c r="CN63" s="987"/>
      <c r="CP63" s="1007">
        <v>0</v>
      </c>
      <c r="DE63" s="1007">
        <v>0</v>
      </c>
      <c r="DT63" s="1007">
        <v>0</v>
      </c>
      <c r="EI63" s="1007">
        <v>0</v>
      </c>
      <c r="EX63" s="1007">
        <v>0</v>
      </c>
      <c r="FM63" s="1007">
        <v>0</v>
      </c>
      <c r="GB63" s="1007">
        <v>0</v>
      </c>
      <c r="GQ63" s="1007">
        <v>0</v>
      </c>
      <c r="HF63" s="1007">
        <v>0</v>
      </c>
      <c r="HU63" s="1007">
        <v>0</v>
      </c>
      <c r="IJ63" s="1003">
        <v>0</v>
      </c>
      <c r="IK63" s="987"/>
      <c r="IL63" s="987"/>
      <c r="IM63" s="987"/>
      <c r="IN63" s="987"/>
      <c r="IO63" s="987"/>
      <c r="IP63" s="987"/>
      <c r="IQ63" s="987"/>
      <c r="IR63" s="987"/>
      <c r="IS63" s="987"/>
      <c r="IT63" s="987"/>
      <c r="IU63" s="987"/>
      <c r="IV63" s="987"/>
      <c r="IW63" s="987"/>
      <c r="IX63" s="987"/>
      <c r="IY63" s="1003">
        <v>0</v>
      </c>
      <c r="JM63" s="987"/>
      <c r="JN63" s="1003">
        <v>0</v>
      </c>
      <c r="KB63" s="987"/>
      <c r="KC63" s="1003">
        <v>0</v>
      </c>
    </row>
    <row r="64" spans="1:302" ht="15">
      <c r="E64" s="1020" t="s">
        <v>944</v>
      </c>
      <c r="F64" s="1021"/>
      <c r="G64" s="1021"/>
      <c r="H64" s="1021"/>
      <c r="I64" s="1021"/>
      <c r="J64" s="956"/>
      <c r="K64" s="1022"/>
      <c r="L64" s="1023"/>
      <c r="M64" s="1024"/>
      <c r="N64" s="1025" t="s">
        <v>945</v>
      </c>
      <c r="O64" s="1025"/>
      <c r="P64" s="1026" t="s">
        <v>789</v>
      </c>
      <c r="Q64" s="1027"/>
      <c r="R64" s="1027"/>
      <c r="S64" s="1027"/>
      <c r="T64" s="1028"/>
      <c r="U64" s="1029"/>
      <c r="V64" s="956"/>
      <c r="W64" s="956"/>
      <c r="X64" s="956"/>
      <c r="Y64" s="956"/>
      <c r="Z64" s="956"/>
      <c r="AA64" s="956"/>
      <c r="AB64" s="956"/>
      <c r="AH64" s="1003">
        <v>0</v>
      </c>
      <c r="AI64" s="987"/>
      <c r="AJ64" s="987"/>
      <c r="AK64" s="987"/>
      <c r="AL64" s="987"/>
      <c r="AM64" s="987"/>
      <c r="AN64" s="987"/>
      <c r="AO64" s="987"/>
      <c r="AQ64" s="1003">
        <v>0</v>
      </c>
      <c r="AR64" s="987"/>
      <c r="AS64" s="987"/>
      <c r="AT64" s="987"/>
      <c r="AU64" s="987"/>
      <c r="AV64" s="987"/>
      <c r="AW64" s="987"/>
      <c r="AX64" s="987"/>
      <c r="AY64" s="987"/>
      <c r="AZ64" s="987"/>
      <c r="BA64" s="987"/>
      <c r="BB64" s="987"/>
      <c r="BC64" s="987"/>
      <c r="BD64" s="987"/>
      <c r="BE64" s="987"/>
      <c r="BF64" s="1003">
        <v>0</v>
      </c>
      <c r="BG64" s="987"/>
      <c r="BH64" s="987"/>
      <c r="BI64" s="987"/>
      <c r="BJ64" s="987"/>
      <c r="BK64" s="987"/>
      <c r="BL64" s="987"/>
      <c r="BM64" s="987"/>
      <c r="BN64" s="987"/>
      <c r="BO64" s="987"/>
      <c r="BP64" s="987"/>
      <c r="BQ64" s="987"/>
      <c r="BR64" s="987"/>
      <c r="BS64" s="987"/>
      <c r="BT64" s="987"/>
      <c r="BU64" s="1003">
        <v>0</v>
      </c>
      <c r="BV64" s="987"/>
      <c r="BW64" s="987"/>
      <c r="BX64" s="987"/>
      <c r="BY64" s="987"/>
      <c r="BZ64" s="987"/>
      <c r="CA64" s="987"/>
      <c r="CB64" s="987"/>
      <c r="CC64" s="987"/>
      <c r="CD64" s="987"/>
      <c r="CE64" s="987"/>
      <c r="CF64" s="987"/>
      <c r="CG64" s="987"/>
      <c r="CH64" s="1003">
        <v>0</v>
      </c>
      <c r="CI64" s="987"/>
      <c r="CJ64" s="987"/>
      <c r="CK64" s="987"/>
      <c r="CL64" s="987"/>
      <c r="CM64" s="987"/>
      <c r="CN64" s="987"/>
      <c r="CP64" s="1007">
        <v>0</v>
      </c>
      <c r="DE64" s="1007">
        <v>0</v>
      </c>
      <c r="DT64" s="1007">
        <v>0</v>
      </c>
      <c r="EI64" s="1007">
        <v>0</v>
      </c>
      <c r="EX64" s="1007">
        <v>0</v>
      </c>
      <c r="FM64" s="1007">
        <v>0</v>
      </c>
      <c r="GB64" s="1007">
        <v>0</v>
      </c>
      <c r="GQ64" s="1007">
        <v>0</v>
      </c>
      <c r="HF64" s="1007">
        <v>0</v>
      </c>
      <c r="HU64" s="1007">
        <v>0</v>
      </c>
      <c r="IJ64" s="1003">
        <v>0</v>
      </c>
      <c r="IK64" s="987"/>
      <c r="IL64" s="987"/>
      <c r="IM64" s="987"/>
      <c r="IN64" s="987"/>
      <c r="IO64" s="987"/>
      <c r="IP64" s="987"/>
      <c r="IQ64" s="987"/>
      <c r="IR64" s="987"/>
      <c r="IS64" s="987"/>
      <c r="IT64" s="987"/>
      <c r="IU64" s="987"/>
      <c r="IV64" s="987"/>
      <c r="IW64" s="987"/>
      <c r="IX64" s="987"/>
      <c r="IY64" s="1003">
        <v>0</v>
      </c>
      <c r="JM64" s="987"/>
      <c r="JN64" s="1003">
        <v>0</v>
      </c>
      <c r="KB64" s="987"/>
      <c r="KC64" s="1003">
        <v>0</v>
      </c>
    </row>
    <row r="65" spans="5:289" ht="12.75" customHeight="1">
      <c r="E65" s="1026" t="s">
        <v>946</v>
      </c>
      <c r="F65" s="1027"/>
      <c r="G65" s="1027"/>
      <c r="H65" s="1027"/>
      <c r="I65" s="1028"/>
      <c r="J65" s="956"/>
      <c r="K65" s="1030">
        <f>SUMIF($AF$10:$AF$55,"C",$K$10:$K$55)+SUMIF($AF$10:$AF$55,"C",$L$10:$L$55)+SUMIF($AF$10:$AF$55,"C",$M$10:$M$55)</f>
        <v>251.09000000000003</v>
      </c>
      <c r="L65" s="1023">
        <f>K65+K66</f>
        <v>488.32000000000005</v>
      </c>
      <c r="M65" s="1031"/>
      <c r="N65" s="1025" t="s">
        <v>947</v>
      </c>
      <c r="O65" s="1025"/>
      <c r="P65" s="1026" t="s">
        <v>788</v>
      </c>
      <c r="Q65" s="1027"/>
      <c r="R65" s="1027"/>
      <c r="S65" s="1027"/>
      <c r="T65" s="1028"/>
      <c r="U65" s="1032"/>
      <c r="AH65" s="1003">
        <v>0</v>
      </c>
      <c r="AI65" s="987"/>
      <c r="AJ65" s="987"/>
      <c r="AK65" s="987"/>
      <c r="AL65" s="987"/>
      <c r="AM65" s="987"/>
      <c r="AN65" s="987"/>
      <c r="AO65" s="987"/>
      <c r="AQ65" s="1003">
        <v>0</v>
      </c>
      <c r="AR65" s="987"/>
      <c r="AS65" s="987"/>
      <c r="AT65" s="987"/>
      <c r="AU65" s="987"/>
      <c r="AV65" s="987"/>
      <c r="AW65" s="987"/>
      <c r="AX65" s="987"/>
      <c r="AY65" s="987"/>
      <c r="AZ65" s="987"/>
      <c r="BA65" s="987"/>
      <c r="BB65" s="987"/>
      <c r="BC65" s="987"/>
      <c r="BD65" s="987"/>
      <c r="BE65" s="987"/>
      <c r="BF65" s="1003">
        <v>0</v>
      </c>
      <c r="BG65" s="987"/>
      <c r="BH65" s="987"/>
      <c r="BI65" s="987"/>
      <c r="BJ65" s="987"/>
      <c r="BK65" s="987"/>
      <c r="BL65" s="987"/>
      <c r="BM65" s="987"/>
      <c r="BN65" s="987"/>
      <c r="BO65" s="987"/>
      <c r="BP65" s="987"/>
      <c r="BQ65" s="987"/>
      <c r="BR65" s="987"/>
      <c r="BS65" s="987"/>
      <c r="BT65" s="987"/>
      <c r="BU65" s="1003">
        <v>0</v>
      </c>
      <c r="BV65" s="987"/>
      <c r="BW65" s="987"/>
      <c r="BX65" s="987"/>
      <c r="BY65" s="987"/>
      <c r="BZ65" s="987"/>
      <c r="CA65" s="987"/>
      <c r="CB65" s="987"/>
      <c r="CC65" s="987"/>
      <c r="CD65" s="987"/>
      <c r="CE65" s="987"/>
      <c r="CF65" s="987"/>
      <c r="CG65" s="987"/>
      <c r="CH65" s="1003">
        <v>0</v>
      </c>
      <c r="CI65" s="987"/>
      <c r="CJ65" s="987"/>
      <c r="CK65" s="987"/>
      <c r="CL65" s="987"/>
      <c r="CM65" s="987"/>
      <c r="CN65" s="987"/>
      <c r="CP65" s="1007">
        <v>0</v>
      </c>
      <c r="DE65" s="1007">
        <v>0</v>
      </c>
      <c r="DT65" s="1007">
        <v>0</v>
      </c>
      <c r="EI65" s="1007">
        <v>0</v>
      </c>
      <c r="EX65" s="1007">
        <v>0</v>
      </c>
      <c r="FM65" s="1007">
        <v>0</v>
      </c>
      <c r="GB65" s="1007">
        <v>0</v>
      </c>
      <c r="GQ65" s="1007">
        <v>0</v>
      </c>
      <c r="HF65" s="1007">
        <v>0</v>
      </c>
      <c r="HU65" s="1007">
        <v>0</v>
      </c>
      <c r="IJ65" s="1003">
        <v>0</v>
      </c>
      <c r="IK65" s="987"/>
      <c r="IL65" s="987"/>
      <c r="IM65" s="987"/>
      <c r="IN65" s="987"/>
      <c r="IO65" s="987"/>
      <c r="IP65" s="987"/>
      <c r="IQ65" s="987"/>
      <c r="IR65" s="987"/>
      <c r="IS65" s="987"/>
      <c r="IT65" s="987"/>
      <c r="IU65" s="987"/>
      <c r="IV65" s="987"/>
      <c r="IW65" s="987"/>
      <c r="IX65" s="987"/>
      <c r="IY65" s="1003">
        <v>0</v>
      </c>
      <c r="JM65" s="987"/>
      <c r="JN65" s="1003">
        <v>0</v>
      </c>
      <c r="KB65" s="987"/>
      <c r="KC65" s="1003">
        <v>0</v>
      </c>
    </row>
    <row r="66" spans="5:289">
      <c r="E66" s="1026" t="s">
        <v>948</v>
      </c>
      <c r="F66" s="1027"/>
      <c r="G66" s="1027"/>
      <c r="H66" s="1027"/>
      <c r="I66" s="1028"/>
      <c r="J66" s="956"/>
      <c r="K66" s="1030">
        <f>SUMIF($AF$10:$AF$55,"CL",$K$10:$K$55)+SUMIF($AF$10:$AF$55,"CL",$L$10:$L$55)+SUMIF($AF$10:$AF$55,"CL",$M$10:$M$55)</f>
        <v>237.23000000000005</v>
      </c>
      <c r="M66" s="1031"/>
      <c r="N66" s="1025" t="s">
        <v>949</v>
      </c>
      <c r="O66" s="1025"/>
      <c r="P66" s="1026" t="s">
        <v>948</v>
      </c>
      <c r="Q66" s="1027"/>
      <c r="R66" s="1027"/>
      <c r="S66" s="1027"/>
      <c r="T66" s="1028"/>
      <c r="U66" s="1032"/>
      <c r="AH66" s="1003">
        <v>0</v>
      </c>
      <c r="AI66" s="987"/>
      <c r="AJ66" s="987"/>
      <c r="AK66" s="987"/>
      <c r="AL66" s="987"/>
      <c r="AM66" s="987"/>
      <c r="AN66" s="987"/>
      <c r="AO66" s="987"/>
      <c r="AQ66" s="1003">
        <v>0</v>
      </c>
      <c r="AR66" s="987"/>
      <c r="AS66" s="987"/>
      <c r="AT66" s="987"/>
      <c r="AU66" s="987"/>
      <c r="AV66" s="987"/>
      <c r="AW66" s="987"/>
      <c r="AX66" s="987"/>
      <c r="AY66" s="987"/>
      <c r="AZ66" s="987"/>
      <c r="BA66" s="987"/>
      <c r="BB66" s="987"/>
      <c r="BC66" s="987"/>
      <c r="BD66" s="987"/>
      <c r="BE66" s="987"/>
      <c r="BF66" s="1003">
        <v>0</v>
      </c>
      <c r="BG66" s="987"/>
      <c r="BH66" s="987"/>
      <c r="BI66" s="987"/>
      <c r="BJ66" s="987"/>
      <c r="BK66" s="987"/>
      <c r="BL66" s="987"/>
      <c r="BM66" s="987"/>
      <c r="BN66" s="987"/>
      <c r="BO66" s="987"/>
      <c r="BP66" s="987"/>
      <c r="BQ66" s="987"/>
      <c r="BR66" s="987"/>
      <c r="BS66" s="987"/>
      <c r="BT66" s="987"/>
      <c r="BU66" s="1003">
        <v>0</v>
      </c>
      <c r="BV66" s="987"/>
      <c r="BW66" s="987"/>
      <c r="BX66" s="987"/>
      <c r="BY66" s="987"/>
      <c r="BZ66" s="987"/>
      <c r="CA66" s="987"/>
      <c r="CB66" s="987"/>
      <c r="CC66" s="987"/>
      <c r="CD66" s="987"/>
      <c r="CE66" s="987"/>
      <c r="CF66" s="987"/>
      <c r="CG66" s="987"/>
      <c r="CH66" s="987"/>
      <c r="CI66" s="987"/>
      <c r="CJ66" s="987"/>
      <c r="CK66" s="987"/>
      <c r="CL66" s="987"/>
      <c r="CM66" s="987"/>
      <c r="CN66" s="987"/>
      <c r="CP66" s="1007">
        <v>0</v>
      </c>
      <c r="DE66" s="1007">
        <v>0</v>
      </c>
      <c r="DT66" s="1007">
        <v>0</v>
      </c>
      <c r="EI66" s="1007">
        <v>0</v>
      </c>
      <c r="EX66" s="1007">
        <v>0</v>
      </c>
      <c r="FM66" s="1007">
        <v>0</v>
      </c>
      <c r="GB66" s="1007">
        <v>0</v>
      </c>
      <c r="GQ66" s="1007">
        <v>0</v>
      </c>
      <c r="HF66" s="1007">
        <v>0</v>
      </c>
      <c r="HU66" s="1007">
        <v>0</v>
      </c>
      <c r="IJ66" s="1003">
        <v>0</v>
      </c>
      <c r="IK66" s="987"/>
      <c r="IL66" s="987"/>
      <c r="IM66" s="987"/>
      <c r="IN66" s="987"/>
      <c r="IO66" s="987"/>
      <c r="IP66" s="987"/>
      <c r="IQ66" s="987"/>
      <c r="IR66" s="987"/>
      <c r="IS66" s="987"/>
      <c r="IT66" s="987"/>
      <c r="IU66" s="987"/>
      <c r="IV66" s="987"/>
      <c r="IW66" s="987"/>
      <c r="IX66" s="987"/>
      <c r="IY66" s="1003">
        <v>0</v>
      </c>
      <c r="JM66" s="987"/>
      <c r="JN66" s="1003">
        <v>0</v>
      </c>
      <c r="KB66" s="987"/>
      <c r="KC66" s="1003">
        <v>0</v>
      </c>
    </row>
    <row r="67" spans="5:289" ht="12.75" customHeight="1">
      <c r="E67" s="1026" t="s">
        <v>950</v>
      </c>
      <c r="F67" s="1027"/>
      <c r="G67" s="1027"/>
      <c r="H67" s="1027"/>
      <c r="I67" s="1028"/>
      <c r="J67" s="956"/>
      <c r="K67" s="1030">
        <f>SUMIF($AF$10:$AF$55,"ELE",$K$10:$K$59)+SUMIF($AF$10:$AF$55,"ELE",$L$10:$L$56)+SUMIF($AF$10:$AF$55,"ELE",$M$10:$M$55)+SUMIF($AF$10:$AF$55,"ELD",$K$10:$K$59)+SUMIF($AF$10:$AF$55,"ELD",$L$10:$L$56)+SUMIF($AF$10:$AF$55,"ELD",$M$10:$M$55)</f>
        <v>0</v>
      </c>
      <c r="M67" s="1031"/>
      <c r="N67" s="1025" t="s">
        <v>951</v>
      </c>
      <c r="O67" s="1025"/>
      <c r="P67" s="1026" t="s">
        <v>952</v>
      </c>
      <c r="Q67" s="1027"/>
      <c r="R67" s="1027"/>
      <c r="S67" s="1027"/>
      <c r="T67" s="1028"/>
      <c r="U67" s="1032"/>
      <c r="AH67" s="987"/>
      <c r="AI67" s="987"/>
      <c r="AJ67" s="987"/>
      <c r="AK67" s="987"/>
      <c r="AL67" s="987"/>
      <c r="AM67" s="987"/>
      <c r="AN67" s="987"/>
      <c r="AO67" s="987"/>
      <c r="AQ67" s="1003">
        <v>0</v>
      </c>
      <c r="AR67" s="987"/>
      <c r="AS67" s="987"/>
      <c r="AT67" s="987"/>
      <c r="AU67" s="987"/>
      <c r="AV67" s="987"/>
      <c r="AW67" s="987"/>
      <c r="AX67" s="987"/>
      <c r="AY67" s="987"/>
      <c r="AZ67" s="987"/>
      <c r="BA67" s="987"/>
      <c r="BB67" s="987"/>
      <c r="BC67" s="987"/>
      <c r="BD67" s="987"/>
      <c r="BE67" s="987"/>
      <c r="BF67" s="1003">
        <v>0</v>
      </c>
      <c r="BG67" s="987"/>
      <c r="BH67" s="987"/>
      <c r="BI67" s="987"/>
      <c r="BJ67" s="987"/>
      <c r="BK67" s="987"/>
      <c r="BL67" s="987"/>
      <c r="BM67" s="987"/>
      <c r="BN67" s="987"/>
      <c r="BO67" s="987"/>
      <c r="BP67" s="987"/>
      <c r="BQ67" s="987"/>
      <c r="BR67" s="987"/>
      <c r="BS67" s="987"/>
      <c r="BT67" s="987"/>
      <c r="BU67" s="1003">
        <v>0</v>
      </c>
      <c r="BV67" s="987"/>
      <c r="BW67" s="987"/>
      <c r="BX67" s="987"/>
      <c r="BY67" s="987"/>
      <c r="BZ67" s="987"/>
      <c r="CA67" s="987"/>
      <c r="CB67" s="987"/>
      <c r="CC67" s="987"/>
      <c r="CD67" s="987"/>
      <c r="CE67" s="987"/>
      <c r="CF67" s="987"/>
      <c r="CG67" s="987"/>
      <c r="CH67" s="987"/>
      <c r="CI67" s="987"/>
      <c r="CJ67" s="987"/>
      <c r="CK67" s="987"/>
      <c r="CL67" s="987"/>
      <c r="CM67" s="987"/>
      <c r="CN67" s="987"/>
      <c r="CP67" s="1007">
        <v>0</v>
      </c>
      <c r="DE67" s="1007">
        <v>0</v>
      </c>
      <c r="DT67" s="1007">
        <v>0</v>
      </c>
      <c r="EI67" s="1007">
        <v>0</v>
      </c>
      <c r="EX67" s="1007">
        <v>0</v>
      </c>
      <c r="FM67" s="1007">
        <v>0</v>
      </c>
      <c r="GB67" s="1007">
        <v>0</v>
      </c>
      <c r="GQ67" s="1007">
        <v>0</v>
      </c>
      <c r="HF67" s="1007">
        <v>0</v>
      </c>
      <c r="HU67" s="1007">
        <v>0</v>
      </c>
      <c r="IJ67" s="1003">
        <v>0</v>
      </c>
      <c r="IK67" s="987"/>
      <c r="IL67" s="987"/>
      <c r="IM67" s="987"/>
      <c r="IN67" s="987"/>
      <c r="IO67" s="987"/>
      <c r="IP67" s="987"/>
      <c r="IQ67" s="987"/>
      <c r="IR67" s="987"/>
      <c r="IS67" s="987"/>
      <c r="IT67" s="987"/>
      <c r="IU67" s="987"/>
      <c r="IV67" s="987"/>
      <c r="IW67" s="987"/>
      <c r="IX67" s="987"/>
      <c r="IY67" s="1003">
        <v>0</v>
      </c>
      <c r="JM67" s="987"/>
      <c r="JN67" s="1003">
        <v>0</v>
      </c>
      <c r="KB67" s="987"/>
      <c r="KC67" s="1003">
        <v>0</v>
      </c>
    </row>
    <row r="68" spans="5:289">
      <c r="E68" s="1026" t="s">
        <v>953</v>
      </c>
      <c r="F68" s="1027"/>
      <c r="G68" s="1027"/>
      <c r="H68" s="1027"/>
      <c r="I68" s="1028"/>
      <c r="J68" s="956"/>
      <c r="K68" s="1030">
        <f>SUMIF($AF$10:$AF$55,"CX",$K$10:$K$55)+SUMIF($AF$10:$AF$55,"CX",$L$10:$L$55)+SUMIF($AF$10:$AF$55,"CX",$M$10:$M$55)</f>
        <v>1225.0729999999999</v>
      </c>
      <c r="M68" s="1031"/>
      <c r="N68" s="1025" t="s">
        <v>954</v>
      </c>
      <c r="O68" s="1025"/>
      <c r="P68" s="1026" t="s">
        <v>955</v>
      </c>
      <c r="Q68" s="1027"/>
      <c r="R68" s="1027"/>
      <c r="S68" s="1027"/>
      <c r="T68" s="1028"/>
      <c r="U68" s="1032"/>
      <c r="AH68" s="987"/>
      <c r="AI68" s="987"/>
      <c r="AJ68" s="987"/>
      <c r="AK68" s="987"/>
      <c r="AL68" s="987"/>
      <c r="AM68" s="987"/>
      <c r="AN68" s="987"/>
      <c r="AO68" s="987"/>
      <c r="AQ68" s="1003">
        <v>0</v>
      </c>
      <c r="AR68" s="987"/>
      <c r="AS68" s="987"/>
      <c r="AT68" s="987"/>
      <c r="AU68" s="987"/>
      <c r="AV68" s="987"/>
      <c r="AW68" s="987"/>
      <c r="AX68" s="987"/>
      <c r="AY68" s="987"/>
      <c r="AZ68" s="987"/>
      <c r="BA68" s="987"/>
      <c r="BB68" s="987"/>
      <c r="BC68" s="987"/>
      <c r="BD68" s="987"/>
      <c r="BE68" s="987"/>
      <c r="BF68" s="1003">
        <v>0</v>
      </c>
      <c r="BG68" s="987"/>
      <c r="BH68" s="987"/>
      <c r="BI68" s="987"/>
      <c r="BJ68" s="987"/>
      <c r="BK68" s="987"/>
      <c r="BL68" s="987"/>
      <c r="BM68" s="987"/>
      <c r="BN68" s="987"/>
      <c r="BO68" s="987"/>
      <c r="BP68" s="987"/>
      <c r="BQ68" s="987"/>
      <c r="BR68" s="987"/>
      <c r="BS68" s="987"/>
      <c r="BT68" s="987"/>
      <c r="BU68" s="1003">
        <v>0</v>
      </c>
      <c r="BV68" s="987"/>
      <c r="BW68" s="987"/>
      <c r="BX68" s="987"/>
      <c r="BY68" s="987"/>
      <c r="BZ68" s="987"/>
      <c r="CA68" s="987"/>
      <c r="CB68" s="987"/>
      <c r="CC68" s="987"/>
      <c r="CD68" s="987"/>
      <c r="CE68" s="987"/>
      <c r="CF68" s="987"/>
      <c r="CG68" s="987"/>
      <c r="CH68" s="987"/>
      <c r="CI68" s="987"/>
      <c r="CJ68" s="987"/>
      <c r="CK68" s="987"/>
      <c r="CL68" s="987"/>
      <c r="CM68" s="987"/>
      <c r="CN68" s="987"/>
      <c r="CP68" s="1007">
        <v>0</v>
      </c>
      <c r="DE68" s="1007">
        <v>0</v>
      </c>
      <c r="DT68" s="1007">
        <v>0</v>
      </c>
      <c r="EI68" s="1007">
        <v>0</v>
      </c>
      <c r="EX68" s="1007">
        <v>0</v>
      </c>
      <c r="FM68" s="1007">
        <v>0</v>
      </c>
      <c r="GB68" s="1007">
        <v>0</v>
      </c>
      <c r="GQ68" s="1007">
        <v>0</v>
      </c>
      <c r="HF68" s="1007">
        <v>0</v>
      </c>
      <c r="HU68" s="1007">
        <v>0</v>
      </c>
      <c r="IJ68" s="1003">
        <v>0</v>
      </c>
      <c r="IK68" s="987"/>
      <c r="IL68" s="987"/>
      <c r="IM68" s="987"/>
      <c r="IN68" s="987"/>
      <c r="IO68" s="987"/>
      <c r="IP68" s="987"/>
      <c r="IQ68" s="987"/>
      <c r="IR68" s="987"/>
      <c r="IS68" s="987"/>
      <c r="IT68" s="987"/>
      <c r="IU68" s="987"/>
      <c r="IV68" s="987"/>
      <c r="IW68" s="987"/>
      <c r="IX68" s="987"/>
      <c r="IY68" s="1003">
        <v>0</v>
      </c>
      <c r="JM68" s="987"/>
      <c r="JN68" s="1003">
        <v>0</v>
      </c>
      <c r="KB68" s="987"/>
      <c r="KC68" s="1003">
        <v>0</v>
      </c>
    </row>
    <row r="69" spans="5:289" ht="12.75" customHeight="1">
      <c r="E69" s="1026" t="s">
        <v>956</v>
      </c>
      <c r="F69" s="1027"/>
      <c r="G69" s="1027"/>
      <c r="H69" s="1027"/>
      <c r="I69" s="1028"/>
      <c r="J69" s="956"/>
      <c r="K69" s="1030">
        <f>SUMIF($AF$10:$AF$55,"REB",$K$10:$K$55)+SUMIF($AF$10:$AF$55,"REB",$L$10:$L$55)+SUMIF($AF$10:$AF$55,"REB",$M$10:$M$55)</f>
        <v>5936.3700000000008</v>
      </c>
      <c r="M69" s="1031"/>
      <c r="N69" s="1025" t="s">
        <v>957</v>
      </c>
      <c r="O69" s="1025"/>
      <c r="P69" s="1026" t="s">
        <v>958</v>
      </c>
      <c r="Q69" s="1027"/>
      <c r="R69" s="1027"/>
      <c r="S69" s="1027"/>
      <c r="T69" s="1028"/>
      <c r="U69" s="1032"/>
      <c r="AB69" s="1033"/>
      <c r="AC69" s="1033"/>
      <c r="AD69" s="1033"/>
      <c r="AE69" s="1033"/>
      <c r="AH69" s="987"/>
      <c r="AI69" s="987"/>
      <c r="AJ69" s="987"/>
      <c r="AK69" s="987"/>
      <c r="AL69" s="987"/>
      <c r="AM69" s="987"/>
      <c r="AN69" s="987"/>
      <c r="AO69" s="987"/>
      <c r="AQ69" s="1003">
        <v>0</v>
      </c>
      <c r="AR69" s="987"/>
      <c r="AS69" s="987"/>
      <c r="AT69" s="987"/>
      <c r="AU69" s="987"/>
      <c r="AV69" s="987"/>
      <c r="AW69" s="987"/>
      <c r="AX69" s="987"/>
      <c r="AY69" s="987"/>
      <c r="AZ69" s="987"/>
      <c r="BA69" s="987"/>
      <c r="BB69" s="987"/>
      <c r="BC69" s="987"/>
      <c r="BD69" s="987"/>
      <c r="BE69" s="987"/>
      <c r="BF69" s="1003">
        <v>0</v>
      </c>
      <c r="BG69" s="987"/>
      <c r="BH69" s="987"/>
      <c r="BI69" s="987"/>
      <c r="BJ69" s="987"/>
      <c r="BK69" s="987"/>
      <c r="BL69" s="987"/>
      <c r="BM69" s="987"/>
      <c r="BN69" s="987"/>
      <c r="BO69" s="987"/>
      <c r="BP69" s="987"/>
      <c r="BQ69" s="987"/>
      <c r="BR69" s="987"/>
      <c r="BS69" s="987"/>
      <c r="BT69" s="987"/>
      <c r="BU69" s="1003">
        <v>0</v>
      </c>
      <c r="BV69" s="987"/>
      <c r="BW69" s="987"/>
      <c r="BX69" s="987"/>
      <c r="BY69" s="987"/>
      <c r="BZ69" s="987"/>
      <c r="CA69" s="987"/>
      <c r="CB69" s="987"/>
      <c r="CC69" s="987"/>
      <c r="CD69" s="987"/>
      <c r="CE69" s="987"/>
      <c r="CF69" s="987"/>
      <c r="CG69" s="987"/>
      <c r="CH69" s="987"/>
      <c r="CI69" s="987"/>
      <c r="CJ69" s="987"/>
      <c r="CK69" s="987"/>
      <c r="CL69" s="987"/>
      <c r="CM69" s="987"/>
      <c r="CN69" s="987"/>
      <c r="CP69" s="1007">
        <v>0</v>
      </c>
      <c r="DE69" s="1007">
        <v>0</v>
      </c>
      <c r="DT69" s="1007">
        <v>0</v>
      </c>
      <c r="EI69" s="1007">
        <v>0</v>
      </c>
      <c r="EX69" s="1007">
        <v>0</v>
      </c>
      <c r="FM69" s="1007">
        <v>0</v>
      </c>
      <c r="GB69" s="1007">
        <v>0</v>
      </c>
      <c r="GQ69" s="1007">
        <v>0</v>
      </c>
      <c r="HF69" s="1007">
        <v>0</v>
      </c>
      <c r="HU69" s="1007">
        <v>0</v>
      </c>
      <c r="IJ69" s="1003">
        <v>0</v>
      </c>
      <c r="IK69" s="987"/>
      <c r="IL69" s="987"/>
      <c r="IM69" s="987"/>
      <c r="IN69" s="987"/>
      <c r="IO69" s="987"/>
      <c r="IP69" s="987"/>
      <c r="IQ69" s="987"/>
      <c r="IR69" s="987"/>
      <c r="IS69" s="987"/>
      <c r="IT69" s="987"/>
      <c r="IU69" s="987"/>
      <c r="IV69" s="987"/>
      <c r="IW69" s="987"/>
      <c r="IX69" s="987"/>
      <c r="IY69" s="1003">
        <v>0</v>
      </c>
      <c r="JM69" s="987"/>
      <c r="JN69" s="1003">
        <v>0</v>
      </c>
      <c r="KB69" s="987"/>
      <c r="KC69" s="1003">
        <v>0</v>
      </c>
    </row>
    <row r="70" spans="5:289" ht="12.75" customHeight="1">
      <c r="E70" s="1026" t="s">
        <v>959</v>
      </c>
      <c r="F70" s="1027"/>
      <c r="G70" s="1027"/>
      <c r="H70" s="1027"/>
      <c r="I70" s="1028"/>
      <c r="J70" s="956"/>
      <c r="K70" s="1030">
        <f>SUMIF($AF$55:$AF$55,"RBS",$K$59:$K$59)+SUMIF($AF$55:$AF$55,"RBS",$L$56:$L$56)+SUMIF($AF$55:$AF$55,"RBS",$M$55:$M$55)</f>
        <v>0</v>
      </c>
      <c r="M70" s="1031"/>
      <c r="N70" s="1025" t="s">
        <v>960</v>
      </c>
      <c r="O70" s="1025"/>
      <c r="P70" s="1026" t="s">
        <v>961</v>
      </c>
      <c r="Q70" s="1027"/>
      <c r="R70" s="1027"/>
      <c r="S70" s="1027"/>
      <c r="T70" s="1028"/>
      <c r="U70" s="1032"/>
      <c r="AH70" s="987"/>
      <c r="AI70" s="987"/>
      <c r="AJ70" s="987"/>
      <c r="AK70" s="987"/>
      <c r="AL70" s="987"/>
      <c r="AM70" s="987"/>
      <c r="AN70" s="987"/>
      <c r="AO70" s="987"/>
      <c r="AQ70" s="1003">
        <v>0</v>
      </c>
      <c r="AR70" s="987"/>
      <c r="AS70" s="987"/>
      <c r="AT70" s="987"/>
      <c r="AU70" s="987"/>
      <c r="AV70" s="987"/>
      <c r="AW70" s="987"/>
      <c r="AX70" s="987"/>
      <c r="AY70" s="987"/>
      <c r="AZ70" s="987"/>
      <c r="BA70" s="987"/>
      <c r="BB70" s="987"/>
      <c r="BC70" s="987"/>
      <c r="BD70" s="987"/>
      <c r="BE70" s="987"/>
      <c r="BF70" s="1003">
        <v>0</v>
      </c>
      <c r="BG70" s="987"/>
      <c r="BH70" s="987"/>
      <c r="BI70" s="987"/>
      <c r="BJ70" s="987"/>
      <c r="BK70" s="987"/>
      <c r="BL70" s="987"/>
      <c r="BM70" s="987"/>
      <c r="BN70" s="987"/>
      <c r="BO70" s="987"/>
      <c r="BP70" s="987"/>
      <c r="BQ70" s="987"/>
      <c r="BR70" s="987"/>
      <c r="BS70" s="987"/>
      <c r="BT70" s="987"/>
      <c r="BU70" s="1003">
        <v>0</v>
      </c>
      <c r="BV70" s="987"/>
      <c r="BW70" s="987"/>
      <c r="BX70" s="987"/>
      <c r="BY70" s="987"/>
      <c r="BZ70" s="987"/>
      <c r="CA70" s="987"/>
      <c r="CB70" s="987"/>
      <c r="CC70" s="987"/>
      <c r="CD70" s="987"/>
      <c r="CE70" s="987"/>
      <c r="CF70" s="987"/>
      <c r="CG70" s="987"/>
      <c r="CH70" s="987"/>
      <c r="CI70" s="987"/>
      <c r="CJ70" s="987"/>
      <c r="CK70" s="987"/>
      <c r="CL70" s="987"/>
      <c r="CM70" s="987"/>
      <c r="CN70" s="987"/>
      <c r="CP70" s="1007">
        <v>0</v>
      </c>
      <c r="DE70" s="1007">
        <v>0</v>
      </c>
      <c r="DT70" s="1007">
        <v>0</v>
      </c>
      <c r="EI70" s="1007">
        <v>0</v>
      </c>
      <c r="EX70" s="1007">
        <v>0</v>
      </c>
      <c r="FM70" s="1007">
        <v>0</v>
      </c>
      <c r="GB70" s="1007">
        <v>0</v>
      </c>
      <c r="GQ70" s="1007">
        <v>0</v>
      </c>
      <c r="HF70" s="1007">
        <v>0</v>
      </c>
      <c r="HU70" s="1007">
        <v>0</v>
      </c>
      <c r="IJ70" s="1003">
        <v>0</v>
      </c>
      <c r="IK70" s="987"/>
      <c r="IL70" s="987"/>
      <c r="IM70" s="987"/>
      <c r="IN70" s="987"/>
      <c r="IO70" s="987"/>
      <c r="IP70" s="987"/>
      <c r="IQ70" s="987"/>
      <c r="IR70" s="987"/>
      <c r="IS70" s="987"/>
      <c r="IT70" s="987"/>
      <c r="IU70" s="987"/>
      <c r="IV70" s="987"/>
      <c r="IW70" s="987"/>
      <c r="IX70" s="987"/>
      <c r="IY70" s="1003">
        <v>0</v>
      </c>
      <c r="JM70" s="987"/>
      <c r="JN70" s="1003">
        <v>0</v>
      </c>
      <c r="KB70" s="987"/>
      <c r="KC70" s="1003">
        <v>0</v>
      </c>
    </row>
    <row r="71" spans="5:289">
      <c r="E71" s="1026" t="s">
        <v>962</v>
      </c>
      <c r="F71" s="1027"/>
      <c r="G71" s="1027"/>
      <c r="H71" s="1027"/>
      <c r="I71" s="1028"/>
      <c r="J71" s="956"/>
      <c r="K71" s="1030">
        <f>SUMIF($AF$10:$AF$55,"REC",$K$10:$K$55)+SUMIF($AF$10:$AF$55,"REC",$L$10:$L$55)+SUMIF($AF$10:$AF$55,"REC",$M$10:$M$55)</f>
        <v>1141.8699999999999</v>
      </c>
      <c r="M71" s="1031"/>
      <c r="N71" s="1025" t="s">
        <v>960</v>
      </c>
      <c r="O71" s="1025"/>
      <c r="P71" s="1026" t="s">
        <v>961</v>
      </c>
      <c r="Q71" s="1027"/>
      <c r="R71" s="1027"/>
      <c r="S71" s="1027"/>
      <c r="T71" s="1028"/>
      <c r="U71" s="1032"/>
      <c r="AB71" s="1034"/>
      <c r="AC71" s="1034"/>
      <c r="AD71" s="1034"/>
      <c r="AE71" s="1034"/>
      <c r="AH71" s="987"/>
      <c r="AI71" s="987"/>
      <c r="AJ71" s="987"/>
      <c r="AK71" s="987"/>
      <c r="AL71" s="987"/>
      <c r="AM71" s="987"/>
      <c r="AN71" s="987"/>
      <c r="AO71" s="987"/>
      <c r="AQ71" s="1003">
        <v>0</v>
      </c>
      <c r="AR71" s="987"/>
      <c r="AS71" s="987"/>
      <c r="AT71" s="987"/>
      <c r="AU71" s="987"/>
      <c r="AV71" s="987"/>
      <c r="AW71" s="987"/>
      <c r="AX71" s="987"/>
      <c r="AY71" s="987"/>
      <c r="AZ71" s="987"/>
      <c r="BA71" s="987"/>
      <c r="BB71" s="987"/>
      <c r="BC71" s="987"/>
      <c r="BD71" s="987"/>
      <c r="BE71" s="987"/>
      <c r="BF71" s="1003">
        <v>0</v>
      </c>
      <c r="BG71" s="987"/>
      <c r="BH71" s="987"/>
      <c r="BI71" s="987"/>
      <c r="BJ71" s="987"/>
      <c r="BK71" s="987"/>
      <c r="BL71" s="987"/>
      <c r="BM71" s="987"/>
      <c r="BN71" s="987"/>
      <c r="BO71" s="987"/>
      <c r="BP71" s="987"/>
      <c r="BQ71" s="987"/>
      <c r="BR71" s="987"/>
      <c r="BS71" s="987"/>
      <c r="BT71" s="987"/>
      <c r="BU71" s="987"/>
      <c r="BV71" s="987"/>
      <c r="BW71" s="987"/>
      <c r="BX71" s="987"/>
      <c r="BY71" s="987"/>
      <c r="BZ71" s="987"/>
      <c r="CA71" s="987"/>
      <c r="CB71" s="987"/>
      <c r="CC71" s="987"/>
      <c r="CD71" s="987"/>
      <c r="CE71" s="987"/>
      <c r="CF71" s="987"/>
      <c r="CG71" s="987"/>
      <c r="CH71" s="987"/>
      <c r="CI71" s="987"/>
      <c r="CJ71" s="987"/>
      <c r="CK71" s="987"/>
      <c r="CL71" s="987"/>
      <c r="CM71" s="987"/>
      <c r="CN71" s="987"/>
      <c r="CP71" s="1007">
        <v>0</v>
      </c>
      <c r="DE71" s="1007">
        <v>0</v>
      </c>
      <c r="DT71" s="1007">
        <v>0</v>
      </c>
      <c r="EI71" s="1007">
        <v>0</v>
      </c>
      <c r="EX71" s="1007">
        <v>0</v>
      </c>
      <c r="FM71" s="1007">
        <v>0</v>
      </c>
      <c r="GB71" s="1007">
        <v>0</v>
      </c>
      <c r="GQ71" s="1007">
        <v>0</v>
      </c>
      <c r="HF71" s="1007">
        <v>0</v>
      </c>
      <c r="HU71" s="1007">
        <v>0</v>
      </c>
      <c r="IJ71" s="1003">
        <v>0</v>
      </c>
      <c r="IK71" s="987"/>
      <c r="IL71" s="987"/>
      <c r="IM71" s="987"/>
      <c r="IN71" s="987"/>
      <c r="IO71" s="987"/>
      <c r="IP71" s="987"/>
      <c r="IQ71" s="987"/>
      <c r="IR71" s="987"/>
      <c r="IS71" s="987"/>
      <c r="IT71" s="987"/>
      <c r="IU71" s="987"/>
      <c r="IV71" s="987"/>
      <c r="IW71" s="987"/>
      <c r="IX71" s="987"/>
      <c r="IY71" s="1003">
        <v>0</v>
      </c>
      <c r="JM71" s="987"/>
      <c r="JN71" s="1003">
        <v>0</v>
      </c>
      <c r="KB71" s="987"/>
      <c r="KC71" s="1003">
        <v>0</v>
      </c>
    </row>
    <row r="72" spans="5:289" ht="12.75" customHeight="1">
      <c r="E72" s="1026" t="s">
        <v>963</v>
      </c>
      <c r="F72" s="1027"/>
      <c r="G72" s="1027"/>
      <c r="H72" s="1027"/>
      <c r="I72" s="1028"/>
      <c r="J72" s="956"/>
      <c r="K72" s="1030">
        <f>SUMIF($AF$55:$AF$55,"RCS",$K$59:$K$59)+SUMIF($AF$55:$AF$55,"RCS",$L$56:$L$56)+SUMIF($AF$55:$AF$55,"RCS",$M$55:$M$55)</f>
        <v>0</v>
      </c>
      <c r="M72" s="1031"/>
      <c r="N72" s="1025" t="s">
        <v>964</v>
      </c>
      <c r="O72" s="1025"/>
      <c r="P72" s="1026" t="s">
        <v>965</v>
      </c>
      <c r="Q72" s="1027"/>
      <c r="R72" s="1027"/>
      <c r="S72" s="1027"/>
      <c r="T72" s="1028"/>
      <c r="U72" s="1032"/>
      <c r="AH72" s="987"/>
      <c r="AI72" s="987"/>
      <c r="AJ72" s="987"/>
      <c r="AK72" s="987"/>
      <c r="AL72" s="987"/>
      <c r="AM72" s="987"/>
      <c r="AN72" s="987"/>
      <c r="AO72" s="987"/>
      <c r="AQ72" s="1003">
        <v>0</v>
      </c>
      <c r="AR72" s="987"/>
      <c r="AS72" s="987"/>
      <c r="AT72" s="987"/>
      <c r="AU72" s="987"/>
      <c r="AV72" s="987"/>
      <c r="AW72" s="987"/>
      <c r="AX72" s="987"/>
      <c r="AY72" s="987"/>
      <c r="AZ72" s="987"/>
      <c r="BA72" s="987"/>
      <c r="BB72" s="987"/>
      <c r="BC72" s="987"/>
      <c r="BD72" s="987"/>
      <c r="BE72" s="987"/>
      <c r="BF72" s="1003">
        <v>0</v>
      </c>
      <c r="BG72" s="987"/>
      <c r="BH72" s="987"/>
      <c r="BI72" s="987"/>
      <c r="BJ72" s="987"/>
      <c r="BK72" s="987"/>
      <c r="BL72" s="987"/>
      <c r="BM72" s="987"/>
      <c r="BN72" s="987"/>
      <c r="BO72" s="987"/>
      <c r="BP72" s="987"/>
      <c r="BQ72" s="987"/>
      <c r="BR72" s="987"/>
      <c r="BS72" s="987"/>
      <c r="BT72" s="987"/>
      <c r="BU72" s="987"/>
      <c r="BV72" s="987"/>
      <c r="BW72" s="987"/>
      <c r="BX72" s="987"/>
      <c r="BY72" s="987"/>
      <c r="BZ72" s="987"/>
      <c r="CA72" s="987"/>
      <c r="CB72" s="987"/>
      <c r="CC72" s="987"/>
      <c r="CD72" s="987"/>
      <c r="CE72" s="987"/>
      <c r="CF72" s="987"/>
      <c r="CG72" s="987"/>
      <c r="CH72" s="987"/>
      <c r="CI72" s="987"/>
      <c r="CJ72" s="987"/>
      <c r="CK72" s="987"/>
      <c r="CL72" s="987"/>
      <c r="CM72" s="987"/>
      <c r="CN72" s="987"/>
      <c r="CP72" s="1007">
        <v>1225.0729999999999</v>
      </c>
      <c r="DE72" s="1007">
        <v>942.363846153846</v>
      </c>
      <c r="DT72" s="1007">
        <v>0</v>
      </c>
      <c r="EI72" s="1007">
        <v>0</v>
      </c>
      <c r="EX72" s="955">
        <v>0</v>
      </c>
      <c r="FM72" s="955">
        <v>0</v>
      </c>
      <c r="GB72" s="955">
        <v>0</v>
      </c>
      <c r="GQ72" s="955">
        <v>0</v>
      </c>
      <c r="HF72" s="955">
        <v>0</v>
      </c>
      <c r="HU72" s="955">
        <v>0</v>
      </c>
      <c r="IJ72" s="1003">
        <v>1225.0729999999999</v>
      </c>
      <c r="IK72" s="987"/>
      <c r="IL72" s="987"/>
      <c r="IM72" s="987"/>
      <c r="IN72" s="987"/>
      <c r="IO72" s="987"/>
      <c r="IP72" s="987"/>
      <c r="IQ72" s="987"/>
      <c r="IR72" s="987"/>
      <c r="IS72" s="987"/>
      <c r="IT72" s="987"/>
      <c r="IU72" s="987"/>
      <c r="IV72" s="987"/>
      <c r="IW72" s="987"/>
      <c r="IX72" s="987"/>
      <c r="IY72" s="1003">
        <v>0</v>
      </c>
      <c r="JM72" s="987"/>
      <c r="JN72" s="1003">
        <v>0</v>
      </c>
      <c r="KB72" s="987"/>
      <c r="KC72" s="1003">
        <v>0</v>
      </c>
    </row>
    <row r="73" spans="5:289" ht="12.75" customHeight="1">
      <c r="E73" s="1026" t="s">
        <v>966</v>
      </c>
      <c r="F73" s="1027"/>
      <c r="G73" s="1027"/>
      <c r="H73" s="1027"/>
      <c r="I73" s="1028"/>
      <c r="J73" s="956"/>
      <c r="K73" s="1030">
        <f>SUMIFS($K$59:$K$59,$AF$55:$AF$55,"C",$AE$55:$AE$55,"BFC")+SUMIFS($L$56:$L$56,$AF$55:$AF$55,"C",$AE$55:$AE$55,"BFC")+SUMIFS($M$55:$M$55,$AF$55:$AF$55,"C",$AE$55:$AE$55,"BFC")</f>
        <v>0</v>
      </c>
      <c r="M73" s="1031"/>
      <c r="N73" s="1025" t="s">
        <v>964</v>
      </c>
      <c r="O73" s="1025"/>
      <c r="P73" s="1026" t="s">
        <v>965</v>
      </c>
      <c r="Q73" s="1027"/>
      <c r="R73" s="1027"/>
      <c r="S73" s="1027"/>
      <c r="T73" s="1028"/>
      <c r="U73" s="1032"/>
      <c r="V73" s="1033"/>
      <c r="AH73" s="987"/>
      <c r="AI73" s="987"/>
      <c r="AJ73" s="987"/>
      <c r="AK73" s="987"/>
      <c r="AL73" s="987"/>
      <c r="AM73" s="987"/>
      <c r="AN73" s="987"/>
      <c r="AO73" s="987"/>
      <c r="AQ73" s="987"/>
      <c r="AR73" s="987"/>
      <c r="AS73" s="987"/>
      <c r="AT73" s="987"/>
      <c r="AU73" s="987"/>
      <c r="AV73" s="987"/>
      <c r="AW73" s="987"/>
      <c r="AX73" s="987"/>
      <c r="AY73" s="987"/>
      <c r="AZ73" s="987"/>
      <c r="BA73" s="987"/>
      <c r="BB73" s="987"/>
      <c r="BC73" s="987"/>
      <c r="BD73" s="987"/>
      <c r="BE73" s="987"/>
      <c r="BF73" s="987"/>
      <c r="BG73" s="987"/>
      <c r="BH73" s="987"/>
      <c r="BI73" s="987"/>
      <c r="BJ73" s="987"/>
      <c r="BK73" s="987"/>
      <c r="BL73" s="987"/>
      <c r="BM73" s="987"/>
      <c r="BN73" s="987"/>
      <c r="BO73" s="987"/>
      <c r="BP73" s="987"/>
      <c r="BQ73" s="987"/>
      <c r="BR73" s="987"/>
      <c r="BS73" s="987"/>
      <c r="BT73" s="987"/>
      <c r="BU73" s="987"/>
      <c r="BV73" s="987"/>
      <c r="BW73" s="987"/>
      <c r="BX73" s="987"/>
      <c r="BY73" s="987"/>
      <c r="BZ73" s="987"/>
      <c r="CA73" s="987"/>
      <c r="CB73" s="987"/>
      <c r="CC73" s="987"/>
      <c r="CD73" s="987"/>
      <c r="CE73" s="987"/>
      <c r="CF73" s="987"/>
      <c r="CG73" s="987"/>
      <c r="CH73" s="987"/>
      <c r="CI73" s="987"/>
      <c r="CJ73" s="987"/>
      <c r="CK73" s="987"/>
      <c r="CL73" s="987"/>
      <c r="CM73" s="987"/>
      <c r="CN73" s="987"/>
      <c r="EI73" s="1007"/>
      <c r="IJ73" s="987"/>
      <c r="IK73" s="987"/>
      <c r="IL73" s="987"/>
      <c r="IM73" s="987"/>
      <c r="IN73" s="987"/>
      <c r="IO73" s="987"/>
      <c r="IP73" s="987"/>
      <c r="IQ73" s="987"/>
      <c r="IR73" s="987"/>
      <c r="IS73" s="987"/>
      <c r="IT73" s="987"/>
      <c r="IU73" s="987"/>
      <c r="IV73" s="987"/>
      <c r="IW73" s="987"/>
      <c r="IX73" s="987"/>
      <c r="IY73" s="987"/>
      <c r="JM73" s="987"/>
      <c r="JN73" s="987"/>
      <c r="KB73" s="987"/>
      <c r="KC73" s="987"/>
    </row>
    <row r="74" spans="5:289" ht="12.75" customHeight="1">
      <c r="E74" s="1026" t="s">
        <v>967</v>
      </c>
      <c r="F74" s="1027"/>
      <c r="G74" s="1027"/>
      <c r="H74" s="1027"/>
      <c r="I74" s="1028"/>
      <c r="J74" s="956"/>
      <c r="K74" s="1030">
        <f>SUMIFS($K$10:$K$55,$AF$10:$AF$55,"C",$AE$10:$AE$55,"BFN")+SUMIFS($L$10:$L$55,$AF$10:$AF$55,"C",$AE$10:$AE$55,"BFN")+SUMIFS($M$10:$M$55,$AF$10:$AF$55,"C",$AE$10:$AE$55,"BFN")</f>
        <v>0</v>
      </c>
      <c r="M74" s="1031"/>
      <c r="N74" s="1025" t="s">
        <v>968</v>
      </c>
      <c r="O74" s="1025"/>
      <c r="P74" s="1026" t="s">
        <v>969</v>
      </c>
      <c r="Q74" s="1027"/>
      <c r="R74" s="1027"/>
      <c r="S74" s="1027"/>
      <c r="T74" s="1028"/>
      <c r="U74" s="1032"/>
      <c r="V74" s="1033"/>
      <c r="AH74" s="987"/>
      <c r="AI74" s="987"/>
      <c r="AJ74" s="987"/>
      <c r="AK74" s="987"/>
      <c r="AL74" s="987"/>
      <c r="AM74" s="987"/>
      <c r="AN74" s="987"/>
      <c r="AO74" s="987"/>
      <c r="AQ74" s="987"/>
      <c r="AR74" s="987"/>
      <c r="AS74" s="987"/>
      <c r="AT74" s="987"/>
      <c r="AU74" s="987"/>
      <c r="AV74" s="987"/>
      <c r="AW74" s="987"/>
      <c r="AX74" s="987"/>
      <c r="AY74" s="987"/>
      <c r="AZ74" s="987"/>
      <c r="BA74" s="987"/>
      <c r="BB74" s="987"/>
      <c r="BC74" s="987"/>
      <c r="BD74" s="987"/>
      <c r="BE74" s="987"/>
      <c r="BF74" s="987"/>
      <c r="BG74" s="987"/>
      <c r="BH74" s="987"/>
      <c r="BI74" s="987"/>
      <c r="BJ74" s="987"/>
      <c r="BK74" s="987"/>
      <c r="BL74" s="987"/>
      <c r="BM74" s="987"/>
      <c r="BN74" s="987"/>
      <c r="BO74" s="987"/>
      <c r="BP74" s="987"/>
      <c r="BQ74" s="987"/>
      <c r="BR74" s="987"/>
      <c r="BS74" s="987"/>
      <c r="BT74" s="987"/>
      <c r="BU74" s="987"/>
      <c r="BV74" s="987"/>
      <c r="BW74" s="987"/>
      <c r="BX74" s="987"/>
      <c r="BY74" s="987"/>
      <c r="BZ74" s="987"/>
      <c r="CA74" s="987"/>
      <c r="CB74" s="987"/>
      <c r="CC74" s="987"/>
      <c r="CD74" s="987"/>
      <c r="CE74" s="987"/>
      <c r="CF74" s="987"/>
      <c r="CG74" s="987"/>
      <c r="CH74" s="987"/>
      <c r="CI74" s="987"/>
      <c r="CJ74" s="987"/>
      <c r="CK74" s="987"/>
      <c r="CL74" s="987"/>
      <c r="CM74" s="987"/>
      <c r="CN74" s="987"/>
      <c r="EI74" s="1007"/>
      <c r="IJ74" s="987"/>
      <c r="IK74" s="987"/>
      <c r="IL74" s="987"/>
      <c r="IM74" s="987"/>
      <c r="IN74" s="987"/>
      <c r="IO74" s="987"/>
      <c r="IP74" s="987"/>
      <c r="IQ74" s="987"/>
      <c r="IR74" s="987"/>
      <c r="IS74" s="987"/>
      <c r="IT74" s="987"/>
      <c r="IU74" s="987"/>
      <c r="IV74" s="987"/>
      <c r="IW74" s="987"/>
      <c r="IX74" s="987"/>
      <c r="IY74" s="987"/>
      <c r="JM74" s="987"/>
      <c r="JN74" s="987"/>
      <c r="KB74" s="987"/>
      <c r="KC74" s="987"/>
    </row>
    <row r="75" spans="5:289" ht="12.75" customHeight="1">
      <c r="E75" s="1026" t="s">
        <v>970</v>
      </c>
      <c r="F75" s="1027"/>
      <c r="G75" s="1027"/>
      <c r="H75" s="1027"/>
      <c r="I75" s="1028"/>
      <c r="J75" s="956"/>
      <c r="K75" s="1030">
        <f>SUMIFS($K$59:$K$59,$AF$55:$AF$55,"RCS",$AE$55:$AE$55,"BFC")+SUMIFS($L$56:$L$56,$AF$55:$AF$55,"RCS",$AE$55:$AE$55,"BFC")+SUMIFS($M$55:$M$55,$AF$55:$AF$55,"RCS",$AE$55:$AE$55,"BFC")</f>
        <v>0</v>
      </c>
      <c r="M75" s="1031"/>
      <c r="N75" s="1025" t="s">
        <v>971</v>
      </c>
      <c r="O75" s="1025"/>
      <c r="P75" s="1026" t="s">
        <v>972</v>
      </c>
      <c r="Q75" s="1027"/>
      <c r="R75" s="1027"/>
      <c r="S75" s="1027"/>
      <c r="T75" s="1028"/>
      <c r="U75" s="1032"/>
      <c r="AH75" s="987"/>
      <c r="AI75" s="987"/>
      <c r="AJ75" s="987"/>
      <c r="AK75" s="987"/>
      <c r="AL75" s="987"/>
      <c r="AM75" s="987"/>
      <c r="AN75" s="987"/>
      <c r="AO75" s="987"/>
      <c r="AQ75" s="987"/>
      <c r="AR75" s="987"/>
      <c r="AS75" s="987"/>
      <c r="AT75" s="987"/>
      <c r="AU75" s="987"/>
      <c r="AV75" s="987"/>
      <c r="AW75" s="987"/>
      <c r="AX75" s="987"/>
      <c r="AY75" s="987"/>
      <c r="AZ75" s="987"/>
      <c r="BA75" s="987"/>
      <c r="BB75" s="987"/>
      <c r="BC75" s="987"/>
      <c r="BD75" s="987"/>
      <c r="BE75" s="987"/>
      <c r="BF75" s="987"/>
      <c r="BG75" s="987"/>
      <c r="BH75" s="987"/>
      <c r="BI75" s="987"/>
      <c r="BJ75" s="987"/>
      <c r="BK75" s="987"/>
      <c r="BL75" s="987"/>
      <c r="BM75" s="987"/>
      <c r="BN75" s="987"/>
      <c r="BO75" s="987"/>
      <c r="BP75" s="987"/>
      <c r="BQ75" s="987"/>
      <c r="BR75" s="987"/>
      <c r="BS75" s="987"/>
      <c r="BT75" s="987"/>
      <c r="BU75" s="987"/>
      <c r="BV75" s="987"/>
      <c r="BW75" s="987"/>
      <c r="BX75" s="987"/>
      <c r="BY75" s="987"/>
      <c r="BZ75" s="987"/>
      <c r="CA75" s="987"/>
      <c r="CB75" s="987"/>
      <c r="CC75" s="987"/>
      <c r="CD75" s="987"/>
      <c r="CE75" s="987"/>
      <c r="CF75" s="987"/>
      <c r="CG75" s="987"/>
      <c r="CH75" s="987"/>
      <c r="CI75" s="987"/>
      <c r="CJ75" s="987"/>
      <c r="CK75" s="987"/>
      <c r="CL75" s="987"/>
      <c r="CM75" s="987"/>
      <c r="CN75" s="987"/>
      <c r="EI75" s="1007"/>
      <c r="IJ75" s="987"/>
      <c r="IK75" s="987"/>
      <c r="IL75" s="987"/>
      <c r="IM75" s="987"/>
      <c r="IN75" s="987"/>
      <c r="IO75" s="987"/>
      <c r="IP75" s="987"/>
      <c r="IQ75" s="987"/>
      <c r="IR75" s="987"/>
      <c r="IS75" s="987"/>
      <c r="IT75" s="987"/>
      <c r="IU75" s="987"/>
      <c r="IV75" s="987"/>
      <c r="IW75" s="987"/>
      <c r="IX75" s="987"/>
      <c r="IY75" s="987"/>
      <c r="JM75" s="987"/>
      <c r="JN75" s="987"/>
      <c r="KB75" s="987"/>
      <c r="KC75" s="987"/>
    </row>
    <row r="76" spans="5:289" ht="12.75" customHeight="1">
      <c r="E76" s="1026" t="s">
        <v>973</v>
      </c>
      <c r="F76" s="1027"/>
      <c r="G76" s="1027"/>
      <c r="H76" s="1027"/>
      <c r="I76" s="1028"/>
      <c r="J76" s="956"/>
      <c r="K76" s="1030">
        <f>SUMIFS($K$59:$K$59,$AF$55:$AF$55,"RCS",$AE$55:$AE$55,"BFN")+SUMIFS($L$56:$L$56,$AF$55:$AF$55,"RCS",$AE$55:$AE$55,"BFN")+SUMIFS($M$55:$M$55,$AF$55:$AF$55,"RCS",$AE$55:$AE$55,"BFN")</f>
        <v>0</v>
      </c>
      <c r="M76" s="1031"/>
      <c r="N76" s="1025" t="s">
        <v>974</v>
      </c>
      <c r="O76" s="1025"/>
      <c r="P76" s="1026" t="s">
        <v>975</v>
      </c>
      <c r="Q76" s="1027"/>
      <c r="R76" s="1027"/>
      <c r="S76" s="1027"/>
      <c r="T76" s="1028"/>
      <c r="U76" s="1032"/>
      <c r="V76" s="1033"/>
      <c r="AH76" s="987"/>
      <c r="AI76" s="987"/>
      <c r="AJ76" s="987"/>
      <c r="AK76" s="987"/>
      <c r="AL76" s="987"/>
      <c r="AM76" s="987"/>
      <c r="AN76" s="987"/>
      <c r="AO76" s="987"/>
      <c r="AQ76" s="987"/>
      <c r="AR76" s="987"/>
      <c r="AS76" s="987"/>
      <c r="AT76" s="987"/>
      <c r="AU76" s="987"/>
      <c r="AV76" s="987"/>
      <c r="AW76" s="987"/>
      <c r="AX76" s="987"/>
      <c r="AY76" s="987"/>
      <c r="AZ76" s="987"/>
      <c r="BA76" s="987"/>
      <c r="BB76" s="987"/>
      <c r="BC76" s="987"/>
      <c r="BD76" s="987"/>
      <c r="BE76" s="987"/>
      <c r="BF76" s="987"/>
      <c r="BG76" s="987"/>
      <c r="BH76" s="987"/>
      <c r="BI76" s="987"/>
      <c r="BJ76" s="987"/>
      <c r="BK76" s="987"/>
      <c r="BL76" s="987"/>
      <c r="BM76" s="987"/>
      <c r="BN76" s="987"/>
      <c r="BO76" s="987"/>
      <c r="BP76" s="987"/>
      <c r="BQ76" s="987"/>
      <c r="BR76" s="987"/>
      <c r="BS76" s="987"/>
      <c r="BT76" s="987"/>
      <c r="BU76" s="987"/>
      <c r="BV76" s="987"/>
      <c r="BW76" s="987"/>
      <c r="BX76" s="987"/>
      <c r="BY76" s="987"/>
      <c r="BZ76" s="987"/>
      <c r="CA76" s="987"/>
      <c r="CB76" s="987"/>
      <c r="CC76" s="987"/>
      <c r="CD76" s="987"/>
      <c r="CE76" s="987"/>
      <c r="CF76" s="987"/>
      <c r="CG76" s="987"/>
      <c r="CH76" s="987"/>
      <c r="CI76" s="987"/>
      <c r="CJ76" s="987"/>
      <c r="CK76" s="987"/>
      <c r="CL76" s="987"/>
      <c r="CM76" s="987"/>
      <c r="CN76" s="987"/>
      <c r="EI76" s="1007"/>
      <c r="IJ76" s="987"/>
      <c r="IK76" s="987"/>
      <c r="IL76" s="987"/>
      <c r="IM76" s="987"/>
      <c r="IN76" s="987"/>
      <c r="IO76" s="987"/>
      <c r="IP76" s="987"/>
      <c r="IQ76" s="987"/>
      <c r="IR76" s="987"/>
      <c r="IS76" s="987"/>
      <c r="IT76" s="987"/>
      <c r="IU76" s="987"/>
      <c r="IV76" s="987"/>
      <c r="IW76" s="987"/>
      <c r="IX76" s="987"/>
      <c r="IY76" s="987"/>
      <c r="JM76" s="987"/>
      <c r="JN76" s="987"/>
      <c r="KB76" s="987"/>
      <c r="KC76" s="987"/>
    </row>
    <row r="77" spans="5:289" ht="12.75" customHeight="1">
      <c r="E77" s="1026" t="s">
        <v>976</v>
      </c>
      <c r="F77" s="1027"/>
      <c r="G77" s="1027"/>
      <c r="H77" s="1027"/>
      <c r="I77" s="1028"/>
      <c r="J77" s="956"/>
      <c r="K77" s="1030">
        <f>SUMIFS($K$59:$K$59,$AF$55:$AF$55,"RBS",$AE$55:$AE$55,"BFC")+SUMIFS($L$56:$L$56,$AF$55:$AF$55,"RBS",$AE$55:$AE$55,"BFC")+SUMIFS($M$55:$M$55,$AF$55:$AF$55,"RBS",$AE$55:$AE$55,"BFC")</f>
        <v>0</v>
      </c>
      <c r="M77" s="1031"/>
      <c r="N77" s="1025" t="s">
        <v>977</v>
      </c>
      <c r="O77" s="1025"/>
      <c r="P77" s="1026" t="s">
        <v>978</v>
      </c>
      <c r="Q77" s="1027"/>
      <c r="R77" s="1027"/>
      <c r="S77" s="1027"/>
      <c r="T77" s="1028"/>
      <c r="U77" s="1032"/>
      <c r="V77" s="1033"/>
      <c r="AH77" s="987"/>
      <c r="AI77" s="987"/>
      <c r="AJ77" s="987"/>
      <c r="AK77" s="987"/>
      <c r="AL77" s="987"/>
      <c r="AM77" s="987"/>
      <c r="AN77" s="987"/>
      <c r="AO77" s="987"/>
      <c r="AQ77" s="987"/>
      <c r="AR77" s="987"/>
      <c r="AS77" s="987"/>
      <c r="AT77" s="987"/>
      <c r="AU77" s="987"/>
      <c r="AV77" s="987"/>
      <c r="AW77" s="987"/>
      <c r="AX77" s="987"/>
      <c r="AY77" s="987"/>
      <c r="AZ77" s="987"/>
      <c r="BA77" s="987"/>
      <c r="BB77" s="987"/>
      <c r="BC77" s="987"/>
      <c r="BD77" s="987"/>
      <c r="BE77" s="987"/>
      <c r="BF77" s="987"/>
      <c r="BG77" s="987"/>
      <c r="BH77" s="987"/>
      <c r="BI77" s="987"/>
      <c r="BJ77" s="987"/>
      <c r="BK77" s="987"/>
      <c r="BL77" s="987"/>
      <c r="BM77" s="987"/>
      <c r="BN77" s="987"/>
      <c r="BO77" s="987"/>
      <c r="BP77" s="987"/>
      <c r="BQ77" s="987"/>
      <c r="BR77" s="987"/>
      <c r="BS77" s="987"/>
      <c r="BT77" s="987"/>
      <c r="BU77" s="987"/>
      <c r="BV77" s="987"/>
      <c r="BW77" s="987"/>
      <c r="BX77" s="987"/>
      <c r="BY77" s="987"/>
      <c r="BZ77" s="987"/>
      <c r="CA77" s="987"/>
      <c r="CB77" s="987"/>
      <c r="CC77" s="987"/>
      <c r="CD77" s="987"/>
      <c r="CE77" s="987"/>
      <c r="CF77" s="987"/>
      <c r="CG77" s="987"/>
      <c r="CH77" s="987"/>
      <c r="CI77" s="987"/>
      <c r="CJ77" s="987"/>
      <c r="CK77" s="987"/>
      <c r="CL77" s="987"/>
      <c r="CM77" s="987"/>
      <c r="CN77" s="987"/>
      <c r="EI77" s="1007"/>
      <c r="IJ77" s="987"/>
      <c r="IK77" s="987"/>
      <c r="IL77" s="987"/>
      <c r="IM77" s="987"/>
      <c r="IN77" s="987"/>
      <c r="IO77" s="987"/>
      <c r="IP77" s="987"/>
      <c r="IQ77" s="987"/>
      <c r="IR77" s="987"/>
      <c r="IS77" s="987"/>
      <c r="IT77" s="987"/>
      <c r="IU77" s="987"/>
      <c r="IV77" s="987"/>
      <c r="IW77" s="987"/>
      <c r="IX77" s="987"/>
      <c r="IY77" s="987"/>
      <c r="JM77" s="987"/>
      <c r="JN77" s="987"/>
      <c r="KB77" s="987"/>
      <c r="KC77" s="987"/>
    </row>
    <row r="78" spans="5:289" ht="12.75" customHeight="1">
      <c r="E78" s="1026" t="s">
        <v>979</v>
      </c>
      <c r="F78" s="1027"/>
      <c r="G78" s="1027"/>
      <c r="H78" s="1027"/>
      <c r="I78" s="1028"/>
      <c r="J78" s="956"/>
      <c r="K78" s="1030">
        <f>SUMIFS($K$59:$K$59,$AF$55:$AF$55,"RBS",$AE$55:$AE$55,"BFN")+SUMIFS($L$56:$L$56,$AF$55:$AF$55,"RBS",$AE$55:$AE$55,"BFN")+SUMIFS($M$55:$M$55,$AF$55:$AF$55,"RBS",$AE$55:$AE$55,"BFN")</f>
        <v>0</v>
      </c>
      <c r="M78" s="1031"/>
      <c r="N78" s="1025" t="s">
        <v>971</v>
      </c>
      <c r="O78" s="1025"/>
      <c r="P78" s="1026" t="s">
        <v>972</v>
      </c>
      <c r="Q78" s="1027"/>
      <c r="R78" s="1027"/>
      <c r="S78" s="1027"/>
      <c r="T78" s="1028"/>
      <c r="U78" s="1032"/>
      <c r="V78" s="1033"/>
      <c r="AH78" s="987"/>
      <c r="AI78" s="987"/>
      <c r="AJ78" s="987"/>
      <c r="AK78" s="987"/>
      <c r="AL78" s="987"/>
      <c r="AM78" s="987"/>
      <c r="AN78" s="987"/>
      <c r="AO78" s="987"/>
      <c r="AQ78" s="987"/>
      <c r="AR78" s="987"/>
      <c r="AS78" s="987"/>
      <c r="AT78" s="987"/>
      <c r="AU78" s="987"/>
      <c r="AV78" s="987"/>
      <c r="AW78" s="987"/>
      <c r="AX78" s="987"/>
      <c r="AY78" s="987"/>
      <c r="AZ78" s="987"/>
      <c r="BA78" s="987"/>
      <c r="BB78" s="987"/>
      <c r="BC78" s="987"/>
      <c r="BD78" s="987"/>
      <c r="BE78" s="987"/>
      <c r="BF78" s="987"/>
      <c r="BG78" s="987"/>
      <c r="BH78" s="987"/>
      <c r="BI78" s="987"/>
      <c r="BJ78" s="987"/>
      <c r="BK78" s="987"/>
      <c r="BL78" s="987"/>
      <c r="BM78" s="987"/>
      <c r="BN78" s="987"/>
      <c r="BO78" s="987"/>
      <c r="BP78" s="987"/>
      <c r="BQ78" s="987"/>
      <c r="BR78" s="987"/>
      <c r="BS78" s="987"/>
      <c r="BT78" s="987"/>
      <c r="BU78" s="987"/>
      <c r="BV78" s="987"/>
      <c r="BW78" s="987"/>
      <c r="BX78" s="987"/>
      <c r="BY78" s="987"/>
      <c r="BZ78" s="987"/>
      <c r="CA78" s="987"/>
      <c r="CB78" s="987"/>
      <c r="CC78" s="987"/>
      <c r="CD78" s="987"/>
      <c r="CE78" s="987"/>
      <c r="CF78" s="987"/>
      <c r="CG78" s="987"/>
      <c r="CH78" s="987"/>
      <c r="CI78" s="987"/>
      <c r="CJ78" s="987"/>
      <c r="CK78" s="987"/>
      <c r="CL78" s="987"/>
      <c r="CM78" s="987"/>
      <c r="CN78" s="987"/>
      <c r="EI78" s="1007"/>
      <c r="IJ78" s="987"/>
      <c r="IK78" s="987"/>
      <c r="IL78" s="987"/>
      <c r="IM78" s="987"/>
      <c r="IN78" s="987"/>
      <c r="IO78" s="987"/>
      <c r="IP78" s="987"/>
      <c r="IQ78" s="987"/>
      <c r="IR78" s="987"/>
      <c r="IS78" s="987"/>
      <c r="IT78" s="987"/>
      <c r="IU78" s="987"/>
      <c r="IV78" s="987"/>
      <c r="IW78" s="987"/>
      <c r="IX78" s="987"/>
      <c r="IY78" s="987"/>
      <c r="JM78" s="987"/>
      <c r="JN78" s="987"/>
      <c r="KB78" s="987"/>
      <c r="KC78" s="987"/>
    </row>
    <row r="79" spans="5:289" ht="12.75" customHeight="1">
      <c r="E79" s="1026" t="s">
        <v>980</v>
      </c>
      <c r="F79" s="1027"/>
      <c r="G79" s="1027"/>
      <c r="H79" s="1027"/>
      <c r="I79" s="1028"/>
      <c r="J79" s="956"/>
      <c r="K79" s="1030">
        <f>SUMIFS($K$59:$K$59,$AF$55:$AF$55,"RCD",$AE$55:$AE$55,"BFC")+SUMIFS($L$56:$L$56,$AF$55:$AF$55,"RCD",$AE$55:$AE$55,"BFC")+SUMIFS($M$55:$M$55,$AF$55:$AF$55,"RCD",$AE$55:$AE$55,"BFC")</f>
        <v>0</v>
      </c>
      <c r="M79" s="1031"/>
      <c r="N79" s="1025" t="s">
        <v>981</v>
      </c>
      <c r="O79" s="1025"/>
      <c r="P79" s="1026" t="s">
        <v>982</v>
      </c>
      <c r="Q79" s="1027"/>
      <c r="R79" s="1027"/>
      <c r="S79" s="1027"/>
      <c r="T79" s="1028"/>
      <c r="U79" s="1032"/>
      <c r="V79" s="1033"/>
      <c r="AH79" s="987"/>
      <c r="AI79" s="987"/>
      <c r="AJ79" s="987"/>
      <c r="AK79" s="987"/>
      <c r="AL79" s="987"/>
      <c r="AM79" s="987"/>
      <c r="AN79" s="987"/>
      <c r="AO79" s="987"/>
      <c r="AQ79" s="987"/>
      <c r="AR79" s="987"/>
      <c r="AS79" s="987"/>
      <c r="AT79" s="987"/>
      <c r="AU79" s="987"/>
      <c r="AV79" s="987"/>
      <c r="AW79" s="987"/>
      <c r="AX79" s="987"/>
      <c r="AY79" s="987"/>
      <c r="AZ79" s="987"/>
      <c r="BA79" s="987"/>
      <c r="BB79" s="987"/>
      <c r="BC79" s="987"/>
      <c r="BD79" s="987"/>
      <c r="BE79" s="987"/>
      <c r="BF79" s="987"/>
      <c r="BG79" s="987"/>
      <c r="BH79" s="987"/>
      <c r="BI79" s="987"/>
      <c r="BJ79" s="987"/>
      <c r="BK79" s="987"/>
      <c r="BL79" s="987"/>
      <c r="BM79" s="987"/>
      <c r="BN79" s="987"/>
      <c r="BO79" s="987"/>
      <c r="BP79" s="987"/>
      <c r="BQ79" s="987"/>
      <c r="BR79" s="987"/>
      <c r="BS79" s="987"/>
      <c r="BT79" s="987"/>
      <c r="BU79" s="987"/>
      <c r="BV79" s="987"/>
      <c r="BW79" s="987"/>
      <c r="BX79" s="987"/>
      <c r="BY79" s="987"/>
      <c r="BZ79" s="987"/>
      <c r="CA79" s="987"/>
      <c r="CB79" s="987"/>
      <c r="CC79" s="987"/>
      <c r="CD79" s="987"/>
      <c r="CE79" s="987"/>
      <c r="CF79" s="987"/>
      <c r="CG79" s="987"/>
      <c r="CH79" s="987"/>
      <c r="CI79" s="987"/>
      <c r="CJ79" s="987"/>
      <c r="CK79" s="987"/>
      <c r="CL79" s="987"/>
      <c r="CM79" s="987"/>
      <c r="CN79" s="987"/>
      <c r="EI79" s="1007"/>
      <c r="IJ79" s="987"/>
      <c r="IK79" s="987"/>
      <c r="IL79" s="987"/>
      <c r="IM79" s="987"/>
      <c r="IN79" s="987"/>
      <c r="IO79" s="987"/>
      <c r="IP79" s="987"/>
      <c r="IQ79" s="987"/>
      <c r="IR79" s="987"/>
      <c r="IS79" s="987"/>
      <c r="IT79" s="987"/>
      <c r="IU79" s="987"/>
      <c r="IV79" s="987"/>
      <c r="IW79" s="987"/>
      <c r="IX79" s="987"/>
      <c r="IY79" s="987"/>
      <c r="JM79" s="987"/>
      <c r="JN79" s="987"/>
      <c r="KB79" s="987"/>
      <c r="KC79" s="987"/>
    </row>
    <row r="80" spans="5:289" ht="12.75" customHeight="1">
      <c r="E80" s="1026" t="s">
        <v>983</v>
      </c>
      <c r="F80" s="1027"/>
      <c r="G80" s="1027"/>
      <c r="H80" s="1027"/>
      <c r="I80" s="1028"/>
      <c r="J80" s="956"/>
      <c r="K80" s="1030">
        <f>SUMIFS($K$59:$K$59,$AF$55:$AF$55,"RCD",$AE$55:$AE$55,"BFN")+SUMIFS($L$56:$L$56,$AF$55:$AF$55,"RCD",$AE$55:$AE$55,"BFN")+SUMIFS($M$55:$M$55,$AF$55:$AF$55,"RCD",$AE$55:$AE$55,"BFN")</f>
        <v>0</v>
      </c>
      <c r="M80" s="1035"/>
      <c r="N80" s="1036"/>
      <c r="O80" s="1036"/>
      <c r="P80" s="1037"/>
      <c r="Q80" s="1037"/>
      <c r="R80" s="1037"/>
      <c r="S80" s="1037"/>
      <c r="T80" s="1037"/>
      <c r="U80" s="1038"/>
      <c r="V80" s="1033"/>
      <c r="AB80" s="1039"/>
      <c r="AC80" s="1039"/>
      <c r="AD80" s="1039"/>
      <c r="AE80" s="1039"/>
      <c r="AH80" s="987"/>
      <c r="AI80" s="987"/>
      <c r="AJ80" s="987"/>
      <c r="AK80" s="987"/>
      <c r="AL80" s="987"/>
      <c r="AM80" s="987"/>
      <c r="AN80" s="987"/>
      <c r="AO80" s="987"/>
      <c r="AQ80" s="987"/>
      <c r="AR80" s="987"/>
      <c r="AS80" s="987"/>
      <c r="AT80" s="987"/>
      <c r="AU80" s="987"/>
      <c r="AV80" s="987"/>
      <c r="AW80" s="987"/>
      <c r="AX80" s="987"/>
      <c r="AY80" s="987"/>
      <c r="AZ80" s="987"/>
      <c r="BA80" s="987"/>
      <c r="BB80" s="987"/>
      <c r="BC80" s="987"/>
      <c r="BD80" s="987"/>
      <c r="BE80" s="987"/>
      <c r="BF80" s="987"/>
      <c r="BG80" s="987"/>
      <c r="BH80" s="987"/>
      <c r="BI80" s="987"/>
      <c r="BJ80" s="987"/>
      <c r="BK80" s="987"/>
      <c r="BL80" s="987"/>
      <c r="BM80" s="987"/>
      <c r="BN80" s="987"/>
      <c r="BO80" s="987"/>
      <c r="BP80" s="987"/>
      <c r="BQ80" s="987"/>
      <c r="BR80" s="987"/>
      <c r="BS80" s="987"/>
      <c r="BT80" s="987"/>
      <c r="BU80" s="987"/>
      <c r="BV80" s="987"/>
      <c r="BW80" s="987"/>
      <c r="BX80" s="987"/>
      <c r="BY80" s="987"/>
      <c r="BZ80" s="987"/>
      <c r="CA80" s="987"/>
      <c r="CB80" s="987"/>
      <c r="CC80" s="987"/>
      <c r="CD80" s="987"/>
      <c r="CE80" s="987"/>
      <c r="CF80" s="987"/>
      <c r="CG80" s="987"/>
      <c r="CH80" s="987"/>
      <c r="CI80" s="987"/>
      <c r="CJ80" s="987"/>
      <c r="CK80" s="987"/>
      <c r="CL80" s="987"/>
      <c r="CM80" s="987"/>
      <c r="CN80" s="987"/>
      <c r="EI80" s="1007"/>
      <c r="IJ80" s="987"/>
      <c r="IK80" s="987"/>
      <c r="IL80" s="987"/>
      <c r="IM80" s="987"/>
      <c r="IN80" s="987"/>
      <c r="IO80" s="987"/>
      <c r="IP80" s="987"/>
      <c r="IQ80" s="987"/>
      <c r="IR80" s="987"/>
      <c r="IS80" s="987"/>
      <c r="IT80" s="987"/>
      <c r="IU80" s="987"/>
      <c r="IV80" s="987"/>
      <c r="IW80" s="987"/>
      <c r="IX80" s="987"/>
      <c r="IY80" s="987"/>
      <c r="JM80" s="987"/>
      <c r="JN80" s="987"/>
      <c r="KB80" s="987"/>
      <c r="KC80" s="987"/>
    </row>
    <row r="81" spans="2:289">
      <c r="E81" s="1026" t="s">
        <v>984</v>
      </c>
      <c r="F81" s="1027"/>
      <c r="G81" s="1027"/>
      <c r="H81" s="1027"/>
      <c r="I81" s="1028"/>
      <c r="J81" s="956"/>
      <c r="K81" s="1030">
        <f>SUMIFS($N$55:$N$55,$AF$55:$AF$55,"SM",$AE$55:$AE$55,"BFC")</f>
        <v>0</v>
      </c>
      <c r="AH81" s="987"/>
      <c r="AI81" s="987"/>
      <c r="AJ81" s="987"/>
      <c r="AK81" s="987"/>
      <c r="AL81" s="987"/>
      <c r="AM81" s="987"/>
      <c r="AN81" s="987"/>
      <c r="AO81" s="987"/>
      <c r="AQ81" s="987"/>
      <c r="AR81" s="987"/>
      <c r="AS81" s="987"/>
      <c r="AT81" s="987"/>
      <c r="AU81" s="987"/>
      <c r="AV81" s="987"/>
      <c r="AW81" s="987"/>
      <c r="AX81" s="987"/>
      <c r="AY81" s="987"/>
      <c r="AZ81" s="987"/>
      <c r="BA81" s="987"/>
      <c r="BB81" s="987"/>
      <c r="BC81" s="987"/>
      <c r="BD81" s="987"/>
      <c r="BE81" s="987"/>
      <c r="BF81" s="987"/>
      <c r="BG81" s="987"/>
      <c r="BH81" s="987"/>
      <c r="BI81" s="987"/>
      <c r="BJ81" s="987"/>
      <c r="BK81" s="987"/>
      <c r="BL81" s="987"/>
      <c r="BM81" s="987"/>
      <c r="BN81" s="987"/>
      <c r="BO81" s="987"/>
      <c r="BP81" s="987"/>
      <c r="BQ81" s="987"/>
      <c r="BR81" s="987"/>
      <c r="BS81" s="987"/>
      <c r="BT81" s="987"/>
      <c r="BU81" s="987"/>
      <c r="BV81" s="987"/>
      <c r="BW81" s="987"/>
      <c r="BX81" s="987"/>
      <c r="BY81" s="987"/>
      <c r="BZ81" s="987"/>
      <c r="CA81" s="987"/>
      <c r="CB81" s="987"/>
      <c r="CC81" s="987"/>
      <c r="CD81" s="987"/>
      <c r="CE81" s="987"/>
      <c r="CF81" s="987"/>
      <c r="CG81" s="987"/>
      <c r="CH81" s="987"/>
      <c r="CI81" s="987"/>
      <c r="CJ81" s="987"/>
      <c r="CK81" s="987"/>
      <c r="CL81" s="987"/>
      <c r="CM81" s="987"/>
      <c r="CN81" s="987"/>
      <c r="EI81" s="1007"/>
      <c r="IJ81" s="987"/>
      <c r="IK81" s="987"/>
      <c r="IL81" s="987"/>
      <c r="IM81" s="987"/>
      <c r="IN81" s="987"/>
      <c r="IO81" s="987"/>
      <c r="IP81" s="987"/>
      <c r="IQ81" s="987"/>
      <c r="IR81" s="987"/>
      <c r="IS81" s="987"/>
      <c r="IT81" s="987"/>
      <c r="IU81" s="987"/>
      <c r="IV81" s="987"/>
      <c r="IW81" s="987"/>
      <c r="IX81" s="987"/>
      <c r="IY81" s="987"/>
      <c r="JM81" s="987"/>
      <c r="JN81" s="987"/>
      <c r="KB81" s="987"/>
      <c r="KC81" s="987"/>
    </row>
    <row r="82" spans="2:289">
      <c r="E82" s="1026" t="s">
        <v>985</v>
      </c>
      <c r="F82" s="1027"/>
      <c r="G82" s="1027"/>
      <c r="H82" s="1027"/>
      <c r="I82" s="1028"/>
      <c r="J82" s="956"/>
      <c r="K82" s="1030">
        <f>SUMIFS($N$55:$N$55,$AF$55:$AF$55,"SM",$AE$55:$AE$55,"BFN")</f>
        <v>0</v>
      </c>
      <c r="AH82" s="987"/>
      <c r="AI82" s="987"/>
      <c r="AJ82" s="987"/>
      <c r="AK82" s="987"/>
      <c r="AL82" s="987"/>
      <c r="AM82" s="987"/>
      <c r="AN82" s="987"/>
      <c r="AO82" s="987"/>
      <c r="AQ82" s="987"/>
      <c r="AR82" s="987"/>
      <c r="AS82" s="987"/>
      <c r="AT82" s="987"/>
      <c r="AU82" s="987"/>
      <c r="AV82" s="987"/>
      <c r="AW82" s="987"/>
      <c r="AX82" s="987"/>
      <c r="AY82" s="987"/>
      <c r="AZ82" s="987"/>
      <c r="BA82" s="987"/>
      <c r="BB82" s="987"/>
      <c r="BC82" s="987"/>
      <c r="BD82" s="987"/>
      <c r="BE82" s="987"/>
      <c r="BF82" s="987"/>
      <c r="BG82" s="987"/>
      <c r="BH82" s="987"/>
      <c r="BI82" s="987"/>
      <c r="BJ82" s="987"/>
      <c r="BK82" s="987"/>
      <c r="BL82" s="987"/>
      <c r="BM82" s="987"/>
      <c r="BN82" s="987"/>
      <c r="BO82" s="987"/>
      <c r="BP82" s="987"/>
      <c r="BQ82" s="987"/>
      <c r="BR82" s="987"/>
      <c r="BS82" s="987"/>
      <c r="BT82" s="987"/>
      <c r="BU82" s="987"/>
      <c r="BV82" s="987"/>
      <c r="BW82" s="987"/>
      <c r="BX82" s="987"/>
      <c r="BY82" s="987"/>
      <c r="BZ82" s="987"/>
      <c r="CA82" s="987"/>
      <c r="CB82" s="987"/>
      <c r="CC82" s="987"/>
      <c r="CD82" s="987"/>
      <c r="CE82" s="987"/>
      <c r="CF82" s="987"/>
      <c r="CG82" s="987"/>
      <c r="CH82" s="987"/>
      <c r="CI82" s="987"/>
      <c r="CJ82" s="987"/>
      <c r="CK82" s="987"/>
      <c r="CL82" s="987"/>
      <c r="CM82" s="987"/>
      <c r="CN82" s="987"/>
      <c r="EI82" s="1007"/>
      <c r="IJ82" s="987"/>
      <c r="IK82" s="987"/>
      <c r="IL82" s="987"/>
      <c r="IM82" s="987"/>
      <c r="IN82" s="987"/>
      <c r="IO82" s="987"/>
      <c r="IP82" s="987"/>
      <c r="IQ82" s="987"/>
      <c r="IR82" s="987"/>
      <c r="IS82" s="987"/>
      <c r="IT82" s="987"/>
      <c r="IU82" s="987"/>
      <c r="IV82" s="987"/>
      <c r="IW82" s="987"/>
      <c r="IX82" s="987"/>
      <c r="IY82" s="987"/>
      <c r="JM82" s="987"/>
      <c r="JN82" s="987"/>
      <c r="KB82" s="987"/>
      <c r="KC82" s="987"/>
    </row>
    <row r="83" spans="2:289">
      <c r="E83" s="956"/>
      <c r="F83" s="956"/>
      <c r="G83" s="956"/>
      <c r="H83" s="956"/>
      <c r="I83" s="956"/>
      <c r="J83" s="956"/>
      <c r="K83" s="956"/>
      <c r="AH83" s="987"/>
      <c r="AI83" s="987"/>
      <c r="AJ83" s="987"/>
      <c r="AK83" s="987"/>
      <c r="AL83" s="987"/>
      <c r="AM83" s="987"/>
      <c r="AN83" s="987"/>
      <c r="AO83" s="987"/>
      <c r="AQ83" s="987"/>
      <c r="AR83" s="987"/>
      <c r="AS83" s="987"/>
      <c r="AT83" s="987"/>
      <c r="AU83" s="987"/>
      <c r="AV83" s="987"/>
      <c r="AW83" s="987"/>
      <c r="AX83" s="987"/>
      <c r="AY83" s="987"/>
      <c r="AZ83" s="987"/>
      <c r="BA83" s="987"/>
      <c r="BB83" s="987"/>
      <c r="BC83" s="987"/>
      <c r="BD83" s="987"/>
      <c r="BE83" s="987"/>
      <c r="BF83" s="987"/>
      <c r="BG83" s="987"/>
      <c r="BH83" s="987"/>
      <c r="BI83" s="987"/>
      <c r="BJ83" s="987"/>
      <c r="BK83" s="987"/>
      <c r="BL83" s="987"/>
      <c r="BM83" s="987"/>
      <c r="BN83" s="987"/>
      <c r="BO83" s="987"/>
      <c r="BP83" s="987"/>
      <c r="BQ83" s="987"/>
      <c r="BR83" s="987"/>
      <c r="BS83" s="987"/>
      <c r="BT83" s="987"/>
      <c r="BU83" s="987"/>
      <c r="BV83" s="987"/>
      <c r="BW83" s="987"/>
      <c r="BX83" s="987"/>
      <c r="BY83" s="987"/>
      <c r="BZ83" s="987"/>
      <c r="CA83" s="987"/>
      <c r="CB83" s="987"/>
      <c r="CC83" s="987"/>
      <c r="CD83" s="987"/>
      <c r="CE83" s="987"/>
      <c r="CF83" s="987"/>
      <c r="CG83" s="987"/>
      <c r="CH83" s="987"/>
      <c r="CI83" s="987"/>
      <c r="CJ83" s="987"/>
      <c r="CK83" s="987"/>
      <c r="CL83" s="987"/>
      <c r="CM83" s="987"/>
      <c r="CN83" s="987"/>
      <c r="EI83" s="1007"/>
      <c r="IJ83" s="987"/>
      <c r="IK83" s="987"/>
      <c r="IL83" s="987"/>
      <c r="IM83" s="987"/>
      <c r="IN83" s="987"/>
      <c r="IO83" s="987"/>
      <c r="IP83" s="987"/>
      <c r="IQ83" s="987"/>
      <c r="IR83" s="987"/>
      <c r="IS83" s="987"/>
      <c r="IT83" s="987"/>
      <c r="IU83" s="987"/>
      <c r="IV83" s="987"/>
      <c r="IW83" s="987"/>
      <c r="IX83" s="987"/>
      <c r="IY83" s="987"/>
      <c r="JM83" s="987"/>
      <c r="JN83" s="987"/>
      <c r="KB83" s="987"/>
      <c r="KC83" s="987"/>
    </row>
    <row r="84" spans="2:289">
      <c r="B84" s="955"/>
      <c r="E84" s="955"/>
      <c r="H84" s="955"/>
      <c r="I84" s="1040"/>
      <c r="J84" s="956"/>
      <c r="K84" s="1040"/>
    </row>
    <row r="85" spans="2:289" ht="15">
      <c r="E85" s="1041"/>
      <c r="F85" s="1021"/>
      <c r="G85" s="1021"/>
      <c r="H85" s="1021" t="s">
        <v>986</v>
      </c>
      <c r="I85" s="1021"/>
      <c r="J85" s="997"/>
      <c r="K85" s="1042"/>
    </row>
    <row r="86" spans="2:289" ht="12.75" customHeight="1">
      <c r="E86" s="1026" t="s">
        <v>987</v>
      </c>
      <c r="F86" s="1027"/>
      <c r="G86" s="1027"/>
      <c r="H86" s="1027"/>
      <c r="I86" s="1027"/>
      <c r="J86" s="1015"/>
      <c r="K86" s="1030">
        <f>SUMIF($AE$10:$AE$55,"A",$AB$10:$AB$55)</f>
        <v>1135.5099999999998</v>
      </c>
    </row>
    <row r="87" spans="2:289">
      <c r="E87" s="1026" t="s">
        <v>988</v>
      </c>
      <c r="F87" s="1027"/>
      <c r="G87" s="1027"/>
      <c r="H87" s="1027"/>
      <c r="I87" s="1027"/>
      <c r="J87" s="1015"/>
      <c r="K87" s="1030">
        <f>SUMIFS($AB$10:$AB$55,$AE$10:$AE$55,"A",$AC$10:$AC$55,"CA")</f>
        <v>0</v>
      </c>
      <c r="AH87" s="987"/>
      <c r="AI87" s="987"/>
      <c r="AJ87" s="987"/>
      <c r="AK87" s="987"/>
      <c r="AL87" s="987"/>
      <c r="AM87" s="987"/>
      <c r="AN87" s="987"/>
      <c r="AO87" s="987"/>
      <c r="AQ87" s="987"/>
      <c r="AR87" s="987"/>
      <c r="AS87" s="987"/>
      <c r="AT87" s="987"/>
      <c r="AU87" s="987"/>
      <c r="AV87" s="987"/>
      <c r="AW87" s="987"/>
      <c r="AX87" s="987"/>
      <c r="AY87" s="987"/>
      <c r="AZ87" s="987"/>
      <c r="BA87" s="987"/>
      <c r="BB87" s="987"/>
      <c r="BC87" s="987"/>
      <c r="BD87" s="987"/>
      <c r="BE87" s="987"/>
      <c r="BF87" s="987"/>
      <c r="BG87" s="987"/>
      <c r="BH87" s="987"/>
      <c r="BI87" s="987"/>
      <c r="BJ87" s="987"/>
      <c r="BK87" s="987"/>
      <c r="BL87" s="987"/>
      <c r="BM87" s="987"/>
      <c r="BN87" s="987"/>
      <c r="BO87" s="987"/>
      <c r="BP87" s="987"/>
      <c r="BQ87" s="987"/>
      <c r="BR87" s="987"/>
      <c r="BS87" s="987"/>
      <c r="BT87" s="987"/>
      <c r="BU87" s="987"/>
      <c r="BV87" s="987"/>
      <c r="BW87" s="987"/>
      <c r="BX87" s="987"/>
      <c r="BY87" s="987"/>
      <c r="BZ87" s="987"/>
      <c r="CA87" s="987"/>
      <c r="CB87" s="987"/>
      <c r="CC87" s="987"/>
      <c r="CD87" s="987"/>
      <c r="CE87" s="987"/>
      <c r="CF87" s="987"/>
      <c r="CG87" s="987"/>
      <c r="CH87" s="987"/>
      <c r="CI87" s="987"/>
      <c r="CJ87" s="987"/>
      <c r="CK87" s="987"/>
      <c r="CL87" s="987"/>
      <c r="CM87" s="987"/>
      <c r="CN87" s="987"/>
      <c r="IJ87" s="987"/>
      <c r="IK87" s="987"/>
      <c r="IL87" s="987"/>
      <c r="IM87" s="987"/>
      <c r="IN87" s="987"/>
      <c r="IO87" s="987"/>
      <c r="IP87" s="987"/>
      <c r="IQ87" s="987"/>
      <c r="IR87" s="987"/>
      <c r="IS87" s="987"/>
      <c r="IT87" s="987"/>
      <c r="IU87" s="987"/>
      <c r="IV87" s="987"/>
      <c r="IW87" s="987"/>
      <c r="IX87" s="987"/>
      <c r="IY87" s="987"/>
      <c r="JM87" s="987"/>
      <c r="JN87" s="987"/>
      <c r="KB87" s="987"/>
      <c r="KC87" s="987"/>
    </row>
    <row r="88" spans="2:289" ht="12.75" customHeight="1">
      <c r="E88" s="1026" t="s">
        <v>989</v>
      </c>
      <c r="F88" s="1027"/>
      <c r="G88" s="1027"/>
      <c r="H88" s="1027"/>
      <c r="I88" s="1027"/>
      <c r="J88" s="1015"/>
      <c r="K88" s="1030">
        <f>SUMIFS($AB$10:$AB$55,$AC$10:$AC$55,"CF")</f>
        <v>8396.2346153846174</v>
      </c>
      <c r="AH88" s="987"/>
      <c r="AI88" s="987"/>
      <c r="AJ88" s="987"/>
      <c r="AK88" s="987"/>
      <c r="AL88" s="987"/>
      <c r="AM88" s="987"/>
      <c r="AN88" s="987"/>
      <c r="AO88" s="987"/>
      <c r="AQ88" s="987"/>
      <c r="AR88" s="987"/>
      <c r="AS88" s="987"/>
      <c r="AT88" s="987"/>
      <c r="AU88" s="987"/>
      <c r="AV88" s="987"/>
      <c r="AW88" s="987"/>
      <c r="AX88" s="987"/>
      <c r="AY88" s="987"/>
      <c r="AZ88" s="987"/>
      <c r="BA88" s="987"/>
      <c r="BB88" s="987"/>
      <c r="BC88" s="987"/>
      <c r="BD88" s="987"/>
      <c r="BE88" s="987"/>
      <c r="BF88" s="987"/>
      <c r="BG88" s="987"/>
      <c r="BH88" s="987"/>
      <c r="BI88" s="987"/>
      <c r="BJ88" s="987"/>
      <c r="BK88" s="987"/>
      <c r="BL88" s="987"/>
      <c r="BM88" s="987"/>
      <c r="BN88" s="987"/>
      <c r="BO88" s="987"/>
      <c r="BP88" s="987"/>
      <c r="BQ88" s="987"/>
      <c r="BR88" s="987"/>
      <c r="BS88" s="987"/>
      <c r="BT88" s="987"/>
      <c r="BU88" s="987"/>
      <c r="BV88" s="987"/>
      <c r="BW88" s="987"/>
      <c r="BX88" s="987"/>
      <c r="BY88" s="987"/>
      <c r="BZ88" s="987"/>
      <c r="CA88" s="987"/>
      <c r="CB88" s="987"/>
      <c r="CC88" s="987"/>
      <c r="CD88" s="987"/>
      <c r="CE88" s="987"/>
      <c r="CF88" s="987"/>
      <c r="CG88" s="987"/>
      <c r="CH88" s="987"/>
      <c r="CI88" s="987"/>
      <c r="CJ88" s="987"/>
      <c r="CK88" s="987"/>
      <c r="CL88" s="987"/>
      <c r="CM88" s="987"/>
      <c r="CN88" s="987"/>
      <c r="IJ88" s="987"/>
      <c r="IK88" s="987"/>
      <c r="IL88" s="987"/>
      <c r="IM88" s="987"/>
      <c r="IN88" s="987"/>
      <c r="IO88" s="987"/>
      <c r="IP88" s="987"/>
      <c r="IQ88" s="987"/>
      <c r="IR88" s="987"/>
      <c r="IS88" s="987"/>
      <c r="IT88" s="987"/>
      <c r="IU88" s="987"/>
      <c r="IV88" s="987"/>
      <c r="IW88" s="987"/>
      <c r="IX88" s="987"/>
      <c r="IY88" s="987"/>
      <c r="JM88" s="987"/>
      <c r="JN88" s="987"/>
      <c r="KB88" s="987"/>
      <c r="KC88" s="987"/>
    </row>
    <row r="89" spans="2:289" ht="12.75" customHeight="1">
      <c r="E89" s="1026" t="s">
        <v>990</v>
      </c>
      <c r="F89" s="1027"/>
      <c r="G89" s="1027"/>
      <c r="H89" s="1027"/>
      <c r="I89" s="1027"/>
      <c r="J89" s="1015"/>
      <c r="K89" s="1030">
        <f>SUMIF($AE$10:$AE$55,"BFN",$AB$10:$AB$55)</f>
        <v>0</v>
      </c>
      <c r="AH89" s="987"/>
      <c r="AI89" s="987"/>
      <c r="AJ89" s="987"/>
      <c r="AK89" s="987"/>
      <c r="AL89" s="987"/>
      <c r="AM89" s="987"/>
      <c r="AN89" s="987"/>
      <c r="AO89" s="987"/>
      <c r="AQ89" s="987"/>
      <c r="AR89" s="987"/>
      <c r="AS89" s="987"/>
      <c r="AT89" s="987"/>
      <c r="AU89" s="987"/>
      <c r="AV89" s="987"/>
      <c r="AW89" s="987"/>
      <c r="AX89" s="987"/>
      <c r="AY89" s="987"/>
      <c r="AZ89" s="987"/>
      <c r="BA89" s="987"/>
      <c r="BB89" s="987"/>
      <c r="BC89" s="987"/>
      <c r="BD89" s="987"/>
      <c r="BE89" s="987"/>
      <c r="BF89" s="987"/>
      <c r="BG89" s="987"/>
      <c r="BH89" s="987"/>
      <c r="BI89" s="987"/>
      <c r="BJ89" s="987"/>
      <c r="BK89" s="987"/>
      <c r="BL89" s="987"/>
      <c r="BM89" s="987"/>
      <c r="BN89" s="987"/>
      <c r="BO89" s="987"/>
      <c r="BP89" s="987"/>
      <c r="BQ89" s="987"/>
      <c r="BR89" s="987"/>
      <c r="BS89" s="987"/>
      <c r="BT89" s="987"/>
      <c r="BU89" s="987"/>
      <c r="BV89" s="987"/>
      <c r="BW89" s="987"/>
      <c r="BX89" s="987"/>
      <c r="BY89" s="987"/>
      <c r="BZ89" s="987"/>
      <c r="CA89" s="987"/>
      <c r="CB89" s="987"/>
      <c r="CC89" s="987"/>
      <c r="CD89" s="987"/>
      <c r="CE89" s="987"/>
      <c r="CF89" s="987"/>
      <c r="CG89" s="987"/>
      <c r="CH89" s="987"/>
      <c r="CI89" s="987"/>
      <c r="CJ89" s="987"/>
      <c r="CK89" s="987"/>
      <c r="CL89" s="987"/>
      <c r="CM89" s="987"/>
      <c r="CN89" s="987"/>
      <c r="IJ89" s="987"/>
      <c r="IK89" s="987"/>
      <c r="IL89" s="987"/>
      <c r="IM89" s="987"/>
      <c r="IN89" s="987"/>
      <c r="IO89" s="987"/>
      <c r="IP89" s="987"/>
      <c r="IQ89" s="987"/>
      <c r="IR89" s="987"/>
      <c r="IS89" s="987"/>
      <c r="IT89" s="987"/>
      <c r="IU89" s="987"/>
      <c r="IV89" s="987"/>
      <c r="IW89" s="987"/>
      <c r="IX89" s="987"/>
      <c r="IY89" s="987"/>
      <c r="JM89" s="987"/>
      <c r="JN89" s="987"/>
      <c r="KB89" s="987"/>
      <c r="KC89" s="987"/>
    </row>
    <row r="90" spans="2:289">
      <c r="E90" s="1026" t="s">
        <v>991</v>
      </c>
      <c r="F90" s="1027"/>
      <c r="G90" s="1027"/>
      <c r="H90" s="1027"/>
      <c r="I90" s="1027"/>
      <c r="J90" s="1015"/>
      <c r="K90" s="1030">
        <f>SUMIF($AE$10:$AE$54,"BFC",$AB$10:$AB$55)</f>
        <v>0</v>
      </c>
      <c r="AH90" s="987"/>
      <c r="AI90" s="987"/>
      <c r="AJ90" s="987"/>
      <c r="AK90" s="987"/>
      <c r="AL90" s="987"/>
      <c r="AM90" s="987"/>
      <c r="AN90" s="987"/>
      <c r="AO90" s="987"/>
      <c r="AQ90" s="987"/>
      <c r="AR90" s="987"/>
      <c r="AS90" s="987"/>
      <c r="AT90" s="987"/>
      <c r="AU90" s="987"/>
      <c r="AV90" s="987"/>
      <c r="AW90" s="987"/>
      <c r="AX90" s="987"/>
      <c r="AY90" s="987"/>
      <c r="AZ90" s="987"/>
      <c r="BA90" s="987"/>
      <c r="BB90" s="987"/>
      <c r="BC90" s="987"/>
      <c r="BD90" s="987"/>
      <c r="BE90" s="987"/>
      <c r="BF90" s="987"/>
      <c r="BG90" s="987"/>
      <c r="BH90" s="987"/>
      <c r="BI90" s="987"/>
      <c r="BJ90" s="987"/>
      <c r="BK90" s="987"/>
      <c r="BL90" s="987"/>
      <c r="BM90" s="987"/>
      <c r="BN90" s="987"/>
      <c r="BO90" s="987"/>
      <c r="BP90" s="987"/>
      <c r="BQ90" s="987"/>
      <c r="BR90" s="987"/>
      <c r="BS90" s="987"/>
      <c r="BT90" s="987"/>
      <c r="BU90" s="987"/>
      <c r="BV90" s="987"/>
      <c r="BW90" s="987"/>
      <c r="BX90" s="987"/>
      <c r="BY90" s="987"/>
      <c r="BZ90" s="987"/>
      <c r="CA90" s="987"/>
      <c r="CB90" s="987"/>
      <c r="CC90" s="987"/>
      <c r="CD90" s="987"/>
      <c r="CE90" s="987"/>
      <c r="CF90" s="987"/>
      <c r="CG90" s="987"/>
      <c r="CH90" s="987"/>
      <c r="CI90" s="987"/>
      <c r="CJ90" s="987"/>
      <c r="CK90" s="987"/>
      <c r="CL90" s="987"/>
      <c r="CM90" s="987"/>
      <c r="CN90" s="987"/>
      <c r="IJ90" s="987"/>
      <c r="IK90" s="987"/>
      <c r="IL90" s="987"/>
      <c r="IM90" s="987"/>
      <c r="IN90" s="987"/>
      <c r="IO90" s="987"/>
      <c r="IP90" s="987"/>
      <c r="IQ90" s="987"/>
      <c r="IR90" s="987"/>
      <c r="IS90" s="987"/>
      <c r="IT90" s="987"/>
      <c r="IU90" s="987"/>
      <c r="IV90" s="987"/>
      <c r="IW90" s="987"/>
      <c r="IX90" s="987"/>
      <c r="IY90" s="987"/>
      <c r="JM90" s="987"/>
      <c r="JN90" s="987"/>
      <c r="KB90" s="987"/>
      <c r="KC90" s="987"/>
    </row>
    <row r="91" spans="2:289">
      <c r="E91" s="1026" t="s">
        <v>992</v>
      </c>
      <c r="F91" s="1027"/>
      <c r="G91" s="1027"/>
      <c r="H91" s="1027"/>
      <c r="I91" s="1027"/>
      <c r="J91" s="1027"/>
      <c r="K91" s="1028"/>
      <c r="AH91" s="987"/>
      <c r="AI91" s="987"/>
      <c r="AJ91" s="987"/>
      <c r="AK91" s="987"/>
      <c r="AL91" s="987"/>
      <c r="AM91" s="987"/>
      <c r="AN91" s="987"/>
      <c r="AO91" s="987"/>
      <c r="AQ91" s="987"/>
      <c r="AR91" s="987"/>
      <c r="AS91" s="987"/>
      <c r="AT91" s="987"/>
      <c r="AU91" s="987"/>
      <c r="AV91" s="987"/>
      <c r="AW91" s="987"/>
      <c r="AX91" s="987"/>
      <c r="AY91" s="987"/>
      <c r="AZ91" s="987"/>
      <c r="BA91" s="987"/>
      <c r="BB91" s="987"/>
      <c r="BC91" s="987"/>
      <c r="BD91" s="987"/>
      <c r="BE91" s="987"/>
      <c r="BF91" s="987"/>
      <c r="BG91" s="987"/>
      <c r="BH91" s="987"/>
      <c r="BI91" s="987"/>
      <c r="BJ91" s="987"/>
      <c r="BK91" s="987"/>
      <c r="BL91" s="987"/>
      <c r="BM91" s="987"/>
      <c r="BN91" s="987"/>
      <c r="BO91" s="987"/>
      <c r="BP91" s="987"/>
      <c r="BQ91" s="987"/>
      <c r="BR91" s="987"/>
      <c r="BS91" s="987"/>
      <c r="BT91" s="987"/>
      <c r="BU91" s="987"/>
      <c r="BV91" s="987"/>
      <c r="BW91" s="987"/>
      <c r="BX91" s="987"/>
      <c r="BY91" s="987"/>
      <c r="BZ91" s="987"/>
      <c r="CA91" s="987"/>
      <c r="CB91" s="987"/>
      <c r="CC91" s="987"/>
      <c r="CD91" s="987"/>
      <c r="CE91" s="987"/>
      <c r="CF91" s="987"/>
      <c r="CG91" s="987"/>
      <c r="CH91" s="987"/>
      <c r="CI91" s="987"/>
      <c r="CJ91" s="987"/>
      <c r="CK91" s="987"/>
      <c r="CL91" s="987"/>
      <c r="CM91" s="987"/>
      <c r="CN91" s="987"/>
      <c r="IJ91" s="987"/>
      <c r="IK91" s="987"/>
      <c r="IL91" s="987"/>
      <c r="IM91" s="987"/>
      <c r="IN91" s="987"/>
      <c r="IO91" s="987"/>
      <c r="IP91" s="987"/>
      <c r="IQ91" s="987"/>
      <c r="IR91" s="987"/>
      <c r="IS91" s="987"/>
      <c r="IT91" s="987"/>
      <c r="IU91" s="987"/>
      <c r="IV91" s="987"/>
      <c r="IW91" s="987"/>
      <c r="IX91" s="987"/>
      <c r="IY91" s="987"/>
      <c r="JM91" s="987"/>
      <c r="JN91" s="987"/>
      <c r="KB91" s="987"/>
      <c r="KC91" s="987"/>
    </row>
    <row r="92" spans="2:289">
      <c r="H92" s="955"/>
      <c r="J92" s="955"/>
      <c r="AH92" s="987"/>
      <c r="AI92" s="987"/>
      <c r="AJ92" s="987"/>
      <c r="AK92" s="987"/>
      <c r="AL92" s="987"/>
      <c r="AM92" s="987"/>
      <c r="AN92" s="987"/>
      <c r="AO92" s="987"/>
      <c r="AQ92" s="987"/>
      <c r="AR92" s="987"/>
      <c r="AS92" s="987"/>
      <c r="AT92" s="987"/>
      <c r="AU92" s="987"/>
      <c r="AV92" s="987"/>
      <c r="AW92" s="987"/>
      <c r="AX92" s="987"/>
      <c r="AY92" s="987"/>
      <c r="AZ92" s="987"/>
      <c r="BA92" s="987"/>
      <c r="BB92" s="987"/>
      <c r="BC92" s="987"/>
      <c r="BD92" s="987"/>
      <c r="BE92" s="987"/>
      <c r="BF92" s="987"/>
      <c r="BG92" s="987"/>
      <c r="BH92" s="987"/>
      <c r="BI92" s="987"/>
      <c r="BJ92" s="987"/>
      <c r="BK92" s="987"/>
      <c r="BL92" s="987"/>
      <c r="BM92" s="987"/>
      <c r="BN92" s="987"/>
      <c r="BO92" s="987"/>
      <c r="BP92" s="987"/>
      <c r="BQ92" s="987"/>
      <c r="BR92" s="987"/>
      <c r="BS92" s="987"/>
      <c r="BT92" s="987"/>
      <c r="BU92" s="987"/>
      <c r="BV92" s="987"/>
      <c r="BW92" s="987"/>
      <c r="BX92" s="987"/>
      <c r="BY92" s="987"/>
      <c r="BZ92" s="987"/>
      <c r="CA92" s="987"/>
      <c r="CB92" s="987"/>
      <c r="CC92" s="987"/>
      <c r="CD92" s="987"/>
      <c r="CE92" s="987"/>
      <c r="CF92" s="987"/>
      <c r="CG92" s="987"/>
      <c r="CH92" s="987"/>
      <c r="CI92" s="987"/>
      <c r="CJ92" s="987"/>
      <c r="CK92" s="987"/>
      <c r="CL92" s="987"/>
      <c r="CM92" s="987"/>
      <c r="CN92" s="987"/>
      <c r="IJ92" s="987"/>
      <c r="IK92" s="987"/>
      <c r="IL92" s="987"/>
      <c r="IM92" s="987"/>
      <c r="IN92" s="987"/>
      <c r="IO92" s="987"/>
      <c r="IP92" s="987"/>
      <c r="IQ92" s="987"/>
      <c r="IR92" s="987"/>
      <c r="IS92" s="987"/>
      <c r="IT92" s="987"/>
      <c r="IU92" s="987"/>
      <c r="IV92" s="987"/>
      <c r="IW92" s="987"/>
      <c r="IX92" s="987"/>
      <c r="IY92" s="987"/>
      <c r="JM92" s="987"/>
      <c r="JN92" s="987"/>
      <c r="KB92" s="987"/>
      <c r="KC92" s="987"/>
    </row>
    <row r="93" spans="2:289">
      <c r="E93" s="956"/>
      <c r="F93" s="956"/>
      <c r="G93" s="956"/>
      <c r="H93" s="956"/>
      <c r="I93" s="956"/>
      <c r="J93" s="956"/>
      <c r="K93" s="956"/>
      <c r="L93" s="956"/>
      <c r="M93" s="956"/>
      <c r="N93" s="956"/>
      <c r="O93" s="956"/>
      <c r="P93" s="956"/>
      <c r="Q93" s="956"/>
      <c r="R93" s="956"/>
      <c r="S93" s="956"/>
      <c r="T93" s="956"/>
      <c r="U93" s="956"/>
      <c r="AH93" s="987"/>
      <c r="AI93" s="987"/>
      <c r="AJ93" s="987"/>
      <c r="AK93" s="987"/>
      <c r="AL93" s="987"/>
      <c r="AM93" s="987"/>
      <c r="AN93" s="987"/>
      <c r="AO93" s="987"/>
      <c r="AQ93" s="987"/>
      <c r="AR93" s="987"/>
      <c r="AS93" s="987"/>
      <c r="AT93" s="987"/>
      <c r="AU93" s="987"/>
      <c r="AV93" s="987"/>
      <c r="AW93" s="987"/>
      <c r="AX93" s="987"/>
      <c r="AY93" s="987"/>
      <c r="AZ93" s="987"/>
      <c r="BA93" s="987"/>
      <c r="BB93" s="987"/>
      <c r="BC93" s="987"/>
      <c r="BD93" s="987"/>
      <c r="BE93" s="987"/>
      <c r="BF93" s="987"/>
      <c r="BG93" s="987"/>
      <c r="BH93" s="987"/>
      <c r="BI93" s="987"/>
      <c r="BJ93" s="987"/>
      <c r="BK93" s="987"/>
      <c r="BL93" s="987"/>
      <c r="BM93" s="987"/>
      <c r="BN93" s="987"/>
      <c r="BO93" s="987"/>
      <c r="BP93" s="987"/>
      <c r="BQ93" s="987"/>
      <c r="BR93" s="987"/>
      <c r="BS93" s="987"/>
      <c r="BT93" s="987"/>
      <c r="BU93" s="987"/>
      <c r="BV93" s="987"/>
      <c r="BW93" s="987"/>
      <c r="BX93" s="987"/>
      <c r="BY93" s="987"/>
      <c r="BZ93" s="987"/>
      <c r="CA93" s="987"/>
      <c r="CB93" s="987"/>
      <c r="CC93" s="987"/>
      <c r="CD93" s="987"/>
      <c r="CE93" s="987"/>
      <c r="CF93" s="987"/>
      <c r="CG93" s="987"/>
      <c r="CH93" s="987"/>
      <c r="CI93" s="987"/>
      <c r="CJ93" s="987"/>
      <c r="CK93" s="987"/>
      <c r="CL93" s="987"/>
      <c r="CM93" s="987"/>
      <c r="CN93" s="987"/>
      <c r="IJ93" s="987"/>
      <c r="IK93" s="987"/>
      <c r="IL93" s="987"/>
      <c r="IM93" s="987"/>
      <c r="IN93" s="987"/>
      <c r="IO93" s="987"/>
      <c r="IP93" s="987"/>
      <c r="IQ93" s="987"/>
      <c r="IR93" s="987"/>
      <c r="IS93" s="987"/>
      <c r="IT93" s="987"/>
      <c r="IU93" s="987"/>
      <c r="IV93" s="987"/>
      <c r="IW93" s="987"/>
      <c r="IX93" s="987"/>
      <c r="IY93" s="987"/>
      <c r="JM93" s="987"/>
      <c r="JN93" s="987"/>
      <c r="KB93" s="987"/>
      <c r="KC93" s="987"/>
    </row>
    <row r="94" spans="2:289">
      <c r="E94" s="956"/>
      <c r="F94" s="956"/>
      <c r="G94" s="956"/>
      <c r="H94" s="956"/>
      <c r="I94" s="956"/>
      <c r="J94" s="956"/>
      <c r="K94" s="956"/>
      <c r="L94" s="956"/>
      <c r="M94" s="956"/>
      <c r="N94" s="956"/>
      <c r="O94" s="956"/>
      <c r="P94" s="956"/>
      <c r="Q94" s="956"/>
      <c r="R94" s="956"/>
      <c r="S94" s="956"/>
      <c r="T94" s="956"/>
      <c r="U94" s="956"/>
      <c r="AH94" s="987"/>
      <c r="AI94" s="987"/>
      <c r="AJ94" s="987"/>
      <c r="AK94" s="987"/>
      <c r="AL94" s="987"/>
      <c r="AM94" s="987"/>
      <c r="AN94" s="987"/>
      <c r="AO94" s="987"/>
      <c r="AQ94" s="987"/>
      <c r="AR94" s="987"/>
      <c r="AS94" s="987"/>
      <c r="AT94" s="987"/>
      <c r="AU94" s="987"/>
      <c r="AV94" s="987"/>
      <c r="AW94" s="987"/>
      <c r="AX94" s="987"/>
      <c r="AY94" s="987"/>
      <c r="AZ94" s="987"/>
      <c r="BA94" s="987"/>
      <c r="BB94" s="987"/>
      <c r="BC94" s="987"/>
      <c r="BD94" s="987"/>
      <c r="BE94" s="987"/>
      <c r="BF94" s="987"/>
      <c r="BG94" s="987"/>
      <c r="BH94" s="987"/>
      <c r="BI94" s="987"/>
      <c r="BJ94" s="987"/>
      <c r="BK94" s="987"/>
      <c r="BL94" s="987"/>
      <c r="BM94" s="987"/>
      <c r="BN94" s="987"/>
      <c r="BO94" s="987"/>
      <c r="BP94" s="987"/>
      <c r="BQ94" s="987"/>
      <c r="BR94" s="987"/>
      <c r="BS94" s="987"/>
      <c r="BT94" s="987"/>
      <c r="BU94" s="987"/>
      <c r="BV94" s="987"/>
      <c r="BW94" s="987"/>
      <c r="BX94" s="987"/>
      <c r="BY94" s="987"/>
      <c r="BZ94" s="987"/>
      <c r="CA94" s="987"/>
      <c r="CB94" s="987"/>
      <c r="CC94" s="987"/>
      <c r="CD94" s="987"/>
      <c r="CE94" s="987"/>
      <c r="CF94" s="987"/>
      <c r="CG94" s="987"/>
      <c r="CH94" s="987"/>
      <c r="CI94" s="987"/>
      <c r="CJ94" s="987"/>
      <c r="CK94" s="987"/>
      <c r="CL94" s="987"/>
      <c r="CM94" s="987"/>
      <c r="CN94" s="987"/>
      <c r="IJ94" s="987"/>
      <c r="IK94" s="987"/>
      <c r="IL94" s="987"/>
      <c r="IM94" s="987"/>
      <c r="IN94" s="987"/>
      <c r="IO94" s="987"/>
      <c r="IP94" s="987"/>
      <c r="IQ94" s="987"/>
      <c r="IR94" s="987"/>
      <c r="IS94" s="987"/>
      <c r="IT94" s="987"/>
      <c r="IU94" s="987"/>
      <c r="IV94" s="987"/>
      <c r="IW94" s="987"/>
      <c r="IX94" s="987"/>
      <c r="IY94" s="987"/>
      <c r="JM94" s="987"/>
      <c r="JN94" s="987"/>
      <c r="KB94" s="987"/>
      <c r="KC94" s="987"/>
    </row>
    <row r="95" spans="2:289">
      <c r="E95" s="956"/>
      <c r="F95" s="956"/>
      <c r="G95" s="956"/>
      <c r="H95" s="956"/>
      <c r="I95" s="956"/>
      <c r="J95" s="956"/>
      <c r="K95" s="956"/>
      <c r="L95" s="956"/>
      <c r="M95" s="956"/>
      <c r="N95" s="956"/>
      <c r="O95" s="956"/>
      <c r="P95" s="956"/>
      <c r="Q95" s="956"/>
      <c r="R95" s="956"/>
      <c r="S95" s="956"/>
      <c r="T95" s="956"/>
      <c r="U95" s="956"/>
      <c r="AH95" s="987"/>
      <c r="AI95" s="987"/>
      <c r="AJ95" s="987"/>
      <c r="AK95" s="987"/>
      <c r="AL95" s="987"/>
      <c r="AM95" s="987"/>
      <c r="AN95" s="987"/>
      <c r="AO95" s="987"/>
      <c r="AQ95" s="987"/>
      <c r="AR95" s="987"/>
      <c r="AS95" s="987"/>
      <c r="AT95" s="987"/>
      <c r="AU95" s="987"/>
      <c r="AV95" s="987"/>
      <c r="AW95" s="987"/>
      <c r="AX95" s="987"/>
      <c r="AY95" s="987"/>
      <c r="AZ95" s="987"/>
      <c r="BA95" s="987"/>
      <c r="BB95" s="987"/>
      <c r="BC95" s="987"/>
      <c r="BD95" s="987"/>
      <c r="BE95" s="987"/>
      <c r="BF95" s="987"/>
      <c r="BG95" s="987"/>
      <c r="BH95" s="987"/>
      <c r="BI95" s="987"/>
      <c r="BJ95" s="987"/>
      <c r="BK95" s="987"/>
      <c r="BL95" s="987"/>
      <c r="BM95" s="987"/>
      <c r="BN95" s="987"/>
      <c r="BO95" s="987"/>
      <c r="BP95" s="987"/>
      <c r="BQ95" s="987"/>
      <c r="BR95" s="987"/>
      <c r="BS95" s="987"/>
      <c r="BT95" s="987"/>
      <c r="BU95" s="987"/>
      <c r="BV95" s="987"/>
      <c r="BW95" s="987"/>
      <c r="BX95" s="987"/>
      <c r="BY95" s="987"/>
      <c r="BZ95" s="987"/>
      <c r="CA95" s="987"/>
      <c r="CB95" s="987"/>
      <c r="CC95" s="987"/>
      <c r="CD95" s="987"/>
      <c r="CE95" s="987"/>
      <c r="CF95" s="987"/>
      <c r="CG95" s="987"/>
      <c r="CH95" s="987"/>
      <c r="CI95" s="987"/>
      <c r="CJ95" s="987"/>
      <c r="CK95" s="987"/>
      <c r="CL95" s="987"/>
      <c r="CM95" s="987"/>
      <c r="CN95" s="987"/>
      <c r="IJ95" s="987"/>
      <c r="IK95" s="987"/>
      <c r="IL95" s="987"/>
      <c r="IM95" s="987"/>
      <c r="IN95" s="987"/>
      <c r="IO95" s="987"/>
      <c r="IP95" s="987"/>
      <c r="IQ95" s="987"/>
      <c r="IR95" s="987"/>
      <c r="IS95" s="987"/>
      <c r="IT95" s="987"/>
      <c r="IU95" s="987"/>
      <c r="IV95" s="987"/>
      <c r="IW95" s="987"/>
      <c r="IX95" s="987"/>
      <c r="IY95" s="987"/>
      <c r="JM95" s="987"/>
      <c r="JN95" s="987"/>
      <c r="KB95" s="987"/>
      <c r="KC95" s="987"/>
    </row>
    <row r="96" spans="2:289">
      <c r="E96" s="956"/>
      <c r="F96" s="956"/>
      <c r="G96" s="956"/>
      <c r="H96" s="956"/>
      <c r="I96" s="956"/>
      <c r="J96" s="956"/>
      <c r="K96" s="956"/>
      <c r="L96" s="956"/>
      <c r="M96" s="956"/>
      <c r="N96" s="956"/>
      <c r="O96" s="956"/>
      <c r="P96" s="956"/>
      <c r="Q96" s="956"/>
      <c r="R96" s="956"/>
      <c r="S96" s="956"/>
      <c r="T96" s="956"/>
      <c r="U96" s="956"/>
      <c r="AH96" s="987"/>
      <c r="AI96" s="987"/>
      <c r="AJ96" s="987"/>
      <c r="AK96" s="987"/>
      <c r="AL96" s="987"/>
      <c r="AM96" s="987"/>
      <c r="AN96" s="987"/>
      <c r="AO96" s="987"/>
      <c r="AQ96" s="987"/>
      <c r="AR96" s="987"/>
      <c r="AS96" s="987"/>
      <c r="AT96" s="987"/>
      <c r="AU96" s="987"/>
      <c r="AV96" s="987"/>
      <c r="AW96" s="987"/>
      <c r="AX96" s="987"/>
      <c r="AY96" s="987"/>
      <c r="AZ96" s="987"/>
      <c r="BA96" s="987"/>
      <c r="BB96" s="987"/>
      <c r="BC96" s="987"/>
      <c r="BD96" s="987"/>
      <c r="BE96" s="987"/>
      <c r="BF96" s="987"/>
      <c r="BG96" s="987"/>
      <c r="BH96" s="987"/>
      <c r="BI96" s="987"/>
      <c r="BJ96" s="987"/>
      <c r="BK96" s="987"/>
      <c r="BL96" s="987"/>
      <c r="BM96" s="987"/>
      <c r="BN96" s="987"/>
      <c r="BO96" s="987"/>
      <c r="BP96" s="987"/>
      <c r="BQ96" s="987"/>
      <c r="BR96" s="987"/>
      <c r="BS96" s="987"/>
      <c r="BT96" s="987"/>
      <c r="BU96" s="987"/>
      <c r="BV96" s="987"/>
      <c r="BW96" s="987"/>
      <c r="BX96" s="987"/>
      <c r="BY96" s="987"/>
      <c r="BZ96" s="987"/>
      <c r="CA96" s="987"/>
      <c r="CB96" s="987"/>
      <c r="CC96" s="987"/>
      <c r="CD96" s="987"/>
      <c r="CE96" s="987"/>
      <c r="CF96" s="987"/>
      <c r="CG96" s="987"/>
      <c r="CH96" s="987"/>
      <c r="CI96" s="987"/>
      <c r="CJ96" s="987"/>
      <c r="CK96" s="987"/>
      <c r="CL96" s="987"/>
      <c r="CM96" s="987"/>
      <c r="CN96" s="987"/>
      <c r="IJ96" s="987"/>
      <c r="IK96" s="987"/>
      <c r="IL96" s="987"/>
      <c r="IM96" s="987"/>
      <c r="IN96" s="987"/>
      <c r="IO96" s="987"/>
      <c r="IP96" s="987"/>
      <c r="IQ96" s="987"/>
      <c r="IR96" s="987"/>
      <c r="IS96" s="987"/>
      <c r="IT96" s="987"/>
      <c r="IU96" s="987"/>
      <c r="IV96" s="987"/>
      <c r="IW96" s="987"/>
      <c r="IX96" s="987"/>
      <c r="IY96" s="987"/>
      <c r="JM96" s="987"/>
      <c r="JN96" s="987"/>
      <c r="KB96" s="987"/>
      <c r="KC96" s="987"/>
    </row>
    <row r="97" spans="5:289">
      <c r="E97" s="956"/>
      <c r="F97" s="956"/>
      <c r="G97" s="956"/>
      <c r="H97" s="956"/>
      <c r="I97" s="956"/>
      <c r="J97" s="956"/>
      <c r="K97" s="956"/>
      <c r="L97" s="956"/>
      <c r="M97" s="956"/>
      <c r="N97" s="956"/>
      <c r="O97" s="956"/>
      <c r="P97" s="956"/>
      <c r="Q97" s="956"/>
      <c r="R97" s="956"/>
      <c r="S97" s="956"/>
      <c r="T97" s="956"/>
      <c r="U97" s="956"/>
      <c r="AH97" s="987"/>
      <c r="AI97" s="987"/>
      <c r="AJ97" s="987"/>
      <c r="AK97" s="987"/>
      <c r="AL97" s="987"/>
      <c r="AM97" s="987"/>
      <c r="AN97" s="987"/>
      <c r="AO97" s="987"/>
      <c r="AQ97" s="987"/>
      <c r="AR97" s="987"/>
      <c r="AS97" s="987"/>
      <c r="AT97" s="987"/>
      <c r="AU97" s="987"/>
      <c r="AV97" s="987"/>
      <c r="AW97" s="987"/>
      <c r="AX97" s="987"/>
      <c r="AY97" s="987"/>
      <c r="AZ97" s="987"/>
      <c r="BA97" s="987"/>
      <c r="BB97" s="987"/>
      <c r="BC97" s="987"/>
      <c r="BD97" s="987"/>
      <c r="BE97" s="987"/>
      <c r="BF97" s="987"/>
      <c r="BG97" s="987"/>
      <c r="BH97" s="987"/>
      <c r="BI97" s="987"/>
      <c r="BJ97" s="987"/>
      <c r="BK97" s="987"/>
      <c r="BL97" s="987"/>
      <c r="BM97" s="987"/>
      <c r="BN97" s="987"/>
      <c r="BO97" s="987"/>
      <c r="BP97" s="987"/>
      <c r="BQ97" s="987"/>
      <c r="BR97" s="987"/>
      <c r="BS97" s="987"/>
      <c r="BT97" s="987"/>
      <c r="BU97" s="987"/>
      <c r="BV97" s="987"/>
      <c r="BW97" s="987"/>
      <c r="BX97" s="987"/>
      <c r="BY97" s="987"/>
      <c r="BZ97" s="987"/>
      <c r="CA97" s="987"/>
      <c r="CB97" s="987"/>
      <c r="CC97" s="987"/>
      <c r="CD97" s="987"/>
      <c r="CE97" s="987"/>
      <c r="CF97" s="987"/>
      <c r="CG97" s="987"/>
      <c r="CH97" s="987"/>
      <c r="CI97" s="987"/>
      <c r="CJ97" s="987"/>
      <c r="CK97" s="987"/>
      <c r="CL97" s="987"/>
      <c r="CM97" s="987"/>
      <c r="CN97" s="987"/>
      <c r="IJ97" s="987"/>
      <c r="IK97" s="987"/>
      <c r="IL97" s="987"/>
      <c r="IM97" s="987"/>
      <c r="IN97" s="987"/>
      <c r="IO97" s="987"/>
      <c r="IP97" s="987"/>
      <c r="IQ97" s="987"/>
      <c r="IR97" s="987"/>
      <c r="IS97" s="987"/>
      <c r="IT97" s="987"/>
      <c r="IU97" s="987"/>
      <c r="IV97" s="987"/>
      <c r="IW97" s="987"/>
      <c r="IX97" s="987"/>
      <c r="IY97" s="987"/>
      <c r="JM97" s="987"/>
      <c r="JN97" s="987"/>
      <c r="KB97" s="987"/>
      <c r="KC97" s="987"/>
    </row>
    <row r="98" spans="5:289">
      <c r="E98" s="956"/>
      <c r="F98" s="956"/>
      <c r="G98" s="956"/>
      <c r="H98" s="956"/>
      <c r="I98" s="956"/>
      <c r="J98" s="956"/>
      <c r="K98" s="956"/>
      <c r="L98" s="956"/>
      <c r="M98" s="956"/>
      <c r="N98" s="956"/>
      <c r="O98" s="956"/>
      <c r="P98" s="956"/>
      <c r="Q98" s="956"/>
      <c r="R98" s="956"/>
      <c r="S98" s="956"/>
      <c r="T98" s="956"/>
      <c r="U98" s="956"/>
      <c r="AH98" s="987"/>
      <c r="AI98" s="987"/>
      <c r="AJ98" s="987"/>
      <c r="AK98" s="987"/>
      <c r="AL98" s="987"/>
      <c r="AM98" s="987"/>
      <c r="AN98" s="987"/>
      <c r="AO98" s="987"/>
      <c r="AQ98" s="987"/>
      <c r="AR98" s="987"/>
      <c r="AS98" s="987"/>
      <c r="AT98" s="987"/>
      <c r="AU98" s="987"/>
      <c r="AV98" s="987"/>
      <c r="AW98" s="987"/>
      <c r="AX98" s="987"/>
      <c r="AY98" s="987"/>
      <c r="AZ98" s="987"/>
      <c r="BA98" s="987"/>
      <c r="BB98" s="987"/>
      <c r="BC98" s="987"/>
      <c r="BD98" s="987"/>
      <c r="BE98" s="987"/>
      <c r="BF98" s="987"/>
      <c r="BG98" s="987"/>
      <c r="BH98" s="987"/>
      <c r="BI98" s="987"/>
      <c r="BJ98" s="987"/>
      <c r="BK98" s="987"/>
      <c r="BL98" s="987"/>
      <c r="BM98" s="987"/>
      <c r="BN98" s="987"/>
      <c r="BO98" s="987"/>
      <c r="BP98" s="987"/>
      <c r="BQ98" s="987"/>
      <c r="BR98" s="987"/>
      <c r="BS98" s="987"/>
      <c r="BT98" s="987"/>
      <c r="BU98" s="987"/>
      <c r="BV98" s="987"/>
      <c r="BW98" s="987"/>
      <c r="BX98" s="987"/>
      <c r="BY98" s="987"/>
      <c r="BZ98" s="987"/>
      <c r="CA98" s="987"/>
      <c r="CB98" s="987"/>
      <c r="CC98" s="987"/>
      <c r="CD98" s="987"/>
      <c r="CE98" s="987"/>
      <c r="CF98" s="987"/>
      <c r="CG98" s="987"/>
      <c r="CH98" s="987"/>
      <c r="CI98" s="987"/>
      <c r="CJ98" s="987"/>
      <c r="CK98" s="987"/>
      <c r="CL98" s="987"/>
      <c r="CM98" s="987"/>
      <c r="CN98" s="987"/>
      <c r="IJ98" s="987"/>
      <c r="IK98" s="987"/>
      <c r="IL98" s="987"/>
      <c r="IM98" s="987"/>
      <c r="IN98" s="987"/>
      <c r="IO98" s="987"/>
      <c r="IP98" s="987"/>
      <c r="IQ98" s="987"/>
      <c r="IR98" s="987"/>
      <c r="IS98" s="987"/>
      <c r="IT98" s="987"/>
      <c r="IU98" s="987"/>
      <c r="IV98" s="987"/>
      <c r="IW98" s="987"/>
      <c r="IX98" s="987"/>
      <c r="IY98" s="987"/>
      <c r="JM98" s="987"/>
      <c r="JN98" s="987"/>
      <c r="KB98" s="987"/>
      <c r="KC98" s="987"/>
    </row>
    <row r="99" spans="5:289">
      <c r="E99" s="956"/>
      <c r="F99" s="956"/>
      <c r="G99" s="956"/>
      <c r="H99" s="956"/>
      <c r="I99" s="956"/>
      <c r="J99" s="956"/>
      <c r="K99" s="956"/>
      <c r="L99" s="956"/>
      <c r="M99" s="956"/>
      <c r="N99" s="956"/>
      <c r="O99" s="956"/>
      <c r="P99" s="956"/>
      <c r="Q99" s="956"/>
      <c r="R99" s="956"/>
      <c r="S99" s="956"/>
      <c r="T99" s="956"/>
      <c r="U99" s="956"/>
      <c r="AH99" s="987"/>
      <c r="AI99" s="987"/>
      <c r="AJ99" s="987"/>
      <c r="AK99" s="987"/>
      <c r="AL99" s="987"/>
      <c r="AM99" s="987"/>
      <c r="AN99" s="987"/>
      <c r="AO99" s="987"/>
      <c r="AQ99" s="987"/>
      <c r="AR99" s="987"/>
      <c r="AS99" s="987"/>
      <c r="AT99" s="987"/>
      <c r="AU99" s="987"/>
      <c r="AV99" s="987"/>
      <c r="AW99" s="987"/>
      <c r="AX99" s="987"/>
      <c r="AY99" s="987"/>
      <c r="AZ99" s="987"/>
      <c r="BA99" s="987"/>
      <c r="BB99" s="987"/>
      <c r="BC99" s="987"/>
      <c r="BD99" s="987"/>
      <c r="BE99" s="987"/>
      <c r="BF99" s="987"/>
      <c r="BG99" s="987"/>
      <c r="BH99" s="987"/>
      <c r="BI99" s="987"/>
      <c r="BJ99" s="987"/>
      <c r="BK99" s="987"/>
      <c r="BL99" s="987"/>
      <c r="BM99" s="987"/>
      <c r="BN99" s="987"/>
      <c r="BO99" s="987"/>
      <c r="BP99" s="987"/>
      <c r="BQ99" s="987"/>
      <c r="BR99" s="987"/>
      <c r="BS99" s="987"/>
      <c r="BT99" s="987"/>
      <c r="BU99" s="987"/>
      <c r="BV99" s="987"/>
      <c r="BW99" s="987"/>
      <c r="BX99" s="987"/>
      <c r="BY99" s="987"/>
      <c r="BZ99" s="987"/>
      <c r="CA99" s="987"/>
      <c r="CB99" s="987"/>
      <c r="CC99" s="987"/>
      <c r="CD99" s="987"/>
      <c r="CE99" s="987"/>
      <c r="CF99" s="987"/>
      <c r="CG99" s="987"/>
      <c r="CH99" s="987"/>
      <c r="CI99" s="987"/>
      <c r="CJ99" s="987"/>
      <c r="CK99" s="987"/>
      <c r="CL99" s="987"/>
      <c r="CM99" s="987"/>
      <c r="CN99" s="987"/>
      <c r="IJ99" s="987"/>
      <c r="IK99" s="987"/>
      <c r="IL99" s="987"/>
      <c r="IM99" s="987"/>
      <c r="IN99" s="987"/>
      <c r="IO99" s="987"/>
      <c r="IP99" s="987"/>
      <c r="IQ99" s="987"/>
      <c r="IR99" s="987"/>
      <c r="IS99" s="987"/>
      <c r="IT99" s="987"/>
      <c r="IU99" s="987"/>
      <c r="IV99" s="987"/>
      <c r="IW99" s="987"/>
      <c r="IX99" s="987"/>
      <c r="IY99" s="987"/>
      <c r="JM99" s="987"/>
      <c r="JN99" s="987"/>
      <c r="KB99" s="987"/>
      <c r="KC99" s="987"/>
    </row>
    <row r="100" spans="5:289">
      <c r="E100" s="956"/>
      <c r="F100" s="956"/>
      <c r="G100" s="956"/>
      <c r="H100" s="956"/>
      <c r="I100" s="956"/>
      <c r="J100" s="956"/>
      <c r="K100" s="956"/>
      <c r="L100" s="956"/>
      <c r="M100" s="956"/>
      <c r="N100" s="956"/>
      <c r="O100" s="956"/>
      <c r="P100" s="956"/>
      <c r="Q100" s="956"/>
      <c r="R100" s="956"/>
      <c r="S100" s="956"/>
      <c r="T100" s="956"/>
      <c r="U100" s="956"/>
      <c r="AH100" s="987"/>
      <c r="AI100" s="987"/>
      <c r="AJ100" s="987"/>
      <c r="AK100" s="987"/>
      <c r="AL100" s="987"/>
      <c r="AM100" s="987"/>
      <c r="AN100" s="987"/>
      <c r="AO100" s="987"/>
      <c r="AQ100" s="987"/>
      <c r="AR100" s="987"/>
      <c r="AS100" s="987"/>
      <c r="AT100" s="987"/>
      <c r="AU100" s="987"/>
      <c r="AV100" s="987"/>
      <c r="AW100" s="987"/>
      <c r="AX100" s="987"/>
      <c r="AY100" s="987"/>
      <c r="AZ100" s="987"/>
      <c r="BA100" s="987"/>
      <c r="BB100" s="987"/>
      <c r="BC100" s="987"/>
      <c r="BD100" s="987"/>
      <c r="BE100" s="987"/>
      <c r="BF100" s="987"/>
      <c r="BG100" s="987"/>
      <c r="BH100" s="987"/>
      <c r="BI100" s="987"/>
      <c r="BJ100" s="987"/>
      <c r="BK100" s="987"/>
      <c r="BL100" s="987"/>
      <c r="BM100" s="987"/>
      <c r="BN100" s="987"/>
      <c r="BO100" s="987"/>
      <c r="BP100" s="987"/>
      <c r="BQ100" s="987"/>
      <c r="BR100" s="987"/>
      <c r="BS100" s="987"/>
      <c r="BT100" s="987"/>
      <c r="BU100" s="987"/>
      <c r="BV100" s="987"/>
      <c r="BW100" s="987"/>
      <c r="BX100" s="987"/>
      <c r="BY100" s="987"/>
      <c r="BZ100" s="987"/>
      <c r="CA100" s="987"/>
      <c r="CB100" s="987"/>
      <c r="CC100" s="987"/>
      <c r="CD100" s="987"/>
      <c r="CE100" s="987"/>
      <c r="CF100" s="987"/>
      <c r="CG100" s="987"/>
      <c r="CH100" s="987"/>
      <c r="CI100" s="987"/>
      <c r="CJ100" s="987"/>
      <c r="CK100" s="987"/>
      <c r="CL100" s="987"/>
      <c r="CM100" s="987"/>
      <c r="CN100" s="987"/>
      <c r="IJ100" s="987"/>
      <c r="IK100" s="987"/>
      <c r="IL100" s="987"/>
      <c r="IM100" s="987"/>
      <c r="IN100" s="987"/>
      <c r="IO100" s="987"/>
      <c r="IP100" s="987"/>
      <c r="IQ100" s="987"/>
      <c r="IR100" s="987"/>
      <c r="IS100" s="987"/>
      <c r="IT100" s="987"/>
      <c r="IU100" s="987"/>
      <c r="IV100" s="987"/>
      <c r="IW100" s="987"/>
      <c r="IX100" s="987"/>
      <c r="IY100" s="987"/>
      <c r="JM100" s="987"/>
      <c r="JN100" s="987"/>
      <c r="KB100" s="987"/>
      <c r="KC100" s="987"/>
    </row>
    <row r="101" spans="5:289">
      <c r="E101" s="956"/>
      <c r="F101" s="956"/>
      <c r="G101" s="956"/>
      <c r="H101" s="956"/>
      <c r="I101" s="956"/>
      <c r="J101" s="956"/>
      <c r="K101" s="956"/>
      <c r="L101" s="956"/>
      <c r="M101" s="956"/>
      <c r="N101" s="956"/>
      <c r="O101" s="956"/>
      <c r="P101" s="956"/>
      <c r="Q101" s="956"/>
      <c r="R101" s="956"/>
      <c r="S101" s="956"/>
      <c r="T101" s="956"/>
      <c r="U101" s="956"/>
      <c r="AH101" s="987"/>
      <c r="AI101" s="987"/>
      <c r="AJ101" s="987"/>
      <c r="AK101" s="987"/>
      <c r="AL101" s="987"/>
      <c r="AM101" s="987"/>
      <c r="AN101" s="987"/>
      <c r="AO101" s="987"/>
      <c r="AQ101" s="987"/>
      <c r="AR101" s="987"/>
      <c r="AS101" s="987"/>
      <c r="AT101" s="987"/>
      <c r="AU101" s="987"/>
      <c r="AV101" s="987"/>
      <c r="AW101" s="987"/>
      <c r="AX101" s="987"/>
      <c r="AY101" s="987"/>
      <c r="AZ101" s="987"/>
      <c r="BA101" s="987"/>
      <c r="BB101" s="987"/>
      <c r="BC101" s="987"/>
      <c r="BD101" s="987"/>
      <c r="BE101" s="987"/>
      <c r="BF101" s="987"/>
      <c r="BG101" s="987"/>
      <c r="BH101" s="987"/>
      <c r="BI101" s="987"/>
      <c r="BJ101" s="987"/>
      <c r="BK101" s="987"/>
      <c r="BL101" s="987"/>
      <c r="BM101" s="987"/>
      <c r="BN101" s="987"/>
      <c r="BO101" s="987"/>
      <c r="BP101" s="987"/>
      <c r="BQ101" s="987"/>
      <c r="BR101" s="987"/>
      <c r="BS101" s="987"/>
      <c r="BT101" s="987"/>
      <c r="BU101" s="987"/>
      <c r="BV101" s="987"/>
      <c r="BW101" s="987"/>
      <c r="BX101" s="987"/>
      <c r="BY101" s="987"/>
      <c r="BZ101" s="987"/>
      <c r="CA101" s="987"/>
      <c r="CB101" s="987"/>
      <c r="CC101" s="987"/>
      <c r="CD101" s="987"/>
      <c r="CE101" s="987"/>
      <c r="CF101" s="987"/>
      <c r="CG101" s="987"/>
      <c r="CH101" s="987"/>
      <c r="CI101" s="987"/>
      <c r="CJ101" s="987"/>
      <c r="CK101" s="987"/>
      <c r="CL101" s="987"/>
      <c r="CM101" s="987"/>
      <c r="CN101" s="987"/>
      <c r="IJ101" s="987"/>
      <c r="IK101" s="987"/>
      <c r="IL101" s="987"/>
      <c r="IM101" s="987"/>
      <c r="IN101" s="987"/>
      <c r="IO101" s="987"/>
      <c r="IP101" s="987"/>
      <c r="IQ101" s="987"/>
      <c r="IR101" s="987"/>
      <c r="IS101" s="987"/>
      <c r="IT101" s="987"/>
      <c r="IU101" s="987"/>
      <c r="IV101" s="987"/>
      <c r="IW101" s="987"/>
      <c r="IX101" s="987"/>
      <c r="IY101" s="987"/>
      <c r="JM101" s="987"/>
      <c r="JN101" s="987"/>
      <c r="KB101" s="987"/>
      <c r="KC101" s="987"/>
    </row>
    <row r="102" spans="5:289">
      <c r="E102" s="956"/>
      <c r="F102" s="956"/>
      <c r="G102" s="956"/>
      <c r="H102" s="956"/>
      <c r="I102" s="956"/>
      <c r="J102" s="956"/>
      <c r="K102" s="956"/>
      <c r="L102" s="956"/>
      <c r="M102" s="956"/>
      <c r="N102" s="956"/>
      <c r="O102" s="956"/>
      <c r="P102" s="956"/>
      <c r="Q102" s="956"/>
      <c r="R102" s="956"/>
      <c r="S102" s="956"/>
      <c r="T102" s="956"/>
      <c r="U102" s="956"/>
      <c r="AH102" s="987"/>
      <c r="AI102" s="987"/>
      <c r="AJ102" s="987"/>
      <c r="AK102" s="987"/>
      <c r="AL102" s="987"/>
      <c r="AM102" s="987"/>
      <c r="AN102" s="987"/>
      <c r="AO102" s="987"/>
      <c r="AQ102" s="987"/>
      <c r="AR102" s="987"/>
      <c r="AS102" s="987"/>
      <c r="AT102" s="987"/>
      <c r="AU102" s="987"/>
      <c r="AV102" s="987"/>
      <c r="AW102" s="987"/>
      <c r="AX102" s="987"/>
      <c r="AY102" s="987"/>
      <c r="AZ102" s="987"/>
      <c r="BA102" s="987"/>
      <c r="BB102" s="987"/>
      <c r="BC102" s="987"/>
      <c r="BD102" s="987"/>
      <c r="BE102" s="987"/>
      <c r="BF102" s="987"/>
      <c r="BG102" s="987"/>
      <c r="BH102" s="987"/>
      <c r="BI102" s="987"/>
      <c r="BJ102" s="987"/>
      <c r="BK102" s="987"/>
      <c r="BL102" s="987"/>
      <c r="BM102" s="987"/>
      <c r="BN102" s="987"/>
      <c r="BO102" s="987"/>
      <c r="BP102" s="987"/>
      <c r="BQ102" s="987"/>
      <c r="BR102" s="987"/>
      <c r="BS102" s="987"/>
      <c r="BT102" s="987"/>
      <c r="BU102" s="987"/>
      <c r="BV102" s="987"/>
      <c r="BW102" s="987"/>
      <c r="BX102" s="987"/>
      <c r="BY102" s="987"/>
      <c r="BZ102" s="987"/>
      <c r="CA102" s="987"/>
      <c r="CB102" s="987"/>
      <c r="CC102" s="987"/>
      <c r="CD102" s="987"/>
      <c r="CE102" s="987"/>
      <c r="CF102" s="987"/>
      <c r="CG102" s="987"/>
      <c r="CH102" s="987"/>
      <c r="CI102" s="987"/>
      <c r="CJ102" s="987"/>
      <c r="CK102" s="987"/>
      <c r="CL102" s="987"/>
      <c r="CM102" s="987"/>
      <c r="CN102" s="987"/>
      <c r="IJ102" s="987"/>
      <c r="IK102" s="987"/>
      <c r="IL102" s="987"/>
      <c r="IM102" s="987"/>
      <c r="IN102" s="987"/>
      <c r="IO102" s="987"/>
      <c r="IP102" s="987"/>
      <c r="IQ102" s="987"/>
      <c r="IR102" s="987"/>
      <c r="IS102" s="987"/>
      <c r="IT102" s="987"/>
      <c r="IU102" s="987"/>
      <c r="IV102" s="987"/>
      <c r="IW102" s="987"/>
      <c r="IX102" s="987"/>
      <c r="IY102" s="987"/>
      <c r="JM102" s="987"/>
      <c r="JN102" s="987"/>
      <c r="KB102" s="987"/>
      <c r="KC102" s="987"/>
    </row>
    <row r="103" spans="5:289">
      <c r="E103" s="956"/>
      <c r="F103" s="956"/>
      <c r="G103" s="956"/>
      <c r="H103" s="956"/>
      <c r="I103" s="956"/>
      <c r="J103" s="956"/>
      <c r="K103" s="956"/>
      <c r="L103" s="956"/>
      <c r="M103" s="956"/>
      <c r="N103" s="956"/>
      <c r="O103" s="956"/>
      <c r="P103" s="956"/>
      <c r="Q103" s="956"/>
      <c r="R103" s="956"/>
      <c r="S103" s="956"/>
      <c r="T103" s="956"/>
      <c r="U103" s="956"/>
      <c r="AH103" s="987"/>
      <c r="AI103" s="987"/>
      <c r="AJ103" s="987"/>
      <c r="AK103" s="987"/>
      <c r="AL103" s="987"/>
      <c r="AM103" s="987"/>
      <c r="AN103" s="987"/>
      <c r="AO103" s="987"/>
      <c r="AQ103" s="987"/>
      <c r="AR103" s="987"/>
      <c r="AS103" s="987"/>
      <c r="AT103" s="987"/>
      <c r="AU103" s="987"/>
      <c r="AV103" s="987"/>
      <c r="AW103" s="987"/>
      <c r="AX103" s="987"/>
      <c r="AY103" s="987"/>
      <c r="AZ103" s="987"/>
      <c r="BA103" s="987"/>
      <c r="BB103" s="987"/>
      <c r="BC103" s="987"/>
      <c r="BD103" s="987"/>
      <c r="BE103" s="987"/>
      <c r="BF103" s="987"/>
      <c r="BG103" s="987"/>
      <c r="BH103" s="987"/>
      <c r="BI103" s="987"/>
      <c r="BJ103" s="987"/>
      <c r="BK103" s="987"/>
      <c r="BL103" s="987"/>
      <c r="BM103" s="987"/>
      <c r="BN103" s="987"/>
      <c r="BO103" s="987"/>
      <c r="BP103" s="987"/>
      <c r="BQ103" s="987"/>
      <c r="BR103" s="987"/>
      <c r="BS103" s="987"/>
      <c r="BT103" s="987"/>
      <c r="BU103" s="987"/>
      <c r="BV103" s="987"/>
      <c r="BW103" s="987"/>
      <c r="BX103" s="987"/>
      <c r="BY103" s="987"/>
      <c r="BZ103" s="987"/>
      <c r="CA103" s="987"/>
      <c r="CB103" s="987"/>
      <c r="CC103" s="987"/>
      <c r="CD103" s="987"/>
      <c r="CE103" s="987"/>
      <c r="CF103" s="987"/>
      <c r="CG103" s="987"/>
      <c r="CH103" s="987"/>
      <c r="CI103" s="987"/>
      <c r="CJ103" s="987"/>
      <c r="CK103" s="987"/>
      <c r="CL103" s="987"/>
      <c r="CM103" s="987"/>
      <c r="CN103" s="987"/>
      <c r="IJ103" s="987"/>
      <c r="IK103" s="987"/>
      <c r="IL103" s="987"/>
      <c r="IM103" s="987"/>
      <c r="IN103" s="987"/>
      <c r="IO103" s="987"/>
      <c r="IP103" s="987"/>
      <c r="IQ103" s="987"/>
      <c r="IR103" s="987"/>
      <c r="IS103" s="987"/>
      <c r="IT103" s="987"/>
      <c r="IU103" s="987"/>
      <c r="IV103" s="987"/>
      <c r="IW103" s="987"/>
      <c r="IX103" s="987"/>
      <c r="IY103" s="987"/>
      <c r="JM103" s="987"/>
      <c r="JN103" s="987"/>
      <c r="KB103" s="987"/>
      <c r="KC103" s="987"/>
    </row>
    <row r="104" spans="5:289">
      <c r="E104" s="956"/>
      <c r="F104" s="956"/>
      <c r="G104" s="956"/>
      <c r="H104" s="956"/>
      <c r="I104" s="956"/>
      <c r="J104" s="956"/>
      <c r="K104" s="956"/>
      <c r="L104" s="956"/>
      <c r="M104" s="956"/>
      <c r="N104" s="956"/>
      <c r="O104" s="956"/>
      <c r="P104" s="956"/>
      <c r="Q104" s="956"/>
      <c r="R104" s="956"/>
      <c r="S104" s="956"/>
      <c r="T104" s="956"/>
      <c r="U104" s="956"/>
      <c r="AH104" s="987"/>
      <c r="AI104" s="987"/>
      <c r="AJ104" s="987"/>
      <c r="AK104" s="987"/>
      <c r="AL104" s="987"/>
      <c r="AM104" s="987"/>
      <c r="AN104" s="987"/>
      <c r="AO104" s="987"/>
      <c r="AQ104" s="987"/>
      <c r="AR104" s="987"/>
      <c r="AS104" s="987"/>
      <c r="AT104" s="987"/>
      <c r="AU104" s="987"/>
      <c r="AV104" s="987"/>
      <c r="AW104" s="987"/>
      <c r="AX104" s="987"/>
      <c r="AY104" s="987"/>
      <c r="AZ104" s="987"/>
      <c r="BA104" s="987"/>
      <c r="BB104" s="987"/>
      <c r="BC104" s="987"/>
      <c r="BD104" s="987"/>
      <c r="BE104" s="987"/>
      <c r="BF104" s="987"/>
      <c r="BG104" s="987"/>
      <c r="BH104" s="987"/>
      <c r="BI104" s="987"/>
      <c r="BJ104" s="987"/>
      <c r="BK104" s="987"/>
      <c r="BL104" s="987"/>
      <c r="BM104" s="987"/>
      <c r="BN104" s="987"/>
      <c r="BO104" s="987"/>
      <c r="BP104" s="987"/>
      <c r="BQ104" s="987"/>
      <c r="BR104" s="987"/>
      <c r="BS104" s="987"/>
      <c r="BT104" s="987"/>
      <c r="BU104" s="987"/>
      <c r="BV104" s="987"/>
      <c r="BW104" s="987"/>
      <c r="BX104" s="987"/>
      <c r="BY104" s="987"/>
      <c r="BZ104" s="987"/>
      <c r="CA104" s="987"/>
      <c r="CB104" s="987"/>
      <c r="CC104" s="987"/>
      <c r="CD104" s="987"/>
      <c r="CE104" s="987"/>
      <c r="CF104" s="987"/>
      <c r="CG104" s="987"/>
      <c r="CH104" s="987"/>
      <c r="CI104" s="987"/>
      <c r="CJ104" s="987"/>
      <c r="CK104" s="987"/>
      <c r="CL104" s="987"/>
      <c r="CM104" s="987"/>
      <c r="CN104" s="987"/>
      <c r="IJ104" s="987"/>
      <c r="IK104" s="987"/>
      <c r="IL104" s="987"/>
      <c r="IM104" s="987"/>
      <c r="IN104" s="987"/>
      <c r="IO104" s="987"/>
      <c r="IP104" s="987"/>
      <c r="IQ104" s="987"/>
      <c r="IR104" s="987"/>
      <c r="IS104" s="987"/>
      <c r="IT104" s="987"/>
      <c r="IU104" s="987"/>
      <c r="IV104" s="987"/>
      <c r="IW104" s="987"/>
      <c r="IX104" s="987"/>
      <c r="IY104" s="987"/>
      <c r="JM104" s="987"/>
      <c r="JN104" s="987"/>
      <c r="KB104" s="987"/>
      <c r="KC104" s="987"/>
    </row>
    <row r="105" spans="5:289">
      <c r="E105" s="956"/>
      <c r="F105" s="956"/>
      <c r="G105" s="956"/>
      <c r="H105" s="956"/>
      <c r="I105" s="956"/>
      <c r="J105" s="956"/>
      <c r="K105" s="956"/>
      <c r="L105" s="956"/>
      <c r="M105" s="956"/>
      <c r="N105" s="956"/>
      <c r="O105" s="956"/>
      <c r="P105" s="956"/>
      <c r="Q105" s="956"/>
      <c r="R105" s="956"/>
      <c r="S105" s="956"/>
      <c r="T105" s="956"/>
      <c r="U105" s="956"/>
      <c r="AH105" s="987"/>
      <c r="AI105" s="987"/>
      <c r="AJ105" s="987"/>
      <c r="AK105" s="987"/>
      <c r="AL105" s="987"/>
      <c r="AM105" s="987"/>
      <c r="AN105" s="987"/>
      <c r="AO105" s="987"/>
      <c r="AQ105" s="987"/>
      <c r="AR105" s="987"/>
      <c r="AS105" s="987"/>
      <c r="AT105" s="987"/>
      <c r="AU105" s="987"/>
      <c r="AV105" s="987"/>
      <c r="AW105" s="987"/>
      <c r="AX105" s="987"/>
      <c r="AY105" s="987"/>
      <c r="AZ105" s="987"/>
      <c r="BA105" s="987"/>
      <c r="BB105" s="987"/>
      <c r="BC105" s="987"/>
      <c r="BD105" s="987"/>
      <c r="BE105" s="987"/>
      <c r="BF105" s="987"/>
      <c r="BG105" s="987"/>
      <c r="BH105" s="987"/>
      <c r="BI105" s="987"/>
      <c r="BJ105" s="987"/>
      <c r="BK105" s="987"/>
      <c r="BL105" s="987"/>
      <c r="BM105" s="987"/>
      <c r="BN105" s="987"/>
      <c r="BO105" s="987"/>
      <c r="BP105" s="987"/>
      <c r="BQ105" s="987"/>
      <c r="BR105" s="987"/>
      <c r="BS105" s="987"/>
      <c r="BT105" s="987"/>
      <c r="BU105" s="987"/>
      <c r="BV105" s="987"/>
      <c r="BW105" s="987"/>
      <c r="BX105" s="987"/>
      <c r="BY105" s="987"/>
      <c r="BZ105" s="987"/>
      <c r="CA105" s="987"/>
      <c r="CB105" s="987"/>
      <c r="CC105" s="987"/>
      <c r="CD105" s="987"/>
      <c r="CE105" s="987"/>
      <c r="CF105" s="987"/>
      <c r="CG105" s="987"/>
      <c r="CH105" s="987"/>
      <c r="CI105" s="987"/>
      <c r="CJ105" s="987"/>
      <c r="CK105" s="987"/>
      <c r="CL105" s="987"/>
      <c r="CM105" s="987"/>
      <c r="CN105" s="987"/>
      <c r="IJ105" s="987"/>
      <c r="IK105" s="987"/>
      <c r="IL105" s="987"/>
      <c r="IM105" s="987"/>
      <c r="IN105" s="987"/>
      <c r="IO105" s="987"/>
      <c r="IP105" s="987"/>
      <c r="IQ105" s="987"/>
      <c r="IR105" s="987"/>
      <c r="IS105" s="987"/>
      <c r="IT105" s="987"/>
      <c r="IU105" s="987"/>
      <c r="IV105" s="987"/>
      <c r="IW105" s="987"/>
      <c r="IX105" s="987"/>
      <c r="IY105" s="987"/>
      <c r="JM105" s="987"/>
      <c r="JN105" s="987"/>
      <c r="KB105" s="987"/>
      <c r="KC105" s="987"/>
    </row>
    <row r="106" spans="5:289">
      <c r="E106" s="956"/>
      <c r="F106" s="956"/>
      <c r="G106" s="956"/>
      <c r="H106" s="956"/>
      <c r="I106" s="956"/>
      <c r="J106" s="956"/>
      <c r="K106" s="956"/>
      <c r="L106" s="956"/>
      <c r="M106" s="956"/>
      <c r="N106" s="956"/>
      <c r="O106" s="956"/>
      <c r="P106" s="956"/>
      <c r="Q106" s="956"/>
      <c r="R106" s="956"/>
      <c r="S106" s="956"/>
      <c r="T106" s="956"/>
      <c r="U106" s="956"/>
      <c r="AH106" s="987"/>
      <c r="AI106" s="987"/>
      <c r="AJ106" s="987"/>
      <c r="AK106" s="987"/>
      <c r="AL106" s="987"/>
      <c r="AM106" s="987"/>
      <c r="AN106" s="987"/>
      <c r="AO106" s="987"/>
      <c r="AQ106" s="987"/>
      <c r="AR106" s="987"/>
      <c r="AS106" s="987"/>
      <c r="AT106" s="987"/>
      <c r="AU106" s="987"/>
      <c r="AV106" s="987"/>
      <c r="AW106" s="987"/>
      <c r="AX106" s="987"/>
      <c r="AY106" s="987"/>
      <c r="AZ106" s="987"/>
      <c r="BA106" s="987"/>
      <c r="BB106" s="987"/>
      <c r="BC106" s="987"/>
      <c r="BD106" s="987"/>
      <c r="BE106" s="987"/>
      <c r="BF106" s="987"/>
      <c r="BG106" s="987"/>
      <c r="BH106" s="987"/>
      <c r="BI106" s="987"/>
      <c r="BJ106" s="987"/>
      <c r="BK106" s="987"/>
      <c r="BL106" s="987"/>
      <c r="BM106" s="987"/>
      <c r="BN106" s="987"/>
      <c r="BO106" s="987"/>
      <c r="BP106" s="987"/>
      <c r="BQ106" s="987"/>
      <c r="BR106" s="987"/>
      <c r="BS106" s="987"/>
      <c r="BT106" s="987"/>
      <c r="BU106" s="987"/>
      <c r="BV106" s="987"/>
      <c r="BW106" s="987"/>
      <c r="BX106" s="987"/>
      <c r="BY106" s="987"/>
      <c r="BZ106" s="987"/>
      <c r="CA106" s="987"/>
      <c r="CB106" s="987"/>
      <c r="CC106" s="987"/>
      <c r="CD106" s="987"/>
      <c r="CE106" s="987"/>
      <c r="CF106" s="987"/>
      <c r="CG106" s="987"/>
      <c r="CH106" s="987"/>
      <c r="CI106" s="987"/>
      <c r="CJ106" s="987"/>
      <c r="CK106" s="987"/>
      <c r="CL106" s="987"/>
      <c r="CM106" s="987"/>
      <c r="CN106" s="987"/>
      <c r="IJ106" s="987"/>
      <c r="IK106" s="987"/>
      <c r="IL106" s="987"/>
      <c r="IM106" s="987"/>
      <c r="IN106" s="987"/>
      <c r="IO106" s="987"/>
      <c r="IP106" s="987"/>
      <c r="IQ106" s="987"/>
      <c r="IR106" s="987"/>
      <c r="IS106" s="987"/>
      <c r="IT106" s="987"/>
      <c r="IU106" s="987"/>
      <c r="IV106" s="987"/>
      <c r="IW106" s="987"/>
      <c r="IX106" s="987"/>
      <c r="IY106" s="987"/>
      <c r="JM106" s="987"/>
      <c r="JN106" s="987"/>
      <c r="KB106" s="987"/>
      <c r="KC106" s="987"/>
    </row>
    <row r="107" spans="5:289">
      <c r="AH107" s="987"/>
      <c r="AI107" s="987"/>
      <c r="AJ107" s="987"/>
      <c r="AK107" s="987"/>
      <c r="AL107" s="987"/>
      <c r="AM107" s="987"/>
      <c r="AN107" s="987"/>
      <c r="AO107" s="987"/>
      <c r="AQ107" s="987"/>
      <c r="AR107" s="987"/>
      <c r="AS107" s="987"/>
      <c r="AT107" s="987"/>
      <c r="AU107" s="987"/>
      <c r="AV107" s="987"/>
      <c r="AW107" s="987"/>
      <c r="AX107" s="987"/>
      <c r="AY107" s="987"/>
      <c r="AZ107" s="987"/>
      <c r="BA107" s="987"/>
      <c r="BB107" s="987"/>
      <c r="BC107" s="987"/>
      <c r="BD107" s="987"/>
      <c r="BE107" s="987"/>
      <c r="BF107" s="987"/>
      <c r="BG107" s="987"/>
      <c r="BH107" s="987"/>
      <c r="BI107" s="987"/>
      <c r="BJ107" s="987"/>
      <c r="BK107" s="987"/>
      <c r="BL107" s="987"/>
      <c r="BM107" s="987"/>
      <c r="BN107" s="987"/>
      <c r="BO107" s="987"/>
      <c r="BP107" s="987"/>
      <c r="BQ107" s="987"/>
      <c r="BR107" s="987"/>
      <c r="BS107" s="987"/>
      <c r="BT107" s="987"/>
      <c r="BU107" s="987"/>
      <c r="BV107" s="987"/>
      <c r="BW107" s="987"/>
      <c r="BX107" s="987"/>
      <c r="BY107" s="987"/>
      <c r="BZ107" s="987"/>
      <c r="CA107" s="987"/>
      <c r="CB107" s="987"/>
      <c r="CC107" s="987"/>
      <c r="CD107" s="987"/>
      <c r="CE107" s="987"/>
      <c r="CF107" s="987"/>
      <c r="CG107" s="987"/>
      <c r="CH107" s="987"/>
      <c r="CI107" s="987"/>
      <c r="CJ107" s="987"/>
      <c r="CK107" s="987"/>
      <c r="CL107" s="987"/>
      <c r="CM107" s="987"/>
      <c r="CN107" s="987"/>
      <c r="IJ107" s="987"/>
      <c r="IK107" s="987"/>
      <c r="IL107" s="987"/>
      <c r="IM107" s="987"/>
      <c r="IN107" s="987"/>
      <c r="IO107" s="987"/>
      <c r="IP107" s="987"/>
      <c r="IQ107" s="987"/>
      <c r="IR107" s="987"/>
      <c r="IS107" s="987"/>
      <c r="IT107" s="987"/>
      <c r="IU107" s="987"/>
      <c r="IV107" s="987"/>
      <c r="IW107" s="987"/>
      <c r="IX107" s="987"/>
      <c r="IY107" s="987"/>
      <c r="JM107" s="987"/>
      <c r="JN107" s="987"/>
      <c r="KB107" s="987"/>
      <c r="KC107" s="987"/>
    </row>
    <row r="108" spans="5:289">
      <c r="AH108" s="987"/>
      <c r="AI108" s="987"/>
      <c r="AJ108" s="987"/>
      <c r="AK108" s="987"/>
      <c r="AL108" s="987"/>
      <c r="AM108" s="987"/>
      <c r="AN108" s="987"/>
      <c r="AO108" s="987"/>
      <c r="AQ108" s="987"/>
      <c r="AR108" s="987"/>
      <c r="AS108" s="987"/>
      <c r="AT108" s="987"/>
      <c r="AU108" s="987"/>
      <c r="AV108" s="987"/>
      <c r="AW108" s="987"/>
      <c r="AX108" s="987"/>
      <c r="AY108" s="987"/>
      <c r="AZ108" s="987"/>
      <c r="BA108" s="987"/>
      <c r="BB108" s="987"/>
      <c r="BC108" s="987"/>
      <c r="BD108" s="987"/>
      <c r="BE108" s="987"/>
      <c r="BF108" s="987"/>
      <c r="BG108" s="987"/>
      <c r="BH108" s="987"/>
      <c r="BI108" s="987"/>
      <c r="BJ108" s="987"/>
      <c r="BK108" s="987"/>
      <c r="BL108" s="987"/>
      <c r="BM108" s="987"/>
      <c r="BN108" s="987"/>
      <c r="BO108" s="987"/>
      <c r="BP108" s="987"/>
      <c r="BQ108" s="987"/>
      <c r="BR108" s="987"/>
      <c r="BS108" s="987"/>
      <c r="BT108" s="987"/>
      <c r="BU108" s="987"/>
      <c r="BV108" s="987"/>
      <c r="BW108" s="987"/>
      <c r="BX108" s="987"/>
      <c r="BY108" s="987"/>
      <c r="BZ108" s="987"/>
      <c r="CA108" s="987"/>
      <c r="CB108" s="987"/>
      <c r="CC108" s="987"/>
      <c r="CD108" s="987"/>
      <c r="CE108" s="987"/>
      <c r="CF108" s="987"/>
      <c r="CG108" s="987"/>
      <c r="CH108" s="987"/>
      <c r="CI108" s="987"/>
      <c r="CJ108" s="987"/>
      <c r="CK108" s="987"/>
      <c r="CL108" s="987"/>
      <c r="CM108" s="987"/>
      <c r="CN108" s="987"/>
      <c r="IJ108" s="987"/>
      <c r="IK108" s="987"/>
      <c r="IL108" s="987"/>
      <c r="IM108" s="987"/>
      <c r="IN108" s="987"/>
      <c r="IO108" s="987"/>
      <c r="IP108" s="987"/>
      <c r="IQ108" s="987"/>
      <c r="IR108" s="987"/>
      <c r="IS108" s="987"/>
      <c r="IT108" s="987"/>
      <c r="IU108" s="987"/>
      <c r="IV108" s="987"/>
      <c r="IW108" s="987"/>
      <c r="IX108" s="987"/>
      <c r="IY108" s="987"/>
      <c r="JM108" s="987"/>
      <c r="JN108" s="987"/>
      <c r="KB108" s="987"/>
      <c r="KC108" s="987"/>
    </row>
    <row r="109" spans="5:289" ht="15.75">
      <c r="P109" s="2038" t="s">
        <v>943</v>
      </c>
      <c r="Q109" s="2039"/>
      <c r="R109" s="2039"/>
      <c r="S109" s="2039"/>
      <c r="T109" s="2039"/>
      <c r="U109" s="2039"/>
      <c r="V109" s="2039"/>
      <c r="W109" s="2040"/>
      <c r="AH109" s="987"/>
      <c r="AI109" s="987"/>
      <c r="AJ109" s="987"/>
      <c r="AK109" s="987"/>
      <c r="AL109" s="987"/>
      <c r="AM109" s="987"/>
      <c r="AN109" s="987"/>
      <c r="AO109" s="987"/>
      <c r="AQ109" s="987"/>
      <c r="AR109" s="987"/>
      <c r="AS109" s="987"/>
      <c r="AT109" s="987"/>
      <c r="AU109" s="987"/>
      <c r="AV109" s="987"/>
      <c r="AW109" s="987"/>
      <c r="AX109" s="987"/>
      <c r="AY109" s="987"/>
      <c r="AZ109" s="987"/>
      <c r="BA109" s="987"/>
      <c r="BB109" s="987"/>
      <c r="BC109" s="987"/>
      <c r="BD109" s="987"/>
      <c r="BE109" s="987"/>
      <c r="BF109" s="987"/>
      <c r="BG109" s="987"/>
      <c r="BH109" s="987"/>
      <c r="BI109" s="987"/>
      <c r="BJ109" s="987"/>
      <c r="BK109" s="987"/>
      <c r="BL109" s="987"/>
      <c r="BM109" s="987"/>
      <c r="BN109" s="987"/>
      <c r="BO109" s="987"/>
      <c r="BP109" s="987"/>
      <c r="BQ109" s="987"/>
      <c r="BR109" s="987"/>
      <c r="BS109" s="987"/>
      <c r="BT109" s="987"/>
      <c r="BU109" s="987"/>
      <c r="BV109" s="987"/>
      <c r="BW109" s="987"/>
      <c r="BX109" s="987"/>
      <c r="BY109" s="987"/>
      <c r="BZ109" s="987"/>
      <c r="CA109" s="987"/>
      <c r="CB109" s="987"/>
      <c r="CC109" s="987"/>
      <c r="CD109" s="987"/>
      <c r="CE109" s="987"/>
      <c r="CF109" s="987"/>
      <c r="CG109" s="987"/>
      <c r="CH109" s="987"/>
      <c r="CI109" s="987"/>
      <c r="CJ109" s="987"/>
      <c r="CK109" s="987"/>
      <c r="CL109" s="987"/>
      <c r="CM109" s="987"/>
      <c r="CN109" s="987"/>
      <c r="IJ109" s="987"/>
      <c r="IK109" s="987"/>
      <c r="IL109" s="987"/>
      <c r="IM109" s="987"/>
      <c r="IN109" s="987"/>
      <c r="IO109" s="987"/>
      <c r="IP109" s="987"/>
      <c r="IQ109" s="987"/>
      <c r="IR109" s="987"/>
      <c r="IS109" s="987"/>
      <c r="IT109" s="987"/>
      <c r="IU109" s="987"/>
      <c r="IV109" s="987"/>
      <c r="IW109" s="987"/>
      <c r="IX109" s="987"/>
      <c r="IY109" s="987"/>
      <c r="JM109" s="987"/>
      <c r="JN109" s="987"/>
      <c r="KB109" s="987"/>
      <c r="KC109" s="987"/>
    </row>
    <row r="110" spans="5:289">
      <c r="P110" s="1024"/>
      <c r="Q110" s="995"/>
      <c r="R110" s="995"/>
      <c r="S110" s="995"/>
      <c r="T110" s="995"/>
      <c r="U110" s="995"/>
      <c r="V110" s="995"/>
      <c r="W110" s="1029"/>
      <c r="AH110" s="987"/>
      <c r="AI110" s="987"/>
      <c r="AJ110" s="987"/>
      <c r="AK110" s="987"/>
      <c r="AL110" s="987"/>
      <c r="AM110" s="987"/>
      <c r="AN110" s="987"/>
      <c r="AO110" s="987"/>
      <c r="AQ110" s="987"/>
      <c r="AR110" s="987"/>
      <c r="AS110" s="987"/>
      <c r="AT110" s="987"/>
      <c r="AU110" s="987"/>
      <c r="AV110" s="987"/>
      <c r="AW110" s="987"/>
      <c r="AX110" s="987"/>
      <c r="AY110" s="987"/>
      <c r="AZ110" s="987"/>
      <c r="BA110" s="987"/>
      <c r="BB110" s="987"/>
      <c r="BC110" s="987"/>
      <c r="BD110" s="987"/>
      <c r="BE110" s="987"/>
      <c r="BF110" s="987"/>
      <c r="BG110" s="987"/>
      <c r="BH110" s="987"/>
      <c r="BI110" s="987"/>
      <c r="BJ110" s="987"/>
      <c r="BK110" s="987"/>
      <c r="BL110" s="987"/>
      <c r="BM110" s="987"/>
      <c r="BN110" s="987"/>
      <c r="BO110" s="987"/>
      <c r="BP110" s="987"/>
      <c r="BQ110" s="987"/>
      <c r="BR110" s="987"/>
      <c r="BS110" s="987"/>
      <c r="BT110" s="987"/>
      <c r="BU110" s="987"/>
      <c r="BV110" s="987"/>
      <c r="BW110" s="987"/>
      <c r="BX110" s="987"/>
      <c r="BY110" s="987"/>
      <c r="BZ110" s="987"/>
      <c r="CA110" s="987"/>
      <c r="CB110" s="987"/>
      <c r="CC110" s="987"/>
      <c r="CD110" s="987"/>
      <c r="CE110" s="987"/>
      <c r="CF110" s="987"/>
      <c r="CG110" s="987"/>
      <c r="CH110" s="987"/>
      <c r="CI110" s="987"/>
      <c r="CJ110" s="987"/>
      <c r="CK110" s="987"/>
      <c r="CL110" s="987"/>
      <c r="CM110" s="987"/>
      <c r="CN110" s="987"/>
      <c r="IJ110" s="987"/>
      <c r="IK110" s="987"/>
      <c r="IL110" s="987"/>
      <c r="IM110" s="987"/>
      <c r="IN110" s="987"/>
      <c r="IO110" s="987"/>
      <c r="IP110" s="987"/>
      <c r="IQ110" s="987"/>
      <c r="IR110" s="987"/>
      <c r="IS110" s="987"/>
      <c r="IT110" s="987"/>
      <c r="IU110" s="987"/>
      <c r="IV110" s="987"/>
      <c r="IW110" s="987"/>
      <c r="IX110" s="987"/>
      <c r="IY110" s="987"/>
      <c r="JM110" s="987"/>
      <c r="JN110" s="987"/>
      <c r="KB110" s="987"/>
      <c r="KC110" s="987"/>
    </row>
    <row r="111" spans="5:289">
      <c r="P111" s="1031"/>
      <c r="Q111" s="1025" t="s">
        <v>945</v>
      </c>
      <c r="R111" s="2033" t="s">
        <v>789</v>
      </c>
      <c r="S111" s="2034"/>
      <c r="T111" s="2034"/>
      <c r="U111" s="2034"/>
      <c r="V111" s="2035"/>
      <c r="W111" s="1032"/>
      <c r="AH111" s="987"/>
      <c r="AI111" s="987"/>
      <c r="AJ111" s="987"/>
      <c r="AK111" s="987"/>
      <c r="AL111" s="987"/>
      <c r="AM111" s="987"/>
      <c r="AN111" s="987"/>
      <c r="AO111" s="987"/>
      <c r="AQ111" s="987"/>
      <c r="AR111" s="987"/>
      <c r="AS111" s="987"/>
      <c r="AT111" s="987"/>
      <c r="AU111" s="987"/>
      <c r="AV111" s="987"/>
      <c r="AW111" s="987"/>
      <c r="AX111" s="987"/>
      <c r="AY111" s="987"/>
      <c r="AZ111" s="987"/>
      <c r="BA111" s="987"/>
      <c r="BB111" s="987"/>
      <c r="BC111" s="987"/>
      <c r="BD111" s="987"/>
      <c r="BE111" s="987"/>
      <c r="BF111" s="987"/>
      <c r="BG111" s="987"/>
      <c r="BH111" s="987"/>
      <c r="BI111" s="987"/>
      <c r="BJ111" s="987"/>
      <c r="BK111" s="987"/>
      <c r="BL111" s="987"/>
      <c r="BM111" s="987"/>
      <c r="BN111" s="987"/>
      <c r="BO111" s="987"/>
      <c r="BP111" s="987"/>
      <c r="BQ111" s="987"/>
      <c r="BR111" s="987"/>
      <c r="BS111" s="987"/>
      <c r="BT111" s="987"/>
      <c r="BU111" s="987"/>
      <c r="BV111" s="987"/>
      <c r="BW111" s="987"/>
      <c r="BX111" s="987"/>
      <c r="BY111" s="987"/>
      <c r="BZ111" s="987"/>
      <c r="CA111" s="987"/>
      <c r="CB111" s="987"/>
      <c r="CC111" s="987"/>
      <c r="CD111" s="987"/>
      <c r="CE111" s="987"/>
      <c r="CF111" s="987"/>
      <c r="CG111" s="987"/>
      <c r="CH111" s="987"/>
      <c r="CI111" s="987"/>
      <c r="CJ111" s="987"/>
      <c r="CK111" s="987"/>
      <c r="CL111" s="987"/>
      <c r="CM111" s="987"/>
      <c r="CN111" s="987"/>
      <c r="IJ111" s="987"/>
      <c r="IK111" s="987"/>
      <c r="IL111" s="987"/>
      <c r="IM111" s="987"/>
      <c r="IN111" s="987"/>
      <c r="IO111" s="987"/>
      <c r="IP111" s="987"/>
      <c r="IQ111" s="987"/>
      <c r="IR111" s="987"/>
      <c r="IS111" s="987"/>
      <c r="IT111" s="987"/>
      <c r="IU111" s="987"/>
      <c r="IV111" s="987"/>
      <c r="IW111" s="987"/>
      <c r="IX111" s="987"/>
      <c r="IY111" s="987"/>
      <c r="JM111" s="987"/>
      <c r="JN111" s="987"/>
      <c r="KB111" s="987"/>
      <c r="KC111" s="987"/>
    </row>
    <row r="112" spans="5:289">
      <c r="P112" s="1031"/>
      <c r="Q112" s="1025" t="s">
        <v>947</v>
      </c>
      <c r="R112" s="2033" t="s">
        <v>788</v>
      </c>
      <c r="S112" s="2034"/>
      <c r="T112" s="2034"/>
      <c r="U112" s="2034"/>
      <c r="V112" s="2035"/>
      <c r="W112" s="1032"/>
      <c r="AH112" s="987"/>
      <c r="AI112" s="987"/>
      <c r="AJ112" s="987"/>
      <c r="AK112" s="987"/>
      <c r="AL112" s="987"/>
      <c r="AM112" s="987"/>
      <c r="AN112" s="987"/>
      <c r="AO112" s="987"/>
      <c r="AQ112" s="987"/>
      <c r="AR112" s="987"/>
      <c r="AS112" s="987"/>
      <c r="AT112" s="987"/>
      <c r="AU112" s="987"/>
      <c r="AV112" s="987"/>
      <c r="AW112" s="987"/>
      <c r="AX112" s="987"/>
      <c r="AY112" s="987"/>
      <c r="AZ112" s="987"/>
      <c r="BA112" s="987"/>
      <c r="BB112" s="987"/>
      <c r="BC112" s="987"/>
      <c r="BD112" s="987"/>
      <c r="BE112" s="987"/>
      <c r="BF112" s="987"/>
      <c r="BG112" s="987"/>
      <c r="BH112" s="987"/>
      <c r="BI112" s="987"/>
      <c r="BJ112" s="987"/>
      <c r="BK112" s="987"/>
      <c r="BL112" s="987"/>
      <c r="BM112" s="987"/>
      <c r="BN112" s="987"/>
      <c r="BO112" s="987"/>
      <c r="BP112" s="987"/>
      <c r="BQ112" s="987"/>
      <c r="BR112" s="987"/>
      <c r="BS112" s="987"/>
      <c r="BT112" s="987"/>
      <c r="BU112" s="987"/>
      <c r="BV112" s="987"/>
      <c r="BW112" s="987"/>
      <c r="BX112" s="987"/>
      <c r="BY112" s="987"/>
      <c r="BZ112" s="987"/>
      <c r="CA112" s="987"/>
      <c r="CB112" s="987"/>
      <c r="CC112" s="987"/>
      <c r="CD112" s="987"/>
      <c r="CE112" s="987"/>
      <c r="CF112" s="987"/>
      <c r="CG112" s="987"/>
      <c r="CH112" s="987"/>
      <c r="CI112" s="987"/>
      <c r="CJ112" s="987"/>
      <c r="CK112" s="987"/>
      <c r="CL112" s="987"/>
      <c r="CM112" s="987"/>
      <c r="CN112" s="987"/>
      <c r="IJ112" s="987"/>
      <c r="IK112" s="987"/>
      <c r="IL112" s="987"/>
      <c r="IM112" s="987"/>
      <c r="IN112" s="987"/>
      <c r="IO112" s="987"/>
      <c r="IP112" s="987"/>
      <c r="IQ112" s="987"/>
      <c r="IR112" s="987"/>
      <c r="IS112" s="987"/>
      <c r="IT112" s="987"/>
      <c r="IU112" s="987"/>
      <c r="IV112" s="987"/>
      <c r="IW112" s="987"/>
      <c r="IX112" s="987"/>
      <c r="IY112" s="987"/>
      <c r="JM112" s="987"/>
      <c r="JN112" s="987"/>
      <c r="KB112" s="987"/>
      <c r="KC112" s="987"/>
    </row>
    <row r="113" spans="16:289">
      <c r="P113" s="1031"/>
      <c r="Q113" s="1025" t="s">
        <v>949</v>
      </c>
      <c r="R113" s="2033" t="s">
        <v>948</v>
      </c>
      <c r="S113" s="2034"/>
      <c r="T113" s="2034"/>
      <c r="U113" s="2034"/>
      <c r="V113" s="2035"/>
      <c r="W113" s="1032"/>
      <c r="AH113" s="987"/>
      <c r="AI113" s="987"/>
      <c r="AJ113" s="987"/>
      <c r="AK113" s="987"/>
      <c r="AL113" s="987"/>
      <c r="AM113" s="987"/>
      <c r="AN113" s="987"/>
      <c r="AO113" s="987"/>
      <c r="AQ113" s="987"/>
      <c r="AR113" s="987"/>
      <c r="AS113" s="987"/>
      <c r="AT113" s="987"/>
      <c r="AU113" s="987"/>
      <c r="AV113" s="987"/>
      <c r="AW113" s="987"/>
      <c r="AX113" s="987"/>
      <c r="AY113" s="987"/>
      <c r="AZ113" s="987"/>
      <c r="BA113" s="987"/>
      <c r="BB113" s="987"/>
      <c r="BC113" s="987"/>
      <c r="BD113" s="987"/>
      <c r="BE113" s="987"/>
      <c r="BF113" s="987"/>
      <c r="BG113" s="987"/>
      <c r="BH113" s="987"/>
      <c r="BI113" s="987"/>
      <c r="BJ113" s="987"/>
      <c r="BK113" s="987"/>
      <c r="BL113" s="987"/>
      <c r="BM113" s="987"/>
      <c r="BN113" s="987"/>
      <c r="BO113" s="987"/>
      <c r="BP113" s="987"/>
      <c r="BQ113" s="987"/>
      <c r="BR113" s="987"/>
      <c r="BS113" s="987"/>
      <c r="BT113" s="987"/>
      <c r="BU113" s="987"/>
      <c r="BV113" s="987"/>
      <c r="BW113" s="987"/>
      <c r="BX113" s="987"/>
      <c r="BY113" s="987"/>
      <c r="BZ113" s="987"/>
      <c r="CA113" s="987"/>
      <c r="CB113" s="987"/>
      <c r="CC113" s="987"/>
      <c r="CD113" s="987"/>
      <c r="CE113" s="987"/>
      <c r="CF113" s="987"/>
      <c r="CG113" s="987"/>
      <c r="CH113" s="987"/>
      <c r="CI113" s="987"/>
      <c r="CJ113" s="987"/>
      <c r="CK113" s="987"/>
      <c r="CL113" s="987"/>
      <c r="CM113" s="987"/>
      <c r="CN113" s="987"/>
      <c r="IJ113" s="987"/>
      <c r="IK113" s="987"/>
      <c r="IL113" s="987"/>
      <c r="IM113" s="987"/>
      <c r="IN113" s="987"/>
      <c r="IO113" s="987"/>
      <c r="IP113" s="987"/>
      <c r="IQ113" s="987"/>
      <c r="IR113" s="987"/>
      <c r="IS113" s="987"/>
      <c r="IT113" s="987"/>
      <c r="IU113" s="987"/>
      <c r="IV113" s="987"/>
      <c r="IW113" s="987"/>
      <c r="IX113" s="987"/>
      <c r="IY113" s="987"/>
      <c r="JM113" s="987"/>
      <c r="JN113" s="987"/>
      <c r="KB113" s="987"/>
      <c r="KC113" s="987"/>
    </row>
    <row r="114" spans="16:289">
      <c r="P114" s="1031"/>
      <c r="Q114" s="1025" t="s">
        <v>951</v>
      </c>
      <c r="R114" s="2033" t="s">
        <v>952</v>
      </c>
      <c r="S114" s="2034"/>
      <c r="T114" s="2034"/>
      <c r="U114" s="2034"/>
      <c r="V114" s="2035"/>
      <c r="W114" s="1032"/>
      <c r="AH114" s="987"/>
      <c r="AI114" s="987"/>
      <c r="AJ114" s="987"/>
      <c r="AK114" s="987"/>
      <c r="AL114" s="987"/>
      <c r="AM114" s="987"/>
      <c r="AN114" s="987"/>
      <c r="AO114" s="987"/>
      <c r="AQ114" s="987"/>
      <c r="AR114" s="987"/>
      <c r="AS114" s="987"/>
      <c r="AT114" s="987"/>
      <c r="AU114" s="987"/>
      <c r="AV114" s="987"/>
      <c r="AW114" s="987"/>
      <c r="AX114" s="987"/>
      <c r="AY114" s="987"/>
      <c r="AZ114" s="987"/>
      <c r="BA114" s="987"/>
      <c r="BB114" s="987"/>
      <c r="BC114" s="987"/>
      <c r="BD114" s="987"/>
      <c r="BE114" s="987"/>
      <c r="BF114" s="987"/>
      <c r="BG114" s="987"/>
      <c r="BH114" s="987"/>
      <c r="BI114" s="987"/>
      <c r="BJ114" s="987"/>
      <c r="BK114" s="987"/>
      <c r="BL114" s="987"/>
      <c r="BM114" s="987"/>
      <c r="BN114" s="987"/>
      <c r="BO114" s="987"/>
      <c r="BP114" s="987"/>
      <c r="BQ114" s="987"/>
      <c r="BR114" s="987"/>
      <c r="BS114" s="987"/>
      <c r="BT114" s="987"/>
      <c r="BU114" s="987"/>
      <c r="BV114" s="987"/>
      <c r="BW114" s="987"/>
      <c r="BX114" s="987"/>
      <c r="BY114" s="987"/>
      <c r="BZ114" s="987"/>
      <c r="CA114" s="987"/>
      <c r="CB114" s="987"/>
      <c r="CC114" s="987"/>
      <c r="CD114" s="987"/>
      <c r="CE114" s="987"/>
      <c r="CF114" s="987"/>
      <c r="CG114" s="987"/>
      <c r="CH114" s="987"/>
      <c r="CI114" s="987"/>
      <c r="CJ114" s="987"/>
      <c r="CK114" s="987"/>
      <c r="CL114" s="987"/>
      <c r="CM114" s="987"/>
      <c r="CN114" s="987"/>
      <c r="IJ114" s="987"/>
      <c r="IK114" s="987"/>
      <c r="IL114" s="987"/>
      <c r="IM114" s="987"/>
      <c r="IN114" s="987"/>
      <c r="IO114" s="987"/>
      <c r="IP114" s="987"/>
      <c r="IQ114" s="987"/>
      <c r="IR114" s="987"/>
      <c r="IS114" s="987"/>
      <c r="IT114" s="987"/>
      <c r="IU114" s="987"/>
      <c r="IV114" s="987"/>
      <c r="IW114" s="987"/>
      <c r="IX114" s="987"/>
      <c r="IY114" s="987"/>
      <c r="JM114" s="987"/>
      <c r="JN114" s="987"/>
      <c r="KB114" s="987"/>
      <c r="KC114" s="987"/>
    </row>
    <row r="115" spans="16:289">
      <c r="P115" s="1031"/>
      <c r="Q115" s="1025" t="s">
        <v>954</v>
      </c>
      <c r="R115" s="2033" t="s">
        <v>955</v>
      </c>
      <c r="S115" s="2034"/>
      <c r="T115" s="2034"/>
      <c r="U115" s="2034"/>
      <c r="V115" s="2035"/>
      <c r="W115" s="1032"/>
      <c r="AH115" s="987"/>
      <c r="AI115" s="987"/>
      <c r="AJ115" s="987"/>
      <c r="AK115" s="987"/>
      <c r="AL115" s="987"/>
      <c r="AM115" s="987"/>
      <c r="AN115" s="987"/>
      <c r="AO115" s="987"/>
      <c r="AQ115" s="987"/>
      <c r="AR115" s="987"/>
      <c r="AS115" s="987"/>
      <c r="AT115" s="987"/>
      <c r="AU115" s="987"/>
      <c r="AV115" s="987"/>
      <c r="AW115" s="987"/>
      <c r="AX115" s="987"/>
      <c r="AY115" s="987"/>
      <c r="AZ115" s="987"/>
      <c r="BA115" s="987"/>
      <c r="BB115" s="987"/>
      <c r="BC115" s="987"/>
      <c r="BD115" s="987"/>
      <c r="BE115" s="987"/>
      <c r="BF115" s="987"/>
      <c r="BG115" s="987"/>
      <c r="BH115" s="987"/>
      <c r="BI115" s="987"/>
      <c r="BJ115" s="987"/>
      <c r="BK115" s="987"/>
      <c r="BL115" s="987"/>
      <c r="BM115" s="987"/>
      <c r="BN115" s="987"/>
      <c r="BO115" s="987"/>
      <c r="BP115" s="987"/>
      <c r="BQ115" s="987"/>
      <c r="BR115" s="987"/>
      <c r="BS115" s="987"/>
      <c r="BT115" s="987"/>
      <c r="BU115" s="987"/>
      <c r="BV115" s="987"/>
      <c r="BW115" s="987"/>
      <c r="BX115" s="987"/>
      <c r="BY115" s="987"/>
      <c r="BZ115" s="987"/>
      <c r="CA115" s="987"/>
      <c r="CB115" s="987"/>
      <c r="CC115" s="987"/>
      <c r="CD115" s="987"/>
      <c r="CE115" s="987"/>
      <c r="CF115" s="987"/>
      <c r="CG115" s="987"/>
      <c r="CH115" s="987"/>
      <c r="CI115" s="987"/>
      <c r="CJ115" s="987"/>
      <c r="CK115" s="987"/>
      <c r="CL115" s="987"/>
      <c r="CM115" s="987"/>
      <c r="CN115" s="987"/>
      <c r="IJ115" s="987"/>
      <c r="IK115" s="987"/>
      <c r="IL115" s="987"/>
      <c r="IM115" s="987"/>
      <c r="IN115" s="987"/>
      <c r="IO115" s="987"/>
      <c r="IP115" s="987"/>
      <c r="IQ115" s="987"/>
      <c r="IR115" s="987"/>
      <c r="IS115" s="987"/>
      <c r="IT115" s="987"/>
      <c r="IU115" s="987"/>
      <c r="IV115" s="987"/>
      <c r="IW115" s="987"/>
      <c r="IX115" s="987"/>
      <c r="IY115" s="987"/>
      <c r="JM115" s="987"/>
      <c r="JN115" s="987"/>
      <c r="KB115" s="987"/>
      <c r="KC115" s="987"/>
    </row>
    <row r="116" spans="16:289">
      <c r="P116" s="1031"/>
      <c r="Q116" s="1025" t="s">
        <v>957</v>
      </c>
      <c r="R116" s="2033" t="s">
        <v>993</v>
      </c>
      <c r="S116" s="2034"/>
      <c r="T116" s="2034"/>
      <c r="U116" s="2034"/>
      <c r="V116" s="2035"/>
      <c r="W116" s="1032"/>
      <c r="AH116" s="987"/>
      <c r="AI116" s="987"/>
      <c r="AJ116" s="987"/>
      <c r="AK116" s="987"/>
      <c r="AL116" s="987"/>
      <c r="AM116" s="987"/>
      <c r="AN116" s="987"/>
      <c r="AO116" s="987"/>
      <c r="AQ116" s="987"/>
      <c r="AR116" s="987"/>
      <c r="AS116" s="987"/>
      <c r="AT116" s="987"/>
      <c r="AU116" s="987"/>
      <c r="AV116" s="987"/>
      <c r="AW116" s="987"/>
      <c r="AX116" s="987"/>
      <c r="AY116" s="987"/>
      <c r="AZ116" s="987"/>
      <c r="BA116" s="987"/>
      <c r="BB116" s="987"/>
      <c r="BC116" s="987"/>
      <c r="BD116" s="987"/>
      <c r="BE116" s="987"/>
      <c r="BF116" s="987"/>
      <c r="BG116" s="987"/>
      <c r="BH116" s="987"/>
      <c r="BI116" s="987"/>
      <c r="BJ116" s="987"/>
      <c r="BK116" s="987"/>
      <c r="BL116" s="987"/>
      <c r="BM116" s="987"/>
      <c r="BN116" s="987"/>
      <c r="BO116" s="987"/>
      <c r="BP116" s="987"/>
      <c r="BQ116" s="987"/>
      <c r="BR116" s="987"/>
      <c r="BS116" s="987"/>
      <c r="BT116" s="987"/>
      <c r="BU116" s="987"/>
      <c r="BV116" s="987"/>
      <c r="BW116" s="987"/>
      <c r="BX116" s="987"/>
      <c r="BY116" s="987"/>
      <c r="BZ116" s="987"/>
      <c r="CA116" s="987"/>
      <c r="CB116" s="987"/>
      <c r="CC116" s="987"/>
      <c r="CD116" s="987"/>
      <c r="CE116" s="987"/>
      <c r="CF116" s="987"/>
      <c r="CG116" s="987"/>
      <c r="CH116" s="987"/>
      <c r="CI116" s="987"/>
      <c r="CJ116" s="987"/>
      <c r="CK116" s="987"/>
      <c r="CL116" s="987"/>
      <c r="CM116" s="987"/>
      <c r="CN116" s="987"/>
      <c r="IJ116" s="987"/>
      <c r="IK116" s="987"/>
      <c r="IL116" s="987"/>
      <c r="IM116" s="987"/>
      <c r="IN116" s="987"/>
      <c r="IO116" s="987"/>
      <c r="IP116" s="987"/>
      <c r="IQ116" s="987"/>
      <c r="IR116" s="987"/>
      <c r="IS116" s="987"/>
      <c r="IT116" s="987"/>
      <c r="IU116" s="987"/>
      <c r="IV116" s="987"/>
      <c r="IW116" s="987"/>
      <c r="IX116" s="987"/>
      <c r="IY116" s="987"/>
      <c r="JM116" s="987"/>
      <c r="JN116" s="987"/>
      <c r="KB116" s="987"/>
      <c r="KC116" s="987"/>
    </row>
    <row r="117" spans="16:289">
      <c r="P117" s="1031"/>
      <c r="Q117" s="1025" t="s">
        <v>960</v>
      </c>
      <c r="R117" s="2033" t="s">
        <v>961</v>
      </c>
      <c r="S117" s="2034"/>
      <c r="T117" s="2034"/>
      <c r="U117" s="2034"/>
      <c r="V117" s="2035"/>
      <c r="W117" s="1032"/>
      <c r="AH117" s="987"/>
      <c r="AI117" s="987"/>
      <c r="AJ117" s="987"/>
      <c r="AK117" s="987"/>
      <c r="AL117" s="987"/>
      <c r="AM117" s="987"/>
      <c r="AN117" s="987"/>
      <c r="AO117" s="987"/>
      <c r="AQ117" s="987"/>
      <c r="AR117" s="987"/>
      <c r="AS117" s="987"/>
      <c r="AT117" s="987"/>
      <c r="AU117" s="987"/>
      <c r="AV117" s="987"/>
      <c r="AW117" s="987"/>
      <c r="AX117" s="987"/>
      <c r="AY117" s="987"/>
      <c r="AZ117" s="987"/>
      <c r="BA117" s="987"/>
      <c r="BB117" s="987"/>
      <c r="BC117" s="987"/>
      <c r="BD117" s="987"/>
      <c r="BE117" s="987"/>
      <c r="BF117" s="987"/>
      <c r="BG117" s="987"/>
      <c r="BH117" s="987"/>
      <c r="BI117" s="987"/>
      <c r="BJ117" s="987"/>
      <c r="BK117" s="987"/>
      <c r="BL117" s="987"/>
      <c r="BM117" s="987"/>
      <c r="BN117" s="987"/>
      <c r="BO117" s="987"/>
      <c r="BP117" s="987"/>
      <c r="BQ117" s="987"/>
      <c r="BR117" s="987"/>
      <c r="BS117" s="987"/>
      <c r="BT117" s="987"/>
      <c r="BU117" s="987"/>
      <c r="BV117" s="987"/>
      <c r="BW117" s="987"/>
      <c r="BX117" s="987"/>
      <c r="BY117" s="987"/>
      <c r="BZ117" s="987"/>
      <c r="CA117" s="987"/>
      <c r="CB117" s="987"/>
      <c r="CC117" s="987"/>
      <c r="CD117" s="987"/>
      <c r="CE117" s="987"/>
      <c r="CF117" s="987"/>
      <c r="CG117" s="987"/>
      <c r="CH117" s="987"/>
      <c r="CI117" s="987"/>
      <c r="CJ117" s="987"/>
      <c r="CK117" s="987"/>
      <c r="CL117" s="987"/>
      <c r="CM117" s="987"/>
      <c r="CN117" s="987"/>
      <c r="IJ117" s="987"/>
      <c r="IK117" s="987"/>
      <c r="IL117" s="987"/>
      <c r="IM117" s="987"/>
      <c r="IN117" s="987"/>
      <c r="IO117" s="987"/>
      <c r="IP117" s="987"/>
      <c r="IQ117" s="987"/>
      <c r="IR117" s="987"/>
      <c r="IS117" s="987"/>
      <c r="IT117" s="987"/>
      <c r="IU117" s="987"/>
      <c r="IV117" s="987"/>
      <c r="IW117" s="987"/>
      <c r="IX117" s="987"/>
      <c r="IY117" s="987"/>
      <c r="JM117" s="987"/>
      <c r="JN117" s="987"/>
      <c r="KB117" s="987"/>
      <c r="KC117" s="987"/>
    </row>
    <row r="118" spans="16:289">
      <c r="P118" s="1031"/>
      <c r="Q118" s="1025" t="s">
        <v>994</v>
      </c>
      <c r="R118" s="2033" t="s">
        <v>995</v>
      </c>
      <c r="S118" s="2034"/>
      <c r="T118" s="2034"/>
      <c r="U118" s="2034"/>
      <c r="V118" s="2035"/>
      <c r="W118" s="1032"/>
      <c r="AH118" s="987"/>
      <c r="AI118" s="987"/>
      <c r="AJ118" s="987"/>
      <c r="AK118" s="987"/>
      <c r="AL118" s="987"/>
      <c r="AM118" s="987"/>
      <c r="AN118" s="987"/>
      <c r="AO118" s="987"/>
      <c r="AQ118" s="987"/>
      <c r="AR118" s="987"/>
      <c r="AS118" s="987"/>
      <c r="AT118" s="987"/>
      <c r="AU118" s="987"/>
      <c r="AV118" s="987"/>
      <c r="AW118" s="987"/>
      <c r="AX118" s="987"/>
      <c r="AY118" s="987"/>
      <c r="AZ118" s="987"/>
      <c r="BA118" s="987"/>
      <c r="BB118" s="987"/>
      <c r="BC118" s="987"/>
      <c r="BD118" s="987"/>
      <c r="BE118" s="987"/>
      <c r="BF118" s="987"/>
      <c r="BG118" s="987"/>
      <c r="BH118" s="987"/>
      <c r="BI118" s="987"/>
      <c r="BJ118" s="987"/>
      <c r="BK118" s="987"/>
      <c r="BL118" s="987"/>
      <c r="BM118" s="987"/>
      <c r="BN118" s="987"/>
      <c r="BO118" s="987"/>
      <c r="BP118" s="987"/>
      <c r="BQ118" s="987"/>
      <c r="BR118" s="987"/>
      <c r="BS118" s="987"/>
      <c r="BT118" s="987"/>
      <c r="BU118" s="987"/>
      <c r="BV118" s="987"/>
      <c r="BW118" s="987"/>
      <c r="BX118" s="987"/>
      <c r="BY118" s="987"/>
      <c r="BZ118" s="987"/>
      <c r="CA118" s="987"/>
      <c r="CB118" s="987"/>
      <c r="CC118" s="987"/>
      <c r="CD118" s="987"/>
      <c r="CE118" s="987"/>
      <c r="CF118" s="987"/>
      <c r="CG118" s="987"/>
      <c r="CH118" s="987"/>
      <c r="CI118" s="987"/>
      <c r="CJ118" s="987"/>
      <c r="CK118" s="987"/>
      <c r="CL118" s="987"/>
      <c r="CM118" s="987"/>
      <c r="CN118" s="987"/>
      <c r="IJ118" s="987"/>
      <c r="IK118" s="987"/>
      <c r="IL118" s="987"/>
      <c r="IM118" s="987"/>
      <c r="IN118" s="987"/>
      <c r="IO118" s="987"/>
      <c r="IP118" s="987"/>
      <c r="IQ118" s="987"/>
      <c r="IR118" s="987"/>
      <c r="IS118" s="987"/>
      <c r="IT118" s="987"/>
      <c r="IU118" s="987"/>
      <c r="IV118" s="987"/>
      <c r="IW118" s="987"/>
      <c r="IX118" s="987"/>
      <c r="IY118" s="987"/>
      <c r="JM118" s="987"/>
      <c r="JN118" s="987"/>
      <c r="KB118" s="987"/>
      <c r="KC118" s="987"/>
    </row>
    <row r="119" spans="16:289">
      <c r="P119" s="1031"/>
      <c r="Q119" s="1025" t="s">
        <v>964</v>
      </c>
      <c r="R119" s="2033" t="s">
        <v>965</v>
      </c>
      <c r="S119" s="2034"/>
      <c r="T119" s="2034"/>
      <c r="U119" s="2034"/>
      <c r="V119" s="2035"/>
      <c r="W119" s="1032"/>
      <c r="AH119" s="987"/>
      <c r="AI119" s="987"/>
      <c r="AJ119" s="987"/>
      <c r="AK119" s="987"/>
      <c r="AL119" s="987"/>
      <c r="AM119" s="987"/>
      <c r="AN119" s="987"/>
      <c r="AO119" s="987"/>
      <c r="AQ119" s="987"/>
      <c r="AR119" s="987"/>
      <c r="AS119" s="987"/>
      <c r="AT119" s="987"/>
      <c r="AU119" s="987"/>
      <c r="AV119" s="987"/>
      <c r="AW119" s="987"/>
      <c r="AX119" s="987"/>
      <c r="AY119" s="987"/>
      <c r="AZ119" s="987"/>
      <c r="BA119" s="987"/>
      <c r="BB119" s="987"/>
      <c r="BC119" s="987"/>
      <c r="BD119" s="987"/>
      <c r="BE119" s="987"/>
      <c r="BF119" s="987"/>
      <c r="BG119" s="987"/>
      <c r="BH119" s="987"/>
      <c r="BI119" s="987"/>
      <c r="BJ119" s="987"/>
      <c r="BK119" s="987"/>
      <c r="BL119" s="987"/>
      <c r="BM119" s="987"/>
      <c r="BN119" s="987"/>
      <c r="BO119" s="987"/>
      <c r="BP119" s="987"/>
      <c r="BQ119" s="987"/>
      <c r="BR119" s="987"/>
      <c r="BS119" s="987"/>
      <c r="BT119" s="987"/>
      <c r="BU119" s="987"/>
      <c r="BV119" s="987"/>
      <c r="BW119" s="987"/>
      <c r="BX119" s="987"/>
      <c r="BY119" s="987"/>
      <c r="BZ119" s="987"/>
      <c r="CA119" s="987"/>
      <c r="CB119" s="987"/>
      <c r="CC119" s="987"/>
      <c r="CD119" s="987"/>
      <c r="CE119" s="987"/>
      <c r="CF119" s="987"/>
      <c r="CG119" s="987"/>
      <c r="CH119" s="987"/>
      <c r="CI119" s="987"/>
      <c r="CJ119" s="987"/>
      <c r="CK119" s="987"/>
      <c r="CL119" s="987"/>
      <c r="CM119" s="987"/>
      <c r="CN119" s="987"/>
      <c r="IJ119" s="987"/>
      <c r="IK119" s="987"/>
      <c r="IL119" s="987"/>
      <c r="IM119" s="987"/>
      <c r="IN119" s="987"/>
      <c r="IO119" s="987"/>
      <c r="IP119" s="987"/>
      <c r="IQ119" s="987"/>
      <c r="IR119" s="987"/>
      <c r="IS119" s="987"/>
      <c r="IT119" s="987"/>
      <c r="IU119" s="987"/>
      <c r="IV119" s="987"/>
      <c r="IW119" s="987"/>
      <c r="IX119" s="987"/>
      <c r="IY119" s="987"/>
      <c r="JM119" s="987"/>
      <c r="JN119" s="987"/>
      <c r="KB119" s="987"/>
      <c r="KC119" s="987"/>
    </row>
    <row r="120" spans="16:289">
      <c r="P120" s="1031"/>
      <c r="Q120" s="1025" t="s">
        <v>968</v>
      </c>
      <c r="R120" s="2033" t="s">
        <v>969</v>
      </c>
      <c r="S120" s="2034"/>
      <c r="T120" s="2034"/>
      <c r="U120" s="2034"/>
      <c r="V120" s="2035"/>
      <c r="W120" s="1032"/>
      <c r="AH120" s="987"/>
      <c r="AI120" s="987"/>
      <c r="AJ120" s="987"/>
      <c r="AK120" s="987"/>
      <c r="AL120" s="987"/>
      <c r="AM120" s="987"/>
      <c r="AN120" s="987"/>
      <c r="AO120" s="987"/>
      <c r="AQ120" s="987"/>
      <c r="AR120" s="987"/>
      <c r="AS120" s="987"/>
      <c r="AT120" s="987"/>
      <c r="AU120" s="987"/>
      <c r="AV120" s="987"/>
      <c r="AW120" s="987"/>
      <c r="AX120" s="987"/>
      <c r="AY120" s="987"/>
      <c r="AZ120" s="987"/>
      <c r="BA120" s="987"/>
      <c r="BB120" s="987"/>
      <c r="BC120" s="987"/>
      <c r="BD120" s="987"/>
      <c r="BE120" s="987"/>
      <c r="BF120" s="987"/>
      <c r="BG120" s="987"/>
      <c r="BH120" s="987"/>
      <c r="BI120" s="987"/>
      <c r="BJ120" s="987"/>
      <c r="BK120" s="987"/>
      <c r="BL120" s="987"/>
      <c r="BM120" s="987"/>
      <c r="BN120" s="987"/>
      <c r="BO120" s="987"/>
      <c r="BP120" s="987"/>
      <c r="BQ120" s="987"/>
      <c r="BR120" s="987"/>
      <c r="BS120" s="987"/>
      <c r="BT120" s="987"/>
      <c r="BU120" s="987"/>
      <c r="BV120" s="987"/>
      <c r="BW120" s="987"/>
      <c r="BX120" s="987"/>
      <c r="BY120" s="987"/>
      <c r="BZ120" s="987"/>
      <c r="CA120" s="987"/>
      <c r="CB120" s="987"/>
      <c r="CC120" s="987"/>
      <c r="CD120" s="987"/>
      <c r="CE120" s="987"/>
      <c r="CF120" s="987"/>
      <c r="CG120" s="987"/>
      <c r="CH120" s="987"/>
      <c r="CI120" s="987"/>
      <c r="CJ120" s="987"/>
      <c r="CK120" s="987"/>
      <c r="CL120" s="987"/>
      <c r="CM120" s="987"/>
      <c r="CN120" s="987"/>
      <c r="IJ120" s="987"/>
      <c r="IK120" s="987"/>
      <c r="IL120" s="987"/>
      <c r="IM120" s="987"/>
      <c r="IN120" s="987"/>
      <c r="IO120" s="987"/>
      <c r="IP120" s="987"/>
      <c r="IQ120" s="987"/>
      <c r="IR120" s="987"/>
      <c r="IS120" s="987"/>
      <c r="IT120" s="987"/>
      <c r="IU120" s="987"/>
      <c r="IV120" s="987"/>
      <c r="IW120" s="987"/>
      <c r="IX120" s="987"/>
      <c r="IY120" s="987"/>
      <c r="JM120" s="987"/>
      <c r="JN120" s="987"/>
      <c r="KB120" s="987"/>
      <c r="KC120" s="987"/>
    </row>
    <row r="121" spans="16:289">
      <c r="P121" s="1031"/>
      <c r="Q121" s="1025" t="s">
        <v>996</v>
      </c>
      <c r="R121" s="2033" t="s">
        <v>997</v>
      </c>
      <c r="S121" s="2034"/>
      <c r="T121" s="2034"/>
      <c r="U121" s="2034"/>
      <c r="V121" s="2035"/>
      <c r="W121" s="1032"/>
      <c r="AH121" s="987"/>
      <c r="AI121" s="987"/>
      <c r="AJ121" s="987"/>
      <c r="AK121" s="987"/>
      <c r="AL121" s="987"/>
      <c r="AM121" s="987"/>
      <c r="AN121" s="987"/>
      <c r="AO121" s="987"/>
      <c r="AQ121" s="987"/>
      <c r="AR121" s="987"/>
      <c r="AS121" s="987"/>
      <c r="AT121" s="987"/>
      <c r="AU121" s="987"/>
      <c r="AV121" s="987"/>
      <c r="AW121" s="987"/>
      <c r="AX121" s="987"/>
      <c r="AY121" s="987"/>
      <c r="AZ121" s="987"/>
      <c r="BA121" s="987"/>
      <c r="BB121" s="987"/>
      <c r="BC121" s="987"/>
      <c r="BD121" s="987"/>
      <c r="BE121" s="987"/>
      <c r="BF121" s="987"/>
      <c r="BG121" s="987"/>
      <c r="BH121" s="987"/>
      <c r="BI121" s="987"/>
      <c r="BJ121" s="987"/>
      <c r="BK121" s="987"/>
      <c r="BL121" s="987"/>
      <c r="BM121" s="987"/>
      <c r="BN121" s="987"/>
      <c r="BO121" s="987"/>
      <c r="BP121" s="987"/>
      <c r="BQ121" s="987"/>
      <c r="BR121" s="987"/>
      <c r="BS121" s="987"/>
      <c r="BT121" s="987"/>
      <c r="BU121" s="987"/>
      <c r="BV121" s="987"/>
      <c r="BW121" s="987"/>
      <c r="BX121" s="987"/>
      <c r="BY121" s="987"/>
      <c r="BZ121" s="987"/>
      <c r="CA121" s="987"/>
      <c r="CB121" s="987"/>
      <c r="CC121" s="987"/>
      <c r="CD121" s="987"/>
      <c r="CE121" s="987"/>
      <c r="CF121" s="987"/>
      <c r="CG121" s="987"/>
      <c r="CH121" s="987"/>
      <c r="CI121" s="987"/>
      <c r="CJ121" s="987"/>
      <c r="CK121" s="987"/>
      <c r="CL121" s="987"/>
      <c r="CM121" s="987"/>
      <c r="CN121" s="987"/>
      <c r="IJ121" s="987"/>
      <c r="IK121" s="987"/>
      <c r="IL121" s="987"/>
      <c r="IM121" s="987"/>
      <c r="IN121" s="987"/>
      <c r="IO121" s="987"/>
      <c r="IP121" s="987"/>
      <c r="IQ121" s="987"/>
      <c r="IR121" s="987"/>
      <c r="IS121" s="987"/>
      <c r="IT121" s="987"/>
      <c r="IU121" s="987"/>
      <c r="IV121" s="987"/>
      <c r="IW121" s="987"/>
      <c r="IX121" s="987"/>
      <c r="IY121" s="987"/>
      <c r="JM121" s="987"/>
      <c r="JN121" s="987"/>
      <c r="KB121" s="987"/>
      <c r="KC121" s="987"/>
    </row>
    <row r="122" spans="16:289">
      <c r="P122" s="1031"/>
      <c r="Q122" s="1025" t="s">
        <v>974</v>
      </c>
      <c r="R122" s="2033" t="s">
        <v>975</v>
      </c>
      <c r="S122" s="2034"/>
      <c r="T122" s="2034"/>
      <c r="U122" s="2034"/>
      <c r="V122" s="2035"/>
      <c r="W122" s="1032"/>
      <c r="AH122" s="987"/>
      <c r="AI122" s="987"/>
      <c r="AJ122" s="987"/>
      <c r="AK122" s="987"/>
      <c r="AL122" s="987"/>
      <c r="AM122" s="987"/>
      <c r="AN122" s="987"/>
      <c r="AO122" s="987"/>
      <c r="AQ122" s="987"/>
      <c r="AR122" s="987"/>
      <c r="AS122" s="987"/>
      <c r="AT122" s="987"/>
      <c r="AU122" s="987"/>
      <c r="AV122" s="987"/>
      <c r="AW122" s="987"/>
      <c r="AX122" s="987"/>
      <c r="AY122" s="987"/>
      <c r="AZ122" s="987"/>
      <c r="BA122" s="987"/>
      <c r="BB122" s="987"/>
      <c r="BC122" s="987"/>
      <c r="BD122" s="987"/>
      <c r="BE122" s="987"/>
      <c r="BF122" s="987"/>
      <c r="BG122" s="987"/>
      <c r="BH122" s="987"/>
      <c r="BI122" s="987"/>
      <c r="BJ122" s="987"/>
      <c r="BK122" s="987"/>
      <c r="BL122" s="987"/>
      <c r="BM122" s="987"/>
      <c r="BN122" s="987"/>
      <c r="BO122" s="987"/>
      <c r="BP122" s="987"/>
      <c r="BQ122" s="987"/>
      <c r="BR122" s="987"/>
      <c r="BS122" s="987"/>
      <c r="BT122" s="987"/>
      <c r="BU122" s="987"/>
      <c r="BV122" s="987"/>
      <c r="BW122" s="987"/>
      <c r="BX122" s="987"/>
      <c r="BY122" s="987"/>
      <c r="BZ122" s="987"/>
      <c r="CA122" s="987"/>
      <c r="CB122" s="987"/>
      <c r="CC122" s="987"/>
      <c r="CD122" s="987"/>
      <c r="CE122" s="987"/>
      <c r="CF122" s="987"/>
      <c r="CG122" s="987"/>
      <c r="CH122" s="987"/>
      <c r="CI122" s="987"/>
      <c r="CJ122" s="987"/>
      <c r="CK122" s="987"/>
      <c r="CL122" s="987"/>
      <c r="CM122" s="987"/>
      <c r="CN122" s="987"/>
      <c r="IJ122" s="987"/>
      <c r="IK122" s="987"/>
      <c r="IL122" s="987"/>
      <c r="IM122" s="987"/>
      <c r="IN122" s="987"/>
      <c r="IO122" s="987"/>
      <c r="IP122" s="987"/>
      <c r="IQ122" s="987"/>
      <c r="IR122" s="987"/>
      <c r="IS122" s="987"/>
      <c r="IT122" s="987"/>
      <c r="IU122" s="987"/>
      <c r="IV122" s="987"/>
      <c r="IW122" s="987"/>
      <c r="IX122" s="987"/>
      <c r="IY122" s="987"/>
      <c r="JM122" s="987"/>
      <c r="JN122" s="987"/>
      <c r="KB122" s="987"/>
      <c r="KC122" s="987"/>
    </row>
    <row r="123" spans="16:289">
      <c r="P123" s="1031"/>
      <c r="Q123" s="1025" t="s">
        <v>977</v>
      </c>
      <c r="R123" s="2033" t="s">
        <v>978</v>
      </c>
      <c r="S123" s="2034"/>
      <c r="T123" s="2034"/>
      <c r="U123" s="2034"/>
      <c r="V123" s="2035"/>
      <c r="W123" s="1032"/>
      <c r="AH123" s="987"/>
      <c r="AI123" s="987"/>
      <c r="AJ123" s="987"/>
      <c r="AK123" s="987"/>
      <c r="AL123" s="987"/>
      <c r="AM123" s="987"/>
      <c r="AN123" s="987"/>
      <c r="AO123" s="987"/>
      <c r="AQ123" s="987"/>
      <c r="AR123" s="987"/>
      <c r="AS123" s="987"/>
      <c r="AT123" s="987"/>
      <c r="AU123" s="987"/>
      <c r="AV123" s="987"/>
      <c r="AW123" s="987"/>
      <c r="AX123" s="987"/>
      <c r="AY123" s="987"/>
      <c r="AZ123" s="987"/>
      <c r="BA123" s="987"/>
      <c r="BB123" s="987"/>
      <c r="BC123" s="987"/>
      <c r="BD123" s="987"/>
      <c r="BE123" s="987"/>
      <c r="BF123" s="987"/>
      <c r="BG123" s="987"/>
      <c r="BH123" s="987"/>
      <c r="BI123" s="987"/>
      <c r="BJ123" s="987"/>
      <c r="BK123" s="987"/>
      <c r="BL123" s="987"/>
      <c r="BM123" s="987"/>
      <c r="BN123" s="987"/>
      <c r="BO123" s="987"/>
      <c r="BP123" s="987"/>
      <c r="BQ123" s="987"/>
      <c r="BR123" s="987"/>
      <c r="BS123" s="987"/>
      <c r="BT123" s="987"/>
      <c r="BU123" s="987"/>
      <c r="BV123" s="987"/>
      <c r="BW123" s="987"/>
      <c r="BX123" s="987"/>
      <c r="BY123" s="987"/>
      <c r="BZ123" s="987"/>
      <c r="CA123" s="987"/>
      <c r="CB123" s="987"/>
      <c r="CC123" s="987"/>
      <c r="CD123" s="987"/>
      <c r="CE123" s="987"/>
      <c r="CF123" s="987"/>
      <c r="CG123" s="987"/>
      <c r="CH123" s="987"/>
      <c r="CI123" s="987"/>
      <c r="CJ123" s="987"/>
      <c r="CK123" s="987"/>
      <c r="CL123" s="987"/>
      <c r="CM123" s="987"/>
      <c r="CN123" s="987"/>
      <c r="IJ123" s="987"/>
      <c r="IK123" s="987"/>
      <c r="IL123" s="987"/>
      <c r="IM123" s="987"/>
      <c r="IN123" s="987"/>
      <c r="IO123" s="987"/>
      <c r="IP123" s="987"/>
      <c r="IQ123" s="987"/>
      <c r="IR123" s="987"/>
      <c r="IS123" s="987"/>
      <c r="IT123" s="987"/>
      <c r="IU123" s="987"/>
      <c r="IV123" s="987"/>
      <c r="IW123" s="987"/>
      <c r="IX123" s="987"/>
      <c r="IY123" s="987"/>
      <c r="JM123" s="987"/>
      <c r="JN123" s="987"/>
      <c r="KB123" s="987"/>
      <c r="KC123" s="987"/>
    </row>
    <row r="124" spans="16:289">
      <c r="P124" s="1031"/>
      <c r="Q124" s="1025" t="s">
        <v>971</v>
      </c>
      <c r="R124" s="2033" t="s">
        <v>972</v>
      </c>
      <c r="S124" s="2034"/>
      <c r="T124" s="2034"/>
      <c r="U124" s="2034"/>
      <c r="V124" s="2035"/>
      <c r="W124" s="1032"/>
      <c r="AH124" s="987"/>
      <c r="AI124" s="987"/>
      <c r="AJ124" s="987"/>
      <c r="AK124" s="987"/>
      <c r="AL124" s="987"/>
      <c r="AM124" s="987"/>
      <c r="AN124" s="987"/>
      <c r="AO124" s="987"/>
      <c r="AQ124" s="987"/>
      <c r="AR124" s="987"/>
      <c r="AS124" s="987"/>
      <c r="AT124" s="987"/>
      <c r="AU124" s="987"/>
      <c r="AV124" s="987"/>
      <c r="AW124" s="987"/>
      <c r="AX124" s="987"/>
      <c r="AY124" s="987"/>
      <c r="AZ124" s="987"/>
      <c r="BA124" s="987"/>
      <c r="BB124" s="987"/>
      <c r="BC124" s="987"/>
      <c r="BD124" s="987"/>
      <c r="BE124" s="987"/>
      <c r="BF124" s="987"/>
      <c r="BG124" s="987"/>
      <c r="BH124" s="987"/>
      <c r="BI124" s="987"/>
      <c r="BJ124" s="987"/>
      <c r="BK124" s="987"/>
      <c r="BL124" s="987"/>
      <c r="BM124" s="987"/>
      <c r="BN124" s="987"/>
      <c r="BO124" s="987"/>
      <c r="BP124" s="987"/>
      <c r="BQ124" s="987"/>
      <c r="BR124" s="987"/>
      <c r="BS124" s="987"/>
      <c r="BT124" s="987"/>
      <c r="BU124" s="987"/>
      <c r="BV124" s="987"/>
      <c r="BW124" s="987"/>
      <c r="BX124" s="987"/>
      <c r="BY124" s="987"/>
      <c r="BZ124" s="987"/>
      <c r="CA124" s="987"/>
      <c r="CB124" s="987"/>
      <c r="CC124" s="987"/>
      <c r="CD124" s="987"/>
      <c r="CE124" s="987"/>
      <c r="CF124" s="987"/>
      <c r="CG124" s="987"/>
      <c r="CH124" s="987"/>
      <c r="CI124" s="987"/>
      <c r="CJ124" s="987"/>
      <c r="CK124" s="987"/>
      <c r="CL124" s="987"/>
      <c r="CM124" s="987"/>
      <c r="CN124" s="987"/>
      <c r="IJ124" s="987"/>
      <c r="IK124" s="987"/>
      <c r="IL124" s="987"/>
      <c r="IM124" s="987"/>
      <c r="IN124" s="987"/>
      <c r="IO124" s="987"/>
      <c r="IP124" s="987"/>
      <c r="IQ124" s="987"/>
      <c r="IR124" s="987"/>
      <c r="IS124" s="987"/>
      <c r="IT124" s="987"/>
      <c r="IU124" s="987"/>
      <c r="IV124" s="987"/>
      <c r="IW124" s="987"/>
      <c r="IX124" s="987"/>
      <c r="IY124" s="987"/>
      <c r="JM124" s="987"/>
      <c r="JN124" s="987"/>
      <c r="KB124" s="987"/>
      <c r="KC124" s="987"/>
    </row>
    <row r="125" spans="16:289">
      <c r="P125" s="1031"/>
      <c r="Q125" s="1025" t="s">
        <v>981</v>
      </c>
      <c r="R125" s="2033" t="s">
        <v>998</v>
      </c>
      <c r="S125" s="2034"/>
      <c r="T125" s="2034"/>
      <c r="U125" s="2034"/>
      <c r="V125" s="2035"/>
      <c r="W125" s="1032"/>
      <c r="AH125" s="987"/>
      <c r="AI125" s="987"/>
      <c r="AJ125" s="987"/>
      <c r="AK125" s="987"/>
      <c r="AL125" s="987"/>
      <c r="AM125" s="987"/>
      <c r="AN125" s="987"/>
      <c r="AO125" s="987"/>
      <c r="AQ125" s="987"/>
      <c r="AR125" s="987"/>
      <c r="AS125" s="987"/>
      <c r="AT125" s="987"/>
      <c r="AU125" s="987"/>
      <c r="AV125" s="987"/>
      <c r="AW125" s="987"/>
      <c r="AX125" s="987"/>
      <c r="AY125" s="987"/>
      <c r="AZ125" s="987"/>
      <c r="BA125" s="987"/>
      <c r="BB125" s="987"/>
      <c r="BC125" s="987"/>
      <c r="BD125" s="987"/>
      <c r="BE125" s="987"/>
      <c r="BF125" s="987"/>
      <c r="BG125" s="987"/>
      <c r="BH125" s="987"/>
      <c r="BI125" s="987"/>
      <c r="BJ125" s="987"/>
      <c r="BK125" s="987"/>
      <c r="BL125" s="987"/>
      <c r="BM125" s="987"/>
      <c r="BN125" s="987"/>
      <c r="BO125" s="987"/>
      <c r="BP125" s="987"/>
      <c r="BQ125" s="987"/>
      <c r="BR125" s="987"/>
      <c r="BS125" s="987"/>
      <c r="BT125" s="987"/>
      <c r="BU125" s="987"/>
      <c r="BV125" s="987"/>
      <c r="BW125" s="987"/>
      <c r="BX125" s="987"/>
      <c r="BY125" s="987"/>
      <c r="BZ125" s="987"/>
      <c r="CA125" s="987"/>
      <c r="CB125" s="987"/>
      <c r="CC125" s="987"/>
      <c r="CD125" s="987"/>
      <c r="CE125" s="987"/>
      <c r="CF125" s="987"/>
      <c r="CG125" s="987"/>
      <c r="CH125" s="987"/>
      <c r="CI125" s="987"/>
      <c r="CJ125" s="987"/>
      <c r="CK125" s="987"/>
      <c r="CL125" s="987"/>
      <c r="CM125" s="987"/>
      <c r="CN125" s="987"/>
      <c r="IJ125" s="987"/>
      <c r="IK125" s="987"/>
      <c r="IL125" s="987"/>
      <c r="IM125" s="987"/>
      <c r="IN125" s="987"/>
      <c r="IO125" s="987"/>
      <c r="IP125" s="987"/>
      <c r="IQ125" s="987"/>
      <c r="IR125" s="987"/>
      <c r="IS125" s="987"/>
      <c r="IT125" s="987"/>
      <c r="IU125" s="987"/>
      <c r="IV125" s="987"/>
      <c r="IW125" s="987"/>
      <c r="IX125" s="987"/>
      <c r="IY125" s="987"/>
      <c r="JM125" s="987"/>
      <c r="JN125" s="987"/>
      <c r="KB125" s="987"/>
      <c r="KC125" s="987"/>
    </row>
    <row r="126" spans="16:289">
      <c r="P126" s="1031"/>
      <c r="W126" s="1032"/>
      <c r="AH126" s="987"/>
      <c r="AI126" s="987"/>
      <c r="AJ126" s="987"/>
      <c r="AK126" s="987"/>
      <c r="AL126" s="987"/>
      <c r="AM126" s="987"/>
      <c r="AN126" s="987"/>
      <c r="AO126" s="987"/>
      <c r="AQ126" s="987"/>
      <c r="AR126" s="987"/>
      <c r="AS126" s="987"/>
      <c r="AT126" s="987"/>
      <c r="AU126" s="987"/>
      <c r="AV126" s="987"/>
      <c r="AW126" s="987"/>
      <c r="AX126" s="987"/>
      <c r="AY126" s="987"/>
      <c r="AZ126" s="987"/>
      <c r="BA126" s="987"/>
      <c r="BB126" s="987"/>
      <c r="BC126" s="987"/>
      <c r="BD126" s="987"/>
      <c r="BE126" s="987"/>
      <c r="BF126" s="987"/>
      <c r="BG126" s="987"/>
      <c r="BH126" s="987"/>
      <c r="BI126" s="987"/>
      <c r="BJ126" s="987"/>
      <c r="BK126" s="987"/>
      <c r="BL126" s="987"/>
      <c r="BM126" s="987"/>
      <c r="BN126" s="987"/>
      <c r="BO126" s="987"/>
      <c r="BP126" s="987"/>
      <c r="BQ126" s="987"/>
      <c r="BR126" s="987"/>
      <c r="BS126" s="987"/>
      <c r="BT126" s="987"/>
      <c r="BU126" s="987"/>
      <c r="BV126" s="987"/>
      <c r="BW126" s="987"/>
      <c r="BX126" s="987"/>
      <c r="BY126" s="987"/>
      <c r="BZ126" s="987"/>
      <c r="CA126" s="987"/>
      <c r="CB126" s="987"/>
      <c r="CC126" s="987"/>
      <c r="CD126" s="987"/>
      <c r="CE126" s="987"/>
      <c r="CF126" s="987"/>
      <c r="CG126" s="987"/>
      <c r="CH126" s="987"/>
      <c r="CI126" s="987"/>
      <c r="CJ126" s="987"/>
      <c r="CK126" s="987"/>
      <c r="CL126" s="987"/>
      <c r="CM126" s="987"/>
      <c r="CN126" s="987"/>
      <c r="IJ126" s="987"/>
      <c r="IK126" s="987"/>
      <c r="IL126" s="987"/>
      <c r="IM126" s="987"/>
      <c r="IN126" s="987"/>
      <c r="IO126" s="987"/>
      <c r="IP126" s="987"/>
      <c r="IQ126" s="987"/>
      <c r="IR126" s="987"/>
      <c r="IS126" s="987"/>
      <c r="IT126" s="987"/>
      <c r="IU126" s="987"/>
      <c r="IV126" s="987"/>
      <c r="IW126" s="987"/>
      <c r="IX126" s="987"/>
      <c r="IY126" s="987"/>
      <c r="JM126" s="987"/>
      <c r="JN126" s="987"/>
      <c r="KB126" s="987"/>
      <c r="KC126" s="987"/>
    </row>
    <row r="127" spans="16:289">
      <c r="P127" s="1031"/>
      <c r="W127" s="1032"/>
      <c r="AH127" s="987"/>
      <c r="AI127" s="987"/>
      <c r="AJ127" s="987"/>
      <c r="AK127" s="987"/>
      <c r="AL127" s="987"/>
      <c r="AM127" s="987"/>
      <c r="AN127" s="987"/>
      <c r="AO127" s="987"/>
      <c r="AQ127" s="987"/>
      <c r="AR127" s="987"/>
      <c r="AS127" s="987"/>
      <c r="AT127" s="987"/>
      <c r="AU127" s="987"/>
      <c r="AV127" s="987"/>
      <c r="AW127" s="987"/>
      <c r="AX127" s="987"/>
      <c r="AY127" s="987"/>
      <c r="AZ127" s="987"/>
      <c r="BA127" s="987"/>
      <c r="BB127" s="987"/>
      <c r="BC127" s="987"/>
      <c r="BD127" s="987"/>
      <c r="BE127" s="987"/>
      <c r="BF127" s="987"/>
      <c r="BG127" s="987"/>
      <c r="BH127" s="987"/>
      <c r="BI127" s="987"/>
      <c r="BJ127" s="987"/>
      <c r="BK127" s="987"/>
      <c r="BL127" s="987"/>
      <c r="BM127" s="987"/>
      <c r="BN127" s="987"/>
      <c r="BO127" s="987"/>
      <c r="BP127" s="987"/>
      <c r="BQ127" s="987"/>
      <c r="BR127" s="987"/>
      <c r="BS127" s="987"/>
      <c r="BT127" s="987"/>
      <c r="BU127" s="987"/>
      <c r="BV127" s="987"/>
      <c r="BW127" s="987"/>
      <c r="BX127" s="987"/>
      <c r="BY127" s="987"/>
      <c r="BZ127" s="987"/>
      <c r="CA127" s="987"/>
      <c r="CB127" s="987"/>
      <c r="CC127" s="987"/>
      <c r="CD127" s="987"/>
      <c r="CE127" s="987"/>
      <c r="CF127" s="987"/>
      <c r="CG127" s="987"/>
      <c r="CH127" s="987"/>
      <c r="CI127" s="987"/>
      <c r="CJ127" s="987"/>
      <c r="CK127" s="987"/>
      <c r="CL127" s="987"/>
      <c r="CM127" s="987"/>
      <c r="CN127" s="987"/>
      <c r="IJ127" s="987"/>
      <c r="IK127" s="987"/>
      <c r="IL127" s="987"/>
      <c r="IM127" s="987"/>
      <c r="IN127" s="987"/>
      <c r="IO127" s="987"/>
      <c r="IP127" s="987"/>
      <c r="IQ127" s="987"/>
      <c r="IR127" s="987"/>
      <c r="IS127" s="987"/>
      <c r="IT127" s="987"/>
      <c r="IU127" s="987"/>
      <c r="IV127" s="987"/>
      <c r="IW127" s="987"/>
      <c r="IX127" s="987"/>
      <c r="IY127" s="987"/>
      <c r="JM127" s="987"/>
      <c r="JN127" s="987"/>
      <c r="KB127" s="987"/>
      <c r="KC127" s="987"/>
    </row>
    <row r="128" spans="16:289">
      <c r="P128" s="1031"/>
      <c r="W128" s="1032"/>
      <c r="AH128" s="987"/>
      <c r="AI128" s="987"/>
      <c r="AJ128" s="987"/>
      <c r="AK128" s="987"/>
      <c r="AL128" s="987"/>
      <c r="AM128" s="987"/>
      <c r="AN128" s="987"/>
      <c r="AO128" s="987"/>
      <c r="AQ128" s="987"/>
      <c r="AR128" s="987"/>
      <c r="AS128" s="987"/>
      <c r="AT128" s="987"/>
      <c r="AU128" s="987"/>
      <c r="AV128" s="987"/>
      <c r="AW128" s="987"/>
      <c r="AX128" s="987"/>
      <c r="AY128" s="987"/>
      <c r="AZ128" s="987"/>
      <c r="BA128" s="987"/>
      <c r="BB128" s="987"/>
      <c r="BC128" s="987"/>
      <c r="BD128" s="987"/>
      <c r="BE128" s="987"/>
      <c r="BF128" s="987"/>
      <c r="BG128" s="987"/>
      <c r="BH128" s="987"/>
      <c r="BI128" s="987"/>
      <c r="BJ128" s="987"/>
      <c r="BK128" s="987"/>
      <c r="BL128" s="987"/>
      <c r="BM128" s="987"/>
      <c r="BN128" s="987"/>
      <c r="BO128" s="987"/>
      <c r="BP128" s="987"/>
      <c r="BQ128" s="987"/>
      <c r="BR128" s="987"/>
      <c r="BS128" s="987"/>
      <c r="BT128" s="987"/>
      <c r="BU128" s="987"/>
      <c r="BV128" s="987"/>
      <c r="BW128" s="987"/>
      <c r="BX128" s="987"/>
      <c r="BY128" s="987"/>
      <c r="BZ128" s="987"/>
      <c r="CA128" s="987"/>
      <c r="CB128" s="987"/>
      <c r="CC128" s="987"/>
      <c r="CD128" s="987"/>
      <c r="CE128" s="987"/>
      <c r="CF128" s="987"/>
      <c r="CG128" s="987"/>
      <c r="CH128" s="987"/>
      <c r="CI128" s="987"/>
      <c r="CJ128" s="987"/>
      <c r="CK128" s="987"/>
      <c r="CL128" s="987"/>
      <c r="CM128" s="987"/>
      <c r="CN128" s="987"/>
      <c r="IJ128" s="987"/>
      <c r="IK128" s="987"/>
      <c r="IL128" s="987"/>
      <c r="IM128" s="987"/>
      <c r="IN128" s="987"/>
      <c r="IO128" s="987"/>
      <c r="IP128" s="987"/>
      <c r="IQ128" s="987"/>
      <c r="IR128" s="987"/>
      <c r="IS128" s="987"/>
      <c r="IT128" s="987"/>
      <c r="IU128" s="987"/>
      <c r="IV128" s="987"/>
      <c r="IW128" s="987"/>
      <c r="IX128" s="987"/>
      <c r="IY128" s="987"/>
      <c r="JM128" s="987"/>
      <c r="JN128" s="987"/>
      <c r="KB128" s="987"/>
      <c r="KC128" s="987"/>
    </row>
    <row r="129" spans="16:289">
      <c r="P129" s="1031"/>
      <c r="W129" s="1032"/>
      <c r="AH129" s="987"/>
      <c r="AI129" s="987"/>
      <c r="AJ129" s="987"/>
      <c r="AK129" s="987"/>
      <c r="AL129" s="987"/>
      <c r="AM129" s="987"/>
      <c r="AN129" s="987"/>
      <c r="AO129" s="987"/>
      <c r="AQ129" s="987"/>
      <c r="AR129" s="987"/>
      <c r="AS129" s="987"/>
      <c r="AT129" s="987"/>
      <c r="AU129" s="987"/>
      <c r="AV129" s="987"/>
      <c r="AW129" s="987"/>
      <c r="AX129" s="987"/>
      <c r="AY129" s="987"/>
      <c r="AZ129" s="987"/>
      <c r="BA129" s="987"/>
      <c r="BB129" s="987"/>
      <c r="BC129" s="987"/>
      <c r="BD129" s="987"/>
      <c r="BE129" s="987"/>
      <c r="BF129" s="987"/>
      <c r="BG129" s="987"/>
      <c r="BH129" s="987"/>
      <c r="BI129" s="987"/>
      <c r="BJ129" s="987"/>
      <c r="BK129" s="987"/>
      <c r="BL129" s="987"/>
      <c r="BM129" s="987"/>
      <c r="BN129" s="987"/>
      <c r="BO129" s="987"/>
      <c r="BP129" s="987"/>
      <c r="BQ129" s="987"/>
      <c r="BR129" s="987"/>
      <c r="BS129" s="987"/>
      <c r="BT129" s="987"/>
      <c r="BU129" s="987"/>
      <c r="BV129" s="987"/>
      <c r="BW129" s="987"/>
      <c r="BX129" s="987"/>
      <c r="BY129" s="987"/>
      <c r="BZ129" s="987"/>
      <c r="CA129" s="987"/>
      <c r="CB129" s="987"/>
      <c r="CC129" s="987"/>
      <c r="CD129" s="987"/>
      <c r="CE129" s="987"/>
      <c r="CF129" s="987"/>
      <c r="CG129" s="987"/>
      <c r="CH129" s="987"/>
      <c r="CI129" s="987"/>
      <c r="CJ129" s="987"/>
      <c r="CK129" s="987"/>
      <c r="CL129" s="987"/>
      <c r="CM129" s="987"/>
      <c r="CN129" s="987"/>
      <c r="IJ129" s="987"/>
      <c r="IK129" s="987"/>
      <c r="IL129" s="987"/>
      <c r="IM129" s="987"/>
      <c r="IN129" s="987"/>
      <c r="IO129" s="987"/>
      <c r="IP129" s="987"/>
      <c r="IQ129" s="987"/>
      <c r="IR129" s="987"/>
      <c r="IS129" s="987"/>
      <c r="IT129" s="987"/>
      <c r="IU129" s="987"/>
      <c r="IV129" s="987"/>
      <c r="IW129" s="987"/>
      <c r="IX129" s="987"/>
      <c r="IY129" s="987"/>
      <c r="JM129" s="987"/>
      <c r="JN129" s="987"/>
      <c r="KB129" s="987"/>
      <c r="KC129" s="987"/>
    </row>
    <row r="130" spans="16:289">
      <c r="P130" s="1035"/>
      <c r="Q130" s="1044"/>
      <c r="R130" s="1045"/>
      <c r="S130" s="1045"/>
      <c r="T130" s="1045"/>
      <c r="U130" s="1045"/>
      <c r="V130" s="1045"/>
      <c r="W130" s="1038"/>
      <c r="AH130" s="987"/>
      <c r="AI130" s="987"/>
      <c r="AJ130" s="987"/>
      <c r="AK130" s="987"/>
      <c r="AL130" s="987"/>
      <c r="AM130" s="987"/>
      <c r="AN130" s="987"/>
      <c r="AO130" s="987"/>
      <c r="AQ130" s="987"/>
      <c r="AR130" s="987"/>
      <c r="AS130" s="987"/>
      <c r="AT130" s="987"/>
      <c r="AU130" s="987"/>
      <c r="AV130" s="987"/>
      <c r="AW130" s="987"/>
      <c r="AX130" s="987"/>
      <c r="AY130" s="987"/>
      <c r="AZ130" s="987"/>
      <c r="BA130" s="987"/>
      <c r="BB130" s="987"/>
      <c r="BC130" s="987"/>
      <c r="BD130" s="987"/>
      <c r="BE130" s="987"/>
      <c r="BF130" s="987"/>
      <c r="BG130" s="987"/>
      <c r="BH130" s="987"/>
      <c r="BI130" s="987"/>
      <c r="BJ130" s="987"/>
      <c r="BK130" s="987"/>
      <c r="BL130" s="987"/>
      <c r="BM130" s="987"/>
      <c r="BN130" s="987"/>
      <c r="BO130" s="987"/>
      <c r="BP130" s="987"/>
      <c r="BQ130" s="987"/>
      <c r="BR130" s="987"/>
      <c r="BS130" s="987"/>
      <c r="BT130" s="987"/>
      <c r="BU130" s="987"/>
      <c r="BV130" s="987"/>
      <c r="BW130" s="987"/>
      <c r="BX130" s="987"/>
      <c r="BY130" s="987"/>
      <c r="BZ130" s="987"/>
      <c r="CA130" s="987"/>
      <c r="CB130" s="987"/>
      <c r="CC130" s="987"/>
      <c r="CD130" s="987"/>
      <c r="CE130" s="987"/>
      <c r="CF130" s="987"/>
      <c r="CG130" s="987"/>
      <c r="CH130" s="987"/>
      <c r="CI130" s="987"/>
      <c r="CJ130" s="987"/>
      <c r="CK130" s="987"/>
      <c r="CL130" s="987"/>
      <c r="CM130" s="987"/>
      <c r="CN130" s="987"/>
      <c r="IJ130" s="987"/>
      <c r="IK130" s="987"/>
      <c r="IL130" s="987"/>
      <c r="IM130" s="987"/>
      <c r="IN130" s="987"/>
      <c r="IO130" s="987"/>
      <c r="IP130" s="987"/>
      <c r="IQ130" s="987"/>
      <c r="IR130" s="987"/>
      <c r="IS130" s="987"/>
      <c r="IT130" s="987"/>
      <c r="IU130" s="987"/>
      <c r="IV130" s="987"/>
      <c r="IW130" s="987"/>
      <c r="IX130" s="987"/>
      <c r="IY130" s="987"/>
      <c r="JM130" s="987"/>
      <c r="JN130" s="987"/>
      <c r="KB130" s="987"/>
      <c r="KC130" s="987"/>
    </row>
    <row r="131" spans="16:289">
      <c r="AH131" s="987"/>
      <c r="AI131" s="987"/>
      <c r="AJ131" s="987"/>
      <c r="AK131" s="987"/>
      <c r="AL131" s="987"/>
      <c r="AM131" s="987"/>
      <c r="AN131" s="987"/>
      <c r="AO131" s="987"/>
      <c r="AQ131" s="987"/>
      <c r="AR131" s="987"/>
      <c r="AS131" s="987"/>
      <c r="AT131" s="987"/>
      <c r="AU131" s="987"/>
      <c r="AV131" s="987"/>
      <c r="AW131" s="987"/>
      <c r="AX131" s="987"/>
      <c r="AY131" s="987"/>
      <c r="AZ131" s="987"/>
      <c r="BA131" s="987"/>
      <c r="BB131" s="987"/>
      <c r="BC131" s="987"/>
      <c r="BD131" s="987"/>
      <c r="BE131" s="987"/>
      <c r="BF131" s="987"/>
      <c r="BG131" s="987"/>
      <c r="BH131" s="987"/>
      <c r="BI131" s="987"/>
      <c r="BJ131" s="987"/>
      <c r="BK131" s="987"/>
      <c r="BL131" s="987"/>
      <c r="BM131" s="987"/>
      <c r="BN131" s="987"/>
      <c r="BO131" s="987"/>
      <c r="BP131" s="987"/>
      <c r="BQ131" s="987"/>
      <c r="BR131" s="987"/>
      <c r="BS131" s="987"/>
      <c r="BT131" s="987"/>
      <c r="BU131" s="987"/>
      <c r="BV131" s="987"/>
      <c r="BW131" s="987"/>
      <c r="BX131" s="987"/>
      <c r="BY131" s="987"/>
      <c r="BZ131" s="987"/>
      <c r="CA131" s="987"/>
      <c r="CB131" s="987"/>
      <c r="CC131" s="987"/>
      <c r="CD131" s="987"/>
      <c r="CE131" s="987"/>
      <c r="CF131" s="987"/>
      <c r="CG131" s="987"/>
      <c r="CH131" s="987"/>
      <c r="CI131" s="987"/>
      <c r="CJ131" s="987"/>
      <c r="CK131" s="987"/>
      <c r="CL131" s="987"/>
      <c r="CM131" s="987"/>
      <c r="CN131" s="987"/>
      <c r="IJ131" s="987"/>
      <c r="IK131" s="987"/>
      <c r="IL131" s="987"/>
      <c r="IM131" s="987"/>
      <c r="IN131" s="987"/>
      <c r="IO131" s="987"/>
      <c r="IP131" s="987"/>
      <c r="IQ131" s="987"/>
      <c r="IR131" s="987"/>
      <c r="IS131" s="987"/>
      <c r="IT131" s="987"/>
      <c r="IU131" s="987"/>
      <c r="IV131" s="987"/>
      <c r="IW131" s="987"/>
      <c r="IX131" s="987"/>
      <c r="IY131" s="987"/>
      <c r="JM131" s="987"/>
      <c r="JN131" s="987"/>
      <c r="KB131" s="987"/>
      <c r="KC131" s="987"/>
    </row>
    <row r="132" spans="16:289">
      <c r="AH132" s="987"/>
      <c r="AI132" s="987"/>
      <c r="AJ132" s="987"/>
      <c r="AK132" s="987"/>
      <c r="AL132" s="987"/>
      <c r="AM132" s="987"/>
      <c r="AN132" s="987"/>
      <c r="AO132" s="987"/>
      <c r="AQ132" s="987"/>
      <c r="AR132" s="987"/>
      <c r="AS132" s="987"/>
      <c r="AT132" s="987"/>
      <c r="AU132" s="987"/>
      <c r="AV132" s="987"/>
      <c r="AW132" s="987"/>
      <c r="AX132" s="987"/>
      <c r="AY132" s="987"/>
      <c r="AZ132" s="987"/>
      <c r="BA132" s="987"/>
      <c r="BB132" s="987"/>
      <c r="BC132" s="987"/>
      <c r="BD132" s="987"/>
      <c r="BE132" s="987"/>
      <c r="BF132" s="987"/>
      <c r="BG132" s="987"/>
      <c r="BH132" s="987"/>
      <c r="BI132" s="987"/>
      <c r="BJ132" s="987"/>
      <c r="BK132" s="987"/>
      <c r="BL132" s="987"/>
      <c r="BM132" s="987"/>
      <c r="BN132" s="987"/>
      <c r="BO132" s="987"/>
      <c r="BP132" s="987"/>
      <c r="BQ132" s="987"/>
      <c r="BR132" s="987"/>
      <c r="BS132" s="987"/>
      <c r="BT132" s="987"/>
      <c r="BU132" s="987"/>
      <c r="BV132" s="987"/>
      <c r="BW132" s="987"/>
      <c r="BX132" s="987"/>
      <c r="BY132" s="987"/>
      <c r="BZ132" s="987"/>
      <c r="CA132" s="987"/>
      <c r="CB132" s="987"/>
      <c r="CC132" s="987"/>
      <c r="CD132" s="987"/>
      <c r="CE132" s="987"/>
      <c r="CF132" s="987"/>
      <c r="CG132" s="987"/>
      <c r="CH132" s="987"/>
      <c r="CI132" s="987"/>
      <c r="CJ132" s="987"/>
      <c r="CK132" s="987"/>
      <c r="CL132" s="987"/>
      <c r="CM132" s="987"/>
      <c r="CN132" s="987"/>
      <c r="IJ132" s="987"/>
      <c r="IK132" s="987"/>
      <c r="IL132" s="987"/>
      <c r="IM132" s="987"/>
      <c r="IN132" s="987"/>
      <c r="IO132" s="987"/>
      <c r="IP132" s="987"/>
      <c r="IQ132" s="987"/>
      <c r="IR132" s="987"/>
      <c r="IS132" s="987"/>
      <c r="IT132" s="987"/>
      <c r="IU132" s="987"/>
      <c r="IV132" s="987"/>
      <c r="IW132" s="987"/>
      <c r="IX132" s="987"/>
      <c r="IY132" s="987"/>
      <c r="JM132" s="987"/>
      <c r="JN132" s="987"/>
      <c r="KB132" s="987"/>
      <c r="KC132" s="987"/>
    </row>
    <row r="133" spans="16:289">
      <c r="AH133" s="987"/>
      <c r="AI133" s="987"/>
      <c r="AJ133" s="987"/>
      <c r="AK133" s="987"/>
      <c r="AL133" s="987"/>
      <c r="AM133" s="987"/>
      <c r="AN133" s="987"/>
      <c r="AO133" s="987"/>
      <c r="AQ133" s="987"/>
      <c r="AR133" s="987"/>
      <c r="AS133" s="987"/>
      <c r="AT133" s="987"/>
      <c r="AU133" s="987"/>
      <c r="AV133" s="987"/>
      <c r="AW133" s="987"/>
      <c r="AX133" s="987"/>
      <c r="AY133" s="987"/>
      <c r="AZ133" s="987"/>
      <c r="BA133" s="987"/>
      <c r="BB133" s="987"/>
      <c r="BC133" s="987"/>
      <c r="BD133" s="987"/>
      <c r="BE133" s="987"/>
      <c r="BF133" s="987"/>
      <c r="BG133" s="987"/>
      <c r="BH133" s="987"/>
      <c r="BI133" s="987"/>
      <c r="BJ133" s="987"/>
      <c r="BK133" s="987"/>
      <c r="BL133" s="987"/>
      <c r="BM133" s="987"/>
      <c r="BN133" s="987"/>
      <c r="BO133" s="987"/>
      <c r="BP133" s="987"/>
      <c r="BQ133" s="987"/>
      <c r="BR133" s="987"/>
      <c r="BS133" s="987"/>
      <c r="BT133" s="987"/>
      <c r="BU133" s="987"/>
      <c r="BV133" s="987"/>
      <c r="BW133" s="987"/>
      <c r="BX133" s="987"/>
      <c r="BY133" s="987"/>
      <c r="BZ133" s="987"/>
      <c r="CA133" s="987"/>
      <c r="CB133" s="987"/>
      <c r="CC133" s="987"/>
      <c r="CD133" s="987"/>
      <c r="CE133" s="987"/>
      <c r="CF133" s="987"/>
      <c r="CG133" s="987"/>
      <c r="CH133" s="987"/>
      <c r="CI133" s="987"/>
      <c r="CJ133" s="987"/>
      <c r="CK133" s="987"/>
      <c r="CL133" s="987"/>
      <c r="CM133" s="987"/>
      <c r="CN133" s="987"/>
      <c r="IJ133" s="987"/>
      <c r="IK133" s="987"/>
      <c r="IL133" s="987"/>
      <c r="IM133" s="987"/>
      <c r="IN133" s="987"/>
      <c r="IO133" s="987"/>
      <c r="IP133" s="987"/>
      <c r="IQ133" s="987"/>
      <c r="IR133" s="987"/>
      <c r="IS133" s="987"/>
      <c r="IT133" s="987"/>
      <c r="IU133" s="987"/>
      <c r="IV133" s="987"/>
      <c r="IW133" s="987"/>
      <c r="IX133" s="987"/>
      <c r="IY133" s="987"/>
      <c r="JM133" s="987"/>
      <c r="JN133" s="987"/>
      <c r="KB133" s="987"/>
      <c r="KC133" s="987"/>
    </row>
    <row r="134" spans="16:289">
      <c r="AH134" s="987"/>
      <c r="AI134" s="987"/>
      <c r="AJ134" s="987"/>
      <c r="AK134" s="987"/>
      <c r="AL134" s="987"/>
      <c r="AM134" s="987"/>
      <c r="AN134" s="987"/>
      <c r="AO134" s="987"/>
      <c r="AQ134" s="987"/>
      <c r="AR134" s="987"/>
      <c r="AS134" s="987"/>
      <c r="AT134" s="987"/>
      <c r="AU134" s="987"/>
      <c r="AV134" s="987"/>
      <c r="AW134" s="987"/>
      <c r="AX134" s="987"/>
      <c r="AY134" s="987"/>
      <c r="AZ134" s="987"/>
      <c r="BA134" s="987"/>
      <c r="BB134" s="987"/>
      <c r="BC134" s="987"/>
      <c r="BD134" s="987"/>
      <c r="BE134" s="987"/>
      <c r="BF134" s="987"/>
      <c r="BG134" s="987"/>
      <c r="BH134" s="987"/>
      <c r="BI134" s="987"/>
      <c r="BJ134" s="987"/>
      <c r="BK134" s="987"/>
      <c r="BL134" s="987"/>
      <c r="BM134" s="987"/>
      <c r="BN134" s="987"/>
      <c r="BO134" s="987"/>
      <c r="BP134" s="987"/>
      <c r="BQ134" s="987"/>
      <c r="BR134" s="987"/>
      <c r="BS134" s="987"/>
      <c r="BT134" s="987"/>
      <c r="BU134" s="987"/>
      <c r="BV134" s="987"/>
      <c r="BW134" s="987"/>
      <c r="BX134" s="987"/>
      <c r="BY134" s="987"/>
      <c r="BZ134" s="987"/>
      <c r="CA134" s="987"/>
      <c r="CB134" s="987"/>
      <c r="CC134" s="987"/>
      <c r="CD134" s="987"/>
      <c r="CE134" s="987"/>
      <c r="CF134" s="987"/>
      <c r="CG134" s="987"/>
      <c r="CH134" s="987"/>
      <c r="CI134" s="987"/>
      <c r="CJ134" s="987"/>
      <c r="CK134" s="987"/>
      <c r="CL134" s="987"/>
      <c r="CM134" s="987"/>
      <c r="CN134" s="987"/>
      <c r="IJ134" s="987"/>
      <c r="IK134" s="987"/>
      <c r="IL134" s="987"/>
      <c r="IM134" s="987"/>
      <c r="IN134" s="987"/>
      <c r="IO134" s="987"/>
      <c r="IP134" s="987"/>
      <c r="IQ134" s="987"/>
      <c r="IR134" s="987"/>
      <c r="IS134" s="987"/>
      <c r="IT134" s="987"/>
      <c r="IU134" s="987"/>
      <c r="IV134" s="987"/>
      <c r="IW134" s="987"/>
      <c r="IX134" s="987"/>
      <c r="IY134" s="987"/>
      <c r="JM134" s="987"/>
      <c r="JN134" s="987"/>
      <c r="KB134" s="987"/>
      <c r="KC134" s="987"/>
    </row>
    <row r="135" spans="16:289">
      <c r="AH135" s="987"/>
      <c r="AI135" s="987"/>
      <c r="AJ135" s="987"/>
      <c r="AK135" s="987"/>
      <c r="AL135" s="987"/>
      <c r="AM135" s="987"/>
      <c r="AN135" s="987"/>
      <c r="AO135" s="987"/>
      <c r="AQ135" s="987"/>
      <c r="AR135" s="987"/>
      <c r="AS135" s="987"/>
      <c r="AT135" s="987"/>
      <c r="AU135" s="987"/>
      <c r="AV135" s="987"/>
      <c r="AW135" s="987"/>
      <c r="AX135" s="987"/>
      <c r="AY135" s="987"/>
      <c r="AZ135" s="987"/>
      <c r="BA135" s="987"/>
      <c r="BB135" s="987"/>
      <c r="BC135" s="987"/>
      <c r="BD135" s="987"/>
      <c r="BE135" s="987"/>
      <c r="BF135" s="987"/>
      <c r="BG135" s="987"/>
      <c r="BH135" s="987"/>
      <c r="BI135" s="987"/>
      <c r="BJ135" s="987"/>
      <c r="BK135" s="987"/>
      <c r="BL135" s="987"/>
      <c r="BM135" s="987"/>
      <c r="BN135" s="987"/>
      <c r="BO135" s="987"/>
      <c r="BP135" s="987"/>
      <c r="BQ135" s="987"/>
      <c r="BR135" s="987"/>
      <c r="BS135" s="987"/>
      <c r="BT135" s="987"/>
      <c r="BU135" s="987"/>
      <c r="BV135" s="987"/>
      <c r="BW135" s="987"/>
      <c r="BX135" s="987"/>
      <c r="BY135" s="987"/>
      <c r="BZ135" s="987"/>
      <c r="CA135" s="987"/>
      <c r="CB135" s="987"/>
      <c r="CC135" s="987"/>
      <c r="CD135" s="987"/>
      <c r="CE135" s="987"/>
      <c r="CF135" s="987"/>
      <c r="CG135" s="987"/>
      <c r="CH135" s="987"/>
      <c r="CI135" s="987"/>
      <c r="CJ135" s="987"/>
      <c r="CK135" s="987"/>
      <c r="CL135" s="987"/>
      <c r="CM135" s="987"/>
      <c r="CN135" s="987"/>
      <c r="IJ135" s="987"/>
      <c r="IK135" s="987"/>
      <c r="IL135" s="987"/>
      <c r="IM135" s="987"/>
      <c r="IN135" s="987"/>
      <c r="IO135" s="987"/>
      <c r="IP135" s="987"/>
      <c r="IQ135" s="987"/>
      <c r="IR135" s="987"/>
      <c r="IS135" s="987"/>
      <c r="IT135" s="987"/>
      <c r="IU135" s="987"/>
      <c r="IV135" s="987"/>
      <c r="IW135" s="987"/>
      <c r="IX135" s="987"/>
      <c r="IY135" s="987"/>
      <c r="JM135" s="987"/>
      <c r="JN135" s="987"/>
      <c r="KB135" s="987"/>
      <c r="KC135" s="987"/>
    </row>
    <row r="136" spans="16:289">
      <c r="AH136" s="987"/>
      <c r="AI136" s="987"/>
      <c r="AJ136" s="987"/>
      <c r="AK136" s="987"/>
      <c r="AL136" s="987"/>
      <c r="AM136" s="987"/>
      <c r="AN136" s="987"/>
      <c r="AO136" s="987"/>
      <c r="AQ136" s="987"/>
      <c r="AR136" s="987"/>
      <c r="AS136" s="987"/>
      <c r="AT136" s="987"/>
      <c r="AU136" s="987"/>
      <c r="AV136" s="987"/>
      <c r="AW136" s="987"/>
      <c r="AX136" s="987"/>
      <c r="AY136" s="987"/>
      <c r="AZ136" s="987"/>
      <c r="BA136" s="987"/>
      <c r="BB136" s="987"/>
      <c r="BC136" s="987"/>
      <c r="BD136" s="987"/>
      <c r="BE136" s="987"/>
      <c r="BF136" s="987"/>
      <c r="BG136" s="987"/>
      <c r="BH136" s="987"/>
      <c r="BI136" s="987"/>
      <c r="BJ136" s="987"/>
      <c r="BK136" s="987"/>
      <c r="BL136" s="987"/>
      <c r="BM136" s="987"/>
      <c r="BN136" s="987"/>
      <c r="BO136" s="987"/>
      <c r="BP136" s="987"/>
      <c r="BQ136" s="987"/>
      <c r="BR136" s="987"/>
      <c r="BS136" s="987"/>
      <c r="BT136" s="987"/>
      <c r="BU136" s="987"/>
      <c r="BV136" s="987"/>
      <c r="BW136" s="987"/>
      <c r="BX136" s="987"/>
      <c r="BY136" s="987"/>
      <c r="BZ136" s="987"/>
      <c r="CA136" s="987"/>
      <c r="CB136" s="987"/>
      <c r="CC136" s="987"/>
      <c r="CD136" s="987"/>
      <c r="CE136" s="987"/>
      <c r="CF136" s="987"/>
      <c r="CG136" s="987"/>
      <c r="CH136" s="987"/>
      <c r="CI136" s="987"/>
      <c r="CJ136" s="987"/>
      <c r="CK136" s="987"/>
      <c r="CL136" s="987"/>
      <c r="CM136" s="987"/>
      <c r="CN136" s="987"/>
      <c r="IJ136" s="987"/>
      <c r="IK136" s="987"/>
      <c r="IL136" s="987"/>
      <c r="IM136" s="987"/>
      <c r="IN136" s="987"/>
      <c r="IO136" s="987"/>
      <c r="IP136" s="987"/>
      <c r="IQ136" s="987"/>
      <c r="IR136" s="987"/>
      <c r="IS136" s="987"/>
      <c r="IT136" s="987"/>
      <c r="IU136" s="987"/>
      <c r="IV136" s="987"/>
      <c r="IW136" s="987"/>
      <c r="IX136" s="987"/>
      <c r="IY136" s="987"/>
      <c r="JM136" s="987"/>
      <c r="JN136" s="987"/>
      <c r="KB136" s="987"/>
      <c r="KC136" s="987"/>
    </row>
    <row r="137" spans="16:289">
      <c r="AH137" s="987"/>
      <c r="AI137" s="987"/>
      <c r="AJ137" s="987"/>
      <c r="AK137" s="987"/>
      <c r="AL137" s="987"/>
      <c r="AM137" s="987"/>
      <c r="AN137" s="987"/>
      <c r="AO137" s="987"/>
      <c r="AQ137" s="987"/>
      <c r="AR137" s="987"/>
      <c r="AS137" s="987"/>
      <c r="AT137" s="987"/>
      <c r="AU137" s="987"/>
      <c r="AV137" s="987"/>
      <c r="AW137" s="987"/>
      <c r="AX137" s="987"/>
      <c r="AY137" s="987"/>
      <c r="AZ137" s="987"/>
      <c r="BA137" s="987"/>
      <c r="BB137" s="987"/>
      <c r="BC137" s="987"/>
      <c r="BD137" s="987"/>
      <c r="BE137" s="987"/>
      <c r="BF137" s="987"/>
      <c r="BG137" s="987"/>
      <c r="BH137" s="987"/>
      <c r="BI137" s="987"/>
      <c r="BJ137" s="987"/>
      <c r="BK137" s="987"/>
      <c r="BL137" s="987"/>
      <c r="BM137" s="987"/>
      <c r="BN137" s="987"/>
      <c r="BO137" s="987"/>
      <c r="BP137" s="987"/>
      <c r="BQ137" s="987"/>
      <c r="BR137" s="987"/>
      <c r="BS137" s="987"/>
      <c r="BT137" s="987"/>
      <c r="BU137" s="987"/>
      <c r="BV137" s="987"/>
      <c r="BW137" s="987"/>
      <c r="BX137" s="987"/>
      <c r="BY137" s="987"/>
      <c r="BZ137" s="987"/>
      <c r="CA137" s="987"/>
      <c r="CB137" s="987"/>
      <c r="CC137" s="987"/>
      <c r="CD137" s="987"/>
      <c r="CE137" s="987"/>
      <c r="CF137" s="987"/>
      <c r="CG137" s="987"/>
      <c r="CH137" s="987"/>
      <c r="CI137" s="987"/>
      <c r="CJ137" s="987"/>
      <c r="CK137" s="987"/>
      <c r="CL137" s="987"/>
      <c r="CM137" s="987"/>
      <c r="CN137" s="987"/>
      <c r="IJ137" s="987"/>
      <c r="IK137" s="987"/>
      <c r="IL137" s="987"/>
      <c r="IM137" s="987"/>
      <c r="IN137" s="987"/>
      <c r="IO137" s="987"/>
      <c r="IP137" s="987"/>
      <c r="IQ137" s="987"/>
      <c r="IR137" s="987"/>
      <c r="IS137" s="987"/>
      <c r="IT137" s="987"/>
      <c r="IU137" s="987"/>
      <c r="IV137" s="987"/>
      <c r="IW137" s="987"/>
      <c r="IX137" s="987"/>
      <c r="IY137" s="987"/>
      <c r="JM137" s="987"/>
      <c r="JN137" s="987"/>
      <c r="KB137" s="987"/>
      <c r="KC137" s="987"/>
    </row>
    <row r="138" spans="16:289">
      <c r="AH138" s="987"/>
      <c r="AI138" s="987"/>
      <c r="AJ138" s="987"/>
      <c r="AK138" s="987"/>
      <c r="AL138" s="987"/>
      <c r="AM138" s="987"/>
      <c r="AN138" s="987"/>
      <c r="AO138" s="987"/>
      <c r="AQ138" s="987"/>
      <c r="AR138" s="987"/>
      <c r="AS138" s="987"/>
      <c r="AT138" s="987"/>
      <c r="AU138" s="987"/>
      <c r="AV138" s="987"/>
      <c r="AW138" s="987"/>
      <c r="AX138" s="987"/>
      <c r="AY138" s="987"/>
      <c r="AZ138" s="987"/>
      <c r="BA138" s="987"/>
      <c r="BB138" s="987"/>
      <c r="BC138" s="987"/>
      <c r="BD138" s="987"/>
      <c r="BE138" s="987"/>
      <c r="BF138" s="987"/>
      <c r="BG138" s="987"/>
      <c r="BH138" s="987"/>
      <c r="BI138" s="987"/>
      <c r="BJ138" s="987"/>
      <c r="BK138" s="987"/>
      <c r="BL138" s="987"/>
      <c r="BM138" s="987"/>
      <c r="BN138" s="987"/>
      <c r="BO138" s="987"/>
      <c r="BP138" s="987"/>
      <c r="BQ138" s="987"/>
      <c r="BR138" s="987"/>
      <c r="BS138" s="987"/>
      <c r="BT138" s="987"/>
      <c r="BU138" s="987"/>
      <c r="BV138" s="987"/>
      <c r="BW138" s="987"/>
      <c r="BX138" s="987"/>
      <c r="BY138" s="987"/>
      <c r="BZ138" s="987"/>
      <c r="CA138" s="987"/>
      <c r="CB138" s="987"/>
      <c r="CC138" s="987"/>
      <c r="CD138" s="987"/>
      <c r="CE138" s="987"/>
      <c r="CF138" s="987"/>
      <c r="CG138" s="987"/>
      <c r="CH138" s="987"/>
      <c r="CI138" s="987"/>
      <c r="CJ138" s="987"/>
      <c r="CK138" s="987"/>
      <c r="CL138" s="987"/>
      <c r="CM138" s="987"/>
      <c r="CN138" s="987"/>
      <c r="IJ138" s="987"/>
      <c r="IK138" s="987"/>
      <c r="IL138" s="987"/>
      <c r="IM138" s="987"/>
      <c r="IN138" s="987"/>
      <c r="IO138" s="987"/>
      <c r="IP138" s="987"/>
      <c r="IQ138" s="987"/>
      <c r="IR138" s="987"/>
      <c r="IS138" s="987"/>
      <c r="IT138" s="987"/>
      <c r="IU138" s="987"/>
      <c r="IV138" s="987"/>
      <c r="IW138" s="987"/>
      <c r="IX138" s="987"/>
      <c r="IY138" s="987"/>
      <c r="JM138" s="987"/>
      <c r="JN138" s="987"/>
      <c r="KB138" s="987"/>
      <c r="KC138" s="987"/>
    </row>
    <row r="139" spans="16:289">
      <c r="AH139" s="987"/>
      <c r="AI139" s="987"/>
      <c r="AJ139" s="987"/>
      <c r="AK139" s="987"/>
      <c r="AL139" s="987"/>
      <c r="AM139" s="987"/>
      <c r="AN139" s="987"/>
      <c r="AO139" s="987"/>
      <c r="AQ139" s="987"/>
      <c r="AR139" s="987"/>
      <c r="AS139" s="987"/>
      <c r="AT139" s="987"/>
      <c r="AU139" s="987"/>
      <c r="AV139" s="987"/>
      <c r="AW139" s="987"/>
      <c r="AX139" s="987"/>
      <c r="AY139" s="987"/>
      <c r="AZ139" s="987"/>
      <c r="BA139" s="987"/>
      <c r="BB139" s="987"/>
      <c r="BC139" s="987"/>
      <c r="BD139" s="987"/>
      <c r="BE139" s="987"/>
      <c r="BF139" s="987"/>
      <c r="BG139" s="987"/>
      <c r="BH139" s="987"/>
      <c r="BI139" s="987"/>
      <c r="BJ139" s="987"/>
      <c r="BK139" s="987"/>
      <c r="BL139" s="987"/>
      <c r="BM139" s="987"/>
      <c r="BN139" s="987"/>
      <c r="BO139" s="987"/>
      <c r="BP139" s="987"/>
      <c r="BQ139" s="987"/>
      <c r="BR139" s="987"/>
      <c r="BS139" s="987"/>
      <c r="BT139" s="987"/>
      <c r="BU139" s="987"/>
      <c r="BV139" s="987"/>
      <c r="BW139" s="987"/>
      <c r="BX139" s="987"/>
      <c r="BY139" s="987"/>
      <c r="BZ139" s="987"/>
      <c r="CA139" s="987"/>
      <c r="CB139" s="987"/>
      <c r="CC139" s="987"/>
      <c r="CD139" s="987"/>
      <c r="CE139" s="987"/>
      <c r="CF139" s="987"/>
      <c r="CG139" s="987"/>
      <c r="CH139" s="987"/>
      <c r="CI139" s="987"/>
      <c r="CJ139" s="987"/>
      <c r="CK139" s="987"/>
      <c r="CL139" s="987"/>
      <c r="CM139" s="987"/>
      <c r="CN139" s="987"/>
      <c r="IJ139" s="987"/>
      <c r="IK139" s="987"/>
      <c r="IL139" s="987"/>
      <c r="IM139" s="987"/>
      <c r="IN139" s="987"/>
      <c r="IO139" s="987"/>
      <c r="IP139" s="987"/>
      <c r="IQ139" s="987"/>
      <c r="IR139" s="987"/>
      <c r="IS139" s="987"/>
      <c r="IT139" s="987"/>
      <c r="IU139" s="987"/>
      <c r="IV139" s="987"/>
      <c r="IW139" s="987"/>
      <c r="IX139" s="987"/>
      <c r="IY139" s="987"/>
      <c r="JM139" s="987"/>
      <c r="JN139" s="987"/>
      <c r="KB139" s="987"/>
      <c r="KC139" s="987"/>
    </row>
    <row r="140" spans="16:289">
      <c r="AH140" s="987"/>
      <c r="AI140" s="987"/>
      <c r="AJ140" s="987"/>
      <c r="AK140" s="987"/>
      <c r="AL140" s="987"/>
      <c r="AM140" s="987"/>
      <c r="AN140" s="987"/>
      <c r="AO140" s="987"/>
      <c r="AQ140" s="987"/>
      <c r="AR140" s="987"/>
      <c r="AS140" s="987"/>
      <c r="AT140" s="987"/>
      <c r="AU140" s="987"/>
      <c r="AV140" s="987"/>
      <c r="AW140" s="987"/>
      <c r="AX140" s="987"/>
      <c r="AY140" s="987"/>
      <c r="AZ140" s="987"/>
      <c r="BA140" s="987"/>
      <c r="BB140" s="987"/>
      <c r="BC140" s="987"/>
      <c r="BD140" s="987"/>
      <c r="BE140" s="987"/>
      <c r="BF140" s="987"/>
      <c r="BG140" s="987"/>
      <c r="BH140" s="987"/>
      <c r="BI140" s="987"/>
      <c r="BJ140" s="987"/>
      <c r="BK140" s="987"/>
      <c r="BL140" s="987"/>
      <c r="BM140" s="987"/>
      <c r="BN140" s="987"/>
      <c r="BO140" s="987"/>
      <c r="BP140" s="987"/>
      <c r="BQ140" s="987"/>
      <c r="BR140" s="987"/>
      <c r="BS140" s="987"/>
      <c r="BT140" s="987"/>
      <c r="BU140" s="987"/>
      <c r="BV140" s="987"/>
      <c r="BW140" s="987"/>
      <c r="BX140" s="987"/>
      <c r="BY140" s="987"/>
      <c r="BZ140" s="987"/>
      <c r="CA140" s="987"/>
      <c r="CB140" s="987"/>
      <c r="CC140" s="987"/>
      <c r="CD140" s="987"/>
      <c r="CE140" s="987"/>
      <c r="CF140" s="987"/>
      <c r="CG140" s="987"/>
      <c r="CH140" s="987"/>
      <c r="CI140" s="987"/>
      <c r="CJ140" s="987"/>
      <c r="CK140" s="987"/>
      <c r="CL140" s="987"/>
      <c r="CM140" s="987"/>
      <c r="CN140" s="987"/>
      <c r="IJ140" s="987"/>
      <c r="IK140" s="987"/>
      <c r="IL140" s="987"/>
      <c r="IM140" s="987"/>
      <c r="IN140" s="987"/>
      <c r="IO140" s="987"/>
      <c r="IP140" s="987"/>
      <c r="IQ140" s="987"/>
      <c r="IR140" s="987"/>
      <c r="IS140" s="987"/>
      <c r="IT140" s="987"/>
      <c r="IU140" s="987"/>
      <c r="IV140" s="987"/>
      <c r="IW140" s="987"/>
      <c r="IX140" s="987"/>
      <c r="IY140" s="987"/>
      <c r="JM140" s="987"/>
      <c r="JN140" s="987"/>
      <c r="KB140" s="987"/>
      <c r="KC140" s="987"/>
    </row>
    <row r="141" spans="16:289">
      <c r="AH141" s="987"/>
      <c r="AI141" s="987"/>
      <c r="AJ141" s="987"/>
      <c r="AK141" s="987"/>
      <c r="AL141" s="987"/>
      <c r="AM141" s="987"/>
      <c r="AN141" s="987"/>
      <c r="AO141" s="987"/>
      <c r="AQ141" s="987"/>
      <c r="AR141" s="987"/>
      <c r="AS141" s="987"/>
      <c r="AT141" s="987"/>
      <c r="AU141" s="987"/>
      <c r="AV141" s="987"/>
      <c r="AW141" s="987"/>
      <c r="AX141" s="987"/>
      <c r="AY141" s="987"/>
      <c r="AZ141" s="987"/>
      <c r="BA141" s="987"/>
      <c r="BB141" s="987"/>
      <c r="BC141" s="987"/>
      <c r="BD141" s="987"/>
      <c r="BE141" s="987"/>
      <c r="BF141" s="987"/>
      <c r="BG141" s="987"/>
      <c r="BH141" s="987"/>
      <c r="BI141" s="987"/>
      <c r="BJ141" s="987"/>
      <c r="BK141" s="987"/>
      <c r="BL141" s="987"/>
      <c r="BM141" s="987"/>
      <c r="BN141" s="987"/>
      <c r="BO141" s="987"/>
      <c r="BP141" s="987"/>
      <c r="BQ141" s="987"/>
      <c r="BR141" s="987"/>
      <c r="BS141" s="987"/>
      <c r="BT141" s="987"/>
      <c r="BU141" s="987"/>
      <c r="BV141" s="987"/>
      <c r="BW141" s="987"/>
      <c r="BX141" s="987"/>
      <c r="BY141" s="987"/>
      <c r="BZ141" s="987"/>
      <c r="CA141" s="987"/>
      <c r="CB141" s="987"/>
      <c r="CC141" s="987"/>
      <c r="CD141" s="987"/>
      <c r="CE141" s="987"/>
      <c r="CF141" s="987"/>
      <c r="CG141" s="987"/>
      <c r="CH141" s="987"/>
      <c r="CI141" s="987"/>
      <c r="CJ141" s="987"/>
      <c r="CK141" s="987"/>
      <c r="CL141" s="987"/>
      <c r="CM141" s="987"/>
      <c r="CN141" s="987"/>
      <c r="IJ141" s="987"/>
      <c r="IK141" s="987"/>
      <c r="IL141" s="987"/>
      <c r="IM141" s="987"/>
      <c r="IN141" s="987"/>
      <c r="IO141" s="987"/>
      <c r="IP141" s="987"/>
      <c r="IQ141" s="987"/>
      <c r="IR141" s="987"/>
      <c r="IS141" s="987"/>
      <c r="IT141" s="987"/>
      <c r="IU141" s="987"/>
      <c r="IV141" s="987"/>
      <c r="IW141" s="987"/>
      <c r="IX141" s="987"/>
      <c r="IY141" s="987"/>
      <c r="JM141" s="987"/>
      <c r="JN141" s="987"/>
      <c r="KB141" s="987"/>
      <c r="KC141" s="987"/>
    </row>
    <row r="142" spans="16:289">
      <c r="AH142" s="987"/>
      <c r="AI142" s="987"/>
      <c r="AJ142" s="987"/>
      <c r="AK142" s="987"/>
      <c r="AL142" s="987"/>
      <c r="AM142" s="987"/>
      <c r="AN142" s="987"/>
      <c r="AO142" s="987"/>
      <c r="AQ142" s="987"/>
      <c r="AR142" s="987"/>
      <c r="AS142" s="987"/>
      <c r="AT142" s="987"/>
      <c r="AU142" s="987"/>
      <c r="AV142" s="987"/>
      <c r="AW142" s="987"/>
      <c r="AX142" s="987"/>
      <c r="AY142" s="987"/>
      <c r="AZ142" s="987"/>
      <c r="BA142" s="987"/>
      <c r="BB142" s="987"/>
      <c r="BC142" s="987"/>
      <c r="BD142" s="987"/>
      <c r="BE142" s="987"/>
      <c r="BF142" s="987"/>
      <c r="BG142" s="987"/>
      <c r="BH142" s="987"/>
      <c r="BI142" s="987"/>
      <c r="BJ142" s="987"/>
      <c r="BK142" s="987"/>
      <c r="BL142" s="987"/>
      <c r="BM142" s="987"/>
      <c r="BN142" s="987"/>
      <c r="BO142" s="987"/>
      <c r="BP142" s="987"/>
      <c r="BQ142" s="987"/>
      <c r="BR142" s="987"/>
      <c r="BS142" s="987"/>
      <c r="BT142" s="987"/>
      <c r="BU142" s="987"/>
      <c r="BV142" s="987"/>
      <c r="BW142" s="987"/>
      <c r="BX142" s="987"/>
      <c r="BY142" s="987"/>
      <c r="BZ142" s="987"/>
      <c r="CA142" s="987"/>
      <c r="CB142" s="987"/>
      <c r="CC142" s="987"/>
      <c r="CD142" s="987"/>
      <c r="CE142" s="987"/>
      <c r="CF142" s="987"/>
      <c r="CG142" s="987"/>
      <c r="CH142" s="987"/>
      <c r="CI142" s="987"/>
      <c r="CJ142" s="987"/>
      <c r="CK142" s="987"/>
      <c r="CL142" s="987"/>
      <c r="CM142" s="987"/>
      <c r="CN142" s="987"/>
      <c r="IJ142" s="987"/>
      <c r="IK142" s="987"/>
      <c r="IL142" s="987"/>
      <c r="IM142" s="987"/>
      <c r="IN142" s="987"/>
      <c r="IO142" s="987"/>
      <c r="IP142" s="987"/>
      <c r="IQ142" s="987"/>
      <c r="IR142" s="987"/>
      <c r="IS142" s="987"/>
      <c r="IT142" s="987"/>
      <c r="IU142" s="987"/>
      <c r="IV142" s="987"/>
      <c r="IW142" s="987"/>
      <c r="IX142" s="987"/>
      <c r="IY142" s="987"/>
      <c r="JM142" s="987"/>
      <c r="JN142" s="987"/>
      <c r="KB142" s="987"/>
      <c r="KC142" s="987"/>
    </row>
    <row r="143" spans="16:289">
      <c r="AH143" s="987"/>
      <c r="AI143" s="987"/>
      <c r="AJ143" s="987"/>
      <c r="AK143" s="987"/>
      <c r="AL143" s="987"/>
      <c r="AM143" s="987"/>
      <c r="AN143" s="987"/>
      <c r="AO143" s="987"/>
      <c r="AQ143" s="987"/>
      <c r="AR143" s="987"/>
      <c r="AS143" s="987"/>
      <c r="AT143" s="987"/>
      <c r="AU143" s="987"/>
      <c r="AV143" s="987"/>
      <c r="AW143" s="987"/>
      <c r="AX143" s="987"/>
      <c r="AY143" s="987"/>
      <c r="AZ143" s="987"/>
      <c r="BA143" s="987"/>
      <c r="BB143" s="987"/>
      <c r="BC143" s="987"/>
      <c r="BD143" s="987"/>
      <c r="BE143" s="987"/>
      <c r="BF143" s="987"/>
      <c r="BG143" s="987"/>
      <c r="BH143" s="987"/>
      <c r="BI143" s="987"/>
      <c r="BJ143" s="987"/>
      <c r="BK143" s="987"/>
      <c r="BL143" s="987"/>
      <c r="BM143" s="987"/>
      <c r="BN143" s="987"/>
      <c r="BO143" s="987"/>
      <c r="BP143" s="987"/>
      <c r="BQ143" s="987"/>
      <c r="BR143" s="987"/>
      <c r="BS143" s="987"/>
      <c r="BT143" s="987"/>
      <c r="BU143" s="987"/>
      <c r="BV143" s="987"/>
      <c r="BW143" s="987"/>
      <c r="BX143" s="987"/>
      <c r="BY143" s="987"/>
      <c r="BZ143" s="987"/>
      <c r="CA143" s="987"/>
      <c r="CB143" s="987"/>
      <c r="CC143" s="987"/>
      <c r="CD143" s="987"/>
      <c r="CE143" s="987"/>
      <c r="CF143" s="987"/>
      <c r="CG143" s="987"/>
      <c r="CH143" s="987"/>
      <c r="CI143" s="987"/>
      <c r="CJ143" s="987"/>
      <c r="CK143" s="987"/>
      <c r="CL143" s="987"/>
      <c r="CM143" s="987"/>
      <c r="CN143" s="987"/>
      <c r="IJ143" s="987"/>
      <c r="IK143" s="987"/>
      <c r="IL143" s="987"/>
      <c r="IM143" s="987"/>
      <c r="IN143" s="987"/>
      <c r="IO143" s="987"/>
      <c r="IP143" s="987"/>
      <c r="IQ143" s="987"/>
      <c r="IR143" s="987"/>
      <c r="IS143" s="987"/>
      <c r="IT143" s="987"/>
      <c r="IU143" s="987"/>
      <c r="IV143" s="987"/>
      <c r="IW143" s="987"/>
      <c r="IX143" s="987"/>
      <c r="IY143" s="987"/>
      <c r="JM143" s="987"/>
      <c r="JN143" s="987"/>
      <c r="KB143" s="987"/>
      <c r="KC143" s="987"/>
    </row>
    <row r="144" spans="16:289">
      <c r="AH144" s="987"/>
      <c r="AI144" s="987"/>
      <c r="AJ144" s="987"/>
      <c r="AK144" s="987"/>
      <c r="AL144" s="987"/>
      <c r="AM144" s="987"/>
      <c r="AN144" s="987"/>
      <c r="AO144" s="987"/>
      <c r="AQ144" s="987"/>
      <c r="AR144" s="987"/>
      <c r="AS144" s="987"/>
      <c r="AT144" s="987"/>
      <c r="AU144" s="987"/>
      <c r="AV144" s="987"/>
      <c r="AW144" s="987"/>
      <c r="AX144" s="987"/>
      <c r="AY144" s="987"/>
      <c r="AZ144" s="987"/>
      <c r="BA144" s="987"/>
      <c r="BB144" s="987"/>
      <c r="BC144" s="987"/>
      <c r="BD144" s="987"/>
      <c r="BE144" s="987"/>
      <c r="BF144" s="987"/>
      <c r="BG144" s="987"/>
      <c r="BH144" s="987"/>
      <c r="BI144" s="987"/>
      <c r="BJ144" s="987"/>
      <c r="BK144" s="987"/>
      <c r="BL144" s="987"/>
      <c r="BM144" s="987"/>
      <c r="BN144" s="987"/>
      <c r="BO144" s="987"/>
      <c r="BP144" s="987"/>
      <c r="BQ144" s="987"/>
      <c r="BR144" s="987"/>
      <c r="BS144" s="987"/>
      <c r="BT144" s="987"/>
      <c r="BU144" s="987"/>
      <c r="BV144" s="987"/>
      <c r="BW144" s="987"/>
      <c r="BX144" s="987"/>
      <c r="BY144" s="987"/>
      <c r="BZ144" s="987"/>
      <c r="CA144" s="987"/>
      <c r="CB144" s="987"/>
      <c r="CC144" s="987"/>
      <c r="CD144" s="987"/>
      <c r="CE144" s="987"/>
      <c r="CF144" s="987"/>
      <c r="CG144" s="987"/>
      <c r="CH144" s="987"/>
      <c r="CI144" s="987"/>
      <c r="CJ144" s="987"/>
      <c r="CK144" s="987"/>
      <c r="CL144" s="987"/>
      <c r="CM144" s="987"/>
      <c r="CN144" s="987"/>
      <c r="IJ144" s="987"/>
      <c r="IK144" s="987"/>
      <c r="IL144" s="987"/>
      <c r="IM144" s="987"/>
      <c r="IN144" s="987"/>
      <c r="IO144" s="987"/>
      <c r="IP144" s="987"/>
      <c r="IQ144" s="987"/>
      <c r="IR144" s="987"/>
      <c r="IS144" s="987"/>
      <c r="IT144" s="987"/>
      <c r="IU144" s="987"/>
      <c r="IV144" s="987"/>
      <c r="IW144" s="987"/>
      <c r="IX144" s="987"/>
      <c r="IY144" s="987"/>
      <c r="JM144" s="987"/>
      <c r="JN144" s="987"/>
      <c r="KB144" s="987"/>
      <c r="KC144" s="987"/>
    </row>
    <row r="145" spans="34:289">
      <c r="AH145" s="987"/>
      <c r="AI145" s="987"/>
      <c r="AJ145" s="987"/>
      <c r="AK145" s="987"/>
      <c r="AL145" s="987"/>
      <c r="AM145" s="987"/>
      <c r="AN145" s="987"/>
      <c r="AO145" s="987"/>
      <c r="AQ145" s="987"/>
      <c r="AR145" s="987"/>
      <c r="AS145" s="987"/>
      <c r="AT145" s="987"/>
      <c r="AU145" s="987"/>
      <c r="AV145" s="987"/>
      <c r="AW145" s="987"/>
      <c r="AX145" s="987"/>
      <c r="AY145" s="987"/>
      <c r="AZ145" s="987"/>
      <c r="BA145" s="987"/>
      <c r="BB145" s="987"/>
      <c r="BC145" s="987"/>
      <c r="BD145" s="987"/>
      <c r="BE145" s="987"/>
      <c r="BF145" s="987"/>
      <c r="BG145" s="987"/>
      <c r="BH145" s="987"/>
      <c r="BI145" s="987"/>
      <c r="BJ145" s="987"/>
      <c r="BK145" s="987"/>
      <c r="BL145" s="987"/>
      <c r="BM145" s="987"/>
      <c r="BN145" s="987"/>
      <c r="BO145" s="987"/>
      <c r="BP145" s="987"/>
      <c r="BQ145" s="987"/>
      <c r="BR145" s="987"/>
      <c r="BS145" s="987"/>
      <c r="BT145" s="987"/>
      <c r="BU145" s="987"/>
      <c r="BV145" s="987"/>
      <c r="BW145" s="987"/>
      <c r="BX145" s="987"/>
      <c r="BY145" s="987"/>
      <c r="BZ145" s="987"/>
      <c r="CA145" s="987"/>
      <c r="CB145" s="987"/>
      <c r="CC145" s="987"/>
      <c r="CD145" s="987"/>
      <c r="CE145" s="987"/>
      <c r="CF145" s="987"/>
      <c r="CG145" s="987"/>
      <c r="CH145" s="987"/>
      <c r="CI145" s="987"/>
      <c r="CJ145" s="987"/>
      <c r="CK145" s="987"/>
      <c r="CL145" s="987"/>
      <c r="CM145" s="987"/>
      <c r="CN145" s="987"/>
      <c r="IJ145" s="987"/>
      <c r="IK145" s="987"/>
      <c r="IL145" s="987"/>
      <c r="IM145" s="987"/>
      <c r="IN145" s="987"/>
      <c r="IO145" s="987"/>
      <c r="IP145" s="987"/>
      <c r="IQ145" s="987"/>
      <c r="IR145" s="987"/>
      <c r="IS145" s="987"/>
      <c r="IT145" s="987"/>
      <c r="IU145" s="987"/>
      <c r="IV145" s="987"/>
      <c r="IW145" s="987"/>
      <c r="IX145" s="987"/>
      <c r="IY145" s="987"/>
      <c r="JM145" s="987"/>
      <c r="JN145" s="987"/>
      <c r="KB145" s="987"/>
      <c r="KC145" s="987"/>
    </row>
    <row r="146" spans="34:289">
      <c r="AH146" s="987"/>
      <c r="AI146" s="987"/>
      <c r="AJ146" s="987"/>
      <c r="AK146" s="987"/>
      <c r="AL146" s="987"/>
      <c r="AM146" s="987"/>
      <c r="AN146" s="987"/>
      <c r="AO146" s="987"/>
      <c r="AQ146" s="987"/>
      <c r="AR146" s="987"/>
      <c r="AS146" s="987"/>
      <c r="AT146" s="987"/>
      <c r="AU146" s="987"/>
      <c r="AV146" s="987"/>
      <c r="AW146" s="987"/>
      <c r="AX146" s="987"/>
      <c r="AY146" s="987"/>
      <c r="AZ146" s="987"/>
      <c r="BA146" s="987"/>
      <c r="BB146" s="987"/>
      <c r="BC146" s="987"/>
      <c r="BD146" s="987"/>
      <c r="BE146" s="987"/>
      <c r="BF146" s="987"/>
      <c r="BG146" s="987"/>
      <c r="BH146" s="987"/>
      <c r="BI146" s="987"/>
      <c r="BJ146" s="987"/>
      <c r="BK146" s="987"/>
      <c r="BL146" s="987"/>
      <c r="BM146" s="987"/>
      <c r="BN146" s="987"/>
      <c r="BO146" s="987"/>
      <c r="BP146" s="987"/>
      <c r="BQ146" s="987"/>
      <c r="BR146" s="987"/>
      <c r="BS146" s="987"/>
      <c r="BT146" s="987"/>
      <c r="BU146" s="987"/>
      <c r="BV146" s="987"/>
      <c r="BW146" s="987"/>
      <c r="BX146" s="987"/>
      <c r="BY146" s="987"/>
      <c r="BZ146" s="987"/>
      <c r="CA146" s="987"/>
      <c r="CB146" s="987"/>
      <c r="CC146" s="987"/>
      <c r="CD146" s="987"/>
      <c r="CE146" s="987"/>
      <c r="CF146" s="987"/>
      <c r="CG146" s="987"/>
      <c r="CH146" s="987"/>
      <c r="CI146" s="987"/>
      <c r="CJ146" s="987"/>
      <c r="CK146" s="987"/>
      <c r="CL146" s="987"/>
      <c r="CM146" s="987"/>
      <c r="CN146" s="987"/>
      <c r="IJ146" s="987"/>
      <c r="IK146" s="987"/>
      <c r="IL146" s="987"/>
      <c r="IM146" s="987"/>
      <c r="IN146" s="987"/>
      <c r="IO146" s="987"/>
      <c r="IP146" s="987"/>
      <c r="IQ146" s="987"/>
      <c r="IR146" s="987"/>
      <c r="IS146" s="987"/>
      <c r="IT146" s="987"/>
      <c r="IU146" s="987"/>
      <c r="IV146" s="987"/>
      <c r="IW146" s="987"/>
      <c r="IX146" s="987"/>
      <c r="IY146" s="987"/>
      <c r="JM146" s="987"/>
      <c r="JN146" s="987"/>
      <c r="KB146" s="987"/>
      <c r="KC146" s="987"/>
    </row>
    <row r="147" spans="34:289">
      <c r="AH147" s="987"/>
      <c r="AI147" s="987"/>
      <c r="AJ147" s="987"/>
      <c r="AK147" s="987"/>
      <c r="AL147" s="987"/>
      <c r="AM147" s="987"/>
      <c r="AN147" s="987"/>
      <c r="AO147" s="987"/>
      <c r="AQ147" s="987"/>
      <c r="AR147" s="987"/>
      <c r="AS147" s="987"/>
      <c r="AT147" s="987"/>
      <c r="AU147" s="987"/>
      <c r="AV147" s="987"/>
      <c r="AW147" s="987"/>
      <c r="AX147" s="987"/>
      <c r="AY147" s="987"/>
      <c r="AZ147" s="987"/>
      <c r="BA147" s="987"/>
      <c r="BB147" s="987"/>
      <c r="BC147" s="987"/>
      <c r="BD147" s="987"/>
      <c r="BE147" s="987"/>
      <c r="BF147" s="987"/>
      <c r="BG147" s="987"/>
      <c r="BH147" s="987"/>
      <c r="BI147" s="987"/>
      <c r="BJ147" s="987"/>
      <c r="BK147" s="987"/>
      <c r="BL147" s="987"/>
      <c r="BM147" s="987"/>
      <c r="BN147" s="987"/>
      <c r="BO147" s="987"/>
      <c r="BP147" s="987"/>
      <c r="BQ147" s="987"/>
      <c r="BR147" s="987"/>
      <c r="BS147" s="987"/>
      <c r="BT147" s="987"/>
      <c r="BU147" s="987"/>
      <c r="BV147" s="987"/>
      <c r="BW147" s="987"/>
      <c r="BX147" s="987"/>
      <c r="BY147" s="987"/>
      <c r="BZ147" s="987"/>
      <c r="CA147" s="987"/>
      <c r="CB147" s="987"/>
      <c r="CC147" s="987"/>
      <c r="CD147" s="987"/>
      <c r="CE147" s="987"/>
      <c r="CF147" s="987"/>
      <c r="CG147" s="987"/>
      <c r="CH147" s="987"/>
      <c r="CI147" s="987"/>
      <c r="CJ147" s="987"/>
      <c r="CK147" s="987"/>
      <c r="CL147" s="987"/>
      <c r="CM147" s="987"/>
      <c r="CN147" s="987"/>
      <c r="IJ147" s="987"/>
      <c r="IK147" s="987"/>
      <c r="IL147" s="987"/>
      <c r="IM147" s="987"/>
      <c r="IN147" s="987"/>
      <c r="IO147" s="987"/>
      <c r="IP147" s="987"/>
      <c r="IQ147" s="987"/>
      <c r="IR147" s="987"/>
      <c r="IS147" s="987"/>
      <c r="IT147" s="987"/>
      <c r="IU147" s="987"/>
      <c r="IV147" s="987"/>
      <c r="IW147" s="987"/>
      <c r="IX147" s="987"/>
      <c r="IY147" s="987"/>
      <c r="JM147" s="987"/>
      <c r="JN147" s="987"/>
      <c r="KB147" s="987"/>
      <c r="KC147" s="987"/>
    </row>
    <row r="148" spans="34:289">
      <c r="AH148" s="987"/>
      <c r="AI148" s="987"/>
      <c r="AJ148" s="987"/>
      <c r="AK148" s="987"/>
      <c r="AL148" s="987"/>
      <c r="AM148" s="987"/>
      <c r="AN148" s="987"/>
      <c r="AO148" s="987"/>
      <c r="AQ148" s="987"/>
      <c r="AR148" s="987"/>
      <c r="AS148" s="987"/>
      <c r="AT148" s="987"/>
      <c r="AU148" s="987"/>
      <c r="AV148" s="987"/>
      <c r="AW148" s="987"/>
      <c r="AX148" s="987"/>
      <c r="AY148" s="987"/>
      <c r="AZ148" s="987"/>
      <c r="BA148" s="987"/>
      <c r="BB148" s="987"/>
      <c r="BC148" s="987"/>
      <c r="BD148" s="987"/>
      <c r="BE148" s="987"/>
      <c r="BF148" s="987"/>
      <c r="BG148" s="987"/>
      <c r="BH148" s="987"/>
      <c r="BI148" s="987"/>
      <c r="BJ148" s="987"/>
      <c r="BK148" s="987"/>
      <c r="BL148" s="987"/>
      <c r="BM148" s="987"/>
      <c r="BN148" s="987"/>
      <c r="BO148" s="987"/>
      <c r="BP148" s="987"/>
      <c r="BQ148" s="987"/>
      <c r="BR148" s="987"/>
      <c r="BS148" s="987"/>
      <c r="BT148" s="987"/>
      <c r="BU148" s="987"/>
      <c r="BV148" s="987"/>
      <c r="BW148" s="987"/>
      <c r="BX148" s="987"/>
      <c r="BY148" s="987"/>
      <c r="BZ148" s="987"/>
      <c r="CA148" s="987"/>
      <c r="CB148" s="987"/>
      <c r="CC148" s="987"/>
      <c r="CD148" s="987"/>
      <c r="CE148" s="987"/>
      <c r="CF148" s="987"/>
      <c r="CG148" s="987"/>
      <c r="CH148" s="987"/>
      <c r="CI148" s="987"/>
      <c r="CJ148" s="987"/>
      <c r="CK148" s="987"/>
      <c r="CL148" s="987"/>
      <c r="CM148" s="987"/>
      <c r="CN148" s="987"/>
      <c r="IJ148" s="987"/>
      <c r="IK148" s="987"/>
      <c r="IL148" s="987"/>
      <c r="IM148" s="987"/>
      <c r="IN148" s="987"/>
      <c r="IO148" s="987"/>
      <c r="IP148" s="987"/>
      <c r="IQ148" s="987"/>
      <c r="IR148" s="987"/>
      <c r="IS148" s="987"/>
      <c r="IT148" s="987"/>
      <c r="IU148" s="987"/>
      <c r="IV148" s="987"/>
      <c r="IW148" s="987"/>
      <c r="IX148" s="987"/>
      <c r="IY148" s="987"/>
      <c r="JM148" s="987"/>
      <c r="JN148" s="987"/>
      <c r="KB148" s="987"/>
      <c r="KC148" s="987"/>
    </row>
    <row r="149" spans="34:289">
      <c r="AH149" s="987"/>
      <c r="AI149" s="987"/>
      <c r="AJ149" s="987"/>
      <c r="AK149" s="987"/>
      <c r="AL149" s="987"/>
      <c r="AM149" s="987"/>
      <c r="AN149" s="987"/>
      <c r="AO149" s="987"/>
      <c r="AQ149" s="987"/>
      <c r="AR149" s="987"/>
      <c r="AS149" s="987"/>
      <c r="AT149" s="987"/>
      <c r="AU149" s="987"/>
      <c r="AV149" s="987"/>
      <c r="AW149" s="987"/>
      <c r="AX149" s="987"/>
      <c r="AY149" s="987"/>
      <c r="AZ149" s="987"/>
      <c r="BA149" s="987"/>
      <c r="BB149" s="987"/>
      <c r="BC149" s="987"/>
      <c r="BD149" s="987"/>
      <c r="BE149" s="987"/>
      <c r="BF149" s="987"/>
      <c r="BG149" s="987"/>
      <c r="BH149" s="987"/>
      <c r="BI149" s="987"/>
      <c r="BJ149" s="987"/>
      <c r="BK149" s="987"/>
      <c r="BL149" s="987"/>
      <c r="BM149" s="987"/>
      <c r="BN149" s="987"/>
      <c r="BO149" s="987"/>
      <c r="BP149" s="987"/>
      <c r="BQ149" s="987"/>
      <c r="BR149" s="987"/>
      <c r="BS149" s="987"/>
      <c r="BT149" s="987"/>
      <c r="BU149" s="987"/>
      <c r="BV149" s="987"/>
      <c r="BW149" s="987"/>
      <c r="BX149" s="987"/>
      <c r="BY149" s="987"/>
      <c r="BZ149" s="987"/>
      <c r="CA149" s="987"/>
      <c r="CB149" s="987"/>
      <c r="CC149" s="987"/>
      <c r="CD149" s="987"/>
      <c r="CE149" s="987"/>
      <c r="CF149" s="987"/>
      <c r="CG149" s="987"/>
      <c r="CH149" s="987"/>
      <c r="CI149" s="987"/>
      <c r="CJ149" s="987"/>
      <c r="CK149" s="987"/>
      <c r="CL149" s="987"/>
      <c r="CM149" s="987"/>
      <c r="CN149" s="987"/>
      <c r="IJ149" s="987"/>
      <c r="IK149" s="987"/>
      <c r="IL149" s="987"/>
      <c r="IM149" s="987"/>
      <c r="IN149" s="987"/>
      <c r="IO149" s="987"/>
      <c r="IP149" s="987"/>
      <c r="IQ149" s="987"/>
      <c r="IR149" s="987"/>
      <c r="IS149" s="987"/>
      <c r="IT149" s="987"/>
      <c r="IU149" s="987"/>
      <c r="IV149" s="987"/>
      <c r="IW149" s="987"/>
      <c r="IX149" s="987"/>
      <c r="IY149" s="987"/>
      <c r="JM149" s="987"/>
      <c r="JN149" s="987"/>
      <c r="KB149" s="987"/>
      <c r="KC149" s="987"/>
    </row>
    <row r="150" spans="34:289">
      <c r="AH150" s="987"/>
      <c r="AI150" s="987"/>
      <c r="AJ150" s="987"/>
      <c r="AK150" s="987"/>
      <c r="AL150" s="987"/>
      <c r="AM150" s="987"/>
      <c r="AN150" s="987"/>
      <c r="AO150" s="987"/>
      <c r="AQ150" s="987"/>
      <c r="AR150" s="987"/>
      <c r="AS150" s="987"/>
      <c r="AT150" s="987"/>
      <c r="AU150" s="987"/>
      <c r="AV150" s="987"/>
      <c r="AW150" s="987"/>
      <c r="AX150" s="987"/>
      <c r="AY150" s="987"/>
      <c r="AZ150" s="987"/>
      <c r="BA150" s="987"/>
      <c r="BB150" s="987"/>
      <c r="BC150" s="987"/>
      <c r="BD150" s="987"/>
      <c r="BE150" s="987"/>
      <c r="BF150" s="987"/>
      <c r="BG150" s="987"/>
      <c r="BH150" s="987"/>
      <c r="BI150" s="987"/>
      <c r="BJ150" s="987"/>
      <c r="BK150" s="987"/>
      <c r="BL150" s="987"/>
      <c r="BM150" s="987"/>
      <c r="BN150" s="987"/>
      <c r="BO150" s="987"/>
      <c r="BP150" s="987"/>
      <c r="BQ150" s="987"/>
      <c r="BR150" s="987"/>
      <c r="BS150" s="987"/>
      <c r="BT150" s="987"/>
      <c r="BU150" s="987"/>
      <c r="BV150" s="987"/>
      <c r="BW150" s="987"/>
      <c r="BX150" s="987"/>
      <c r="BY150" s="987"/>
      <c r="BZ150" s="987"/>
      <c r="CA150" s="987"/>
      <c r="CB150" s="987"/>
      <c r="CC150" s="987"/>
      <c r="CD150" s="987"/>
      <c r="CE150" s="987"/>
      <c r="CF150" s="987"/>
      <c r="CG150" s="987"/>
      <c r="CH150" s="987"/>
      <c r="CI150" s="987"/>
      <c r="CJ150" s="987"/>
      <c r="CK150" s="987"/>
      <c r="CL150" s="987"/>
      <c r="CM150" s="987"/>
      <c r="CN150" s="987"/>
      <c r="IJ150" s="987"/>
      <c r="IK150" s="987"/>
      <c r="IL150" s="987"/>
      <c r="IM150" s="987"/>
      <c r="IN150" s="987"/>
      <c r="IO150" s="987"/>
      <c r="IP150" s="987"/>
      <c r="IQ150" s="987"/>
      <c r="IR150" s="987"/>
      <c r="IS150" s="987"/>
      <c r="IT150" s="987"/>
      <c r="IU150" s="987"/>
      <c r="IV150" s="987"/>
      <c r="IW150" s="987"/>
      <c r="IX150" s="987"/>
      <c r="IY150" s="987"/>
      <c r="JM150" s="987"/>
      <c r="JN150" s="987"/>
      <c r="KB150" s="987"/>
      <c r="KC150" s="987"/>
    </row>
    <row r="151" spans="34:289">
      <c r="AH151" s="987"/>
      <c r="AI151" s="987"/>
      <c r="AJ151" s="987"/>
      <c r="AK151" s="987"/>
      <c r="AL151" s="987"/>
      <c r="AM151" s="987"/>
      <c r="AN151" s="987"/>
      <c r="AO151" s="987"/>
      <c r="AQ151" s="987"/>
      <c r="AR151" s="987"/>
      <c r="AS151" s="987"/>
      <c r="AT151" s="987"/>
      <c r="AU151" s="987"/>
      <c r="AV151" s="987"/>
      <c r="AW151" s="987"/>
      <c r="AX151" s="987"/>
      <c r="AY151" s="987"/>
      <c r="AZ151" s="987"/>
      <c r="BA151" s="987"/>
      <c r="BB151" s="987"/>
      <c r="BC151" s="987"/>
      <c r="BD151" s="987"/>
      <c r="BE151" s="987"/>
      <c r="BF151" s="987"/>
      <c r="BG151" s="987"/>
      <c r="BH151" s="987"/>
      <c r="BI151" s="987"/>
      <c r="BJ151" s="987"/>
      <c r="BK151" s="987"/>
      <c r="BL151" s="987"/>
      <c r="BM151" s="987"/>
      <c r="BN151" s="987"/>
      <c r="BO151" s="987"/>
      <c r="BP151" s="987"/>
      <c r="BQ151" s="987"/>
      <c r="BR151" s="987"/>
      <c r="BS151" s="987"/>
      <c r="BT151" s="987"/>
      <c r="BU151" s="987"/>
      <c r="BV151" s="987"/>
      <c r="BW151" s="987"/>
      <c r="BX151" s="987"/>
      <c r="BY151" s="987"/>
      <c r="BZ151" s="987"/>
      <c r="CA151" s="987"/>
      <c r="CB151" s="987"/>
      <c r="CC151" s="987"/>
      <c r="CD151" s="987"/>
      <c r="CE151" s="987"/>
      <c r="CF151" s="987"/>
      <c r="CG151" s="987"/>
      <c r="CH151" s="987"/>
      <c r="CI151" s="987"/>
      <c r="CJ151" s="987"/>
      <c r="CK151" s="987"/>
      <c r="CL151" s="987"/>
      <c r="CM151" s="987"/>
      <c r="CN151" s="987"/>
      <c r="IJ151" s="987"/>
      <c r="IK151" s="987"/>
      <c r="IL151" s="987"/>
      <c r="IM151" s="987"/>
      <c r="IN151" s="987"/>
      <c r="IO151" s="987"/>
      <c r="IP151" s="987"/>
      <c r="IQ151" s="987"/>
      <c r="IR151" s="987"/>
      <c r="IS151" s="987"/>
      <c r="IT151" s="987"/>
      <c r="IU151" s="987"/>
      <c r="IV151" s="987"/>
      <c r="IW151" s="987"/>
      <c r="IX151" s="987"/>
      <c r="IY151" s="987"/>
      <c r="JM151" s="987"/>
      <c r="JN151" s="987"/>
      <c r="KB151" s="987"/>
      <c r="KC151" s="987"/>
    </row>
    <row r="152" spans="34:289">
      <c r="AH152" s="987"/>
      <c r="AI152" s="987"/>
      <c r="AJ152" s="987"/>
      <c r="AK152" s="987"/>
      <c r="AL152" s="987"/>
      <c r="AM152" s="987"/>
      <c r="AN152" s="987"/>
      <c r="AO152" s="987"/>
      <c r="AQ152" s="987"/>
      <c r="AR152" s="987"/>
      <c r="AS152" s="987"/>
      <c r="AT152" s="987"/>
      <c r="AU152" s="987"/>
      <c r="AV152" s="987"/>
      <c r="AW152" s="987"/>
      <c r="AX152" s="987"/>
      <c r="AY152" s="987"/>
      <c r="AZ152" s="987"/>
      <c r="BA152" s="987"/>
      <c r="BB152" s="987"/>
      <c r="BC152" s="987"/>
      <c r="BD152" s="987"/>
      <c r="BE152" s="987"/>
      <c r="BF152" s="987"/>
      <c r="BG152" s="987"/>
      <c r="BH152" s="987"/>
      <c r="BI152" s="987"/>
      <c r="BJ152" s="987"/>
      <c r="BK152" s="987"/>
      <c r="BL152" s="987"/>
      <c r="BM152" s="987"/>
      <c r="BN152" s="987"/>
      <c r="BO152" s="987"/>
      <c r="BP152" s="987"/>
      <c r="BQ152" s="987"/>
      <c r="BR152" s="987"/>
      <c r="BS152" s="987"/>
      <c r="BT152" s="987"/>
      <c r="BU152" s="987"/>
      <c r="BV152" s="987"/>
      <c r="BW152" s="987"/>
      <c r="BX152" s="987"/>
      <c r="BY152" s="987"/>
      <c r="BZ152" s="987"/>
      <c r="CA152" s="987"/>
      <c r="CB152" s="987"/>
      <c r="CC152" s="987"/>
      <c r="CD152" s="987"/>
      <c r="CE152" s="987"/>
      <c r="CF152" s="987"/>
      <c r="CG152" s="987"/>
      <c r="CH152" s="987"/>
      <c r="CI152" s="987"/>
      <c r="CJ152" s="987"/>
      <c r="CK152" s="987"/>
      <c r="CL152" s="987"/>
      <c r="CM152" s="987"/>
      <c r="CN152" s="987"/>
      <c r="IJ152" s="987"/>
      <c r="IK152" s="987"/>
      <c r="IL152" s="987"/>
      <c r="IM152" s="987"/>
      <c r="IN152" s="987"/>
      <c r="IO152" s="987"/>
      <c r="IP152" s="987"/>
      <c r="IQ152" s="987"/>
      <c r="IR152" s="987"/>
      <c r="IS152" s="987"/>
      <c r="IT152" s="987"/>
      <c r="IU152" s="987"/>
      <c r="IV152" s="987"/>
      <c r="IW152" s="987"/>
      <c r="IX152" s="987"/>
      <c r="IY152" s="987"/>
      <c r="JM152" s="987"/>
      <c r="JN152" s="987"/>
      <c r="KB152" s="987"/>
      <c r="KC152" s="987"/>
    </row>
    <row r="153" spans="34:289">
      <c r="AH153" s="987"/>
      <c r="AI153" s="987"/>
      <c r="AJ153" s="987"/>
      <c r="AK153" s="987"/>
      <c r="AL153" s="987"/>
      <c r="AM153" s="987"/>
      <c r="AN153" s="987"/>
      <c r="AO153" s="987"/>
      <c r="AQ153" s="987"/>
      <c r="AR153" s="987"/>
      <c r="AS153" s="987"/>
      <c r="AT153" s="987"/>
      <c r="AU153" s="987"/>
      <c r="AV153" s="987"/>
      <c r="AW153" s="987"/>
      <c r="AX153" s="987"/>
      <c r="AY153" s="987"/>
      <c r="AZ153" s="987"/>
      <c r="BA153" s="987"/>
      <c r="BB153" s="987"/>
      <c r="BC153" s="987"/>
      <c r="BD153" s="987"/>
      <c r="BE153" s="987"/>
      <c r="BF153" s="987"/>
      <c r="BG153" s="987"/>
      <c r="BH153" s="987"/>
      <c r="BI153" s="987"/>
      <c r="BJ153" s="987"/>
      <c r="BK153" s="987"/>
      <c r="BL153" s="987"/>
      <c r="BM153" s="987"/>
      <c r="BN153" s="987"/>
      <c r="BO153" s="987"/>
      <c r="BP153" s="987"/>
      <c r="BQ153" s="987"/>
      <c r="BR153" s="987"/>
      <c r="BS153" s="987"/>
      <c r="BT153" s="987"/>
      <c r="BU153" s="987"/>
      <c r="BV153" s="987"/>
      <c r="BW153" s="987"/>
      <c r="BX153" s="987"/>
      <c r="BY153" s="987"/>
      <c r="BZ153" s="987"/>
      <c r="CA153" s="987"/>
      <c r="CB153" s="987"/>
      <c r="CC153" s="987"/>
      <c r="CD153" s="987"/>
      <c r="CE153" s="987"/>
      <c r="CF153" s="987"/>
      <c r="CG153" s="987"/>
      <c r="CH153" s="987"/>
      <c r="CI153" s="987"/>
      <c r="CJ153" s="987"/>
      <c r="CK153" s="987"/>
      <c r="CL153" s="987"/>
      <c r="CM153" s="987"/>
      <c r="CN153" s="987"/>
      <c r="IJ153" s="987"/>
      <c r="IK153" s="987"/>
      <c r="IL153" s="987"/>
      <c r="IM153" s="987"/>
      <c r="IN153" s="987"/>
      <c r="IO153" s="987"/>
      <c r="IP153" s="987"/>
      <c r="IQ153" s="987"/>
      <c r="IR153" s="987"/>
      <c r="IS153" s="987"/>
      <c r="IT153" s="987"/>
      <c r="IU153" s="987"/>
      <c r="IV153" s="987"/>
      <c r="IW153" s="987"/>
      <c r="IX153" s="987"/>
      <c r="IY153" s="987"/>
      <c r="JM153" s="987"/>
      <c r="JN153" s="987"/>
      <c r="KB153" s="987"/>
      <c r="KC153" s="987"/>
    </row>
    <row r="154" spans="34:289">
      <c r="AH154" s="987"/>
      <c r="AI154" s="987"/>
      <c r="AJ154" s="987"/>
      <c r="AK154" s="987"/>
      <c r="AL154" s="987"/>
      <c r="AM154" s="987"/>
      <c r="AN154" s="987"/>
      <c r="AO154" s="987"/>
      <c r="AQ154" s="987"/>
      <c r="AR154" s="987"/>
      <c r="AS154" s="987"/>
      <c r="AT154" s="987"/>
      <c r="AU154" s="987"/>
      <c r="AV154" s="987"/>
      <c r="AW154" s="987"/>
      <c r="AX154" s="987"/>
      <c r="AY154" s="987"/>
      <c r="AZ154" s="987"/>
      <c r="BA154" s="987"/>
      <c r="BB154" s="987"/>
      <c r="BC154" s="987"/>
      <c r="BD154" s="987"/>
      <c r="BE154" s="987"/>
      <c r="BF154" s="987"/>
      <c r="BG154" s="987"/>
      <c r="BH154" s="987"/>
      <c r="BI154" s="987"/>
      <c r="BJ154" s="987"/>
      <c r="BK154" s="987"/>
      <c r="BL154" s="987"/>
      <c r="BM154" s="987"/>
      <c r="BN154" s="987"/>
      <c r="BO154" s="987"/>
      <c r="BP154" s="987"/>
      <c r="BQ154" s="987"/>
      <c r="BR154" s="987"/>
      <c r="BS154" s="987"/>
      <c r="BT154" s="987"/>
      <c r="BU154" s="987"/>
      <c r="BV154" s="987"/>
      <c r="BW154" s="987"/>
      <c r="BX154" s="987"/>
      <c r="BY154" s="987"/>
      <c r="BZ154" s="987"/>
      <c r="CA154" s="987"/>
      <c r="CB154" s="987"/>
      <c r="CC154" s="987"/>
      <c r="CD154" s="987"/>
      <c r="CE154" s="987"/>
      <c r="CF154" s="987"/>
      <c r="CG154" s="987"/>
      <c r="CH154" s="987"/>
      <c r="CI154" s="987"/>
      <c r="CJ154" s="987"/>
      <c r="CK154" s="987"/>
      <c r="CL154" s="987"/>
      <c r="CM154" s="987"/>
      <c r="CN154" s="987"/>
      <c r="IJ154" s="987"/>
      <c r="IK154" s="987"/>
      <c r="IL154" s="987"/>
      <c r="IM154" s="987"/>
      <c r="IN154" s="987"/>
      <c r="IO154" s="987"/>
      <c r="IP154" s="987"/>
      <c r="IQ154" s="987"/>
      <c r="IR154" s="987"/>
      <c r="IS154" s="987"/>
      <c r="IT154" s="987"/>
      <c r="IU154" s="987"/>
      <c r="IV154" s="987"/>
      <c r="IW154" s="987"/>
      <c r="IX154" s="987"/>
      <c r="IY154" s="987"/>
      <c r="JM154" s="987"/>
      <c r="JN154" s="987"/>
      <c r="KB154" s="987"/>
      <c r="KC154" s="987"/>
    </row>
    <row r="155" spans="34:289">
      <c r="AH155" s="987"/>
      <c r="AI155" s="987"/>
      <c r="AJ155" s="987"/>
      <c r="AK155" s="987"/>
      <c r="AL155" s="987"/>
      <c r="AM155" s="987"/>
      <c r="AN155" s="987"/>
      <c r="AO155" s="987"/>
      <c r="AQ155" s="987"/>
      <c r="AR155" s="987"/>
      <c r="AS155" s="987"/>
      <c r="AT155" s="987"/>
      <c r="AU155" s="987"/>
      <c r="AV155" s="987"/>
      <c r="AW155" s="987"/>
      <c r="AX155" s="987"/>
      <c r="AY155" s="987"/>
      <c r="AZ155" s="987"/>
      <c r="BA155" s="987"/>
      <c r="BB155" s="987"/>
      <c r="BC155" s="987"/>
      <c r="BD155" s="987"/>
      <c r="BE155" s="987"/>
      <c r="BF155" s="987"/>
      <c r="BG155" s="987"/>
      <c r="BH155" s="987"/>
      <c r="BI155" s="987"/>
      <c r="BJ155" s="987"/>
      <c r="BK155" s="987"/>
      <c r="BL155" s="987"/>
      <c r="BM155" s="987"/>
      <c r="BN155" s="987"/>
      <c r="BO155" s="987"/>
      <c r="BP155" s="987"/>
      <c r="BQ155" s="987"/>
      <c r="BR155" s="987"/>
      <c r="BS155" s="987"/>
      <c r="BT155" s="987"/>
      <c r="BU155" s="987"/>
      <c r="BV155" s="987"/>
      <c r="BW155" s="987"/>
      <c r="BX155" s="987"/>
      <c r="BY155" s="987"/>
      <c r="BZ155" s="987"/>
      <c r="CA155" s="987"/>
      <c r="CB155" s="987"/>
      <c r="CC155" s="987"/>
      <c r="CD155" s="987"/>
      <c r="CE155" s="987"/>
      <c r="CF155" s="987"/>
      <c r="CG155" s="987"/>
      <c r="CH155" s="987"/>
      <c r="CI155" s="987"/>
      <c r="CJ155" s="987"/>
      <c r="CK155" s="987"/>
      <c r="CL155" s="987"/>
      <c r="CM155" s="987"/>
      <c r="CN155" s="987"/>
      <c r="IJ155" s="987"/>
      <c r="IK155" s="987"/>
      <c r="IL155" s="987"/>
      <c r="IM155" s="987"/>
      <c r="IN155" s="987"/>
      <c r="IO155" s="987"/>
      <c r="IP155" s="987"/>
      <c r="IQ155" s="987"/>
      <c r="IR155" s="987"/>
      <c r="IS155" s="987"/>
      <c r="IT155" s="987"/>
      <c r="IU155" s="987"/>
      <c r="IV155" s="987"/>
      <c r="IW155" s="987"/>
      <c r="IX155" s="987"/>
      <c r="IY155" s="987"/>
      <c r="JM155" s="987"/>
      <c r="JN155" s="987"/>
      <c r="KB155" s="987"/>
      <c r="KC155" s="987"/>
    </row>
    <row r="156" spans="34:289">
      <c r="AH156" s="987"/>
      <c r="AI156" s="987"/>
      <c r="AJ156" s="987"/>
      <c r="AK156" s="987"/>
      <c r="AL156" s="987"/>
      <c r="AM156" s="987"/>
      <c r="AN156" s="987"/>
      <c r="AO156" s="987"/>
      <c r="AQ156" s="987"/>
      <c r="AR156" s="987"/>
      <c r="AS156" s="987"/>
      <c r="AT156" s="987"/>
      <c r="AU156" s="987"/>
      <c r="AV156" s="987"/>
      <c r="AW156" s="987"/>
      <c r="AX156" s="987"/>
      <c r="AY156" s="987"/>
      <c r="AZ156" s="987"/>
      <c r="BA156" s="987"/>
      <c r="BB156" s="987"/>
      <c r="BC156" s="987"/>
      <c r="BD156" s="987"/>
      <c r="BE156" s="987"/>
      <c r="BF156" s="987"/>
      <c r="BG156" s="987"/>
      <c r="BH156" s="987"/>
      <c r="BI156" s="987"/>
      <c r="BJ156" s="987"/>
      <c r="BK156" s="987"/>
      <c r="BL156" s="987"/>
      <c r="BM156" s="987"/>
      <c r="BN156" s="987"/>
      <c r="BO156" s="987"/>
      <c r="BP156" s="987"/>
      <c r="BQ156" s="987"/>
      <c r="BR156" s="987"/>
      <c r="BS156" s="987"/>
      <c r="BT156" s="987"/>
      <c r="BU156" s="987"/>
      <c r="BV156" s="987"/>
      <c r="BW156" s="987"/>
      <c r="BX156" s="987"/>
      <c r="BY156" s="987"/>
      <c r="BZ156" s="987"/>
      <c r="CA156" s="987"/>
      <c r="CB156" s="987"/>
      <c r="CC156" s="987"/>
      <c r="CD156" s="987"/>
      <c r="CE156" s="987"/>
      <c r="CF156" s="987"/>
      <c r="CG156" s="987"/>
      <c r="CH156" s="987"/>
      <c r="CI156" s="987"/>
      <c r="CJ156" s="987"/>
      <c r="CK156" s="987"/>
      <c r="CL156" s="987"/>
      <c r="CM156" s="987"/>
      <c r="CN156" s="987"/>
      <c r="IJ156" s="987"/>
      <c r="IK156" s="987"/>
      <c r="IL156" s="987"/>
      <c r="IM156" s="987"/>
      <c r="IN156" s="987"/>
      <c r="IO156" s="987"/>
      <c r="IP156" s="987"/>
      <c r="IQ156" s="987"/>
      <c r="IR156" s="987"/>
      <c r="IS156" s="987"/>
      <c r="IT156" s="987"/>
      <c r="IU156" s="987"/>
      <c r="IV156" s="987"/>
      <c r="IW156" s="987"/>
      <c r="IX156" s="987"/>
      <c r="IY156" s="987"/>
      <c r="JM156" s="987"/>
      <c r="JN156" s="987"/>
      <c r="KB156" s="987"/>
      <c r="KC156" s="987"/>
    </row>
    <row r="157" spans="34:289">
      <c r="AH157" s="987"/>
      <c r="AI157" s="987"/>
      <c r="AJ157" s="987"/>
      <c r="AK157" s="987"/>
      <c r="AL157" s="987"/>
      <c r="AM157" s="987"/>
      <c r="AN157" s="987"/>
      <c r="AO157" s="987"/>
      <c r="AQ157" s="987"/>
      <c r="AR157" s="987"/>
      <c r="AS157" s="987"/>
      <c r="AT157" s="987"/>
      <c r="AU157" s="987"/>
      <c r="AV157" s="987"/>
      <c r="AW157" s="987"/>
      <c r="AX157" s="987"/>
      <c r="AY157" s="987"/>
      <c r="AZ157" s="987"/>
      <c r="BA157" s="987"/>
      <c r="BB157" s="987"/>
      <c r="BC157" s="987"/>
      <c r="BD157" s="987"/>
      <c r="BE157" s="987"/>
      <c r="BF157" s="987"/>
      <c r="BG157" s="987"/>
      <c r="BH157" s="987"/>
      <c r="BI157" s="987"/>
      <c r="BJ157" s="987"/>
      <c r="BK157" s="987"/>
      <c r="BL157" s="987"/>
      <c r="BM157" s="987"/>
      <c r="BN157" s="987"/>
      <c r="BO157" s="987"/>
      <c r="BP157" s="987"/>
      <c r="BQ157" s="987"/>
      <c r="BR157" s="987"/>
      <c r="BS157" s="987"/>
      <c r="BT157" s="987"/>
      <c r="BU157" s="987"/>
      <c r="BV157" s="987"/>
      <c r="BW157" s="987"/>
      <c r="BX157" s="987"/>
      <c r="BY157" s="987"/>
      <c r="BZ157" s="987"/>
      <c r="CA157" s="987"/>
      <c r="CB157" s="987"/>
      <c r="CC157" s="987"/>
      <c r="CD157" s="987"/>
      <c r="CE157" s="987"/>
      <c r="CF157" s="987"/>
      <c r="CG157" s="987"/>
      <c r="CH157" s="987"/>
      <c r="CI157" s="987"/>
      <c r="CJ157" s="987"/>
      <c r="CK157" s="987"/>
      <c r="CL157" s="987"/>
      <c r="CM157" s="987"/>
      <c r="CN157" s="987"/>
      <c r="IJ157" s="987"/>
      <c r="IK157" s="987"/>
      <c r="IL157" s="987"/>
      <c r="IM157" s="987"/>
      <c r="IN157" s="987"/>
      <c r="IO157" s="987"/>
      <c r="IP157" s="987"/>
      <c r="IQ157" s="987"/>
      <c r="IR157" s="987"/>
      <c r="IS157" s="987"/>
      <c r="IT157" s="987"/>
      <c r="IU157" s="987"/>
      <c r="IV157" s="987"/>
      <c r="IW157" s="987"/>
      <c r="IX157" s="987"/>
      <c r="IY157" s="987"/>
      <c r="JM157" s="987"/>
      <c r="JN157" s="987"/>
      <c r="KB157" s="987"/>
      <c r="KC157" s="987"/>
    </row>
    <row r="158" spans="34:289">
      <c r="AH158" s="987"/>
      <c r="AI158" s="987"/>
      <c r="AJ158" s="987"/>
      <c r="AK158" s="987"/>
      <c r="AL158" s="987"/>
      <c r="AM158" s="987"/>
      <c r="AN158" s="987"/>
      <c r="AO158" s="987"/>
      <c r="AQ158" s="987"/>
      <c r="AR158" s="987"/>
      <c r="AS158" s="987"/>
      <c r="AT158" s="987"/>
      <c r="AU158" s="987"/>
      <c r="AV158" s="987"/>
      <c r="AW158" s="987"/>
      <c r="AX158" s="987"/>
      <c r="AY158" s="987"/>
      <c r="AZ158" s="987"/>
      <c r="BA158" s="987"/>
      <c r="BB158" s="987"/>
      <c r="BC158" s="987"/>
      <c r="BD158" s="987"/>
      <c r="BE158" s="987"/>
      <c r="BF158" s="987"/>
      <c r="BG158" s="987"/>
      <c r="BH158" s="987"/>
      <c r="BI158" s="987"/>
      <c r="BJ158" s="987"/>
      <c r="BK158" s="987"/>
      <c r="BL158" s="987"/>
      <c r="BM158" s="987"/>
      <c r="BN158" s="987"/>
      <c r="BO158" s="987"/>
      <c r="BP158" s="987"/>
      <c r="BQ158" s="987"/>
      <c r="BR158" s="987"/>
      <c r="BS158" s="987"/>
      <c r="BT158" s="987"/>
      <c r="BU158" s="987"/>
      <c r="BV158" s="987"/>
      <c r="BW158" s="987"/>
      <c r="BX158" s="987"/>
      <c r="BY158" s="987"/>
      <c r="BZ158" s="987"/>
      <c r="CA158" s="987"/>
      <c r="CB158" s="987"/>
      <c r="CC158" s="987"/>
      <c r="CD158" s="987"/>
      <c r="CE158" s="987"/>
      <c r="CF158" s="987"/>
      <c r="CG158" s="987"/>
      <c r="CH158" s="987"/>
      <c r="CI158" s="987"/>
      <c r="CJ158" s="987"/>
      <c r="CK158" s="987"/>
      <c r="CL158" s="987"/>
      <c r="CM158" s="987"/>
      <c r="CN158" s="987"/>
      <c r="IJ158" s="987"/>
      <c r="IK158" s="987"/>
      <c r="IL158" s="987"/>
      <c r="IM158" s="987"/>
      <c r="IN158" s="987"/>
      <c r="IO158" s="987"/>
      <c r="IP158" s="987"/>
      <c r="IQ158" s="987"/>
      <c r="IR158" s="987"/>
      <c r="IS158" s="987"/>
      <c r="IT158" s="987"/>
      <c r="IU158" s="987"/>
      <c r="IV158" s="987"/>
      <c r="IW158" s="987"/>
      <c r="IX158" s="987"/>
      <c r="IY158" s="987"/>
      <c r="JM158" s="987"/>
      <c r="JN158" s="987"/>
      <c r="KB158" s="987"/>
      <c r="KC158" s="987"/>
    </row>
    <row r="159" spans="34:289">
      <c r="AH159" s="987"/>
      <c r="AI159" s="987"/>
      <c r="AJ159" s="987"/>
      <c r="AK159" s="987"/>
      <c r="AL159" s="987"/>
      <c r="AM159" s="987"/>
      <c r="AN159" s="987"/>
      <c r="AO159" s="987"/>
      <c r="AQ159" s="987"/>
      <c r="AR159" s="987"/>
      <c r="AS159" s="987"/>
      <c r="AT159" s="987"/>
      <c r="AU159" s="987"/>
      <c r="AV159" s="987"/>
      <c r="AW159" s="987"/>
      <c r="AX159" s="987"/>
      <c r="AY159" s="987"/>
      <c r="AZ159" s="987"/>
      <c r="BA159" s="987"/>
      <c r="BB159" s="987"/>
      <c r="BC159" s="987"/>
      <c r="BD159" s="987"/>
      <c r="BE159" s="987"/>
      <c r="BF159" s="987"/>
      <c r="BG159" s="987"/>
      <c r="BH159" s="987"/>
      <c r="BI159" s="987"/>
      <c r="BJ159" s="987"/>
      <c r="BK159" s="987"/>
      <c r="BL159" s="987"/>
      <c r="BM159" s="987"/>
      <c r="BN159" s="987"/>
      <c r="BO159" s="987"/>
      <c r="BP159" s="987"/>
      <c r="BQ159" s="987"/>
      <c r="BR159" s="987"/>
      <c r="BS159" s="987"/>
      <c r="BT159" s="987"/>
      <c r="BU159" s="987"/>
      <c r="BV159" s="987"/>
      <c r="BW159" s="987"/>
      <c r="BX159" s="987"/>
      <c r="BY159" s="987"/>
      <c r="BZ159" s="987"/>
      <c r="CA159" s="987"/>
      <c r="CB159" s="987"/>
      <c r="CC159" s="987"/>
      <c r="CD159" s="987"/>
      <c r="CE159" s="987"/>
      <c r="CF159" s="987"/>
      <c r="CG159" s="987"/>
      <c r="CH159" s="987"/>
      <c r="CI159" s="987"/>
      <c r="CJ159" s="987"/>
      <c r="CK159" s="987"/>
      <c r="CL159" s="987"/>
      <c r="CM159" s="987"/>
      <c r="CN159" s="987"/>
      <c r="IJ159" s="987"/>
      <c r="IK159" s="987"/>
      <c r="IL159" s="987"/>
      <c r="IM159" s="987"/>
      <c r="IN159" s="987"/>
      <c r="IO159" s="987"/>
      <c r="IP159" s="987"/>
      <c r="IQ159" s="987"/>
      <c r="IR159" s="987"/>
      <c r="IS159" s="987"/>
      <c r="IT159" s="987"/>
      <c r="IU159" s="987"/>
      <c r="IV159" s="987"/>
      <c r="IW159" s="987"/>
      <c r="IX159" s="987"/>
      <c r="IY159" s="987"/>
      <c r="JM159" s="987"/>
      <c r="JN159" s="987"/>
      <c r="KB159" s="987"/>
      <c r="KC159" s="987"/>
    </row>
    <row r="160" spans="34:289">
      <c r="AH160" s="987"/>
      <c r="AI160" s="987"/>
      <c r="AJ160" s="987"/>
      <c r="AK160" s="987"/>
      <c r="AL160" s="987"/>
      <c r="AM160" s="987"/>
      <c r="AN160" s="987"/>
      <c r="AO160" s="987"/>
      <c r="AQ160" s="987"/>
      <c r="AR160" s="987"/>
      <c r="AS160" s="987"/>
      <c r="AT160" s="987"/>
      <c r="AU160" s="987"/>
      <c r="AV160" s="987"/>
      <c r="AW160" s="987"/>
      <c r="AX160" s="987"/>
      <c r="AY160" s="987"/>
      <c r="AZ160" s="987"/>
      <c r="BA160" s="987"/>
      <c r="BB160" s="987"/>
      <c r="BC160" s="987"/>
      <c r="BD160" s="987"/>
      <c r="BE160" s="987"/>
      <c r="BF160" s="987"/>
      <c r="BG160" s="987"/>
      <c r="BH160" s="987"/>
      <c r="BI160" s="987"/>
      <c r="BJ160" s="987"/>
      <c r="BK160" s="987"/>
      <c r="BL160" s="987"/>
      <c r="BM160" s="987"/>
      <c r="BN160" s="987"/>
      <c r="BO160" s="987"/>
      <c r="BP160" s="987"/>
      <c r="BQ160" s="987"/>
      <c r="BR160" s="987"/>
      <c r="BS160" s="987"/>
      <c r="BT160" s="987"/>
      <c r="BU160" s="987"/>
      <c r="BV160" s="987"/>
      <c r="BW160" s="987"/>
      <c r="BX160" s="987"/>
      <c r="BY160" s="987"/>
      <c r="BZ160" s="987"/>
      <c r="CA160" s="987"/>
      <c r="CB160" s="987"/>
      <c r="CC160" s="987"/>
      <c r="CD160" s="987"/>
      <c r="CE160" s="987"/>
      <c r="CF160" s="987"/>
      <c r="CG160" s="987"/>
      <c r="CH160" s="987"/>
      <c r="CI160" s="987"/>
      <c r="CJ160" s="987"/>
      <c r="CK160" s="987"/>
      <c r="CL160" s="987"/>
      <c r="CM160" s="987"/>
      <c r="CN160" s="987"/>
      <c r="IJ160" s="987"/>
      <c r="IK160" s="987"/>
      <c r="IL160" s="987"/>
      <c r="IM160" s="987"/>
      <c r="IN160" s="987"/>
      <c r="IO160" s="987"/>
      <c r="IP160" s="987"/>
      <c r="IQ160" s="987"/>
      <c r="IR160" s="987"/>
      <c r="IS160" s="987"/>
      <c r="IT160" s="987"/>
      <c r="IU160" s="987"/>
      <c r="IV160" s="987"/>
      <c r="IW160" s="987"/>
      <c r="IX160" s="987"/>
      <c r="IY160" s="987"/>
      <c r="JM160" s="987"/>
      <c r="JN160" s="987"/>
      <c r="KB160" s="987"/>
      <c r="KC160" s="987"/>
    </row>
    <row r="161" spans="34:289">
      <c r="AH161" s="987"/>
      <c r="AI161" s="987"/>
      <c r="AJ161" s="987"/>
      <c r="AK161" s="987"/>
      <c r="AL161" s="987"/>
      <c r="AM161" s="987"/>
      <c r="AN161" s="987"/>
      <c r="AO161" s="987"/>
      <c r="AQ161" s="987"/>
      <c r="AR161" s="987"/>
      <c r="AS161" s="987"/>
      <c r="AT161" s="987"/>
      <c r="AU161" s="987"/>
      <c r="AV161" s="987"/>
      <c r="AW161" s="987"/>
      <c r="AX161" s="987"/>
      <c r="AY161" s="987"/>
      <c r="AZ161" s="987"/>
      <c r="BA161" s="987"/>
      <c r="BB161" s="987"/>
      <c r="BC161" s="987"/>
      <c r="BD161" s="987"/>
      <c r="BE161" s="987"/>
      <c r="BF161" s="987"/>
      <c r="BG161" s="987"/>
      <c r="BH161" s="987"/>
      <c r="BI161" s="987"/>
      <c r="BJ161" s="987"/>
      <c r="BK161" s="987"/>
      <c r="BL161" s="987"/>
      <c r="BM161" s="987"/>
      <c r="BN161" s="987"/>
      <c r="BO161" s="987"/>
      <c r="BP161" s="987"/>
      <c r="BQ161" s="987"/>
      <c r="BR161" s="987"/>
      <c r="BS161" s="987"/>
      <c r="BT161" s="987"/>
      <c r="BU161" s="987"/>
      <c r="BV161" s="987"/>
      <c r="BW161" s="987"/>
      <c r="BX161" s="987"/>
      <c r="BY161" s="987"/>
      <c r="BZ161" s="987"/>
      <c r="CA161" s="987"/>
      <c r="CB161" s="987"/>
      <c r="CC161" s="987"/>
      <c r="CD161" s="987"/>
      <c r="CE161" s="987"/>
      <c r="CF161" s="987"/>
      <c r="CG161" s="987"/>
      <c r="CH161" s="987"/>
      <c r="CI161" s="987"/>
      <c r="CJ161" s="987"/>
      <c r="CK161" s="987"/>
      <c r="CL161" s="987"/>
      <c r="CM161" s="987"/>
      <c r="CN161" s="987"/>
      <c r="IJ161" s="987"/>
      <c r="IK161" s="987"/>
      <c r="IL161" s="987"/>
      <c r="IM161" s="987"/>
      <c r="IN161" s="987"/>
      <c r="IO161" s="987"/>
      <c r="IP161" s="987"/>
      <c r="IQ161" s="987"/>
      <c r="IR161" s="987"/>
      <c r="IS161" s="987"/>
      <c r="IT161" s="987"/>
      <c r="IU161" s="987"/>
      <c r="IV161" s="987"/>
      <c r="IW161" s="987"/>
      <c r="IX161" s="987"/>
      <c r="IY161" s="987"/>
      <c r="JM161" s="987"/>
      <c r="JN161" s="987"/>
      <c r="KB161" s="987"/>
      <c r="KC161" s="987"/>
    </row>
    <row r="162" spans="34:289">
      <c r="AH162" s="987"/>
      <c r="AI162" s="987"/>
      <c r="AJ162" s="987"/>
      <c r="AK162" s="987"/>
      <c r="AL162" s="987"/>
      <c r="AM162" s="987"/>
      <c r="AN162" s="987"/>
      <c r="AO162" s="987"/>
      <c r="AQ162" s="987"/>
      <c r="AR162" s="987"/>
      <c r="AS162" s="987"/>
      <c r="AT162" s="987"/>
      <c r="AU162" s="987"/>
      <c r="AV162" s="987"/>
      <c r="AW162" s="987"/>
      <c r="AX162" s="987"/>
      <c r="AY162" s="987"/>
      <c r="AZ162" s="987"/>
      <c r="BA162" s="987"/>
      <c r="BB162" s="987"/>
      <c r="BC162" s="987"/>
      <c r="BD162" s="987"/>
      <c r="BE162" s="987"/>
      <c r="BF162" s="987"/>
      <c r="BG162" s="987"/>
      <c r="BH162" s="987"/>
      <c r="BI162" s="987"/>
      <c r="BJ162" s="987"/>
      <c r="BK162" s="987"/>
      <c r="BL162" s="987"/>
      <c r="BM162" s="987"/>
      <c r="BN162" s="987"/>
      <c r="BO162" s="987"/>
      <c r="BP162" s="987"/>
      <c r="BQ162" s="987"/>
      <c r="BR162" s="987"/>
      <c r="BS162" s="987"/>
      <c r="BT162" s="987"/>
      <c r="BU162" s="987"/>
      <c r="BV162" s="987"/>
      <c r="BW162" s="987"/>
      <c r="BX162" s="987"/>
      <c r="BY162" s="987"/>
      <c r="BZ162" s="987"/>
      <c r="CA162" s="987"/>
      <c r="CB162" s="987"/>
      <c r="CC162" s="987"/>
      <c r="CD162" s="987"/>
      <c r="CE162" s="987"/>
      <c r="CF162" s="987"/>
      <c r="CG162" s="987"/>
      <c r="CH162" s="987"/>
      <c r="CI162" s="987"/>
      <c r="CJ162" s="987"/>
      <c r="CK162" s="987"/>
      <c r="CL162" s="987"/>
      <c r="CM162" s="987"/>
      <c r="CN162" s="987"/>
      <c r="IJ162" s="987"/>
      <c r="IK162" s="987"/>
      <c r="IL162" s="987"/>
      <c r="IM162" s="987"/>
      <c r="IN162" s="987"/>
      <c r="IO162" s="987"/>
      <c r="IP162" s="987"/>
      <c r="IQ162" s="987"/>
      <c r="IR162" s="987"/>
      <c r="IS162" s="987"/>
      <c r="IT162" s="987"/>
      <c r="IU162" s="987"/>
      <c r="IV162" s="987"/>
      <c r="IW162" s="987"/>
      <c r="IX162" s="987"/>
      <c r="IY162" s="987"/>
      <c r="JM162" s="987"/>
      <c r="JN162" s="987"/>
      <c r="KB162" s="987"/>
      <c r="KC162" s="987"/>
    </row>
    <row r="163" spans="34:289">
      <c r="AH163" s="987"/>
      <c r="AI163" s="987"/>
      <c r="AJ163" s="987"/>
      <c r="AK163" s="987"/>
      <c r="AL163" s="987"/>
      <c r="AM163" s="987"/>
      <c r="AN163" s="987"/>
      <c r="AO163" s="987"/>
      <c r="AQ163" s="987"/>
      <c r="AR163" s="987"/>
      <c r="AS163" s="987"/>
      <c r="AT163" s="987"/>
      <c r="AU163" s="987"/>
      <c r="AV163" s="987"/>
      <c r="AW163" s="987"/>
      <c r="AX163" s="987"/>
      <c r="AY163" s="987"/>
      <c r="AZ163" s="987"/>
      <c r="BA163" s="987"/>
      <c r="BB163" s="987"/>
      <c r="BC163" s="987"/>
      <c r="BD163" s="987"/>
      <c r="BE163" s="987"/>
      <c r="BF163" s="987"/>
      <c r="BG163" s="987"/>
      <c r="BH163" s="987"/>
      <c r="BI163" s="987"/>
      <c r="BJ163" s="987"/>
      <c r="BK163" s="987"/>
      <c r="BL163" s="987"/>
      <c r="BM163" s="987"/>
      <c r="BN163" s="987"/>
      <c r="BO163" s="987"/>
      <c r="BP163" s="987"/>
      <c r="BQ163" s="987"/>
      <c r="BR163" s="987"/>
      <c r="BS163" s="987"/>
      <c r="BT163" s="987"/>
      <c r="BU163" s="987"/>
      <c r="BV163" s="987"/>
      <c r="BW163" s="987"/>
      <c r="BX163" s="987"/>
      <c r="BY163" s="987"/>
      <c r="BZ163" s="987"/>
      <c r="CA163" s="987"/>
      <c r="CB163" s="987"/>
      <c r="CC163" s="987"/>
      <c r="CD163" s="987"/>
      <c r="CE163" s="987"/>
      <c r="CF163" s="987"/>
      <c r="CG163" s="987"/>
      <c r="CH163" s="987"/>
      <c r="CI163" s="987"/>
      <c r="CJ163" s="987"/>
      <c r="CK163" s="987"/>
      <c r="CL163" s="987"/>
      <c r="CM163" s="987"/>
      <c r="CN163" s="987"/>
      <c r="IJ163" s="987"/>
      <c r="IK163" s="987"/>
      <c r="IL163" s="987"/>
      <c r="IM163" s="987"/>
      <c r="IN163" s="987"/>
      <c r="IO163" s="987"/>
      <c r="IP163" s="987"/>
      <c r="IQ163" s="987"/>
      <c r="IR163" s="987"/>
      <c r="IS163" s="987"/>
      <c r="IT163" s="987"/>
      <c r="IU163" s="987"/>
      <c r="IV163" s="987"/>
      <c r="IW163" s="987"/>
      <c r="IX163" s="987"/>
      <c r="IY163" s="987"/>
      <c r="JM163" s="987"/>
      <c r="JN163" s="987"/>
      <c r="KB163" s="987"/>
      <c r="KC163" s="987"/>
    </row>
    <row r="164" spans="34:289">
      <c r="AH164" s="987"/>
      <c r="AI164" s="987"/>
      <c r="AJ164" s="987"/>
      <c r="AK164" s="987"/>
      <c r="AL164" s="987"/>
      <c r="AM164" s="987"/>
      <c r="AN164" s="987"/>
      <c r="AO164" s="987"/>
      <c r="AQ164" s="987"/>
      <c r="AR164" s="987"/>
      <c r="AS164" s="987"/>
      <c r="AT164" s="987"/>
      <c r="AU164" s="987"/>
      <c r="AV164" s="987"/>
      <c r="AW164" s="987"/>
      <c r="AX164" s="987"/>
      <c r="AY164" s="987"/>
      <c r="AZ164" s="987"/>
      <c r="BA164" s="987"/>
      <c r="BB164" s="987"/>
      <c r="BC164" s="987"/>
      <c r="BD164" s="987"/>
      <c r="BE164" s="987"/>
      <c r="BF164" s="987"/>
      <c r="BG164" s="987"/>
      <c r="BH164" s="987"/>
      <c r="BI164" s="987"/>
      <c r="BJ164" s="987"/>
      <c r="BK164" s="987"/>
      <c r="BL164" s="987"/>
      <c r="BM164" s="987"/>
      <c r="BN164" s="987"/>
      <c r="BO164" s="987"/>
      <c r="BP164" s="987"/>
      <c r="BQ164" s="987"/>
      <c r="BR164" s="987"/>
      <c r="BS164" s="987"/>
      <c r="BT164" s="987"/>
      <c r="BU164" s="987"/>
      <c r="BV164" s="987"/>
      <c r="BW164" s="987"/>
      <c r="BX164" s="987"/>
      <c r="BY164" s="987"/>
      <c r="BZ164" s="987"/>
      <c r="CA164" s="987"/>
      <c r="CB164" s="987"/>
      <c r="CC164" s="987"/>
      <c r="CD164" s="987"/>
      <c r="CE164" s="987"/>
      <c r="CF164" s="987"/>
      <c r="CG164" s="987"/>
      <c r="CH164" s="987"/>
      <c r="CI164" s="987"/>
      <c r="CJ164" s="987"/>
      <c r="CK164" s="987"/>
      <c r="CL164" s="987"/>
      <c r="CM164" s="987"/>
      <c r="CN164" s="987"/>
      <c r="IJ164" s="987"/>
      <c r="IK164" s="987"/>
      <c r="IL164" s="987"/>
      <c r="IM164" s="987"/>
      <c r="IN164" s="987"/>
      <c r="IO164" s="987"/>
      <c r="IP164" s="987"/>
      <c r="IQ164" s="987"/>
      <c r="IR164" s="987"/>
      <c r="IS164" s="987"/>
      <c r="IT164" s="987"/>
      <c r="IU164" s="987"/>
      <c r="IV164" s="987"/>
      <c r="IW164" s="987"/>
      <c r="IX164" s="987"/>
      <c r="IY164" s="987"/>
      <c r="JM164" s="987"/>
      <c r="JN164" s="987"/>
      <c r="KB164" s="987"/>
      <c r="KC164" s="987"/>
    </row>
    <row r="165" spans="34:289">
      <c r="AH165" s="987"/>
      <c r="AI165" s="987"/>
      <c r="AJ165" s="987"/>
      <c r="AK165" s="987"/>
      <c r="AL165" s="987"/>
      <c r="AM165" s="987"/>
      <c r="AN165" s="987"/>
      <c r="AO165" s="987"/>
      <c r="AQ165" s="987"/>
      <c r="AR165" s="987"/>
      <c r="AS165" s="987"/>
      <c r="AT165" s="987"/>
      <c r="AU165" s="987"/>
      <c r="AV165" s="987"/>
      <c r="AW165" s="987"/>
      <c r="AX165" s="987"/>
      <c r="AY165" s="987"/>
      <c r="AZ165" s="987"/>
      <c r="BA165" s="987"/>
      <c r="BB165" s="987"/>
      <c r="BC165" s="987"/>
      <c r="BD165" s="987"/>
      <c r="BE165" s="987"/>
      <c r="BF165" s="987"/>
      <c r="BG165" s="987"/>
      <c r="BH165" s="987"/>
      <c r="BI165" s="987"/>
      <c r="BJ165" s="987"/>
      <c r="BK165" s="987"/>
      <c r="BL165" s="987"/>
      <c r="BM165" s="987"/>
      <c r="BN165" s="987"/>
      <c r="BO165" s="987"/>
      <c r="BP165" s="987"/>
      <c r="BQ165" s="987"/>
      <c r="BR165" s="987"/>
      <c r="BS165" s="987"/>
      <c r="BT165" s="987"/>
      <c r="BU165" s="987"/>
      <c r="BV165" s="987"/>
      <c r="BW165" s="987"/>
      <c r="BX165" s="987"/>
      <c r="BY165" s="987"/>
      <c r="BZ165" s="987"/>
      <c r="CA165" s="987"/>
      <c r="CB165" s="987"/>
      <c r="CC165" s="987"/>
      <c r="CD165" s="987"/>
      <c r="CE165" s="987"/>
      <c r="CF165" s="987"/>
      <c r="CG165" s="987"/>
      <c r="CH165" s="987"/>
      <c r="CI165" s="987"/>
      <c r="CJ165" s="987"/>
      <c r="CK165" s="987"/>
      <c r="CL165" s="987"/>
      <c r="CM165" s="987"/>
      <c r="CN165" s="987"/>
      <c r="IJ165" s="987"/>
      <c r="IK165" s="987"/>
      <c r="IL165" s="987"/>
      <c r="IM165" s="987"/>
      <c r="IN165" s="987"/>
      <c r="IO165" s="987"/>
      <c r="IP165" s="987"/>
      <c r="IQ165" s="987"/>
      <c r="IR165" s="987"/>
      <c r="IS165" s="987"/>
      <c r="IT165" s="987"/>
      <c r="IU165" s="987"/>
      <c r="IV165" s="987"/>
      <c r="IW165" s="987"/>
      <c r="IX165" s="987"/>
      <c r="IY165" s="987"/>
      <c r="JM165" s="987"/>
      <c r="JN165" s="987"/>
      <c r="KB165" s="987"/>
      <c r="KC165" s="987"/>
    </row>
    <row r="166" spans="34:289">
      <c r="AH166" s="987"/>
      <c r="AI166" s="987"/>
      <c r="AJ166" s="987"/>
      <c r="AK166" s="987"/>
      <c r="AL166" s="987"/>
      <c r="AM166" s="987"/>
      <c r="AN166" s="987"/>
      <c r="AO166" s="987"/>
      <c r="AQ166" s="987"/>
      <c r="AR166" s="987"/>
      <c r="AS166" s="987"/>
      <c r="AT166" s="987"/>
      <c r="AU166" s="987"/>
      <c r="AV166" s="987"/>
      <c r="AW166" s="987"/>
      <c r="AX166" s="987"/>
      <c r="AY166" s="987"/>
      <c r="AZ166" s="987"/>
      <c r="BA166" s="987"/>
      <c r="BB166" s="987"/>
      <c r="BC166" s="987"/>
      <c r="BD166" s="987"/>
      <c r="BE166" s="987"/>
      <c r="BF166" s="987"/>
      <c r="BG166" s="987"/>
      <c r="BH166" s="987"/>
      <c r="BI166" s="987"/>
      <c r="BJ166" s="987"/>
      <c r="BK166" s="987"/>
      <c r="BL166" s="987"/>
      <c r="BM166" s="987"/>
      <c r="BN166" s="987"/>
      <c r="BO166" s="987"/>
      <c r="BP166" s="987"/>
      <c r="BQ166" s="987"/>
      <c r="BR166" s="987"/>
      <c r="BS166" s="987"/>
      <c r="BT166" s="987"/>
      <c r="BU166" s="987"/>
      <c r="BV166" s="987"/>
      <c r="BW166" s="987"/>
      <c r="BX166" s="987"/>
      <c r="BY166" s="987"/>
      <c r="BZ166" s="987"/>
      <c r="CA166" s="987"/>
      <c r="CB166" s="987"/>
      <c r="CC166" s="987"/>
      <c r="CD166" s="987"/>
      <c r="CE166" s="987"/>
      <c r="CF166" s="987"/>
      <c r="CG166" s="987"/>
      <c r="CH166" s="987"/>
      <c r="CI166" s="987"/>
      <c r="CJ166" s="987"/>
      <c r="CK166" s="987"/>
      <c r="CL166" s="987"/>
      <c r="CM166" s="987"/>
      <c r="CN166" s="987"/>
      <c r="IJ166" s="987"/>
      <c r="IK166" s="987"/>
      <c r="IL166" s="987"/>
      <c r="IM166" s="987"/>
      <c r="IN166" s="987"/>
      <c r="IO166" s="987"/>
      <c r="IP166" s="987"/>
      <c r="IQ166" s="987"/>
      <c r="IR166" s="987"/>
      <c r="IS166" s="987"/>
      <c r="IT166" s="987"/>
      <c r="IU166" s="987"/>
      <c r="IV166" s="987"/>
      <c r="IW166" s="987"/>
      <c r="IX166" s="987"/>
      <c r="IY166" s="987"/>
      <c r="JM166" s="987"/>
      <c r="JN166" s="987"/>
      <c r="KB166" s="987"/>
      <c r="KC166" s="987"/>
    </row>
    <row r="167" spans="34:289">
      <c r="AH167" s="987"/>
      <c r="AI167" s="987"/>
      <c r="AJ167" s="987"/>
      <c r="AK167" s="987"/>
      <c r="AL167" s="987"/>
      <c r="AM167" s="987"/>
      <c r="AN167" s="987"/>
      <c r="AO167" s="987"/>
      <c r="AQ167" s="987"/>
      <c r="AR167" s="987"/>
      <c r="AS167" s="987"/>
      <c r="AT167" s="987"/>
      <c r="AU167" s="987"/>
      <c r="AV167" s="987"/>
      <c r="AW167" s="987"/>
      <c r="AX167" s="987"/>
      <c r="AY167" s="987"/>
      <c r="AZ167" s="987"/>
      <c r="BA167" s="987"/>
      <c r="BB167" s="987"/>
      <c r="BC167" s="987"/>
      <c r="BD167" s="987"/>
      <c r="BE167" s="987"/>
      <c r="BF167" s="987"/>
      <c r="BG167" s="987"/>
      <c r="BH167" s="987"/>
      <c r="BI167" s="987"/>
      <c r="BJ167" s="987"/>
      <c r="BK167" s="987"/>
      <c r="BL167" s="987"/>
      <c r="BM167" s="987"/>
      <c r="BN167" s="987"/>
      <c r="BO167" s="987"/>
      <c r="BP167" s="987"/>
      <c r="BQ167" s="987"/>
      <c r="BR167" s="987"/>
      <c r="BS167" s="987"/>
      <c r="BT167" s="987"/>
      <c r="BU167" s="987"/>
      <c r="BV167" s="987"/>
      <c r="BW167" s="987"/>
      <c r="BX167" s="987"/>
      <c r="BY167" s="987"/>
      <c r="BZ167" s="987"/>
      <c r="CA167" s="987"/>
      <c r="CB167" s="987"/>
      <c r="CC167" s="987"/>
      <c r="CD167" s="987"/>
      <c r="CE167" s="987"/>
      <c r="CF167" s="987"/>
      <c r="CG167" s="987"/>
      <c r="CH167" s="987"/>
      <c r="CI167" s="987"/>
      <c r="CJ167" s="987"/>
      <c r="CK167" s="987"/>
      <c r="CL167" s="987"/>
      <c r="CM167" s="987"/>
      <c r="CN167" s="987"/>
      <c r="IJ167" s="987"/>
      <c r="IK167" s="987"/>
      <c r="IL167" s="987"/>
      <c r="IM167" s="987"/>
      <c r="IN167" s="987"/>
      <c r="IO167" s="987"/>
      <c r="IP167" s="987"/>
      <c r="IQ167" s="987"/>
      <c r="IR167" s="987"/>
      <c r="IS167" s="987"/>
      <c r="IT167" s="987"/>
      <c r="IU167" s="987"/>
      <c r="IV167" s="987"/>
      <c r="IW167" s="987"/>
      <c r="IX167" s="987"/>
      <c r="IY167" s="987"/>
      <c r="JM167" s="987"/>
      <c r="JN167" s="987"/>
      <c r="KB167" s="987"/>
      <c r="KC167" s="987"/>
    </row>
    <row r="168" spans="34:289">
      <c r="AH168" s="987"/>
      <c r="AI168" s="987"/>
      <c r="AJ168" s="987"/>
      <c r="AK168" s="987"/>
      <c r="AL168" s="987"/>
      <c r="AM168" s="987"/>
      <c r="AN168" s="987"/>
      <c r="AO168" s="987"/>
      <c r="AQ168" s="987"/>
      <c r="AR168" s="987"/>
      <c r="AS168" s="987"/>
      <c r="AT168" s="987"/>
      <c r="AU168" s="987"/>
      <c r="AV168" s="987"/>
      <c r="AW168" s="987"/>
      <c r="AX168" s="987"/>
      <c r="AY168" s="987"/>
      <c r="AZ168" s="987"/>
      <c r="BA168" s="987"/>
      <c r="BB168" s="987"/>
      <c r="BC168" s="987"/>
      <c r="BD168" s="987"/>
      <c r="BE168" s="987"/>
      <c r="BF168" s="987"/>
      <c r="BG168" s="987"/>
      <c r="BH168" s="987"/>
      <c r="BI168" s="987"/>
      <c r="BJ168" s="987"/>
      <c r="BK168" s="987"/>
      <c r="BL168" s="987"/>
      <c r="BM168" s="987"/>
      <c r="BN168" s="987"/>
      <c r="BO168" s="987"/>
      <c r="BP168" s="987"/>
      <c r="BQ168" s="987"/>
      <c r="BR168" s="987"/>
      <c r="BS168" s="987"/>
      <c r="BT168" s="987"/>
      <c r="BU168" s="987"/>
      <c r="BV168" s="987"/>
      <c r="BW168" s="987"/>
      <c r="BX168" s="987"/>
      <c r="BY168" s="987"/>
      <c r="BZ168" s="987"/>
      <c r="CA168" s="987"/>
      <c r="CB168" s="987"/>
      <c r="CC168" s="987"/>
      <c r="CD168" s="987"/>
      <c r="CE168" s="987"/>
      <c r="CF168" s="987"/>
      <c r="CG168" s="987"/>
      <c r="CH168" s="987"/>
      <c r="CI168" s="987"/>
      <c r="CJ168" s="987"/>
      <c r="CK168" s="987"/>
      <c r="CL168" s="987"/>
      <c r="CM168" s="987"/>
      <c r="CN168" s="987"/>
      <c r="IJ168" s="987"/>
      <c r="IK168" s="987"/>
      <c r="IL168" s="987"/>
      <c r="IM168" s="987"/>
      <c r="IN168" s="987"/>
      <c r="IO168" s="987"/>
      <c r="IP168" s="987"/>
      <c r="IQ168" s="987"/>
      <c r="IR168" s="987"/>
      <c r="IS168" s="987"/>
      <c r="IT168" s="987"/>
      <c r="IU168" s="987"/>
      <c r="IV168" s="987"/>
      <c r="IW168" s="987"/>
      <c r="IX168" s="987"/>
      <c r="IY168" s="987"/>
      <c r="JM168" s="987"/>
      <c r="JN168" s="987"/>
      <c r="KB168" s="987"/>
      <c r="KC168" s="987"/>
    </row>
    <row r="169" spans="34:289">
      <c r="AH169" s="987"/>
      <c r="AI169" s="987"/>
      <c r="AJ169" s="987"/>
      <c r="AK169" s="987"/>
      <c r="AL169" s="987"/>
      <c r="AM169" s="987"/>
      <c r="AN169" s="987"/>
      <c r="AO169" s="987"/>
      <c r="AQ169" s="987"/>
      <c r="AR169" s="987"/>
      <c r="AS169" s="987"/>
      <c r="AT169" s="987"/>
      <c r="AU169" s="987"/>
      <c r="AV169" s="987"/>
      <c r="AW169" s="987"/>
      <c r="AX169" s="987"/>
      <c r="AY169" s="987"/>
      <c r="AZ169" s="987"/>
      <c r="BA169" s="987"/>
      <c r="BB169" s="987"/>
      <c r="BC169" s="987"/>
      <c r="BD169" s="987"/>
      <c r="BE169" s="987"/>
      <c r="BF169" s="987"/>
      <c r="BG169" s="987"/>
      <c r="BH169" s="987"/>
      <c r="BI169" s="987"/>
      <c r="BJ169" s="987"/>
      <c r="BK169" s="987"/>
      <c r="BL169" s="987"/>
      <c r="BM169" s="987"/>
      <c r="BN169" s="987"/>
      <c r="BO169" s="987"/>
      <c r="BP169" s="987"/>
      <c r="BQ169" s="987"/>
      <c r="BR169" s="987"/>
      <c r="BS169" s="987"/>
      <c r="BT169" s="987"/>
      <c r="BU169" s="987"/>
      <c r="BV169" s="987"/>
      <c r="BW169" s="987"/>
      <c r="BX169" s="987"/>
      <c r="BY169" s="987"/>
      <c r="BZ169" s="987"/>
      <c r="CA169" s="987"/>
      <c r="CB169" s="987"/>
      <c r="CC169" s="987"/>
      <c r="CD169" s="987"/>
      <c r="CE169" s="987"/>
      <c r="CF169" s="987"/>
      <c r="CG169" s="987"/>
      <c r="CH169" s="987"/>
      <c r="CI169" s="987"/>
      <c r="CJ169" s="987"/>
      <c r="CK169" s="987"/>
      <c r="CL169" s="987"/>
      <c r="CM169" s="987"/>
      <c r="CN169" s="987"/>
      <c r="IJ169" s="987"/>
      <c r="IK169" s="987"/>
      <c r="IL169" s="987"/>
      <c r="IM169" s="987"/>
      <c r="IN169" s="987"/>
      <c r="IO169" s="987"/>
      <c r="IP169" s="987"/>
      <c r="IQ169" s="987"/>
      <c r="IR169" s="987"/>
      <c r="IS169" s="987"/>
      <c r="IT169" s="987"/>
      <c r="IU169" s="987"/>
      <c r="IV169" s="987"/>
      <c r="IW169" s="987"/>
      <c r="IX169" s="987"/>
      <c r="IY169" s="987"/>
      <c r="JM169" s="987"/>
      <c r="JN169" s="987"/>
      <c r="KB169" s="987"/>
      <c r="KC169" s="987"/>
    </row>
    <row r="170" spans="34:289">
      <c r="AH170" s="987"/>
      <c r="AI170" s="987"/>
      <c r="AJ170" s="987"/>
      <c r="AK170" s="987"/>
      <c r="AL170" s="987"/>
      <c r="AM170" s="987"/>
      <c r="AN170" s="987"/>
      <c r="AO170" s="987"/>
      <c r="AQ170" s="987"/>
      <c r="AR170" s="987"/>
      <c r="AS170" s="987"/>
      <c r="AT170" s="987"/>
      <c r="AU170" s="987"/>
      <c r="AV170" s="987"/>
      <c r="AW170" s="987"/>
      <c r="AX170" s="987"/>
      <c r="AY170" s="987"/>
      <c r="AZ170" s="987"/>
      <c r="BA170" s="987"/>
      <c r="BB170" s="987"/>
      <c r="BC170" s="987"/>
      <c r="BD170" s="987"/>
      <c r="BE170" s="987"/>
      <c r="BF170" s="987"/>
      <c r="BG170" s="987"/>
      <c r="BH170" s="987"/>
      <c r="BI170" s="987"/>
      <c r="BJ170" s="987"/>
      <c r="BK170" s="987"/>
      <c r="BL170" s="987"/>
      <c r="BM170" s="987"/>
      <c r="BN170" s="987"/>
      <c r="BO170" s="987"/>
      <c r="BP170" s="987"/>
      <c r="BQ170" s="987"/>
      <c r="BR170" s="987"/>
      <c r="BS170" s="987"/>
      <c r="BT170" s="987"/>
      <c r="BU170" s="987"/>
      <c r="BV170" s="987"/>
      <c r="BW170" s="987"/>
      <c r="BX170" s="987"/>
      <c r="BY170" s="987"/>
      <c r="BZ170" s="987"/>
      <c r="CA170" s="987"/>
      <c r="CB170" s="987"/>
      <c r="CC170" s="987"/>
      <c r="CD170" s="987"/>
      <c r="CE170" s="987"/>
      <c r="CF170" s="987"/>
      <c r="CG170" s="987"/>
      <c r="CH170" s="987"/>
      <c r="CI170" s="987"/>
      <c r="CJ170" s="987"/>
      <c r="CK170" s="987"/>
      <c r="CL170" s="987"/>
      <c r="CM170" s="987"/>
      <c r="CN170" s="987"/>
      <c r="IJ170" s="987"/>
      <c r="IK170" s="987"/>
      <c r="IL170" s="987"/>
      <c r="IM170" s="987"/>
      <c r="IN170" s="987"/>
      <c r="IO170" s="987"/>
      <c r="IP170" s="987"/>
      <c r="IQ170" s="987"/>
      <c r="IR170" s="987"/>
      <c r="IS170" s="987"/>
      <c r="IT170" s="987"/>
      <c r="IU170" s="987"/>
      <c r="IV170" s="987"/>
      <c r="IW170" s="987"/>
      <c r="IX170" s="987"/>
      <c r="IY170" s="987"/>
      <c r="JM170" s="987"/>
      <c r="JN170" s="987"/>
      <c r="KB170" s="987"/>
      <c r="KC170" s="987"/>
    </row>
    <row r="171" spans="34:289">
      <c r="AH171" s="987"/>
      <c r="AI171" s="987"/>
      <c r="AJ171" s="987"/>
      <c r="AK171" s="987"/>
      <c r="AL171" s="987"/>
      <c r="AM171" s="987"/>
      <c r="AN171" s="987"/>
      <c r="AO171" s="987"/>
      <c r="AQ171" s="987"/>
      <c r="AR171" s="987"/>
      <c r="AS171" s="987"/>
      <c r="AT171" s="987"/>
      <c r="AU171" s="987"/>
      <c r="AV171" s="987"/>
      <c r="AW171" s="987"/>
      <c r="AX171" s="987"/>
      <c r="AY171" s="987"/>
      <c r="AZ171" s="987"/>
      <c r="BA171" s="987"/>
      <c r="BB171" s="987"/>
      <c r="BC171" s="987"/>
      <c r="BD171" s="987"/>
      <c r="BE171" s="987"/>
      <c r="BF171" s="987"/>
      <c r="BG171" s="987"/>
      <c r="BH171" s="987"/>
      <c r="BI171" s="987"/>
      <c r="BJ171" s="987"/>
      <c r="BK171" s="987"/>
      <c r="BL171" s="987"/>
      <c r="BM171" s="987"/>
      <c r="BN171" s="987"/>
      <c r="BO171" s="987"/>
      <c r="BP171" s="987"/>
      <c r="BQ171" s="987"/>
      <c r="BR171" s="987"/>
      <c r="BS171" s="987"/>
      <c r="BT171" s="987"/>
      <c r="BU171" s="987"/>
      <c r="BV171" s="987"/>
      <c r="BW171" s="987"/>
      <c r="BX171" s="987"/>
      <c r="BY171" s="987"/>
      <c r="BZ171" s="987"/>
      <c r="CA171" s="987"/>
      <c r="CB171" s="987"/>
      <c r="CC171" s="987"/>
      <c r="CD171" s="987"/>
      <c r="CE171" s="987"/>
      <c r="CF171" s="987"/>
      <c r="CG171" s="987"/>
      <c r="CH171" s="987"/>
      <c r="CI171" s="987"/>
      <c r="CJ171" s="987"/>
      <c r="CK171" s="987"/>
      <c r="CL171" s="987"/>
      <c r="CM171" s="987"/>
      <c r="CN171" s="987"/>
      <c r="IJ171" s="987"/>
      <c r="IK171" s="987"/>
      <c r="IL171" s="987"/>
      <c r="IM171" s="987"/>
      <c r="IN171" s="987"/>
      <c r="IO171" s="987"/>
      <c r="IP171" s="987"/>
      <c r="IQ171" s="987"/>
      <c r="IR171" s="987"/>
      <c r="IS171" s="987"/>
      <c r="IT171" s="987"/>
      <c r="IU171" s="987"/>
      <c r="IV171" s="987"/>
      <c r="IW171" s="987"/>
      <c r="IX171" s="987"/>
      <c r="IY171" s="987"/>
      <c r="JM171" s="987"/>
      <c r="JN171" s="987"/>
      <c r="KB171" s="987"/>
      <c r="KC171" s="987"/>
    </row>
    <row r="172" spans="34:289">
      <c r="AH172" s="987"/>
      <c r="AI172" s="987"/>
      <c r="AJ172" s="987"/>
      <c r="AK172" s="987"/>
      <c r="AL172" s="987"/>
      <c r="AM172" s="987"/>
      <c r="AN172" s="987"/>
      <c r="AO172" s="987"/>
      <c r="AQ172" s="987"/>
      <c r="AR172" s="987"/>
      <c r="AS172" s="987"/>
      <c r="AT172" s="987"/>
      <c r="AU172" s="987"/>
      <c r="AV172" s="987"/>
      <c r="AW172" s="987"/>
      <c r="AX172" s="987"/>
      <c r="AY172" s="987"/>
      <c r="AZ172" s="987"/>
      <c r="BA172" s="987"/>
      <c r="BB172" s="987"/>
      <c r="BC172" s="987"/>
      <c r="BD172" s="987"/>
      <c r="BE172" s="987"/>
      <c r="BF172" s="987"/>
      <c r="BG172" s="987"/>
      <c r="BH172" s="987"/>
      <c r="BI172" s="987"/>
      <c r="BJ172" s="987"/>
      <c r="BK172" s="987"/>
      <c r="BL172" s="987"/>
      <c r="BM172" s="987"/>
      <c r="BN172" s="987"/>
      <c r="BO172" s="987"/>
      <c r="BP172" s="987"/>
      <c r="BQ172" s="987"/>
      <c r="BR172" s="987"/>
      <c r="BS172" s="987"/>
      <c r="BT172" s="987"/>
      <c r="BU172" s="987"/>
      <c r="BV172" s="987"/>
      <c r="BW172" s="987"/>
      <c r="BX172" s="987"/>
      <c r="BY172" s="987"/>
      <c r="BZ172" s="987"/>
      <c r="CA172" s="987"/>
      <c r="CB172" s="987"/>
      <c r="CC172" s="987"/>
      <c r="CD172" s="987"/>
      <c r="CE172" s="987"/>
      <c r="CF172" s="987"/>
      <c r="CG172" s="987"/>
      <c r="CH172" s="987"/>
      <c r="CI172" s="987"/>
      <c r="CJ172" s="987"/>
      <c r="CK172" s="987"/>
      <c r="CL172" s="987"/>
      <c r="CM172" s="987"/>
      <c r="CN172" s="987"/>
      <c r="IJ172" s="987"/>
      <c r="IK172" s="987"/>
      <c r="IL172" s="987"/>
      <c r="IM172" s="987"/>
      <c r="IN172" s="987"/>
      <c r="IO172" s="987"/>
      <c r="IP172" s="987"/>
      <c r="IQ172" s="987"/>
      <c r="IR172" s="987"/>
      <c r="IS172" s="987"/>
      <c r="IT172" s="987"/>
      <c r="IU172" s="987"/>
      <c r="IV172" s="987"/>
      <c r="IW172" s="987"/>
      <c r="IX172" s="987"/>
      <c r="IY172" s="987"/>
      <c r="JM172" s="987"/>
      <c r="JN172" s="987"/>
      <c r="KB172" s="987"/>
      <c r="KC172" s="987"/>
    </row>
    <row r="173" spans="34:289">
      <c r="AH173" s="987"/>
      <c r="AI173" s="987"/>
      <c r="AJ173" s="987"/>
      <c r="AK173" s="987"/>
      <c r="AL173" s="987"/>
      <c r="AM173" s="987"/>
      <c r="AN173" s="987"/>
      <c r="AO173" s="987"/>
      <c r="AQ173" s="987"/>
      <c r="AR173" s="987"/>
      <c r="AS173" s="987"/>
      <c r="AT173" s="987"/>
      <c r="AU173" s="987"/>
      <c r="AV173" s="987"/>
      <c r="AW173" s="987"/>
      <c r="AX173" s="987"/>
      <c r="AY173" s="987"/>
      <c r="AZ173" s="987"/>
      <c r="BA173" s="987"/>
      <c r="BB173" s="987"/>
      <c r="BC173" s="987"/>
      <c r="BD173" s="987"/>
      <c r="BE173" s="987"/>
      <c r="BF173" s="987"/>
      <c r="BG173" s="987"/>
      <c r="BH173" s="987"/>
      <c r="BI173" s="987"/>
      <c r="BJ173" s="987"/>
      <c r="BK173" s="987"/>
      <c r="BL173" s="987"/>
      <c r="BM173" s="987"/>
      <c r="BN173" s="987"/>
      <c r="BO173" s="987"/>
      <c r="BP173" s="987"/>
      <c r="BQ173" s="987"/>
      <c r="BR173" s="987"/>
      <c r="BS173" s="987"/>
      <c r="BT173" s="987"/>
      <c r="BU173" s="987"/>
      <c r="BV173" s="987"/>
      <c r="BW173" s="987"/>
      <c r="BX173" s="987"/>
      <c r="BY173" s="987"/>
      <c r="BZ173" s="987"/>
      <c r="CA173" s="987"/>
      <c r="CB173" s="987"/>
      <c r="CC173" s="987"/>
      <c r="CD173" s="987"/>
      <c r="CE173" s="987"/>
      <c r="CF173" s="987"/>
      <c r="CG173" s="987"/>
      <c r="CH173" s="987"/>
      <c r="CI173" s="987"/>
      <c r="CJ173" s="987"/>
      <c r="CK173" s="987"/>
      <c r="CL173" s="987"/>
      <c r="CM173" s="987"/>
      <c r="CN173" s="987"/>
      <c r="IJ173" s="987"/>
      <c r="IK173" s="987"/>
      <c r="IL173" s="987"/>
      <c r="IM173" s="987"/>
      <c r="IN173" s="987"/>
      <c r="IO173" s="987"/>
      <c r="IP173" s="987"/>
      <c r="IQ173" s="987"/>
      <c r="IR173" s="987"/>
      <c r="IS173" s="987"/>
      <c r="IT173" s="987"/>
      <c r="IU173" s="987"/>
      <c r="IV173" s="987"/>
      <c r="IW173" s="987"/>
      <c r="IX173" s="987"/>
      <c r="IY173" s="987"/>
      <c r="JM173" s="987"/>
      <c r="JN173" s="987"/>
      <c r="KB173" s="987"/>
      <c r="KC173" s="987"/>
    </row>
    <row r="174" spans="34:289">
      <c r="AH174" s="987"/>
      <c r="AI174" s="987"/>
      <c r="AJ174" s="987"/>
      <c r="AK174" s="987"/>
      <c r="AL174" s="987"/>
      <c r="AM174" s="987"/>
      <c r="AN174" s="987"/>
      <c r="AO174" s="987"/>
      <c r="AQ174" s="987"/>
      <c r="AR174" s="987"/>
      <c r="AS174" s="987"/>
      <c r="AT174" s="987"/>
      <c r="AU174" s="987"/>
      <c r="AV174" s="987"/>
      <c r="AW174" s="987"/>
      <c r="AX174" s="987"/>
      <c r="AY174" s="987"/>
      <c r="AZ174" s="987"/>
      <c r="BA174" s="987"/>
      <c r="BB174" s="987"/>
      <c r="BC174" s="987"/>
      <c r="BD174" s="987"/>
      <c r="BE174" s="987"/>
      <c r="BF174" s="987"/>
      <c r="BG174" s="987"/>
      <c r="BH174" s="987"/>
      <c r="BI174" s="987"/>
      <c r="BJ174" s="987"/>
      <c r="BK174" s="987"/>
      <c r="BL174" s="987"/>
      <c r="BM174" s="987"/>
      <c r="BN174" s="987"/>
      <c r="BO174" s="987"/>
      <c r="BP174" s="987"/>
      <c r="BQ174" s="987"/>
      <c r="BR174" s="987"/>
      <c r="BS174" s="987"/>
      <c r="BT174" s="987"/>
      <c r="BU174" s="987"/>
      <c r="BV174" s="987"/>
      <c r="BW174" s="987"/>
      <c r="BX174" s="987"/>
      <c r="BY174" s="987"/>
      <c r="BZ174" s="987"/>
      <c r="CA174" s="987"/>
      <c r="CB174" s="987"/>
      <c r="CC174" s="987"/>
      <c r="CD174" s="987"/>
      <c r="CE174" s="987"/>
      <c r="CF174" s="987"/>
      <c r="CG174" s="987"/>
      <c r="CH174" s="987"/>
      <c r="CI174" s="987"/>
      <c r="CJ174" s="987"/>
      <c r="CK174" s="987"/>
      <c r="CL174" s="987"/>
      <c r="CM174" s="987"/>
      <c r="CN174" s="987"/>
      <c r="IJ174" s="987"/>
      <c r="IK174" s="987"/>
      <c r="IL174" s="987"/>
      <c r="IM174" s="987"/>
      <c r="IN174" s="987"/>
      <c r="IO174" s="987"/>
      <c r="IP174" s="987"/>
      <c r="IQ174" s="987"/>
      <c r="IR174" s="987"/>
      <c r="IS174" s="987"/>
      <c r="IT174" s="987"/>
      <c r="IU174" s="987"/>
      <c r="IV174" s="987"/>
      <c r="IW174" s="987"/>
      <c r="IX174" s="987"/>
      <c r="IY174" s="987"/>
      <c r="JM174" s="987"/>
      <c r="JN174" s="987"/>
      <c r="KB174" s="987"/>
      <c r="KC174" s="987"/>
    </row>
    <row r="175" spans="34:289">
      <c r="AH175" s="987"/>
      <c r="AI175" s="987"/>
      <c r="AJ175" s="987"/>
      <c r="AK175" s="987"/>
      <c r="AL175" s="987"/>
      <c r="AM175" s="987"/>
      <c r="AN175" s="987"/>
      <c r="AO175" s="987"/>
      <c r="AQ175" s="987"/>
      <c r="AR175" s="987"/>
      <c r="AS175" s="987"/>
      <c r="AT175" s="987"/>
      <c r="AU175" s="987"/>
      <c r="AV175" s="987"/>
      <c r="AW175" s="987"/>
      <c r="AX175" s="987"/>
      <c r="AY175" s="987"/>
      <c r="AZ175" s="987"/>
      <c r="BA175" s="987"/>
      <c r="BB175" s="987"/>
      <c r="BC175" s="987"/>
      <c r="BD175" s="987"/>
      <c r="BE175" s="987"/>
      <c r="BF175" s="987"/>
      <c r="BG175" s="987"/>
      <c r="BH175" s="987"/>
      <c r="BI175" s="987"/>
      <c r="BJ175" s="987"/>
      <c r="BK175" s="987"/>
      <c r="BL175" s="987"/>
      <c r="BM175" s="987"/>
      <c r="BN175" s="987"/>
      <c r="BO175" s="987"/>
      <c r="BP175" s="987"/>
      <c r="BQ175" s="987"/>
      <c r="BR175" s="987"/>
      <c r="BS175" s="987"/>
      <c r="BT175" s="987"/>
      <c r="BU175" s="987"/>
      <c r="BV175" s="987"/>
      <c r="BW175" s="987"/>
      <c r="BX175" s="987"/>
      <c r="BY175" s="987"/>
      <c r="BZ175" s="987"/>
      <c r="CA175" s="987"/>
      <c r="CB175" s="987"/>
      <c r="CC175" s="987"/>
      <c r="CD175" s="987"/>
      <c r="CE175" s="987"/>
      <c r="CF175" s="987"/>
      <c r="CG175" s="987"/>
      <c r="CH175" s="987"/>
      <c r="CI175" s="987"/>
      <c r="CJ175" s="987"/>
      <c r="CK175" s="987"/>
      <c r="CL175" s="987"/>
      <c r="CM175" s="987"/>
      <c r="CN175" s="987"/>
      <c r="IJ175" s="987"/>
      <c r="IK175" s="987"/>
      <c r="IL175" s="987"/>
      <c r="IM175" s="987"/>
      <c r="IN175" s="987"/>
      <c r="IO175" s="987"/>
      <c r="IP175" s="987"/>
      <c r="IQ175" s="987"/>
      <c r="IR175" s="987"/>
      <c r="IS175" s="987"/>
      <c r="IT175" s="987"/>
      <c r="IU175" s="987"/>
      <c r="IV175" s="987"/>
      <c r="IW175" s="987"/>
      <c r="IX175" s="987"/>
      <c r="IY175" s="987"/>
      <c r="JM175" s="987"/>
      <c r="JN175" s="987"/>
      <c r="KB175" s="987"/>
      <c r="KC175" s="987"/>
    </row>
    <row r="176" spans="34:289">
      <c r="AH176" s="987"/>
      <c r="AI176" s="987"/>
      <c r="AJ176" s="987"/>
      <c r="AK176" s="987"/>
      <c r="AL176" s="987"/>
      <c r="AM176" s="987"/>
      <c r="AN176" s="987"/>
      <c r="AO176" s="987"/>
      <c r="AQ176" s="987"/>
      <c r="AR176" s="987"/>
      <c r="AS176" s="987"/>
      <c r="AT176" s="987"/>
      <c r="AU176" s="987"/>
      <c r="AV176" s="987"/>
      <c r="AW176" s="987"/>
      <c r="AX176" s="987"/>
      <c r="AY176" s="987"/>
      <c r="AZ176" s="987"/>
      <c r="BA176" s="987"/>
      <c r="BB176" s="987"/>
      <c r="BC176" s="987"/>
      <c r="BD176" s="987"/>
      <c r="BE176" s="987"/>
      <c r="BF176" s="987"/>
      <c r="BG176" s="987"/>
      <c r="BH176" s="987"/>
      <c r="BI176" s="987"/>
      <c r="BJ176" s="987"/>
      <c r="BK176" s="987"/>
      <c r="BL176" s="987"/>
      <c r="BM176" s="987"/>
      <c r="BN176" s="987"/>
      <c r="BO176" s="987"/>
      <c r="BP176" s="987"/>
      <c r="BQ176" s="987"/>
      <c r="BR176" s="987"/>
      <c r="BS176" s="987"/>
      <c r="BT176" s="987"/>
      <c r="BU176" s="987"/>
      <c r="BV176" s="987"/>
      <c r="BW176" s="987"/>
      <c r="BX176" s="987"/>
      <c r="BY176" s="987"/>
      <c r="BZ176" s="987"/>
      <c r="CA176" s="987"/>
      <c r="CB176" s="987"/>
      <c r="CC176" s="987"/>
      <c r="CD176" s="987"/>
      <c r="CE176" s="987"/>
      <c r="CF176" s="987"/>
      <c r="CG176" s="987"/>
      <c r="CH176" s="987"/>
      <c r="CI176" s="987"/>
      <c r="CJ176" s="987"/>
      <c r="CK176" s="987"/>
      <c r="CL176" s="987"/>
      <c r="CM176" s="987"/>
      <c r="CN176" s="987"/>
      <c r="IJ176" s="987"/>
      <c r="IK176" s="987"/>
      <c r="IL176" s="987"/>
      <c r="IM176" s="987"/>
      <c r="IN176" s="987"/>
      <c r="IO176" s="987"/>
      <c r="IP176" s="987"/>
      <c r="IQ176" s="987"/>
      <c r="IR176" s="987"/>
      <c r="IS176" s="987"/>
      <c r="IT176" s="987"/>
      <c r="IU176" s="987"/>
      <c r="IV176" s="987"/>
      <c r="IW176" s="987"/>
      <c r="IX176" s="987"/>
      <c r="IY176" s="987"/>
      <c r="JM176" s="987"/>
      <c r="JN176" s="987"/>
      <c r="KB176" s="987"/>
      <c r="KC176" s="987"/>
    </row>
    <row r="177" spans="34:289">
      <c r="AH177" s="987"/>
      <c r="AI177" s="987"/>
      <c r="AJ177" s="987"/>
      <c r="AK177" s="987"/>
      <c r="AL177" s="987"/>
      <c r="AM177" s="987"/>
      <c r="AN177" s="987"/>
      <c r="AO177" s="987"/>
      <c r="AQ177" s="987"/>
      <c r="AR177" s="987"/>
      <c r="AS177" s="987"/>
      <c r="AT177" s="987"/>
      <c r="AU177" s="987"/>
      <c r="AV177" s="987"/>
      <c r="AW177" s="987"/>
      <c r="AX177" s="987"/>
      <c r="AY177" s="987"/>
      <c r="AZ177" s="987"/>
      <c r="BA177" s="987"/>
      <c r="BB177" s="987"/>
      <c r="BC177" s="987"/>
      <c r="BD177" s="987"/>
      <c r="BE177" s="987"/>
      <c r="BF177" s="987"/>
      <c r="BG177" s="987"/>
      <c r="BH177" s="987"/>
      <c r="BI177" s="987"/>
      <c r="BJ177" s="987"/>
      <c r="BK177" s="987"/>
      <c r="BL177" s="987"/>
      <c r="BM177" s="987"/>
      <c r="BN177" s="987"/>
      <c r="BO177" s="987"/>
      <c r="BP177" s="987"/>
      <c r="BQ177" s="987"/>
      <c r="BR177" s="987"/>
      <c r="BS177" s="987"/>
      <c r="BT177" s="987"/>
      <c r="BU177" s="987"/>
      <c r="BV177" s="987"/>
      <c r="BW177" s="987"/>
      <c r="BX177" s="987"/>
      <c r="BY177" s="987"/>
      <c r="BZ177" s="987"/>
      <c r="CA177" s="987"/>
      <c r="CB177" s="987"/>
      <c r="CC177" s="987"/>
      <c r="CD177" s="987"/>
      <c r="CE177" s="987"/>
      <c r="CF177" s="987"/>
      <c r="CG177" s="987"/>
      <c r="CH177" s="987"/>
      <c r="CI177" s="987"/>
      <c r="CJ177" s="987"/>
      <c r="CK177" s="987"/>
      <c r="CL177" s="987"/>
      <c r="CM177" s="987"/>
      <c r="CN177" s="987"/>
      <c r="IJ177" s="987"/>
      <c r="IK177" s="987"/>
      <c r="IL177" s="987"/>
      <c r="IM177" s="987"/>
      <c r="IN177" s="987"/>
      <c r="IO177" s="987"/>
      <c r="IP177" s="987"/>
      <c r="IQ177" s="987"/>
      <c r="IR177" s="987"/>
      <c r="IS177" s="987"/>
      <c r="IT177" s="987"/>
      <c r="IU177" s="987"/>
      <c r="IV177" s="987"/>
      <c r="IW177" s="987"/>
      <c r="IX177" s="987"/>
      <c r="IY177" s="987"/>
      <c r="JM177" s="987"/>
      <c r="JN177" s="987"/>
      <c r="KB177" s="987"/>
      <c r="KC177" s="987"/>
    </row>
    <row r="178" spans="34:289">
      <c r="AH178" s="987"/>
      <c r="AI178" s="987"/>
      <c r="AJ178" s="987"/>
      <c r="AK178" s="987"/>
      <c r="AL178" s="987"/>
      <c r="AM178" s="987"/>
      <c r="AN178" s="987"/>
      <c r="AO178" s="987"/>
      <c r="AQ178" s="987"/>
      <c r="AR178" s="987"/>
      <c r="AS178" s="987"/>
      <c r="AT178" s="987"/>
      <c r="AU178" s="987"/>
      <c r="AV178" s="987"/>
      <c r="AW178" s="987"/>
      <c r="AX178" s="987"/>
      <c r="AY178" s="987"/>
      <c r="AZ178" s="987"/>
      <c r="BA178" s="987"/>
      <c r="BB178" s="987"/>
      <c r="BC178" s="987"/>
      <c r="BD178" s="987"/>
      <c r="BE178" s="987"/>
      <c r="BF178" s="987"/>
      <c r="BG178" s="987"/>
      <c r="BH178" s="987"/>
      <c r="BI178" s="987"/>
      <c r="BJ178" s="987"/>
      <c r="BK178" s="987"/>
      <c r="BL178" s="987"/>
      <c r="BM178" s="987"/>
      <c r="BN178" s="987"/>
      <c r="BO178" s="987"/>
      <c r="BP178" s="987"/>
      <c r="BQ178" s="987"/>
      <c r="BR178" s="987"/>
      <c r="BS178" s="987"/>
      <c r="BT178" s="987"/>
      <c r="BU178" s="987"/>
      <c r="BV178" s="987"/>
      <c r="BW178" s="987"/>
      <c r="BX178" s="987"/>
      <c r="BY178" s="987"/>
      <c r="BZ178" s="987"/>
      <c r="CA178" s="987"/>
      <c r="CB178" s="987"/>
      <c r="CC178" s="987"/>
      <c r="CD178" s="987"/>
      <c r="CE178" s="987"/>
      <c r="CF178" s="987"/>
      <c r="CG178" s="987"/>
      <c r="CH178" s="987"/>
      <c r="CI178" s="987"/>
      <c r="CJ178" s="987"/>
      <c r="CK178" s="987"/>
      <c r="CL178" s="987"/>
      <c r="CM178" s="987"/>
      <c r="CN178" s="987"/>
      <c r="IJ178" s="987"/>
      <c r="IK178" s="987"/>
      <c r="IL178" s="987"/>
      <c r="IM178" s="987"/>
      <c r="IN178" s="987"/>
      <c r="IO178" s="987"/>
      <c r="IP178" s="987"/>
      <c r="IQ178" s="987"/>
      <c r="IR178" s="987"/>
      <c r="IS178" s="987"/>
      <c r="IT178" s="987"/>
      <c r="IU178" s="987"/>
      <c r="IV178" s="987"/>
      <c r="IW178" s="987"/>
      <c r="IX178" s="987"/>
      <c r="IY178" s="987"/>
      <c r="JM178" s="987"/>
      <c r="JN178" s="987"/>
      <c r="KB178" s="987"/>
      <c r="KC178" s="987"/>
    </row>
    <row r="179" spans="34:289">
      <c r="AH179" s="987"/>
      <c r="AI179" s="987"/>
      <c r="AJ179" s="987"/>
      <c r="AK179" s="987"/>
      <c r="AL179" s="987"/>
      <c r="AM179" s="987"/>
      <c r="AN179" s="987"/>
      <c r="AO179" s="987"/>
      <c r="AQ179" s="987"/>
      <c r="AR179" s="987"/>
      <c r="AS179" s="987"/>
      <c r="AT179" s="987"/>
      <c r="AU179" s="987"/>
      <c r="AV179" s="987"/>
      <c r="AW179" s="987"/>
      <c r="AX179" s="987"/>
      <c r="AY179" s="987"/>
      <c r="AZ179" s="987"/>
      <c r="BA179" s="987"/>
      <c r="BB179" s="987"/>
      <c r="BC179" s="987"/>
      <c r="BD179" s="987"/>
      <c r="BE179" s="987"/>
      <c r="BF179" s="987"/>
      <c r="BG179" s="987"/>
      <c r="BH179" s="987"/>
      <c r="BI179" s="987"/>
      <c r="BJ179" s="987"/>
      <c r="BK179" s="987"/>
      <c r="BL179" s="987"/>
      <c r="BM179" s="987"/>
      <c r="BN179" s="987"/>
      <c r="BO179" s="987"/>
      <c r="BP179" s="987"/>
      <c r="BQ179" s="987"/>
      <c r="BR179" s="987"/>
      <c r="BS179" s="987"/>
      <c r="BT179" s="987"/>
      <c r="BU179" s="987"/>
      <c r="BV179" s="987"/>
      <c r="BW179" s="987"/>
      <c r="BX179" s="987"/>
      <c r="BY179" s="987"/>
      <c r="BZ179" s="987"/>
      <c r="CA179" s="987"/>
      <c r="CB179" s="987"/>
      <c r="CC179" s="987"/>
      <c r="CD179" s="987"/>
      <c r="CE179" s="987"/>
      <c r="CF179" s="987"/>
      <c r="CG179" s="987"/>
      <c r="CH179" s="987"/>
      <c r="CI179" s="987"/>
      <c r="CJ179" s="987"/>
      <c r="CK179" s="987"/>
      <c r="CL179" s="987"/>
      <c r="CM179" s="987"/>
      <c r="CN179" s="987"/>
      <c r="IJ179" s="987"/>
      <c r="IK179" s="987"/>
      <c r="IL179" s="987"/>
      <c r="IM179" s="987"/>
      <c r="IN179" s="987"/>
      <c r="IO179" s="987"/>
      <c r="IP179" s="987"/>
      <c r="IQ179" s="987"/>
      <c r="IR179" s="987"/>
      <c r="IS179" s="987"/>
      <c r="IT179" s="987"/>
      <c r="IU179" s="987"/>
      <c r="IV179" s="987"/>
      <c r="IW179" s="987"/>
      <c r="IX179" s="987"/>
      <c r="IY179" s="987"/>
      <c r="JM179" s="987"/>
      <c r="JN179" s="987"/>
      <c r="KB179" s="987"/>
      <c r="KC179" s="987"/>
    </row>
    <row r="180" spans="34:289">
      <c r="AH180" s="987"/>
      <c r="AI180" s="987"/>
      <c r="AJ180" s="987"/>
      <c r="AK180" s="987"/>
      <c r="AL180" s="987"/>
      <c r="AM180" s="987"/>
      <c r="AN180" s="987"/>
      <c r="AO180" s="987"/>
      <c r="AQ180" s="987"/>
      <c r="AR180" s="987"/>
      <c r="AS180" s="987"/>
      <c r="AT180" s="987"/>
      <c r="AU180" s="987"/>
      <c r="AV180" s="987"/>
      <c r="AW180" s="987"/>
      <c r="AX180" s="987"/>
      <c r="AY180" s="987"/>
      <c r="AZ180" s="987"/>
      <c r="BA180" s="987"/>
      <c r="BB180" s="987"/>
      <c r="BC180" s="987"/>
      <c r="BD180" s="987"/>
      <c r="BE180" s="987"/>
      <c r="BF180" s="987"/>
      <c r="BG180" s="987"/>
      <c r="BH180" s="987"/>
      <c r="BI180" s="987"/>
      <c r="BJ180" s="987"/>
      <c r="BK180" s="987"/>
      <c r="BL180" s="987"/>
      <c r="BM180" s="987"/>
      <c r="BN180" s="987"/>
      <c r="BO180" s="987"/>
      <c r="BP180" s="987"/>
      <c r="BQ180" s="987"/>
      <c r="BR180" s="987"/>
      <c r="BS180" s="987"/>
      <c r="BT180" s="987"/>
      <c r="BU180" s="987"/>
      <c r="BV180" s="987"/>
      <c r="BW180" s="987"/>
      <c r="BX180" s="987"/>
      <c r="BY180" s="987"/>
      <c r="BZ180" s="987"/>
      <c r="CA180" s="987"/>
      <c r="CB180" s="987"/>
      <c r="CC180" s="987"/>
      <c r="CD180" s="987"/>
      <c r="CE180" s="987"/>
      <c r="CF180" s="987"/>
      <c r="CG180" s="987"/>
      <c r="CH180" s="987"/>
      <c r="CI180" s="987"/>
      <c r="CJ180" s="987"/>
      <c r="CK180" s="987"/>
      <c r="CL180" s="987"/>
      <c r="CM180" s="987"/>
      <c r="CN180" s="987"/>
      <c r="IJ180" s="987"/>
      <c r="IK180" s="987"/>
      <c r="IL180" s="987"/>
      <c r="IM180" s="987"/>
      <c r="IN180" s="987"/>
      <c r="IO180" s="987"/>
      <c r="IP180" s="987"/>
      <c r="IQ180" s="987"/>
      <c r="IR180" s="987"/>
      <c r="IS180" s="987"/>
      <c r="IT180" s="987"/>
      <c r="IU180" s="987"/>
      <c r="IV180" s="987"/>
      <c r="IW180" s="987"/>
      <c r="IX180" s="987"/>
      <c r="IY180" s="987"/>
      <c r="JM180" s="987"/>
      <c r="JN180" s="987"/>
      <c r="KB180" s="987"/>
      <c r="KC180" s="987"/>
    </row>
    <row r="181" spans="34:289">
      <c r="AH181" s="987"/>
      <c r="AI181" s="987"/>
      <c r="AJ181" s="987"/>
      <c r="AK181" s="987"/>
      <c r="AL181" s="987"/>
      <c r="AM181" s="987"/>
      <c r="AN181" s="987"/>
      <c r="AO181" s="987"/>
      <c r="AQ181" s="987"/>
      <c r="AR181" s="987"/>
      <c r="AS181" s="987"/>
      <c r="AT181" s="987"/>
      <c r="AU181" s="987"/>
      <c r="AV181" s="987"/>
      <c r="AW181" s="987"/>
      <c r="AX181" s="987"/>
      <c r="AY181" s="987"/>
      <c r="AZ181" s="987"/>
      <c r="BA181" s="987"/>
      <c r="BB181" s="987"/>
      <c r="BC181" s="987"/>
      <c r="BD181" s="987"/>
      <c r="BE181" s="987"/>
      <c r="BF181" s="987"/>
      <c r="BG181" s="987"/>
      <c r="BH181" s="987"/>
      <c r="BI181" s="987"/>
      <c r="BJ181" s="987"/>
      <c r="BK181" s="987"/>
      <c r="BL181" s="987"/>
      <c r="BM181" s="987"/>
      <c r="BN181" s="987"/>
      <c r="BO181" s="987"/>
      <c r="BP181" s="987"/>
      <c r="BQ181" s="987"/>
      <c r="BR181" s="987"/>
      <c r="BS181" s="987"/>
      <c r="BT181" s="987"/>
      <c r="BU181" s="987"/>
      <c r="BV181" s="987"/>
      <c r="BW181" s="987"/>
      <c r="BX181" s="987"/>
      <c r="BY181" s="987"/>
      <c r="BZ181" s="987"/>
      <c r="CA181" s="987"/>
      <c r="CB181" s="987"/>
      <c r="CC181" s="987"/>
      <c r="CD181" s="987"/>
      <c r="CE181" s="987"/>
      <c r="CF181" s="987"/>
      <c r="CG181" s="987"/>
      <c r="CH181" s="987"/>
      <c r="CI181" s="987"/>
      <c r="CJ181" s="987"/>
      <c r="CK181" s="987"/>
      <c r="CL181" s="987"/>
      <c r="CM181" s="987"/>
      <c r="CN181" s="987"/>
      <c r="IJ181" s="987"/>
      <c r="IK181" s="987"/>
      <c r="IL181" s="987"/>
      <c r="IM181" s="987"/>
      <c r="IN181" s="987"/>
      <c r="IO181" s="987"/>
      <c r="IP181" s="987"/>
      <c r="IQ181" s="987"/>
      <c r="IR181" s="987"/>
      <c r="IS181" s="987"/>
      <c r="IT181" s="987"/>
      <c r="IU181" s="987"/>
      <c r="IV181" s="987"/>
      <c r="IW181" s="987"/>
      <c r="IX181" s="987"/>
      <c r="IY181" s="987"/>
      <c r="JM181" s="987"/>
      <c r="JN181" s="987"/>
      <c r="KB181" s="987"/>
      <c r="KC181" s="987"/>
    </row>
    <row r="182" spans="34:289">
      <c r="AH182" s="987"/>
      <c r="AI182" s="987"/>
      <c r="AJ182" s="987"/>
      <c r="AK182" s="987"/>
      <c r="AL182" s="987"/>
      <c r="AM182" s="987"/>
      <c r="AN182" s="987"/>
      <c r="AO182" s="987"/>
      <c r="AQ182" s="987"/>
      <c r="AR182" s="987"/>
      <c r="AS182" s="987"/>
      <c r="AT182" s="987"/>
      <c r="AU182" s="987"/>
      <c r="AV182" s="987"/>
      <c r="AW182" s="987"/>
      <c r="AX182" s="987"/>
      <c r="AY182" s="987"/>
      <c r="AZ182" s="987"/>
      <c r="BA182" s="987"/>
      <c r="BB182" s="987"/>
      <c r="BC182" s="987"/>
      <c r="BD182" s="987"/>
      <c r="BE182" s="987"/>
      <c r="BF182" s="987"/>
      <c r="BG182" s="987"/>
      <c r="BH182" s="987"/>
      <c r="BI182" s="987"/>
      <c r="BJ182" s="987"/>
      <c r="BK182" s="987"/>
      <c r="BL182" s="987"/>
      <c r="BM182" s="987"/>
      <c r="BN182" s="987"/>
      <c r="BO182" s="987"/>
      <c r="BP182" s="987"/>
      <c r="BQ182" s="987"/>
      <c r="BR182" s="987"/>
      <c r="BS182" s="987"/>
      <c r="BT182" s="987"/>
      <c r="BU182" s="987"/>
      <c r="BV182" s="987"/>
      <c r="BW182" s="987"/>
      <c r="BX182" s="987"/>
      <c r="BY182" s="987"/>
      <c r="BZ182" s="987"/>
      <c r="CA182" s="987"/>
      <c r="CB182" s="987"/>
      <c r="CC182" s="987"/>
      <c r="CD182" s="987"/>
      <c r="CE182" s="987"/>
      <c r="CF182" s="987"/>
      <c r="CG182" s="987"/>
      <c r="CH182" s="987"/>
      <c r="CI182" s="987"/>
      <c r="CJ182" s="987"/>
      <c r="CK182" s="987"/>
      <c r="CL182" s="987"/>
      <c r="CM182" s="987"/>
      <c r="CN182" s="987"/>
      <c r="IJ182" s="987"/>
      <c r="IK182" s="987"/>
      <c r="IL182" s="987"/>
      <c r="IM182" s="987"/>
      <c r="IN182" s="987"/>
      <c r="IO182" s="987"/>
      <c r="IP182" s="987"/>
      <c r="IQ182" s="987"/>
      <c r="IR182" s="987"/>
      <c r="IS182" s="987"/>
      <c r="IT182" s="987"/>
      <c r="IU182" s="987"/>
      <c r="IV182" s="987"/>
      <c r="IW182" s="987"/>
      <c r="IX182" s="987"/>
      <c r="IY182" s="987"/>
      <c r="JM182" s="987"/>
      <c r="JN182" s="987"/>
      <c r="KB182" s="987"/>
      <c r="KC182" s="987"/>
    </row>
    <row r="183" spans="34:289">
      <c r="AH183" s="987"/>
      <c r="AI183" s="987"/>
      <c r="AJ183" s="987"/>
      <c r="AK183" s="987"/>
      <c r="AL183" s="987"/>
      <c r="AM183" s="987"/>
      <c r="AN183" s="987"/>
      <c r="AO183" s="987"/>
      <c r="AQ183" s="987"/>
      <c r="AR183" s="987"/>
      <c r="AS183" s="987"/>
      <c r="AT183" s="987"/>
      <c r="AU183" s="987"/>
      <c r="AV183" s="987"/>
      <c r="AW183" s="987"/>
      <c r="AX183" s="987"/>
      <c r="AY183" s="987"/>
      <c r="AZ183" s="987"/>
      <c r="BA183" s="987"/>
      <c r="BB183" s="987"/>
      <c r="BC183" s="987"/>
      <c r="BD183" s="987"/>
      <c r="BE183" s="987"/>
      <c r="BF183" s="987"/>
      <c r="BG183" s="987"/>
      <c r="BH183" s="987"/>
      <c r="BI183" s="987"/>
      <c r="BJ183" s="987"/>
      <c r="BK183" s="987"/>
      <c r="BL183" s="987"/>
      <c r="BM183" s="987"/>
      <c r="BN183" s="987"/>
      <c r="BO183" s="987"/>
      <c r="BP183" s="987"/>
      <c r="BQ183" s="987"/>
      <c r="BR183" s="987"/>
      <c r="BS183" s="987"/>
      <c r="BT183" s="987"/>
      <c r="BU183" s="987"/>
      <c r="BV183" s="987"/>
      <c r="BW183" s="987"/>
      <c r="BX183" s="987"/>
      <c r="BY183" s="987"/>
      <c r="BZ183" s="987"/>
      <c r="CA183" s="987"/>
      <c r="CB183" s="987"/>
      <c r="CC183" s="987"/>
      <c r="CD183" s="987"/>
      <c r="CE183" s="987"/>
      <c r="CF183" s="987"/>
      <c r="CG183" s="987"/>
      <c r="CH183" s="987"/>
      <c r="CI183" s="987"/>
      <c r="CJ183" s="987"/>
      <c r="CK183" s="987"/>
      <c r="CL183" s="987"/>
      <c r="CM183" s="987"/>
      <c r="CN183" s="987"/>
      <c r="IJ183" s="987"/>
      <c r="IK183" s="987"/>
      <c r="IL183" s="987"/>
      <c r="IM183" s="987"/>
      <c r="IN183" s="987"/>
      <c r="IO183" s="987"/>
      <c r="IP183" s="987"/>
      <c r="IQ183" s="987"/>
      <c r="IR183" s="987"/>
      <c r="IS183" s="987"/>
      <c r="IT183" s="987"/>
      <c r="IU183" s="987"/>
      <c r="IV183" s="987"/>
      <c r="IW183" s="987"/>
      <c r="IX183" s="987"/>
      <c r="IY183" s="987"/>
      <c r="JM183" s="987"/>
      <c r="JN183" s="987"/>
      <c r="KB183" s="987"/>
      <c r="KC183" s="987"/>
    </row>
    <row r="184" spans="34:289">
      <c r="AH184" s="987"/>
      <c r="AI184" s="987"/>
      <c r="AJ184" s="987"/>
      <c r="AK184" s="987"/>
      <c r="AL184" s="987"/>
      <c r="AM184" s="987"/>
      <c r="AN184" s="987"/>
      <c r="AO184" s="987"/>
      <c r="AQ184" s="987"/>
      <c r="AR184" s="987"/>
      <c r="AS184" s="987"/>
      <c r="AT184" s="987"/>
      <c r="AU184" s="987"/>
      <c r="AV184" s="987"/>
      <c r="AW184" s="987"/>
      <c r="AX184" s="987"/>
      <c r="AY184" s="987"/>
      <c r="AZ184" s="987"/>
      <c r="BA184" s="987"/>
      <c r="BB184" s="987"/>
      <c r="BC184" s="987"/>
      <c r="BD184" s="987"/>
      <c r="BE184" s="987"/>
      <c r="BF184" s="987"/>
      <c r="BG184" s="987"/>
      <c r="BH184" s="987"/>
      <c r="BI184" s="987"/>
      <c r="BJ184" s="987"/>
      <c r="BK184" s="987"/>
      <c r="BL184" s="987"/>
      <c r="BM184" s="987"/>
      <c r="BN184" s="987"/>
      <c r="BO184" s="987"/>
      <c r="BP184" s="987"/>
      <c r="BQ184" s="987"/>
      <c r="BR184" s="987"/>
      <c r="BS184" s="987"/>
      <c r="BT184" s="987"/>
      <c r="BU184" s="987"/>
      <c r="BV184" s="987"/>
      <c r="BW184" s="987"/>
      <c r="BX184" s="987"/>
      <c r="BY184" s="987"/>
      <c r="BZ184" s="987"/>
      <c r="CA184" s="987"/>
      <c r="CB184" s="987"/>
      <c r="CC184" s="987"/>
      <c r="CD184" s="987"/>
      <c r="CE184" s="987"/>
      <c r="CF184" s="987"/>
      <c r="CG184" s="987"/>
      <c r="CH184" s="987"/>
      <c r="CI184" s="987"/>
      <c r="CJ184" s="987"/>
      <c r="CK184" s="987"/>
      <c r="CL184" s="987"/>
      <c r="CM184" s="987"/>
      <c r="CN184" s="987"/>
      <c r="IJ184" s="987"/>
      <c r="IK184" s="987"/>
      <c r="IL184" s="987"/>
      <c r="IM184" s="987"/>
      <c r="IN184" s="987"/>
      <c r="IO184" s="987"/>
      <c r="IP184" s="987"/>
      <c r="IQ184" s="987"/>
      <c r="IR184" s="987"/>
      <c r="IS184" s="987"/>
      <c r="IT184" s="987"/>
      <c r="IU184" s="987"/>
      <c r="IV184" s="987"/>
      <c r="IW184" s="987"/>
      <c r="IX184" s="987"/>
      <c r="IY184" s="987"/>
      <c r="JM184" s="987"/>
      <c r="JN184" s="987"/>
      <c r="KB184" s="987"/>
      <c r="KC184" s="987"/>
    </row>
    <row r="185" spans="34:289">
      <c r="AH185" s="987"/>
      <c r="AI185" s="987"/>
      <c r="AJ185" s="987"/>
      <c r="AK185" s="987"/>
      <c r="AL185" s="987"/>
      <c r="AM185" s="987"/>
      <c r="AN185" s="987"/>
      <c r="AO185" s="987"/>
      <c r="AQ185" s="987"/>
      <c r="AR185" s="987"/>
      <c r="AS185" s="987"/>
      <c r="AT185" s="987"/>
      <c r="AU185" s="987"/>
      <c r="AV185" s="987"/>
      <c r="AW185" s="987"/>
      <c r="AX185" s="987"/>
      <c r="AY185" s="987"/>
      <c r="AZ185" s="987"/>
      <c r="BA185" s="987"/>
      <c r="BB185" s="987"/>
      <c r="BC185" s="987"/>
      <c r="BD185" s="987"/>
      <c r="BE185" s="987"/>
      <c r="BF185" s="987"/>
      <c r="BG185" s="987"/>
      <c r="BH185" s="987"/>
      <c r="BI185" s="987"/>
      <c r="BJ185" s="987"/>
      <c r="BK185" s="987"/>
      <c r="BL185" s="987"/>
      <c r="BM185" s="987"/>
      <c r="BN185" s="987"/>
      <c r="BO185" s="987"/>
      <c r="BP185" s="987"/>
      <c r="BQ185" s="987"/>
      <c r="BR185" s="987"/>
      <c r="BS185" s="987"/>
      <c r="BT185" s="987"/>
      <c r="BU185" s="987"/>
      <c r="BV185" s="987"/>
      <c r="BW185" s="987"/>
      <c r="BX185" s="987"/>
      <c r="BY185" s="987"/>
      <c r="BZ185" s="987"/>
      <c r="CA185" s="987"/>
      <c r="CB185" s="987"/>
      <c r="CC185" s="987"/>
      <c r="CD185" s="987"/>
      <c r="CE185" s="987"/>
      <c r="CF185" s="987"/>
      <c r="CG185" s="987"/>
      <c r="CH185" s="987"/>
      <c r="CI185" s="987"/>
      <c r="CJ185" s="987"/>
      <c r="CK185" s="987"/>
      <c r="CL185" s="987"/>
      <c r="CM185" s="987"/>
      <c r="CN185" s="987"/>
      <c r="IJ185" s="987"/>
      <c r="IK185" s="987"/>
      <c r="IL185" s="987"/>
      <c r="IM185" s="987"/>
      <c r="IN185" s="987"/>
      <c r="IO185" s="987"/>
      <c r="IP185" s="987"/>
      <c r="IQ185" s="987"/>
      <c r="IR185" s="987"/>
      <c r="IS185" s="987"/>
      <c r="IT185" s="987"/>
      <c r="IU185" s="987"/>
      <c r="IV185" s="987"/>
      <c r="IW185" s="987"/>
      <c r="IX185" s="987"/>
      <c r="IY185" s="987"/>
      <c r="JM185" s="987"/>
      <c r="JN185" s="987"/>
      <c r="KB185" s="987"/>
      <c r="KC185" s="987"/>
    </row>
    <row r="186" spans="34:289">
      <c r="AH186" s="987"/>
      <c r="AI186" s="987"/>
      <c r="AJ186" s="987"/>
      <c r="AK186" s="987"/>
      <c r="AL186" s="987"/>
      <c r="AM186" s="987"/>
      <c r="AN186" s="987"/>
      <c r="AO186" s="987"/>
      <c r="AQ186" s="987"/>
      <c r="AR186" s="987"/>
      <c r="AS186" s="987"/>
      <c r="AT186" s="987"/>
      <c r="AU186" s="987"/>
      <c r="AV186" s="987"/>
      <c r="AW186" s="987"/>
      <c r="AX186" s="987"/>
      <c r="AY186" s="987"/>
      <c r="AZ186" s="987"/>
      <c r="BA186" s="987"/>
      <c r="BB186" s="987"/>
      <c r="BC186" s="987"/>
      <c r="BD186" s="987"/>
      <c r="BE186" s="987"/>
      <c r="BF186" s="987"/>
      <c r="BG186" s="987"/>
      <c r="BH186" s="987"/>
      <c r="BI186" s="987"/>
      <c r="BJ186" s="987"/>
      <c r="BK186" s="987"/>
      <c r="BL186" s="987"/>
      <c r="BM186" s="987"/>
      <c r="BN186" s="987"/>
      <c r="BO186" s="987"/>
      <c r="BP186" s="987"/>
      <c r="BQ186" s="987"/>
      <c r="BR186" s="987"/>
      <c r="BS186" s="987"/>
      <c r="BT186" s="987"/>
      <c r="BU186" s="987"/>
      <c r="BV186" s="987"/>
      <c r="BW186" s="987"/>
      <c r="BX186" s="987"/>
      <c r="BY186" s="987"/>
      <c r="BZ186" s="987"/>
      <c r="CA186" s="987"/>
      <c r="CB186" s="987"/>
      <c r="CC186" s="987"/>
      <c r="CD186" s="987"/>
      <c r="CE186" s="987"/>
      <c r="CF186" s="987"/>
      <c r="CG186" s="987"/>
      <c r="CH186" s="987"/>
      <c r="CI186" s="987"/>
      <c r="CJ186" s="987"/>
      <c r="CK186" s="987"/>
      <c r="CL186" s="987"/>
      <c r="CM186" s="987"/>
      <c r="CN186" s="987"/>
      <c r="IJ186" s="987"/>
      <c r="IK186" s="987"/>
      <c r="IL186" s="987"/>
      <c r="IM186" s="987"/>
      <c r="IN186" s="987"/>
      <c r="IO186" s="987"/>
      <c r="IP186" s="987"/>
      <c r="IQ186" s="987"/>
      <c r="IR186" s="987"/>
      <c r="IS186" s="987"/>
      <c r="IT186" s="987"/>
      <c r="IU186" s="987"/>
      <c r="IV186" s="987"/>
      <c r="IW186" s="987"/>
      <c r="IX186" s="987"/>
      <c r="IY186" s="987"/>
      <c r="JM186" s="987"/>
      <c r="JN186" s="987"/>
      <c r="KB186" s="987"/>
      <c r="KC186" s="987"/>
    </row>
    <row r="187" spans="34:289">
      <c r="AH187" s="1046"/>
      <c r="AI187" s="1046"/>
      <c r="AJ187" s="1046"/>
      <c r="AK187" s="1046"/>
      <c r="AL187" s="1046"/>
      <c r="AM187" s="1046"/>
      <c r="AN187" s="1046"/>
      <c r="AO187" s="1046"/>
      <c r="AQ187" s="1046"/>
      <c r="AR187" s="1046"/>
      <c r="AS187" s="1046"/>
      <c r="AT187" s="1046"/>
      <c r="AU187" s="1046"/>
      <c r="AV187" s="1046"/>
      <c r="AW187" s="1046"/>
      <c r="AX187" s="1046"/>
      <c r="AY187" s="1046"/>
      <c r="AZ187" s="1046"/>
      <c r="BA187" s="1046"/>
      <c r="BB187" s="1046"/>
      <c r="BC187" s="1046"/>
      <c r="BD187" s="1046"/>
      <c r="BE187" s="1046"/>
      <c r="BF187" s="1046"/>
      <c r="BG187" s="1046"/>
      <c r="BH187" s="1046"/>
      <c r="BI187" s="1046"/>
      <c r="BJ187" s="1046"/>
      <c r="BK187" s="1046"/>
      <c r="BL187" s="1046"/>
      <c r="BM187" s="1046"/>
      <c r="BN187" s="1046"/>
      <c r="BO187" s="1046"/>
      <c r="BP187" s="1046"/>
      <c r="BQ187" s="1046"/>
      <c r="BR187" s="1046"/>
      <c r="BS187" s="1046"/>
      <c r="BT187" s="1046"/>
      <c r="BU187" s="1046"/>
      <c r="BV187" s="1046"/>
      <c r="BW187" s="1046"/>
      <c r="BX187" s="1046"/>
      <c r="BY187" s="1046"/>
      <c r="BZ187" s="1046"/>
      <c r="CA187" s="1046"/>
      <c r="CB187" s="1046"/>
      <c r="CC187" s="1046"/>
      <c r="CD187" s="1046"/>
      <c r="CE187" s="1046"/>
      <c r="CF187" s="1046"/>
      <c r="CG187" s="1046"/>
      <c r="CH187" s="1046"/>
      <c r="CI187" s="1046"/>
      <c r="CJ187" s="1046"/>
      <c r="CK187" s="1046"/>
      <c r="CL187" s="1046"/>
      <c r="CM187" s="1046"/>
      <c r="CN187" s="1046"/>
      <c r="IJ187" s="1046"/>
      <c r="IK187" s="1046"/>
      <c r="IL187" s="1046"/>
      <c r="IM187" s="1046"/>
      <c r="IN187" s="1046"/>
      <c r="IO187" s="1046"/>
      <c r="IP187" s="1046"/>
      <c r="IQ187" s="1046"/>
      <c r="IR187" s="1046"/>
      <c r="IS187" s="1046"/>
      <c r="IT187" s="1046"/>
      <c r="IU187" s="1046"/>
      <c r="IV187" s="1046"/>
      <c r="IW187" s="1046"/>
      <c r="IX187" s="1046"/>
      <c r="IY187" s="1046"/>
      <c r="JM187" s="1046"/>
      <c r="JN187" s="1046"/>
      <c r="KB187" s="1046"/>
      <c r="KC187" s="1046"/>
    </row>
    <row r="192" spans="34:289">
      <c r="AI192" s="1047" t="s">
        <v>999</v>
      </c>
      <c r="AJ192" s="1048" t="e">
        <f>SUMIF(#REF!,"EL-01",#REF!)</f>
        <v>#REF!</v>
      </c>
      <c r="AR192" s="1047" t="s">
        <v>999</v>
      </c>
      <c r="AS192" s="1048">
        <f>SUMIF(G9:G186,"EL-01",I9:I187)</f>
        <v>0</v>
      </c>
      <c r="IK192" s="1047" t="s">
        <v>999</v>
      </c>
      <c r="IL192" s="1048">
        <f>SUMIF(FV9:FV186,"EL-01",FX9:FX186)</f>
        <v>0</v>
      </c>
    </row>
    <row r="193" spans="35:246">
      <c r="AI193" s="1047" t="s">
        <v>1000</v>
      </c>
      <c r="AJ193" s="1048" t="e">
        <f>SUMIF(#REF!,"EL-02",#REF!)</f>
        <v>#REF!</v>
      </c>
      <c r="AR193" s="1047" t="s">
        <v>1000</v>
      </c>
      <c r="AS193" s="1048">
        <f>SUMIF(G9:G186,"EL-02",I9:I187)</f>
        <v>0</v>
      </c>
      <c r="IK193" s="1047" t="s">
        <v>1000</v>
      </c>
      <c r="IL193" s="1048">
        <f>SUMIF(FV9:FV186,"EL-02",FX9:FX186)</f>
        <v>0</v>
      </c>
    </row>
    <row r="194" spans="35:246">
      <c r="AI194" s="1047" t="s">
        <v>1001</v>
      </c>
      <c r="AJ194" s="1048" t="e">
        <f>SUMIF(#REF!,"EL-03",#REF!)</f>
        <v>#REF!</v>
      </c>
      <c r="AR194" s="1047" t="s">
        <v>1001</v>
      </c>
      <c r="AS194" s="1048">
        <f>SUMIF(G9:G186,"EL-03",I9:I187)</f>
        <v>0</v>
      </c>
      <c r="IK194" s="1047" t="s">
        <v>1001</v>
      </c>
      <c r="IL194" s="1048">
        <f>SUMIF(FV9:FV186,"EL-03",FX9:FX186)</f>
        <v>0</v>
      </c>
    </row>
    <row r="195" spans="35:246">
      <c r="AI195" s="1047" t="s">
        <v>1002</v>
      </c>
      <c r="AJ195" s="1048" t="e">
        <f>SUMIF(#REF!,"EL-04",#REF!)</f>
        <v>#REF!</v>
      </c>
      <c r="AR195" s="1047" t="s">
        <v>1002</v>
      </c>
      <c r="AS195" s="1048">
        <f>SUMIF(G9:G186,"EL-04",I9:I187)</f>
        <v>0</v>
      </c>
      <c r="IK195" s="1047" t="s">
        <v>1002</v>
      </c>
      <c r="IL195" s="1048">
        <f>SUMIF(FV9:FV186,"EL-04",FX9:FX186)</f>
        <v>0</v>
      </c>
    </row>
    <row r="196" spans="35:246">
      <c r="AI196" s="1047" t="s">
        <v>1003</v>
      </c>
      <c r="AJ196" s="1048" t="e">
        <f>SUMIF(#REF!,"EL-05",#REF!)</f>
        <v>#REF!</v>
      </c>
      <c r="AR196" s="1047" t="s">
        <v>1003</v>
      </c>
      <c r="AS196" s="1048">
        <f>SUMIF(G9:G186,"EL-05",I9:I187)</f>
        <v>0</v>
      </c>
      <c r="IK196" s="1047" t="s">
        <v>1003</v>
      </c>
      <c r="IL196" s="1048">
        <f>SUMIF(FV9:FV186,"EL-05",FX9:FX186)</f>
        <v>0</v>
      </c>
    </row>
    <row r="197" spans="35:246">
      <c r="AI197" s="1047" t="s">
        <v>1004</v>
      </c>
      <c r="AJ197" s="1048" t="e">
        <f>SUMIF(#REF!,"EL-06",#REF!)</f>
        <v>#REF!</v>
      </c>
      <c r="AR197" s="1047" t="s">
        <v>1004</v>
      </c>
      <c r="AS197" s="1048">
        <f>SUMIF(G9:G186,"EL-06",I9:I187)</f>
        <v>0</v>
      </c>
      <c r="IK197" s="1047" t="s">
        <v>1004</v>
      </c>
      <c r="IL197" s="1048">
        <f>SUMIF(FV9:FV186,"EL-06",FX9:FX186)</f>
        <v>0</v>
      </c>
    </row>
    <row r="198" spans="35:246">
      <c r="AI198" s="1047" t="s">
        <v>1005</v>
      </c>
      <c r="AJ198" s="1048" t="e">
        <f>SUMIF(#REF!,"EL-07",#REF!)</f>
        <v>#REF!</v>
      </c>
      <c r="AR198" s="1047" t="s">
        <v>1005</v>
      </c>
      <c r="AS198" s="1048">
        <f>SUMIF(G9:G186,"EL-07",I9:I187)</f>
        <v>0</v>
      </c>
      <c r="IK198" s="1047" t="s">
        <v>1005</v>
      </c>
      <c r="IL198" s="1048">
        <f>SUMIF(FV9:FV186,"EL-07",FX9:FX186)</f>
        <v>0</v>
      </c>
    </row>
  </sheetData>
  <autoFilter ref="B9:KP55" xr:uid="{B8F77542-FFA9-4EED-B8E7-BED3BEF35058}">
    <sortState xmlns:xlrd2="http://schemas.microsoft.com/office/spreadsheetml/2017/richdata2" ref="B10:KP55">
      <sortCondition ref="B9:B55"/>
    </sortState>
  </autoFilter>
  <mergeCells count="334">
    <mergeCell ref="IJ2:IW2"/>
    <mergeCell ref="AH4:AO4"/>
    <mergeCell ref="AQ4:BD4"/>
    <mergeCell ref="BF4:BS4"/>
    <mergeCell ref="BU4:CF4"/>
    <mergeCell ref="C2:AC2"/>
    <mergeCell ref="AQ2:BD2"/>
    <mergeCell ref="BF2:BR2"/>
    <mergeCell ref="BU2:CB2"/>
    <mergeCell ref="CH2:CN2"/>
    <mergeCell ref="IY4:JL4"/>
    <mergeCell ref="JN4:KA4"/>
    <mergeCell ref="KC4:KP4"/>
    <mergeCell ref="C5:E8"/>
    <mergeCell ref="F5:H8"/>
    <mergeCell ref="I5:I8"/>
    <mergeCell ref="K5:N6"/>
    <mergeCell ref="O5:O8"/>
    <mergeCell ref="P5:P8"/>
    <mergeCell ref="Q5:Q8"/>
    <mergeCell ref="FM4:FZ4"/>
    <mergeCell ref="GB4:GO4"/>
    <mergeCell ref="GQ4:HD4"/>
    <mergeCell ref="HF4:HS4"/>
    <mergeCell ref="HU4:IH4"/>
    <mergeCell ref="IJ4:IW4"/>
    <mergeCell ref="CH4:CN4"/>
    <mergeCell ref="CP4:DC4"/>
    <mergeCell ref="DE4:DR4"/>
    <mergeCell ref="DT4:EG4"/>
    <mergeCell ref="EI4:EV4"/>
    <mergeCell ref="EX4:FK4"/>
    <mergeCell ref="C3:Q4"/>
    <mergeCell ref="R3:AC4"/>
    <mergeCell ref="AB5:AB8"/>
    <mergeCell ref="AC5:AC8"/>
    <mergeCell ref="AH5:AH6"/>
    <mergeCell ref="AI5:AI6"/>
    <mergeCell ref="AJ5:AJ6"/>
    <mergeCell ref="AK5:AK6"/>
    <mergeCell ref="R5:T8"/>
    <mergeCell ref="U5:W8"/>
    <mergeCell ref="X5:X8"/>
    <mergeCell ref="Y5:Y8"/>
    <mergeCell ref="Z5:Z8"/>
    <mergeCell ref="AA5:AA8"/>
    <mergeCell ref="AS5:AS6"/>
    <mergeCell ref="AT5:AT6"/>
    <mergeCell ref="AU5:AU6"/>
    <mergeCell ref="AV5:AV6"/>
    <mergeCell ref="AW5:AW6"/>
    <mergeCell ref="AX5:AX6"/>
    <mergeCell ref="AL5:AL6"/>
    <mergeCell ref="AM5:AM6"/>
    <mergeCell ref="AN5:AN6"/>
    <mergeCell ref="AO5:AO6"/>
    <mergeCell ref="AQ5:AQ6"/>
    <mergeCell ref="AR5:AR6"/>
    <mergeCell ref="BF5:BF6"/>
    <mergeCell ref="BG5:BG6"/>
    <mergeCell ref="BH5:BH6"/>
    <mergeCell ref="BI5:BI6"/>
    <mergeCell ref="BJ5:BJ6"/>
    <mergeCell ref="BK5:BK6"/>
    <mergeCell ref="AY5:AY6"/>
    <mergeCell ref="AZ5:AZ6"/>
    <mergeCell ref="BA5:BA6"/>
    <mergeCell ref="BB5:BB6"/>
    <mergeCell ref="BC5:BC6"/>
    <mergeCell ref="BD5:BD6"/>
    <mergeCell ref="BR5:BR6"/>
    <mergeCell ref="BS5:BS6"/>
    <mergeCell ref="BU5:BU6"/>
    <mergeCell ref="BV5:BV6"/>
    <mergeCell ref="BW5:BW6"/>
    <mergeCell ref="BX5:BX6"/>
    <mergeCell ref="BL5:BL6"/>
    <mergeCell ref="BM5:BM6"/>
    <mergeCell ref="BN5:BN6"/>
    <mergeCell ref="BO5:BO6"/>
    <mergeCell ref="BP5:BP6"/>
    <mergeCell ref="BQ5:BQ6"/>
    <mergeCell ref="CE5:CE6"/>
    <mergeCell ref="CF5:CF6"/>
    <mergeCell ref="CH5:CH6"/>
    <mergeCell ref="CI5:CI6"/>
    <mergeCell ref="CJ5:CJ6"/>
    <mergeCell ref="CK5:CK6"/>
    <mergeCell ref="BY5:BY6"/>
    <mergeCell ref="BZ5:BZ6"/>
    <mergeCell ref="CA5:CA6"/>
    <mergeCell ref="CB5:CB6"/>
    <mergeCell ref="CC5:CC6"/>
    <mergeCell ref="CD5:CD6"/>
    <mergeCell ref="CS5:CS6"/>
    <mergeCell ref="CT5:CT6"/>
    <mergeCell ref="CU5:CU6"/>
    <mergeCell ref="CV5:CV6"/>
    <mergeCell ref="CW5:CW6"/>
    <mergeCell ref="CX5:CX6"/>
    <mergeCell ref="CL5:CL6"/>
    <mergeCell ref="CM5:CM6"/>
    <mergeCell ref="CN5:CN6"/>
    <mergeCell ref="CP5:CP6"/>
    <mergeCell ref="CQ5:CQ6"/>
    <mergeCell ref="CR5:CR6"/>
    <mergeCell ref="DF5:DF6"/>
    <mergeCell ref="DG5:DG6"/>
    <mergeCell ref="DH5:DH6"/>
    <mergeCell ref="DI5:DI6"/>
    <mergeCell ref="DJ5:DJ6"/>
    <mergeCell ref="DK5:DK6"/>
    <mergeCell ref="CY5:CY6"/>
    <mergeCell ref="CZ5:CZ6"/>
    <mergeCell ref="DA5:DA6"/>
    <mergeCell ref="DB5:DB6"/>
    <mergeCell ref="DC5:DC6"/>
    <mergeCell ref="DE5:DE6"/>
    <mergeCell ref="DR5:DR6"/>
    <mergeCell ref="DT5:DT6"/>
    <mergeCell ref="DU5:DU6"/>
    <mergeCell ref="DV5:DV6"/>
    <mergeCell ref="DW5:DW6"/>
    <mergeCell ref="DX5:DX6"/>
    <mergeCell ref="DL5:DL6"/>
    <mergeCell ref="DM5:DM6"/>
    <mergeCell ref="DN5:DN6"/>
    <mergeCell ref="DO5:DO6"/>
    <mergeCell ref="DP5:DP6"/>
    <mergeCell ref="DQ5:DQ6"/>
    <mergeCell ref="EE5:EE6"/>
    <mergeCell ref="EF5:EF6"/>
    <mergeCell ref="EG5:EG6"/>
    <mergeCell ref="EI5:EI6"/>
    <mergeCell ref="EJ5:EJ6"/>
    <mergeCell ref="EK5:EK6"/>
    <mergeCell ref="DY5:DY6"/>
    <mergeCell ref="DZ5:DZ6"/>
    <mergeCell ref="EA5:EA6"/>
    <mergeCell ref="EB5:EB6"/>
    <mergeCell ref="EC5:EC6"/>
    <mergeCell ref="ED5:ED6"/>
    <mergeCell ref="ER5:ER6"/>
    <mergeCell ref="ES5:ES6"/>
    <mergeCell ref="ET5:ET6"/>
    <mergeCell ref="EU5:EU6"/>
    <mergeCell ref="EV5:EV6"/>
    <mergeCell ref="EX5:EX6"/>
    <mergeCell ref="EL5:EL6"/>
    <mergeCell ref="EM5:EM6"/>
    <mergeCell ref="EN5:EN6"/>
    <mergeCell ref="EO5:EO6"/>
    <mergeCell ref="EP5:EP6"/>
    <mergeCell ref="EQ5:EQ6"/>
    <mergeCell ref="FE5:FE6"/>
    <mergeCell ref="FF5:FF6"/>
    <mergeCell ref="FG5:FG6"/>
    <mergeCell ref="FH5:FH6"/>
    <mergeCell ref="FI5:FI6"/>
    <mergeCell ref="FJ5:FJ6"/>
    <mergeCell ref="EY5:EY6"/>
    <mergeCell ref="EZ5:EZ6"/>
    <mergeCell ref="FA5:FA6"/>
    <mergeCell ref="FB5:FB6"/>
    <mergeCell ref="FC5:FC6"/>
    <mergeCell ref="FD5:FD6"/>
    <mergeCell ref="FR5:FR6"/>
    <mergeCell ref="FS5:FS6"/>
    <mergeCell ref="FT5:FT6"/>
    <mergeCell ref="FU5:FU6"/>
    <mergeCell ref="FV5:FV6"/>
    <mergeCell ref="FW5:FW6"/>
    <mergeCell ref="FK5:FK6"/>
    <mergeCell ref="FM5:FM6"/>
    <mergeCell ref="FN5:FN6"/>
    <mergeCell ref="FO5:FO6"/>
    <mergeCell ref="FP5:FP6"/>
    <mergeCell ref="FQ5:FQ6"/>
    <mergeCell ref="GE5:GE6"/>
    <mergeCell ref="GF5:GF6"/>
    <mergeCell ref="GG5:GG6"/>
    <mergeCell ref="GH5:GH6"/>
    <mergeCell ref="GI5:GI6"/>
    <mergeCell ref="GJ5:GJ6"/>
    <mergeCell ref="FX5:FX6"/>
    <mergeCell ref="FY5:FY6"/>
    <mergeCell ref="FZ5:FZ6"/>
    <mergeCell ref="GB5:GB6"/>
    <mergeCell ref="GC5:GC6"/>
    <mergeCell ref="GD5:GD6"/>
    <mergeCell ref="GR5:GR6"/>
    <mergeCell ref="GS5:GS6"/>
    <mergeCell ref="GT5:GT6"/>
    <mergeCell ref="GU5:GU6"/>
    <mergeCell ref="GV5:GV6"/>
    <mergeCell ref="GW5:GW6"/>
    <mergeCell ref="GK5:GK6"/>
    <mergeCell ref="GL5:GL6"/>
    <mergeCell ref="GM5:GM6"/>
    <mergeCell ref="GN5:GN6"/>
    <mergeCell ref="GO5:GO6"/>
    <mergeCell ref="GQ5:GQ6"/>
    <mergeCell ref="HD5:HD6"/>
    <mergeCell ref="HF5:HF6"/>
    <mergeCell ref="HG5:HG6"/>
    <mergeCell ref="HH5:HH6"/>
    <mergeCell ref="HI5:HI6"/>
    <mergeCell ref="HJ5:HJ6"/>
    <mergeCell ref="GX5:GX6"/>
    <mergeCell ref="GY5:GY6"/>
    <mergeCell ref="GZ5:GZ6"/>
    <mergeCell ref="HA5:HA6"/>
    <mergeCell ref="HB5:HB6"/>
    <mergeCell ref="HC5:HC6"/>
    <mergeCell ref="HQ5:HQ6"/>
    <mergeCell ref="HR5:HR6"/>
    <mergeCell ref="HS5:HS6"/>
    <mergeCell ref="HU5:HU6"/>
    <mergeCell ref="HV5:HV6"/>
    <mergeCell ref="HW5:HW6"/>
    <mergeCell ref="HK5:HK6"/>
    <mergeCell ref="HL5:HL6"/>
    <mergeCell ref="HM5:HM6"/>
    <mergeCell ref="HN5:HN6"/>
    <mergeCell ref="HO5:HO6"/>
    <mergeCell ref="HP5:HP6"/>
    <mergeCell ref="ID5:ID6"/>
    <mergeCell ref="IE5:IE6"/>
    <mergeCell ref="IF5:IF6"/>
    <mergeCell ref="IG5:IG6"/>
    <mergeCell ref="IH5:IH6"/>
    <mergeCell ref="IJ5:IJ6"/>
    <mergeCell ref="HX5:HX6"/>
    <mergeCell ref="HY5:HY6"/>
    <mergeCell ref="HZ5:HZ6"/>
    <mergeCell ref="IA5:IA6"/>
    <mergeCell ref="IB5:IB6"/>
    <mergeCell ref="IC5:IC6"/>
    <mergeCell ref="IQ5:IQ6"/>
    <mergeCell ref="IR5:IR6"/>
    <mergeCell ref="IS5:IS6"/>
    <mergeCell ref="IT5:IT6"/>
    <mergeCell ref="IU5:IU6"/>
    <mergeCell ref="IV5:IV6"/>
    <mergeCell ref="IK5:IK6"/>
    <mergeCell ref="IL5:IL6"/>
    <mergeCell ref="IM5:IM6"/>
    <mergeCell ref="IN5:IN6"/>
    <mergeCell ref="IO5:IO6"/>
    <mergeCell ref="IP5:IP6"/>
    <mergeCell ref="JD5:JD6"/>
    <mergeCell ref="JE5:JE6"/>
    <mergeCell ref="JF5:JF6"/>
    <mergeCell ref="JG5:JG6"/>
    <mergeCell ref="JH5:JH6"/>
    <mergeCell ref="JI5:JI6"/>
    <mergeCell ref="IW5:IW6"/>
    <mergeCell ref="IY5:IY6"/>
    <mergeCell ref="IZ5:IZ6"/>
    <mergeCell ref="JA5:JA6"/>
    <mergeCell ref="JB5:JB6"/>
    <mergeCell ref="JC5:JC6"/>
    <mergeCell ref="JQ5:JQ6"/>
    <mergeCell ref="JR5:JR6"/>
    <mergeCell ref="JS5:JS6"/>
    <mergeCell ref="JT5:JT6"/>
    <mergeCell ref="JU5:JU6"/>
    <mergeCell ref="JV5:JV6"/>
    <mergeCell ref="JJ5:JJ6"/>
    <mergeCell ref="JK5:JK6"/>
    <mergeCell ref="JL5:JL6"/>
    <mergeCell ref="JN5:JN6"/>
    <mergeCell ref="JO5:JO6"/>
    <mergeCell ref="JP5:JP6"/>
    <mergeCell ref="KP5:KP6"/>
    <mergeCell ref="J7:J8"/>
    <mergeCell ref="K7:K8"/>
    <mergeCell ref="L7:L8"/>
    <mergeCell ref="M7:M8"/>
    <mergeCell ref="N7:N8"/>
    <mergeCell ref="KJ5:KJ6"/>
    <mergeCell ref="KK5:KK6"/>
    <mergeCell ref="KL5:KL6"/>
    <mergeCell ref="KM5:KM6"/>
    <mergeCell ref="KN5:KN6"/>
    <mergeCell ref="KO5:KO6"/>
    <mergeCell ref="KD5:KD6"/>
    <mergeCell ref="KE5:KE6"/>
    <mergeCell ref="KF5:KF6"/>
    <mergeCell ref="KG5:KG6"/>
    <mergeCell ref="KH5:KH6"/>
    <mergeCell ref="KI5:KI6"/>
    <mergeCell ref="JW5:JW6"/>
    <mergeCell ref="JX5:JX6"/>
    <mergeCell ref="JY5:JY6"/>
    <mergeCell ref="JZ5:JZ6"/>
    <mergeCell ref="KA5:KA6"/>
    <mergeCell ref="KC5:KC6"/>
    <mergeCell ref="KC58:KP58"/>
    <mergeCell ref="J59:J60"/>
    <mergeCell ref="P109:W109"/>
    <mergeCell ref="R111:V111"/>
    <mergeCell ref="R112:V112"/>
    <mergeCell ref="R113:V113"/>
    <mergeCell ref="GQ58:HD58"/>
    <mergeCell ref="HF58:HS58"/>
    <mergeCell ref="HU58:IH58"/>
    <mergeCell ref="IJ58:IW58"/>
    <mergeCell ref="IY58:JL58"/>
    <mergeCell ref="JN58:KA58"/>
    <mergeCell ref="DE58:DR58"/>
    <mergeCell ref="DT58:EG58"/>
    <mergeCell ref="EI58:EV58"/>
    <mergeCell ref="EX58:FK58"/>
    <mergeCell ref="FM58:FZ58"/>
    <mergeCell ref="GB58:GO58"/>
    <mergeCell ref="AH58:AO58"/>
    <mergeCell ref="AQ58:BD58"/>
    <mergeCell ref="BF58:BS58"/>
    <mergeCell ref="BU58:CF58"/>
    <mergeCell ref="CH58:CN58"/>
    <mergeCell ref="CP58:DC58"/>
    <mergeCell ref="R120:V120"/>
    <mergeCell ref="R121:V121"/>
    <mergeCell ref="R122:V122"/>
    <mergeCell ref="R123:V123"/>
    <mergeCell ref="R124:V124"/>
    <mergeCell ref="R125:V125"/>
    <mergeCell ref="R114:V114"/>
    <mergeCell ref="R115:V115"/>
    <mergeCell ref="R116:V116"/>
    <mergeCell ref="R117:V117"/>
    <mergeCell ref="R118:V118"/>
    <mergeCell ref="R119:V119"/>
  </mergeCells>
  <printOptions horizontalCentered="1"/>
  <pageMargins left="0.23622047244094491" right="3.937007874015748E-2" top="0.74803149606299213" bottom="0.74803149606299213" header="0.31496062992125984" footer="0.31496062992125984"/>
  <pageSetup paperSize="9" scale="32" firstPageNumber="0" fitToHeight="0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  <rowBreaks count="1" manualBreakCount="1">
    <brk id="57" min="2" max="27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97ECB-32A3-4C83-AB36-F785311BE579}">
  <sheetPr codeName="Planilha11">
    <tabColor theme="7" tint="0.79998168889431442"/>
    <pageSetUpPr fitToPage="1"/>
  </sheetPr>
  <dimension ref="A1:L235"/>
  <sheetViews>
    <sheetView topLeftCell="A69" zoomScale="115" zoomScaleNormal="115" workbookViewId="0">
      <selection activeCell="O32" sqref="O32:O33"/>
    </sheetView>
  </sheetViews>
  <sheetFormatPr defaultColWidth="9.5703125" defaultRowHeight="15" customHeight="1"/>
  <cols>
    <col min="1" max="1" width="23.42578125" style="1049" bestFit="1" customWidth="1"/>
    <col min="2" max="2" width="8.7109375" style="1049" customWidth="1"/>
    <col min="3" max="3" width="2.140625" style="1049" bestFit="1" customWidth="1"/>
    <col min="4" max="5" width="8.7109375" style="1049" customWidth="1"/>
    <col min="6" max="6" width="2.140625" style="1049" bestFit="1" customWidth="1"/>
    <col min="7" max="7" width="8.7109375" style="1049" customWidth="1"/>
    <col min="8" max="8" width="10.42578125" style="1049" hidden="1" customWidth="1"/>
    <col min="9" max="9" width="13.5703125" style="1049" bestFit="1" customWidth="1"/>
    <col min="10" max="10" width="12.7109375" style="1049" bestFit="1" customWidth="1"/>
    <col min="11" max="11" width="14.5703125" style="1063" bestFit="1" customWidth="1"/>
    <col min="12" max="12" width="12.42578125" style="1049" bestFit="1" customWidth="1"/>
    <col min="13" max="16384" width="9.5703125" style="1049"/>
  </cols>
  <sheetData>
    <row r="1" spans="1:12" ht="15" customHeight="1">
      <c r="A1" s="1931" t="s">
        <v>1006</v>
      </c>
      <c r="B1" s="1931"/>
      <c r="C1" s="1931"/>
      <c r="D1" s="1931"/>
      <c r="E1" s="1931"/>
      <c r="F1" s="1931"/>
      <c r="G1" s="1931"/>
      <c r="H1" s="1931"/>
      <c r="I1" s="1931"/>
      <c r="J1" s="1931"/>
      <c r="K1" s="1931"/>
      <c r="L1" s="1931"/>
    </row>
    <row r="2" spans="1:12" ht="15" customHeight="1">
      <c r="A2" s="1931" t="s">
        <v>1007</v>
      </c>
      <c r="B2" s="1931"/>
      <c r="C2" s="1931"/>
      <c r="D2" s="1931"/>
      <c r="E2" s="1931"/>
      <c r="F2" s="1931"/>
      <c r="G2" s="1931"/>
      <c r="H2" s="1931"/>
      <c r="I2" s="1931"/>
      <c r="J2" s="1931"/>
      <c r="K2" s="1931"/>
      <c r="L2" s="1931"/>
    </row>
    <row r="3" spans="1:12" ht="11.25">
      <c r="A3" s="2116" t="s">
        <v>1008</v>
      </c>
      <c r="B3" s="2118" t="s">
        <v>1009</v>
      </c>
      <c r="C3" s="2119"/>
      <c r="D3" s="2120"/>
      <c r="E3" s="2118" t="s">
        <v>1010</v>
      </c>
      <c r="F3" s="2119"/>
      <c r="G3" s="2120"/>
      <c r="H3" s="2116" t="s">
        <v>560</v>
      </c>
      <c r="I3" s="2116" t="s">
        <v>250</v>
      </c>
      <c r="J3" s="2116" t="s">
        <v>1011</v>
      </c>
      <c r="K3" s="2124" t="s">
        <v>1012</v>
      </c>
      <c r="L3" s="2116" t="s">
        <v>794</v>
      </c>
    </row>
    <row r="4" spans="1:12" s="1050" customFormat="1" ht="11.25">
      <c r="A4" s="2117"/>
      <c r="B4" s="2121"/>
      <c r="C4" s="2122"/>
      <c r="D4" s="2123"/>
      <c r="E4" s="2121"/>
      <c r="F4" s="2122"/>
      <c r="G4" s="2123"/>
      <c r="H4" s="2117"/>
      <c r="I4" s="2117"/>
      <c r="J4" s="2117"/>
      <c r="K4" s="2125"/>
      <c r="L4" s="2117"/>
    </row>
    <row r="5" spans="1:12" s="1050" customFormat="1" ht="15" customHeight="1">
      <c r="A5" s="1051" t="s">
        <v>810</v>
      </c>
      <c r="B5" s="1052" t="s">
        <v>608</v>
      </c>
      <c r="C5" s="1052" t="s">
        <v>605</v>
      </c>
      <c r="D5" s="1052">
        <v>0</v>
      </c>
      <c r="E5" s="1052" t="s">
        <v>627</v>
      </c>
      <c r="F5" s="1052" t="s">
        <v>605</v>
      </c>
      <c r="G5" s="1052">
        <v>10</v>
      </c>
      <c r="H5" s="1053">
        <v>0.1</v>
      </c>
      <c r="I5" s="1054">
        <v>130</v>
      </c>
      <c r="J5" s="1054" t="s">
        <v>1013</v>
      </c>
      <c r="K5" s="1054">
        <v>0.2</v>
      </c>
      <c r="L5" s="1054">
        <v>426.40000000000003</v>
      </c>
    </row>
    <row r="6" spans="1:12" ht="15" customHeight="1">
      <c r="A6" s="1051" t="s">
        <v>817</v>
      </c>
      <c r="B6" s="1052" t="s">
        <v>658</v>
      </c>
      <c r="C6" s="1052" t="s">
        <v>605</v>
      </c>
      <c r="D6" s="1052">
        <v>0</v>
      </c>
      <c r="E6" s="1052" t="s">
        <v>668</v>
      </c>
      <c r="F6" s="1052" t="s">
        <v>605</v>
      </c>
      <c r="G6" s="1052">
        <v>0</v>
      </c>
      <c r="H6" s="1053">
        <v>9.9999999999999992E-2</v>
      </c>
      <c r="I6" s="1054">
        <v>60</v>
      </c>
      <c r="J6" s="1054" t="s">
        <v>1013</v>
      </c>
      <c r="K6" s="1054">
        <v>0.2</v>
      </c>
      <c r="L6" s="1054">
        <v>189.54</v>
      </c>
    </row>
    <row r="7" spans="1:12" ht="15" customHeight="1">
      <c r="A7" s="1051" t="s">
        <v>820</v>
      </c>
      <c r="B7" s="1052" t="s">
        <v>672</v>
      </c>
      <c r="C7" s="1052" t="s">
        <v>605</v>
      </c>
      <c r="D7" s="1052">
        <v>0</v>
      </c>
      <c r="E7" s="1052" t="s">
        <v>672</v>
      </c>
      <c r="F7" s="1052" t="s">
        <v>605</v>
      </c>
      <c r="G7" s="1052">
        <v>10</v>
      </c>
      <c r="H7" s="1053">
        <v>0.1</v>
      </c>
      <c r="I7" s="1054">
        <v>10</v>
      </c>
      <c r="J7" s="1054" t="s">
        <v>1013</v>
      </c>
      <c r="K7" s="1054">
        <v>0.2</v>
      </c>
      <c r="L7" s="1054">
        <v>30.83</v>
      </c>
    </row>
    <row r="8" spans="1:12" ht="15" customHeight="1">
      <c r="A8" s="1055" t="s">
        <v>822</v>
      </c>
      <c r="B8" s="1056" t="s">
        <v>675</v>
      </c>
      <c r="C8" s="1056" t="s">
        <v>605</v>
      </c>
      <c r="D8" s="1056">
        <v>10</v>
      </c>
      <c r="E8" s="1056" t="s">
        <v>701</v>
      </c>
      <c r="F8" s="1056" t="s">
        <v>605</v>
      </c>
      <c r="G8" s="1056">
        <v>10</v>
      </c>
      <c r="H8" s="1057">
        <v>0.10000000000000003</v>
      </c>
      <c r="I8" s="1058">
        <v>180</v>
      </c>
      <c r="J8" s="1058" t="s">
        <v>1013</v>
      </c>
      <c r="K8" s="1058">
        <v>0.2</v>
      </c>
      <c r="L8" s="1058">
        <v>456.40000000000015</v>
      </c>
    </row>
    <row r="9" spans="1:12" ht="15" customHeight="1">
      <c r="A9" s="1055" t="s">
        <v>832</v>
      </c>
      <c r="B9" s="1056" t="s">
        <v>704</v>
      </c>
      <c r="C9" s="1056" t="s">
        <v>605</v>
      </c>
      <c r="D9" s="1056">
        <v>0</v>
      </c>
      <c r="E9" s="1056" t="s">
        <v>716</v>
      </c>
      <c r="F9" s="1056" t="s">
        <v>605</v>
      </c>
      <c r="G9" s="1056">
        <v>10</v>
      </c>
      <c r="H9" s="1057">
        <v>9.9999999999999992E-2</v>
      </c>
      <c r="I9" s="1058">
        <v>90</v>
      </c>
      <c r="J9" s="1058" t="s">
        <v>1013</v>
      </c>
      <c r="K9" s="1058">
        <v>0.2</v>
      </c>
      <c r="L9" s="1058">
        <v>1492.4</v>
      </c>
    </row>
    <row r="10" spans="1:12" ht="15" customHeight="1">
      <c r="A10" s="1051" t="s">
        <v>838</v>
      </c>
      <c r="B10" s="1052" t="s">
        <v>724</v>
      </c>
      <c r="C10" s="1052" t="s">
        <v>605</v>
      </c>
      <c r="D10" s="1052">
        <v>0</v>
      </c>
      <c r="E10" s="1052" t="s">
        <v>724</v>
      </c>
      <c r="F10" s="1052" t="s">
        <v>605</v>
      </c>
      <c r="G10" s="1052">
        <v>10</v>
      </c>
      <c r="H10" s="1053">
        <v>0.1</v>
      </c>
      <c r="I10" s="1054">
        <v>10</v>
      </c>
      <c r="J10" s="1054" t="s">
        <v>1013</v>
      </c>
      <c r="K10" s="1054">
        <v>0.2</v>
      </c>
      <c r="L10" s="1054">
        <v>3084.8</v>
      </c>
    </row>
    <row r="11" spans="1:12" ht="15" customHeight="1">
      <c r="A11" s="1051" t="s">
        <v>843</v>
      </c>
      <c r="B11" s="1052" t="s">
        <v>734</v>
      </c>
      <c r="C11" s="1052" t="s">
        <v>605</v>
      </c>
      <c r="D11" s="1052">
        <v>10</v>
      </c>
      <c r="E11" s="1052" t="s">
        <v>746</v>
      </c>
      <c r="F11" s="1052" t="s">
        <v>605</v>
      </c>
      <c r="G11" s="1052">
        <v>10</v>
      </c>
      <c r="H11" s="1053">
        <v>9.9999999999999992E-2</v>
      </c>
      <c r="I11" s="1054">
        <v>80</v>
      </c>
      <c r="J11" s="1054" t="s">
        <v>1013</v>
      </c>
      <c r="K11" s="1054">
        <v>0.2</v>
      </c>
      <c r="L11" s="1054">
        <v>179.20000000000002</v>
      </c>
    </row>
    <row r="12" spans="1:12" ht="15" customHeight="1">
      <c r="A12" s="1051" t="s">
        <v>848</v>
      </c>
      <c r="B12" s="1052" t="s">
        <v>758</v>
      </c>
      <c r="C12" s="1052" t="s">
        <v>605</v>
      </c>
      <c r="D12" s="1052">
        <v>0</v>
      </c>
      <c r="E12" s="1052" t="s">
        <v>761</v>
      </c>
      <c r="F12" s="1052" t="s">
        <v>605</v>
      </c>
      <c r="G12" s="1052">
        <v>10</v>
      </c>
      <c r="H12" s="1053">
        <v>0.1</v>
      </c>
      <c r="I12" s="1054">
        <v>30</v>
      </c>
      <c r="J12" s="1054" t="s">
        <v>1013</v>
      </c>
      <c r="K12" s="1054">
        <v>0.2</v>
      </c>
      <c r="L12" s="1054">
        <v>76.8</v>
      </c>
    </row>
    <row r="13" spans="1:12" ht="15" hidden="1" customHeight="1">
      <c r="A13" s="1055" t="s">
        <v>1014</v>
      </c>
      <c r="B13" s="1056" t="str">
        <f>IFERROR(INDEX('Modelo 2.0 - Cubação'!$A$7:$A$119,MATCH($A13,'Modelo 2.0 - Cubação'!$BT$7:$BT$119,0)),"")</f>
        <v/>
      </c>
      <c r="C13" s="1056" t="s">
        <v>605</v>
      </c>
      <c r="D13" s="1056" t="str">
        <f>IFERROR(INDEX('Modelo 2.0 - Cubação'!$C$7:$C$119,MATCH($A13,'Modelo 2.0 - Cubação'!$BT$7:$BT$119,0)),"")</f>
        <v/>
      </c>
      <c r="E13" s="1056" t="str">
        <f>IFERROR(INDEX('Modelo 2.0 - Cubação'!$A$7:$A$119,MATCH($A13,'Modelo 2.0 - Cubação'!$BV$7:$BV$119,0)),"")</f>
        <v/>
      </c>
      <c r="F13" s="1056" t="s">
        <v>605</v>
      </c>
      <c r="G13" s="1056" t="str">
        <f>IFERROR(INDEX('Modelo 2.0 - Cubação'!$C$7:$C$119,MATCH($A13,'Modelo 2.0 - Cubação'!$BV$7:$BV$119,0)),"")</f>
        <v/>
      </c>
      <c r="H13" s="1057">
        <f>IFERROR(AVERAGEIFS('Modelo 2.0 - Cubação'!$CO$7:$CO$116,
'Modelo 2.0 - Cubação'!$CP$7:$CP$116,"&gt;="&amp;(INDEX('Modelo 2.0 - Cubação'!$CP$7:$CP$116,MATCH(A13,'Modelo 2.0 - Cubação'!$BT$7:$BT$116,0))),
'Modelo 2.0 - Cubação'!$CP$7:$CP$116,"&lt;="&amp;(INDEX('Modelo 2.0 - Cubação'!$CP$7:$CP$116,MATCH(A13,'Modelo 2.0 - Cubação'!$BV$7:$BV$116,0)))),0)</f>
        <v>0</v>
      </c>
      <c r="I13" s="1058" t="str">
        <f t="shared" ref="I13:I24" si="0">IFERROR((E13*20+G13)-(B13*20+D13),"")</f>
        <v/>
      </c>
      <c r="J13" s="1058" t="s">
        <v>1013</v>
      </c>
      <c r="K13" s="1058">
        <v>0.2</v>
      </c>
      <c r="L13" s="1058" t="str">
        <f>IFERROR(INDEX('Modelo 2.0 - Cubação'!$BY$7:$BY$119,MATCH($A13,'Modelo 2.0 - Cubação'!$BV$7:$BV$119,0)),"")</f>
        <v/>
      </c>
    </row>
    <row r="14" spans="1:12" ht="15" hidden="1" customHeight="1">
      <c r="A14" s="1055" t="s">
        <v>1015</v>
      </c>
      <c r="B14" s="1056" t="str">
        <f>IFERROR(INDEX('Modelo 2.0 - Cubação'!$A$7:$A$119,MATCH($A14,'Modelo 2.0 - Cubação'!$BT$7:$BT$119,0)),"")</f>
        <v/>
      </c>
      <c r="C14" s="1056" t="s">
        <v>605</v>
      </c>
      <c r="D14" s="1056" t="str">
        <f>IFERROR(INDEX('Modelo 2.0 - Cubação'!$C$7:$C$119,MATCH($A14,'Modelo 2.0 - Cubação'!$BT$7:$BT$119,0)),"")</f>
        <v/>
      </c>
      <c r="E14" s="1056" t="str">
        <f>IFERROR(INDEX('Modelo 2.0 - Cubação'!$A$7:$A$119,MATCH($A14,'Modelo 2.0 - Cubação'!$BV$7:$BV$119,0)),"")</f>
        <v/>
      </c>
      <c r="F14" s="1056" t="s">
        <v>605</v>
      </c>
      <c r="G14" s="1056" t="str">
        <f>IFERROR(INDEX('Modelo 2.0 - Cubação'!$C$7:$C$119,MATCH($A14,'Modelo 2.0 - Cubação'!$BV$7:$BV$119,0)),"")</f>
        <v/>
      </c>
      <c r="H14" s="1057">
        <f>IFERROR(AVERAGEIFS('Modelo 2.0 - Cubação'!$CO$7:$CO$116,
'Modelo 2.0 - Cubação'!$CP$7:$CP$116,"&gt;="&amp;(INDEX('Modelo 2.0 - Cubação'!$CP$7:$CP$116,MATCH(A14,'Modelo 2.0 - Cubação'!$BT$7:$BT$116,0))),
'Modelo 2.0 - Cubação'!$CP$7:$CP$116,"&lt;="&amp;(INDEX('Modelo 2.0 - Cubação'!$CP$7:$CP$116,MATCH(A14,'Modelo 2.0 - Cubação'!$BV$7:$BV$116,0)))),0)</f>
        <v>0</v>
      </c>
      <c r="I14" s="1058" t="str">
        <f t="shared" si="0"/>
        <v/>
      </c>
      <c r="J14" s="1058" t="s">
        <v>1013</v>
      </c>
      <c r="K14" s="1058">
        <v>0.2</v>
      </c>
      <c r="L14" s="1058" t="str">
        <f>IFERROR(INDEX('Modelo 2.0 - Cubação'!$BY$7:$BY$119,MATCH($A14,'Modelo 2.0 - Cubação'!$BV$7:$BV$119,0)),"")</f>
        <v/>
      </c>
    </row>
    <row r="15" spans="1:12" ht="15" hidden="1" customHeight="1">
      <c r="A15" s="1055" t="s">
        <v>1016</v>
      </c>
      <c r="B15" s="1056" t="str">
        <f>IFERROR(INDEX('Modelo 2.0 - Cubação'!$A$7:$A$119,MATCH($A15,'Modelo 2.0 - Cubação'!$BT$7:$BT$119,0)),"")</f>
        <v/>
      </c>
      <c r="C15" s="1056" t="s">
        <v>605</v>
      </c>
      <c r="D15" s="1056" t="str">
        <f>IFERROR(INDEX('Modelo 2.0 - Cubação'!$C$7:$C$119,MATCH($A15,'Modelo 2.0 - Cubação'!$BT$7:$BT$119,0)),"")</f>
        <v/>
      </c>
      <c r="E15" s="1056" t="str">
        <f>IFERROR(INDEX('Modelo 2.0 - Cubação'!$A$7:$A$119,MATCH($A15,'Modelo 2.0 - Cubação'!$BV$7:$BV$119,0)),"")</f>
        <v/>
      </c>
      <c r="F15" s="1056" t="s">
        <v>605</v>
      </c>
      <c r="G15" s="1056" t="str">
        <f>IFERROR(INDEX('Modelo 2.0 - Cubação'!$C$7:$C$119,MATCH($A15,'Modelo 2.0 - Cubação'!$BV$7:$BV$119,0)),"")</f>
        <v/>
      </c>
      <c r="H15" s="1057">
        <f>IFERROR(AVERAGEIFS('Modelo 2.0 - Cubação'!$CO$7:$CO$116,
'Modelo 2.0 - Cubação'!$CP$7:$CP$116,"&gt;="&amp;(INDEX('Modelo 2.0 - Cubação'!$CP$7:$CP$116,MATCH(A15,'Modelo 2.0 - Cubação'!$BT$7:$BT$116,0))),
'Modelo 2.0 - Cubação'!$CP$7:$CP$116,"&lt;="&amp;(INDEX('Modelo 2.0 - Cubação'!$CP$7:$CP$116,MATCH(A15,'Modelo 2.0 - Cubação'!$BV$7:$BV$116,0)))),0)</f>
        <v>0</v>
      </c>
      <c r="I15" s="1058" t="str">
        <f t="shared" si="0"/>
        <v/>
      </c>
      <c r="J15" s="1058" t="s">
        <v>1013</v>
      </c>
      <c r="K15" s="1058">
        <v>0.2</v>
      </c>
      <c r="L15" s="1058" t="str">
        <f>IFERROR(INDEX('Modelo 2.0 - Cubação'!$BY$7:$BY$119,MATCH($A15,'Modelo 2.0 - Cubação'!$BV$7:$BV$119,0)),"")</f>
        <v/>
      </c>
    </row>
    <row r="16" spans="1:12" ht="15" hidden="1" customHeight="1">
      <c r="A16" s="1055" t="s">
        <v>1017</v>
      </c>
      <c r="B16" s="1056" t="str">
        <f>IFERROR(INDEX('Modelo 2.0 - Cubação'!$A$7:$A$119,MATCH($A16,'Modelo 2.0 - Cubação'!$BT$7:$BT$119,0)),"")</f>
        <v/>
      </c>
      <c r="C16" s="1056" t="s">
        <v>605</v>
      </c>
      <c r="D16" s="1056" t="str">
        <f>IFERROR(INDEX('Modelo 2.0 - Cubação'!$C$7:$C$119,MATCH($A16,'Modelo 2.0 - Cubação'!$BT$7:$BT$119,0)),"")</f>
        <v/>
      </c>
      <c r="E16" s="1056" t="str">
        <f>IFERROR(INDEX('Modelo 2.0 - Cubação'!$A$7:$A$119,MATCH($A16,'Modelo 2.0 - Cubação'!$BV$7:$BV$119,0)),"")</f>
        <v/>
      </c>
      <c r="F16" s="1056" t="s">
        <v>605</v>
      </c>
      <c r="G16" s="1056" t="str">
        <f>IFERROR(INDEX('Modelo 2.0 - Cubação'!$C$7:$C$119,MATCH($A16,'Modelo 2.0 - Cubação'!$BV$7:$BV$119,0)),"")</f>
        <v/>
      </c>
      <c r="H16" s="1057">
        <f>IFERROR(AVERAGEIFS('Modelo 2.0 - Cubação'!$CO$7:$CO$116,
'Modelo 2.0 - Cubação'!$CP$7:$CP$116,"&gt;="&amp;(INDEX('Modelo 2.0 - Cubação'!$CP$7:$CP$116,MATCH(A16,'Modelo 2.0 - Cubação'!$BT$7:$BT$116,0))),
'Modelo 2.0 - Cubação'!$CP$7:$CP$116,"&lt;="&amp;(INDEX('Modelo 2.0 - Cubação'!$CP$7:$CP$116,MATCH(A16,'Modelo 2.0 - Cubação'!$BV$7:$BV$116,0)))),0)</f>
        <v>0</v>
      </c>
      <c r="I16" s="1058" t="str">
        <f t="shared" si="0"/>
        <v/>
      </c>
      <c r="J16" s="1058" t="s">
        <v>1013</v>
      </c>
      <c r="K16" s="1058">
        <v>0.2</v>
      </c>
      <c r="L16" s="1058" t="str">
        <f>IFERROR(INDEX('Modelo 2.0 - Cubação'!$BY$7:$BY$119,MATCH($A16,'Modelo 2.0 - Cubação'!$BV$7:$BV$119,0)),"")</f>
        <v/>
      </c>
    </row>
    <row r="17" spans="1:12" ht="15" hidden="1" customHeight="1">
      <c r="A17" s="1055" t="s">
        <v>1018</v>
      </c>
      <c r="B17" s="1056" t="str">
        <f>IFERROR(INDEX('Modelo 2.0 - Cubação'!$A$7:$A$119,MATCH($A17,'Modelo 2.0 - Cubação'!$BT$7:$BT$119,0)),"")</f>
        <v/>
      </c>
      <c r="C17" s="1056" t="s">
        <v>605</v>
      </c>
      <c r="D17" s="1056" t="str">
        <f>IFERROR(INDEX('Modelo 2.0 - Cubação'!$C$7:$C$119,MATCH($A17,'Modelo 2.0 - Cubação'!$BT$7:$BT$119,0)),"")</f>
        <v/>
      </c>
      <c r="E17" s="1056" t="str">
        <f>IFERROR(INDEX('Modelo 2.0 - Cubação'!$A$7:$A$119,MATCH($A17,'Modelo 2.0 - Cubação'!$BV$7:$BV$119,0)),"")</f>
        <v/>
      </c>
      <c r="F17" s="1056" t="s">
        <v>605</v>
      </c>
      <c r="G17" s="1056" t="str">
        <f>IFERROR(INDEX('Modelo 2.0 - Cubação'!$C$7:$C$119,MATCH($A17,'Modelo 2.0 - Cubação'!$BV$7:$BV$119,0)),"")</f>
        <v/>
      </c>
      <c r="H17" s="1057">
        <f>IFERROR(AVERAGEIFS('Modelo 2.0 - Cubação'!$CO$7:$CO$116,
'Modelo 2.0 - Cubação'!$CP$7:$CP$116,"&gt;="&amp;(INDEX('Modelo 2.0 - Cubação'!$CP$7:$CP$116,MATCH(A17,'Modelo 2.0 - Cubação'!$BT$7:$BT$116,0))),
'Modelo 2.0 - Cubação'!$CP$7:$CP$116,"&lt;="&amp;(INDEX('Modelo 2.0 - Cubação'!$CP$7:$CP$116,MATCH(A17,'Modelo 2.0 - Cubação'!$BV$7:$BV$116,0)))),0)</f>
        <v>0</v>
      </c>
      <c r="I17" s="1058" t="str">
        <f t="shared" si="0"/>
        <v/>
      </c>
      <c r="J17" s="1058" t="s">
        <v>1013</v>
      </c>
      <c r="K17" s="1058">
        <v>0.2</v>
      </c>
      <c r="L17" s="1058" t="str">
        <f>IFERROR(INDEX('Modelo 2.0 - Cubação'!$BY$7:$BY$119,MATCH($A17,'Modelo 2.0 - Cubação'!$BV$7:$BV$119,0)),"")</f>
        <v/>
      </c>
    </row>
    <row r="18" spans="1:12" ht="15" hidden="1" customHeight="1">
      <c r="A18" s="1055" t="s">
        <v>1019</v>
      </c>
      <c r="B18" s="1056" t="str">
        <f>IFERROR(INDEX('Modelo 2.0 - Cubação'!$A$7:$A$119,MATCH($A18,'Modelo 2.0 - Cubação'!$BT$7:$BT$119,0)),"")</f>
        <v/>
      </c>
      <c r="C18" s="1056" t="s">
        <v>605</v>
      </c>
      <c r="D18" s="1056" t="str">
        <f>IFERROR(INDEX('Modelo 2.0 - Cubação'!$C$7:$C$119,MATCH($A18,'Modelo 2.0 - Cubação'!$BT$7:$BT$119,0)),"")</f>
        <v/>
      </c>
      <c r="E18" s="1056" t="str">
        <f>IFERROR(INDEX('Modelo 2.0 - Cubação'!$A$7:$A$119,MATCH($A18,'Modelo 2.0 - Cubação'!$BV$7:$BV$119,0)),"")</f>
        <v/>
      </c>
      <c r="F18" s="1056" t="s">
        <v>605</v>
      </c>
      <c r="G18" s="1056" t="str">
        <f>IFERROR(INDEX('Modelo 2.0 - Cubação'!$C$7:$C$119,MATCH($A18,'Modelo 2.0 - Cubação'!$BV$7:$BV$119,0)),"")</f>
        <v/>
      </c>
      <c r="H18" s="1057">
        <f>IFERROR(AVERAGEIFS('Modelo 2.0 - Cubação'!$CO$7:$CO$116,
'Modelo 2.0 - Cubação'!$CP$7:$CP$116,"&gt;="&amp;(INDEX('Modelo 2.0 - Cubação'!$CP$7:$CP$116,MATCH(A18,'Modelo 2.0 - Cubação'!$BT$7:$BT$116,0))),
'Modelo 2.0 - Cubação'!$CP$7:$CP$116,"&lt;="&amp;(INDEX('Modelo 2.0 - Cubação'!$CP$7:$CP$116,MATCH(A18,'Modelo 2.0 - Cubação'!$BV$7:$BV$116,0)))),0)</f>
        <v>0</v>
      </c>
      <c r="I18" s="1058" t="str">
        <f t="shared" si="0"/>
        <v/>
      </c>
      <c r="J18" s="1058" t="s">
        <v>1013</v>
      </c>
      <c r="K18" s="1058">
        <v>0.2</v>
      </c>
      <c r="L18" s="1058" t="str">
        <f>IFERROR(INDEX('Modelo 2.0 - Cubação'!$BY$7:$BY$119,MATCH($A18,'Modelo 2.0 - Cubação'!$BV$7:$BV$119,0)),"")</f>
        <v/>
      </c>
    </row>
    <row r="19" spans="1:12" ht="15" hidden="1" customHeight="1">
      <c r="A19" s="1055" t="s">
        <v>1020</v>
      </c>
      <c r="B19" s="1056" t="str">
        <f>IFERROR(INDEX('Modelo 2.0 - Cubação'!$A$7:$A$119,MATCH($A19,'Modelo 2.0 - Cubação'!$BT$7:$BT$119,0)),"")</f>
        <v/>
      </c>
      <c r="C19" s="1056" t="s">
        <v>605</v>
      </c>
      <c r="D19" s="1056" t="str">
        <f>IFERROR(INDEX('Modelo 2.0 - Cubação'!$C$7:$C$119,MATCH($A19,'Modelo 2.0 - Cubação'!$BT$7:$BT$119,0)),"")</f>
        <v/>
      </c>
      <c r="E19" s="1056" t="str">
        <f>IFERROR(INDEX('Modelo 2.0 - Cubação'!$A$7:$A$119,MATCH($A19,'Modelo 2.0 - Cubação'!$BV$7:$BV$119,0)),"")</f>
        <v/>
      </c>
      <c r="F19" s="1056" t="s">
        <v>605</v>
      </c>
      <c r="G19" s="1056" t="str">
        <f>IFERROR(INDEX('Modelo 2.0 - Cubação'!$C$7:$C$119,MATCH($A19,'Modelo 2.0 - Cubação'!$BV$7:$BV$119,0)),"")</f>
        <v/>
      </c>
      <c r="H19" s="1057">
        <f>IFERROR(AVERAGEIFS('Modelo 2.0 - Cubação'!$CO$7:$CO$116,
'Modelo 2.0 - Cubação'!$CP$7:$CP$116,"&gt;="&amp;(INDEX('Modelo 2.0 - Cubação'!$CP$7:$CP$116,MATCH(A19,'Modelo 2.0 - Cubação'!$BT$7:$BT$116,0))),
'Modelo 2.0 - Cubação'!$CP$7:$CP$116,"&lt;="&amp;(INDEX('Modelo 2.0 - Cubação'!$CP$7:$CP$116,MATCH(A19,'Modelo 2.0 - Cubação'!$BV$7:$BV$116,0)))),0)</f>
        <v>0</v>
      </c>
      <c r="I19" s="1058" t="str">
        <f t="shared" si="0"/>
        <v/>
      </c>
      <c r="J19" s="1058" t="s">
        <v>1013</v>
      </c>
      <c r="K19" s="1058">
        <v>0.2</v>
      </c>
      <c r="L19" s="1058" t="str">
        <f>IFERROR(INDEX('Modelo 2.0 - Cubação'!$BY$7:$BY$119,MATCH($A19,'Modelo 2.0 - Cubação'!$BV$7:$BV$119,0)),"")</f>
        <v/>
      </c>
    </row>
    <row r="20" spans="1:12" ht="15" hidden="1" customHeight="1">
      <c r="A20" s="1055" t="s">
        <v>1021</v>
      </c>
      <c r="B20" s="1056" t="str">
        <f>IFERROR(INDEX('Modelo 2.0 - Cubação'!$A$7:$A$119,MATCH($A20,'Modelo 2.0 - Cubação'!$BT$7:$BT$119,0)),"")</f>
        <v/>
      </c>
      <c r="C20" s="1056" t="s">
        <v>605</v>
      </c>
      <c r="D20" s="1056" t="str">
        <f>IFERROR(INDEX('Modelo 2.0 - Cubação'!$C$7:$C$119,MATCH($A20,'Modelo 2.0 - Cubação'!$BT$7:$BT$119,0)),"")</f>
        <v/>
      </c>
      <c r="E20" s="1056" t="str">
        <f>IFERROR(INDEX('Modelo 2.0 - Cubação'!$A$7:$A$119,MATCH($A20,'Modelo 2.0 - Cubação'!$BV$7:$BV$119,0)),"")</f>
        <v/>
      </c>
      <c r="F20" s="1056" t="s">
        <v>605</v>
      </c>
      <c r="G20" s="1056" t="str">
        <f>IFERROR(INDEX('Modelo 2.0 - Cubação'!$C$7:$C$119,MATCH($A20,'Modelo 2.0 - Cubação'!$BV$7:$BV$119,0)),"")</f>
        <v/>
      </c>
      <c r="H20" s="1057">
        <f>IFERROR(AVERAGEIFS('Modelo 2.0 - Cubação'!$CO$7:$CO$116,
'Modelo 2.0 - Cubação'!$CP$7:$CP$116,"&gt;="&amp;(INDEX('Modelo 2.0 - Cubação'!$CP$7:$CP$116,MATCH(A20,'Modelo 2.0 - Cubação'!$BT$7:$BT$116,0))),
'Modelo 2.0 - Cubação'!$CP$7:$CP$116,"&lt;="&amp;(INDEX('Modelo 2.0 - Cubação'!$CP$7:$CP$116,MATCH(A20,'Modelo 2.0 - Cubação'!$BV$7:$BV$116,0)))),0)</f>
        <v>0</v>
      </c>
      <c r="I20" s="1058" t="str">
        <f t="shared" si="0"/>
        <v/>
      </c>
      <c r="J20" s="1058" t="s">
        <v>1013</v>
      </c>
      <c r="K20" s="1058">
        <v>0.2</v>
      </c>
      <c r="L20" s="1058" t="str">
        <f>IFERROR(INDEX('Modelo 2.0 - Cubação'!$BY$7:$BY$119,MATCH($A20,'Modelo 2.0 - Cubação'!$BV$7:$BV$119,0)),"")</f>
        <v/>
      </c>
    </row>
    <row r="21" spans="1:12" ht="15" hidden="1" customHeight="1">
      <c r="A21" s="1055" t="s">
        <v>1022</v>
      </c>
      <c r="B21" s="1056" t="str">
        <f>IFERROR(INDEX('Modelo 2.0 - Cubação'!$A$7:$A$119,MATCH($A21,'Modelo 2.0 - Cubação'!$BT$7:$BT$119,0)),"")</f>
        <v/>
      </c>
      <c r="C21" s="1056" t="s">
        <v>605</v>
      </c>
      <c r="D21" s="1056" t="str">
        <f>IFERROR(INDEX('Modelo 2.0 - Cubação'!$C$7:$C$119,MATCH($A21,'Modelo 2.0 - Cubação'!$BT$7:$BT$119,0)),"")</f>
        <v/>
      </c>
      <c r="E21" s="1056" t="str">
        <f>IFERROR(INDEX('Modelo 2.0 - Cubação'!$A$7:$A$119,MATCH($A21,'Modelo 2.0 - Cubação'!$BV$7:$BV$119,0)),"")</f>
        <v/>
      </c>
      <c r="F21" s="1056" t="s">
        <v>605</v>
      </c>
      <c r="G21" s="1056" t="str">
        <f>IFERROR(INDEX('Modelo 2.0 - Cubação'!$C$7:$C$119,MATCH($A21,'Modelo 2.0 - Cubação'!$BV$7:$BV$119,0)),"")</f>
        <v/>
      </c>
      <c r="H21" s="1057">
        <f>IFERROR(AVERAGEIFS('Modelo 2.0 - Cubação'!$CO$7:$CO$116,
'Modelo 2.0 - Cubação'!$CP$7:$CP$116,"&gt;="&amp;(INDEX('Modelo 2.0 - Cubação'!$CP$7:$CP$116,MATCH(A21,'Modelo 2.0 - Cubação'!$BT$7:$BT$116,0))),
'Modelo 2.0 - Cubação'!$CP$7:$CP$116,"&lt;="&amp;(INDEX('Modelo 2.0 - Cubação'!$CP$7:$CP$116,MATCH(A21,'Modelo 2.0 - Cubação'!$BV$7:$BV$116,0)))),0)</f>
        <v>0</v>
      </c>
      <c r="I21" s="1058" t="str">
        <f t="shared" si="0"/>
        <v/>
      </c>
      <c r="J21" s="1058" t="s">
        <v>1013</v>
      </c>
      <c r="K21" s="1058">
        <v>0.2</v>
      </c>
      <c r="L21" s="1058" t="str">
        <f>IFERROR(INDEX('Modelo 2.0 - Cubação'!$BY$7:$BY$119,MATCH($A21,'Modelo 2.0 - Cubação'!$BV$7:$BV$119,0)),"")</f>
        <v/>
      </c>
    </row>
    <row r="22" spans="1:12" ht="15" hidden="1" customHeight="1">
      <c r="A22" s="1055" t="s">
        <v>1023</v>
      </c>
      <c r="B22" s="1056" t="str">
        <f>IFERROR(INDEX('Modelo 2.0 - Cubação'!$A$7:$A$119,MATCH($A22,'Modelo 2.0 - Cubação'!$BT$7:$BT$119,0)),"")</f>
        <v/>
      </c>
      <c r="C22" s="1056" t="s">
        <v>605</v>
      </c>
      <c r="D22" s="1056" t="str">
        <f>IFERROR(INDEX('Modelo 2.0 - Cubação'!$C$7:$C$119,MATCH($A22,'Modelo 2.0 - Cubação'!$BT$7:$BT$119,0)),"")</f>
        <v/>
      </c>
      <c r="E22" s="1056" t="str">
        <f>IFERROR(INDEX('Modelo 2.0 - Cubação'!$A$7:$A$119,MATCH($A22,'Modelo 2.0 - Cubação'!$BV$7:$BV$119,0)),"")</f>
        <v/>
      </c>
      <c r="F22" s="1056" t="s">
        <v>605</v>
      </c>
      <c r="G22" s="1056" t="str">
        <f>IFERROR(INDEX('Modelo 2.0 - Cubação'!$C$7:$C$119,MATCH($A22,'Modelo 2.0 - Cubação'!$BV$7:$BV$119,0)),"")</f>
        <v/>
      </c>
      <c r="H22" s="1057">
        <f>IFERROR(AVERAGEIFS('Modelo 2.0 - Cubação'!$CO$7:$CO$116,
'Modelo 2.0 - Cubação'!$CP$7:$CP$116,"&gt;="&amp;(INDEX('Modelo 2.0 - Cubação'!$CP$7:$CP$116,MATCH(A22,'Modelo 2.0 - Cubação'!$BT$7:$BT$116,0))),
'Modelo 2.0 - Cubação'!$CP$7:$CP$116,"&lt;="&amp;(INDEX('Modelo 2.0 - Cubação'!$CP$7:$CP$116,MATCH(A22,'Modelo 2.0 - Cubação'!$BV$7:$BV$116,0)))),0)</f>
        <v>0</v>
      </c>
      <c r="I22" s="1058" t="str">
        <f t="shared" si="0"/>
        <v/>
      </c>
      <c r="J22" s="1058" t="s">
        <v>1013</v>
      </c>
      <c r="K22" s="1058">
        <v>0.2</v>
      </c>
      <c r="L22" s="1058" t="str">
        <f>IFERROR(INDEX('Modelo 2.0 - Cubação'!$BY$7:$BY$119,MATCH($A22,'Modelo 2.0 - Cubação'!$BV$7:$BV$119,0)),"")</f>
        <v/>
      </c>
    </row>
    <row r="23" spans="1:12" ht="15" hidden="1" customHeight="1">
      <c r="A23" s="1055" t="s">
        <v>1024</v>
      </c>
      <c r="B23" s="1056" t="str">
        <f>IFERROR(INDEX('Modelo 2.0 - Cubação'!$A$7:$A$119,MATCH($A23,'Modelo 2.0 - Cubação'!$BT$7:$BT$119,0)),"")</f>
        <v/>
      </c>
      <c r="C23" s="1056" t="s">
        <v>605</v>
      </c>
      <c r="D23" s="1056" t="str">
        <f>IFERROR(INDEX('Modelo 2.0 - Cubação'!$C$7:$C$119,MATCH($A23,'Modelo 2.0 - Cubação'!$BT$7:$BT$119,0)),"")</f>
        <v/>
      </c>
      <c r="E23" s="1056" t="str">
        <f>IFERROR(INDEX('Modelo 2.0 - Cubação'!$A$7:$A$119,MATCH($A23,'Modelo 2.0 - Cubação'!$BV$7:$BV$119,0)),"")</f>
        <v/>
      </c>
      <c r="F23" s="1056" t="s">
        <v>605</v>
      </c>
      <c r="G23" s="1056" t="str">
        <f>IFERROR(INDEX('Modelo 2.0 - Cubação'!$C$7:$C$119,MATCH($A23,'Modelo 2.0 - Cubação'!$BV$7:$BV$119,0)),"")</f>
        <v/>
      </c>
      <c r="H23" s="1057">
        <f>IFERROR(AVERAGEIFS('Modelo 2.0 - Cubação'!$CO$7:$CO$116,
'Modelo 2.0 - Cubação'!$CP$7:$CP$116,"&gt;="&amp;(INDEX('Modelo 2.0 - Cubação'!$CP$7:$CP$116,MATCH(A23,'Modelo 2.0 - Cubação'!$BT$7:$BT$116,0))),
'Modelo 2.0 - Cubação'!$CP$7:$CP$116,"&lt;="&amp;(INDEX('Modelo 2.0 - Cubação'!$CP$7:$CP$116,MATCH(A23,'Modelo 2.0 - Cubação'!$BV$7:$BV$116,0)))),0)</f>
        <v>0</v>
      </c>
      <c r="I23" s="1058" t="str">
        <f t="shared" si="0"/>
        <v/>
      </c>
      <c r="J23" s="1058" t="s">
        <v>1013</v>
      </c>
      <c r="K23" s="1058">
        <v>0.2</v>
      </c>
      <c r="L23" s="1058" t="str">
        <f>IFERROR(INDEX('Modelo 2.0 - Cubação'!$BY$7:$BY$119,MATCH($A23,'Modelo 2.0 - Cubação'!$BV$7:$BV$119,0)),"")</f>
        <v/>
      </c>
    </row>
    <row r="24" spans="1:12" ht="15" hidden="1" customHeight="1">
      <c r="A24" s="1055" t="s">
        <v>1025</v>
      </c>
      <c r="B24" s="1056" t="str">
        <f>IFERROR(INDEX('Modelo 2.0 - Cubação'!$A$7:$A$119,MATCH($A24,'Modelo 2.0 - Cubação'!$BT$7:$BT$119,0)),"")</f>
        <v/>
      </c>
      <c r="C24" s="1056" t="s">
        <v>605</v>
      </c>
      <c r="D24" s="1056" t="str">
        <f>IFERROR(INDEX('Modelo 2.0 - Cubação'!$C$7:$C$119,MATCH($A24,'Modelo 2.0 - Cubação'!$BT$7:$BT$119,0)),"")</f>
        <v/>
      </c>
      <c r="E24" s="1056" t="str">
        <f>IFERROR(INDEX('Modelo 2.0 - Cubação'!$A$7:$A$119,MATCH($A24,'Modelo 2.0 - Cubação'!$BV$7:$BV$119,0)),"")</f>
        <v/>
      </c>
      <c r="F24" s="1056" t="s">
        <v>605</v>
      </c>
      <c r="G24" s="1056" t="str">
        <f>IFERROR(INDEX('Modelo 2.0 - Cubação'!$C$7:$C$119,MATCH($A24,'Modelo 2.0 - Cubação'!$BV$7:$BV$119,0)),"")</f>
        <v/>
      </c>
      <c r="H24" s="1057">
        <f>IFERROR(AVERAGEIFS('Modelo 2.0 - Cubação'!$CO$7:$CO$116,
'Modelo 2.0 - Cubação'!$CP$7:$CP$116,"&gt;="&amp;(INDEX('Modelo 2.0 - Cubação'!$CP$7:$CP$116,MATCH(A24,'Modelo 2.0 - Cubação'!$BT$7:$BT$116,0))),
'Modelo 2.0 - Cubação'!$CP$7:$CP$116,"&lt;="&amp;(INDEX('Modelo 2.0 - Cubação'!$CP$7:$CP$116,MATCH(A24,'Modelo 2.0 - Cubação'!$BV$7:$BV$116,0)))),0)</f>
        <v>0</v>
      </c>
      <c r="I24" s="1058" t="str">
        <f t="shared" si="0"/>
        <v/>
      </c>
      <c r="J24" s="1058" t="s">
        <v>1013</v>
      </c>
      <c r="K24" s="1058">
        <v>0.2</v>
      </c>
      <c r="L24" s="1058" t="str">
        <f>IFERROR(INDEX('Modelo 2.0 - Cubação'!$BY$7:$BY$119,MATCH($A24,'Modelo 2.0 - Cubação'!$BV$7:$BV$119,0)),"")</f>
        <v/>
      </c>
    </row>
    <row r="25" spans="1:12" ht="15" hidden="1" customHeight="1">
      <c r="A25" s="1055"/>
      <c r="B25" s="1056"/>
      <c r="C25" s="1056"/>
      <c r="D25" s="1056"/>
      <c r="E25" s="1056"/>
      <c r="F25" s="1056"/>
      <c r="G25" s="1056"/>
      <c r="H25" s="1057"/>
      <c r="I25" s="1058"/>
      <c r="J25" s="1058"/>
      <c r="K25" s="1058"/>
      <c r="L25" s="1058"/>
    </row>
    <row r="26" spans="1:12" ht="15" hidden="1" customHeight="1">
      <c r="A26" s="1055"/>
      <c r="B26" s="1056"/>
      <c r="C26" s="1056"/>
      <c r="D26" s="1056"/>
      <c r="E26" s="1056"/>
      <c r="F26" s="1056"/>
      <c r="G26" s="1056"/>
      <c r="H26" s="1057"/>
      <c r="I26" s="1058"/>
      <c r="J26" s="1058"/>
      <c r="K26" s="1058"/>
      <c r="L26" s="1058"/>
    </row>
    <row r="27" spans="1:12" ht="15" hidden="1" customHeight="1">
      <c r="A27" s="1055"/>
      <c r="B27" s="1056"/>
      <c r="C27" s="1056"/>
      <c r="D27" s="1056"/>
      <c r="E27" s="1056"/>
      <c r="F27" s="1056"/>
      <c r="G27" s="1056"/>
      <c r="H27" s="1057"/>
      <c r="I27" s="1058"/>
      <c r="J27" s="1058"/>
      <c r="K27" s="1058"/>
      <c r="L27" s="1058"/>
    </row>
    <row r="28" spans="1:12" ht="15" hidden="1" customHeight="1">
      <c r="A28" s="1055"/>
      <c r="B28" s="1056"/>
      <c r="C28" s="1056"/>
      <c r="D28" s="1056"/>
      <c r="E28" s="1056"/>
      <c r="F28" s="1056"/>
      <c r="G28" s="1056"/>
      <c r="H28" s="1057"/>
      <c r="I28" s="1058"/>
      <c r="J28" s="1058"/>
      <c r="K28" s="1058"/>
      <c r="L28" s="1058"/>
    </row>
    <row r="29" spans="1:12" ht="15" hidden="1" customHeight="1">
      <c r="A29" s="1055"/>
      <c r="B29" s="1056"/>
      <c r="C29" s="1056"/>
      <c r="D29" s="1056"/>
      <c r="E29" s="1056"/>
      <c r="F29" s="1056"/>
      <c r="G29" s="1056"/>
      <c r="H29" s="1057"/>
      <c r="I29" s="1058"/>
      <c r="J29" s="1058"/>
      <c r="K29" s="1058"/>
      <c r="L29" s="1058"/>
    </row>
    <row r="30" spans="1:12" ht="15" hidden="1" customHeight="1">
      <c r="A30" s="1055"/>
      <c r="B30" s="1056"/>
      <c r="C30" s="1056"/>
      <c r="D30" s="1056"/>
      <c r="E30" s="1056"/>
      <c r="F30" s="1056"/>
      <c r="G30" s="1056"/>
      <c r="H30" s="1057"/>
      <c r="I30" s="1058"/>
      <c r="J30" s="1058"/>
      <c r="K30" s="1058"/>
      <c r="L30" s="1058"/>
    </row>
    <row r="31" spans="1:12" ht="15" hidden="1" customHeight="1">
      <c r="A31" s="1055"/>
      <c r="B31" s="1056"/>
      <c r="C31" s="1056"/>
      <c r="D31" s="1056"/>
      <c r="E31" s="1056"/>
      <c r="F31" s="1056"/>
      <c r="G31" s="1056"/>
      <c r="H31" s="1057"/>
      <c r="I31" s="1058"/>
      <c r="J31" s="1058"/>
      <c r="K31" s="1058"/>
      <c r="L31" s="1058"/>
    </row>
    <row r="32" spans="1:12" ht="15" hidden="1" customHeight="1">
      <c r="A32" s="1055"/>
      <c r="B32" s="1056"/>
      <c r="C32" s="1056"/>
      <c r="D32" s="1056"/>
      <c r="E32" s="1056"/>
      <c r="F32" s="1056"/>
      <c r="G32" s="1056"/>
      <c r="H32" s="1057"/>
      <c r="I32" s="1058"/>
      <c r="J32" s="1058"/>
      <c r="K32" s="1058"/>
      <c r="L32" s="1058"/>
    </row>
    <row r="33" spans="1:12" ht="15" hidden="1" customHeight="1">
      <c r="A33" s="1055"/>
      <c r="B33" s="1056"/>
      <c r="C33" s="1056"/>
      <c r="D33" s="1056"/>
      <c r="E33" s="1056"/>
      <c r="F33" s="1056"/>
      <c r="G33" s="1056"/>
      <c r="H33" s="1057"/>
      <c r="I33" s="1058"/>
      <c r="J33" s="1058"/>
      <c r="K33" s="1058"/>
      <c r="L33" s="1058"/>
    </row>
    <row r="34" spans="1:12" ht="15" hidden="1" customHeight="1">
      <c r="A34" s="1055"/>
      <c r="B34" s="1056"/>
      <c r="C34" s="1056"/>
      <c r="D34" s="1056"/>
      <c r="E34" s="1056"/>
      <c r="F34" s="1056"/>
      <c r="G34" s="1056"/>
      <c r="H34" s="1057"/>
      <c r="I34" s="1058"/>
      <c r="J34" s="1058"/>
      <c r="K34" s="1058"/>
      <c r="L34" s="1058"/>
    </row>
    <row r="35" spans="1:12" ht="15" hidden="1" customHeight="1">
      <c r="A35" s="1055"/>
      <c r="B35" s="1056"/>
      <c r="C35" s="1056"/>
      <c r="D35" s="1056"/>
      <c r="E35" s="1056"/>
      <c r="F35" s="1056"/>
      <c r="G35" s="1056"/>
      <c r="H35" s="1057"/>
      <c r="I35" s="1058"/>
      <c r="J35" s="1058"/>
      <c r="K35" s="1058"/>
      <c r="L35" s="1058"/>
    </row>
    <row r="36" spans="1:12" ht="15" hidden="1" customHeight="1">
      <c r="A36" s="1055"/>
      <c r="B36" s="1056"/>
      <c r="C36" s="1056"/>
      <c r="D36" s="1056"/>
      <c r="E36" s="1056"/>
      <c r="F36" s="1056"/>
      <c r="G36" s="1056"/>
      <c r="H36" s="1057"/>
      <c r="I36" s="1058"/>
      <c r="J36" s="1058"/>
      <c r="K36" s="1058"/>
      <c r="L36" s="1058"/>
    </row>
    <row r="37" spans="1:12" ht="15" hidden="1" customHeight="1">
      <c r="A37" s="1055"/>
      <c r="B37" s="1056"/>
      <c r="C37" s="1056"/>
      <c r="D37" s="1056"/>
      <c r="E37" s="1056"/>
      <c r="F37" s="1056"/>
      <c r="G37" s="1056"/>
      <c r="H37" s="1057"/>
      <c r="I37" s="1058"/>
      <c r="J37" s="1058"/>
      <c r="K37" s="1058"/>
      <c r="L37" s="1058"/>
    </row>
    <row r="38" spans="1:12" ht="15" hidden="1" customHeight="1">
      <c r="A38" s="1055"/>
      <c r="B38" s="1056"/>
      <c r="C38" s="1056"/>
      <c r="D38" s="1056"/>
      <c r="E38" s="1056"/>
      <c r="F38" s="1056"/>
      <c r="G38" s="1056"/>
      <c r="H38" s="1057"/>
      <c r="I38" s="1058"/>
      <c r="J38" s="1058"/>
      <c r="K38" s="1058"/>
      <c r="L38" s="1058"/>
    </row>
    <row r="39" spans="1:12" ht="15" hidden="1" customHeight="1">
      <c r="A39" s="1055"/>
      <c r="B39" s="1056"/>
      <c r="C39" s="1056"/>
      <c r="D39" s="1056"/>
      <c r="E39" s="1056"/>
      <c r="F39" s="1056"/>
      <c r="G39" s="1056"/>
      <c r="H39" s="1057"/>
      <c r="I39" s="1058"/>
      <c r="J39" s="1058"/>
      <c r="K39" s="1058"/>
      <c r="L39" s="1058"/>
    </row>
    <row r="40" spans="1:12" ht="15" hidden="1" customHeight="1">
      <c r="A40" s="1055"/>
      <c r="B40" s="1056"/>
      <c r="C40" s="1056"/>
      <c r="D40" s="1056"/>
      <c r="E40" s="1056"/>
      <c r="F40" s="1056"/>
      <c r="G40" s="1056"/>
      <c r="H40" s="1057"/>
      <c r="I40" s="1058"/>
      <c r="J40" s="1058"/>
      <c r="K40" s="1058"/>
      <c r="L40" s="1058"/>
    </row>
    <row r="41" spans="1:12" ht="15" hidden="1" customHeight="1">
      <c r="A41" s="1055"/>
      <c r="B41" s="1056"/>
      <c r="C41" s="1056"/>
      <c r="D41" s="1056"/>
      <c r="E41" s="1056"/>
      <c r="F41" s="1056"/>
      <c r="G41" s="1056"/>
      <c r="H41" s="1057"/>
      <c r="I41" s="1058"/>
      <c r="J41" s="1058"/>
      <c r="K41" s="1058"/>
      <c r="L41" s="1058"/>
    </row>
    <row r="42" spans="1:12" ht="15" customHeight="1">
      <c r="A42" s="2107" t="s">
        <v>422</v>
      </c>
      <c r="B42" s="2108"/>
      <c r="C42" s="2108"/>
      <c r="D42" s="2108"/>
      <c r="E42" s="2108"/>
      <c r="F42" s="2108"/>
      <c r="G42" s="2108"/>
      <c r="H42" s="2108"/>
      <c r="I42" s="2108"/>
      <c r="J42" s="2108"/>
      <c r="K42" s="2109"/>
      <c r="L42" s="1059">
        <f>+SUM(L5:L41)</f>
        <v>5936.3700000000008</v>
      </c>
    </row>
    <row r="44" spans="1:12" ht="15" hidden="1" customHeight="1">
      <c r="A44" s="1060"/>
      <c r="B44" s="1060"/>
      <c r="C44" s="1060"/>
      <c r="D44" s="1060"/>
      <c r="E44" s="1060"/>
      <c r="F44" s="1060"/>
      <c r="G44" s="1060"/>
      <c r="H44" s="1060"/>
      <c r="I44" s="1060"/>
      <c r="J44" s="1060"/>
      <c r="K44" s="1061"/>
      <c r="L44" s="1062"/>
    </row>
    <row r="45" spans="1:12" ht="15" hidden="1" customHeight="1">
      <c r="A45" s="1931" t="s">
        <v>1026</v>
      </c>
      <c r="B45" s="1931"/>
      <c r="C45" s="1931"/>
      <c r="D45" s="1931"/>
      <c r="E45" s="1931"/>
      <c r="F45" s="1931"/>
      <c r="G45" s="1931"/>
      <c r="H45" s="1931"/>
      <c r="I45" s="1931"/>
      <c r="J45" s="1931"/>
      <c r="K45" s="1931"/>
      <c r="L45" s="1931"/>
    </row>
    <row r="46" spans="1:12" ht="17.25" hidden="1" customHeight="1">
      <c r="A46" s="2116" t="s">
        <v>1008</v>
      </c>
      <c r="B46" s="2118" t="s">
        <v>1009</v>
      </c>
      <c r="C46" s="2119"/>
      <c r="D46" s="2120"/>
      <c r="E46" s="2118" t="s">
        <v>1010</v>
      </c>
      <c r="F46" s="2119"/>
      <c r="G46" s="2120"/>
      <c r="H46" s="2116" t="s">
        <v>560</v>
      </c>
      <c r="I46" s="2116" t="s">
        <v>250</v>
      </c>
      <c r="J46" s="2116" t="s">
        <v>1011</v>
      </c>
      <c r="K46" s="2124" t="s">
        <v>1012</v>
      </c>
      <c r="L46" s="2116" t="s">
        <v>794</v>
      </c>
    </row>
    <row r="47" spans="1:12" ht="17.25" hidden="1" customHeight="1">
      <c r="A47" s="2117"/>
      <c r="B47" s="2121"/>
      <c r="C47" s="2122"/>
      <c r="D47" s="2123"/>
      <c r="E47" s="2121"/>
      <c r="F47" s="2122"/>
      <c r="G47" s="2123"/>
      <c r="H47" s="2117"/>
      <c r="I47" s="2117"/>
      <c r="J47" s="2117"/>
      <c r="K47" s="2125"/>
      <c r="L47" s="2117"/>
    </row>
    <row r="48" spans="1:12" ht="15" hidden="1" customHeight="1">
      <c r="A48" s="1055" t="s">
        <v>1027</v>
      </c>
      <c r="B48" s="1056" t="str">
        <f>IFERROR(INDEX('Modelo 2.0 - Cubação'!$A$7:$A$119,MATCH($A48,'Modelo 2.0 - Cubação'!$CA$7:$CA$119,0)),"")</f>
        <v/>
      </c>
      <c r="C48" s="1056" t="s">
        <v>605</v>
      </c>
      <c r="D48" s="1056" t="str">
        <f>IFERROR(INDEX('Modelo 2.0 - Cubação'!$C$7:$C$119,MATCH($A48,'Modelo 2.0 - Cubação'!$CA$7:$CA$119,0)),"")</f>
        <v/>
      </c>
      <c r="E48" s="1056" t="str">
        <f>IFERROR(INDEX('Modelo 2.0 - Cubação'!$A$7:$A$119,MATCH($A48,'Modelo 2.0 - Cubação'!$CC$7:$CC$119,0)),"")</f>
        <v/>
      </c>
      <c r="F48" s="1056" t="s">
        <v>605</v>
      </c>
      <c r="G48" s="1056" t="str">
        <f>IFERROR(INDEX('Modelo 2.0 - Cubação'!$C$7:$C$119,MATCH($A48,'Modelo 2.0 - Cubação'!$CC$7:$CC$119,0)),"")</f>
        <v/>
      </c>
      <c r="H48" s="1057">
        <f>IFERROR(AVERAGEIFS('Modelo 2.0 - Cubação'!$CO$7:$CO$116,
'Modelo 2.0 - Cubação'!$CP$7:$CP$116,"&gt;="&amp;(INDEX('Modelo 2.0 - Cubação'!$CP$7:$CP$116,MATCH(A48,'Modelo 2.0 - Cubação'!$BT$7:$BT$116,0))),
'Modelo 2.0 - Cubação'!$CP$7:$CP$116,"&lt;="&amp;(INDEX('Modelo 2.0 - Cubação'!$CP$7:$CP$116,MATCH(A48,'Modelo 2.0 - Cubação'!$BV$7:$BV$116,0)))),0)</f>
        <v>0</v>
      </c>
      <c r="I48" s="1058" t="str">
        <f t="shared" ref="I48:I57" si="1">IFERROR((E48*20+G48)-(B48*20+D48),"")</f>
        <v/>
      </c>
      <c r="J48" s="1058" t="s">
        <v>1013</v>
      </c>
      <c r="K48" s="1058">
        <v>0.6</v>
      </c>
      <c r="L48" s="1058" t="str">
        <f>IFERROR(INDEX('Modelo 2.0 - Cubação'!$CF$7:$CF$119,MATCH($A48,'Modelo 2.0 - Cubação'!$CC$7:$CC$119,0)),"")</f>
        <v/>
      </c>
    </row>
    <row r="49" spans="1:12" ht="15" hidden="1" customHeight="1">
      <c r="A49" s="1055" t="s">
        <v>1028</v>
      </c>
      <c r="B49" s="1056" t="str">
        <f>IFERROR(INDEX('Modelo 2.0 - Cubação'!$A$7:$A$119,MATCH($A49,'Modelo 2.0 - Cubação'!$CA$7:$CA$119,0)),"")</f>
        <v/>
      </c>
      <c r="C49" s="1056" t="s">
        <v>605</v>
      </c>
      <c r="D49" s="1056" t="str">
        <f>IFERROR(INDEX('Modelo 2.0 - Cubação'!$C$7:$C$119,MATCH($A49,'Modelo 2.0 - Cubação'!$CA$7:$CA$119,0)),"")</f>
        <v/>
      </c>
      <c r="E49" s="1056" t="str">
        <f>IFERROR(INDEX('Modelo 2.0 - Cubação'!$A$7:$A$119,MATCH($A49,'Modelo 2.0 - Cubação'!$CC$7:$CC$119,0)),"")</f>
        <v/>
      </c>
      <c r="F49" s="1056" t="s">
        <v>605</v>
      </c>
      <c r="G49" s="1056" t="str">
        <f>IFERROR(INDEX('Modelo 2.0 - Cubação'!$C$7:$C$119,MATCH($A49,'Modelo 2.0 - Cubação'!$CC$7:$CC$119,0)),"")</f>
        <v/>
      </c>
      <c r="H49" s="1057">
        <f>IFERROR(AVERAGEIFS('Modelo 2.0 - Cubação'!$CO$7:$CO$116,
'Modelo 2.0 - Cubação'!$CP$7:$CP$116,"&gt;="&amp;(INDEX('Modelo 2.0 - Cubação'!$CP$7:$CP$116,MATCH(A49,'Modelo 2.0 - Cubação'!$BT$7:$BT$116,0))),
'Modelo 2.0 - Cubação'!$CP$7:$CP$116,"&lt;="&amp;(INDEX('Modelo 2.0 - Cubação'!$CP$7:$CP$116,MATCH(A49,'Modelo 2.0 - Cubação'!$BV$7:$BV$116,0)))),0)</f>
        <v>0</v>
      </c>
      <c r="I49" s="1058" t="str">
        <f t="shared" si="1"/>
        <v/>
      </c>
      <c r="J49" s="1058" t="s">
        <v>1013</v>
      </c>
      <c r="K49" s="1058">
        <v>0.6</v>
      </c>
      <c r="L49" s="1058" t="str">
        <f>IFERROR(INDEX('Modelo 2.0 - Cubação'!$CF$7:$CF$119,MATCH($A49,'Modelo 2.0 - Cubação'!$CC$7:$CC$119,0)),"")</f>
        <v/>
      </c>
    </row>
    <row r="50" spans="1:12" ht="15" hidden="1" customHeight="1">
      <c r="A50" s="1055" t="s">
        <v>1029</v>
      </c>
      <c r="B50" s="1056" t="str">
        <f>IFERROR(INDEX('Modelo 2.0 - Cubação'!$A$7:$A$119,MATCH($A50,'Modelo 2.0 - Cubação'!$CA$7:$CA$119,0)),"")</f>
        <v/>
      </c>
      <c r="C50" s="1056" t="s">
        <v>605</v>
      </c>
      <c r="D50" s="1056" t="str">
        <f>IFERROR(INDEX('Modelo 2.0 - Cubação'!$C$7:$C$119,MATCH($A50,'Modelo 2.0 - Cubação'!$CA$7:$CA$119,0)),"")</f>
        <v/>
      </c>
      <c r="E50" s="1056" t="str">
        <f>IFERROR(INDEX('Modelo 2.0 - Cubação'!$A$7:$A$119,MATCH($A50,'Modelo 2.0 - Cubação'!$CC$7:$CC$119,0)),"")</f>
        <v/>
      </c>
      <c r="F50" s="1056" t="s">
        <v>605</v>
      </c>
      <c r="G50" s="1056" t="str">
        <f>IFERROR(INDEX('Modelo 2.0 - Cubação'!$C$7:$C$119,MATCH($A50,'Modelo 2.0 - Cubação'!$CC$7:$CC$119,0)),"")</f>
        <v/>
      </c>
      <c r="H50" s="1057">
        <f>IFERROR(AVERAGEIFS('Modelo 2.0 - Cubação'!$CO$7:$CO$116,
'Modelo 2.0 - Cubação'!$CP$7:$CP$116,"&gt;="&amp;(INDEX('Modelo 2.0 - Cubação'!$CP$7:$CP$116,MATCH(A50,'Modelo 2.0 - Cubação'!$BT$7:$BT$116,0))),
'Modelo 2.0 - Cubação'!$CP$7:$CP$116,"&lt;="&amp;(INDEX('Modelo 2.0 - Cubação'!$CP$7:$CP$116,MATCH(A50,'Modelo 2.0 - Cubação'!$BV$7:$BV$116,0)))),0)</f>
        <v>0</v>
      </c>
      <c r="I50" s="1058" t="str">
        <f t="shared" si="1"/>
        <v/>
      </c>
      <c r="J50" s="1058" t="s">
        <v>1013</v>
      </c>
      <c r="K50" s="1058">
        <v>0.6</v>
      </c>
      <c r="L50" s="1058" t="str">
        <f>IFERROR(INDEX('Modelo 2.0 - Cubação'!$CF$7:$CF$119,MATCH($A50,'Modelo 2.0 - Cubação'!$CC$7:$CC$119,0)),"")</f>
        <v/>
      </c>
    </row>
    <row r="51" spans="1:12" ht="15" hidden="1" customHeight="1">
      <c r="A51" s="1055" t="s">
        <v>1030</v>
      </c>
      <c r="B51" s="1056" t="str">
        <f>IFERROR(INDEX('Modelo 2.0 - Cubação'!$A$7:$A$119,MATCH($A51,'Modelo 2.0 - Cubação'!$CA$7:$CA$119,0)),"")</f>
        <v/>
      </c>
      <c r="C51" s="1056" t="s">
        <v>605</v>
      </c>
      <c r="D51" s="1056" t="str">
        <f>IFERROR(INDEX('Modelo 2.0 - Cubação'!$C$7:$C$119,MATCH($A51,'Modelo 2.0 - Cubação'!$CA$7:$CA$119,0)),"")</f>
        <v/>
      </c>
      <c r="E51" s="1056" t="str">
        <f>IFERROR(INDEX('Modelo 2.0 - Cubação'!$A$7:$A$119,MATCH($A51,'Modelo 2.0 - Cubação'!$CC$7:$CC$119,0)),"")</f>
        <v/>
      </c>
      <c r="F51" s="1056" t="s">
        <v>605</v>
      </c>
      <c r="G51" s="1056" t="str">
        <f>IFERROR(INDEX('Modelo 2.0 - Cubação'!$C$7:$C$119,MATCH($A51,'Modelo 2.0 - Cubação'!$CC$7:$CC$119,0)),"")</f>
        <v/>
      </c>
      <c r="H51" s="1057">
        <f>IFERROR(AVERAGEIFS('Modelo 2.0 - Cubação'!$CO$7:$CO$116,
'Modelo 2.0 - Cubação'!$CP$7:$CP$116,"&gt;="&amp;(INDEX('Modelo 2.0 - Cubação'!$CP$7:$CP$116,MATCH(A51,'Modelo 2.0 - Cubação'!$BT$7:$BT$116,0))),
'Modelo 2.0 - Cubação'!$CP$7:$CP$116,"&lt;="&amp;(INDEX('Modelo 2.0 - Cubação'!$CP$7:$CP$116,MATCH(A51,'Modelo 2.0 - Cubação'!$BV$7:$BV$116,0)))),0)</f>
        <v>0</v>
      </c>
      <c r="I51" s="1058" t="str">
        <f t="shared" si="1"/>
        <v/>
      </c>
      <c r="J51" s="1058" t="s">
        <v>1013</v>
      </c>
      <c r="K51" s="1058">
        <v>0.6</v>
      </c>
      <c r="L51" s="1058" t="str">
        <f>IFERROR(INDEX('Modelo 2.0 - Cubação'!$CF$7:$CF$119,MATCH($A51,'Modelo 2.0 - Cubação'!$CC$7:$CC$119,0)),"")</f>
        <v/>
      </c>
    </row>
    <row r="52" spans="1:12" ht="15" hidden="1" customHeight="1">
      <c r="A52" s="1055" t="s">
        <v>1031</v>
      </c>
      <c r="B52" s="1056" t="str">
        <f>IFERROR(INDEX('Modelo 2.0 - Cubação'!$A$7:$A$119,MATCH($A52,'Modelo 2.0 - Cubação'!$CA$7:$CA$119,0)),"")</f>
        <v/>
      </c>
      <c r="C52" s="1056" t="s">
        <v>605</v>
      </c>
      <c r="D52" s="1056" t="str">
        <f>IFERROR(INDEX('Modelo 2.0 - Cubação'!$C$7:$C$119,MATCH($A52,'Modelo 2.0 - Cubação'!$CA$7:$CA$119,0)),"")</f>
        <v/>
      </c>
      <c r="E52" s="1056" t="str">
        <f>IFERROR(INDEX('Modelo 2.0 - Cubação'!$A$7:$A$119,MATCH($A52,'Modelo 2.0 - Cubação'!$CC$7:$CC$119,0)),"")</f>
        <v/>
      </c>
      <c r="F52" s="1056" t="s">
        <v>605</v>
      </c>
      <c r="G52" s="1056" t="str">
        <f>IFERROR(INDEX('Modelo 2.0 - Cubação'!$C$7:$C$119,MATCH($A52,'Modelo 2.0 - Cubação'!$CC$7:$CC$119,0)),"")</f>
        <v/>
      </c>
      <c r="H52" s="1057">
        <f>IFERROR(AVERAGEIFS('Modelo 2.0 - Cubação'!$CO$7:$CO$116,
'Modelo 2.0 - Cubação'!$CP$7:$CP$116,"&gt;="&amp;(INDEX('Modelo 2.0 - Cubação'!$CP$7:$CP$116,MATCH(A52,'Modelo 2.0 - Cubação'!$BT$7:$BT$116,0))),
'Modelo 2.0 - Cubação'!$CP$7:$CP$116,"&lt;="&amp;(INDEX('Modelo 2.0 - Cubação'!$CP$7:$CP$116,MATCH(A52,'Modelo 2.0 - Cubação'!$BV$7:$BV$116,0)))),0)</f>
        <v>0</v>
      </c>
      <c r="I52" s="1058" t="str">
        <f t="shared" si="1"/>
        <v/>
      </c>
      <c r="J52" s="1058" t="s">
        <v>1013</v>
      </c>
      <c r="K52" s="1058">
        <v>0.6</v>
      </c>
      <c r="L52" s="1058" t="str">
        <f>IFERROR(INDEX('Modelo 2.0 - Cubação'!$CF$7:$CF$119,MATCH($A52,'Modelo 2.0 - Cubação'!$CC$7:$CC$119,0)),"")</f>
        <v/>
      </c>
    </row>
    <row r="53" spans="1:12" ht="15" hidden="1" customHeight="1">
      <c r="A53" s="1055" t="s">
        <v>1032</v>
      </c>
      <c r="B53" s="1056" t="str">
        <f>IFERROR(INDEX('Modelo 2.0 - Cubação'!$A$7:$A$119,MATCH($A53,'Modelo 2.0 - Cubação'!$CA$7:$CA$119,0)),"")</f>
        <v/>
      </c>
      <c r="C53" s="1056" t="s">
        <v>605</v>
      </c>
      <c r="D53" s="1056" t="str">
        <f>IFERROR(INDEX('Modelo 2.0 - Cubação'!$C$7:$C$119,MATCH($A53,'Modelo 2.0 - Cubação'!$CA$7:$CA$119,0)),"")</f>
        <v/>
      </c>
      <c r="E53" s="1056" t="str">
        <f>IFERROR(INDEX('Modelo 2.0 - Cubação'!$A$7:$A$119,MATCH($A53,'Modelo 2.0 - Cubação'!$CC$7:$CC$119,0)),"")</f>
        <v/>
      </c>
      <c r="F53" s="1056" t="s">
        <v>605</v>
      </c>
      <c r="G53" s="1056" t="str">
        <f>IFERROR(INDEX('Modelo 2.0 - Cubação'!$C$7:$C$119,MATCH($A53,'Modelo 2.0 - Cubação'!$CC$7:$CC$119,0)),"")</f>
        <v/>
      </c>
      <c r="H53" s="1057">
        <f>IFERROR(AVERAGEIFS('Modelo 2.0 - Cubação'!$CO$7:$CO$116,
'Modelo 2.0 - Cubação'!$CP$7:$CP$116,"&gt;="&amp;(INDEX('Modelo 2.0 - Cubação'!$CP$7:$CP$116,MATCH(A53,'Modelo 2.0 - Cubação'!$BT$7:$BT$116,0))),
'Modelo 2.0 - Cubação'!$CP$7:$CP$116,"&lt;="&amp;(INDEX('Modelo 2.0 - Cubação'!$CP$7:$CP$116,MATCH(A53,'Modelo 2.0 - Cubação'!$BV$7:$BV$116,0)))),0)</f>
        <v>0</v>
      </c>
      <c r="I53" s="1058" t="str">
        <f t="shared" si="1"/>
        <v/>
      </c>
      <c r="J53" s="1058" t="s">
        <v>1013</v>
      </c>
      <c r="K53" s="1058">
        <v>0.6</v>
      </c>
      <c r="L53" s="1058" t="str">
        <f>IFERROR(INDEX('Modelo 2.0 - Cubação'!$CF$7:$CF$119,MATCH($A53,'Modelo 2.0 - Cubação'!$CC$7:$CC$119,0)),"")</f>
        <v/>
      </c>
    </row>
    <row r="54" spans="1:12" ht="15" hidden="1" customHeight="1">
      <c r="A54" s="1055" t="s">
        <v>1033</v>
      </c>
      <c r="B54" s="1056" t="str">
        <f>IFERROR(INDEX('Modelo 2.0 - Cubação'!$A$7:$A$119,MATCH($A54,'Modelo 2.0 - Cubação'!$CA$7:$CA$119,0)),"")</f>
        <v/>
      </c>
      <c r="C54" s="1056" t="s">
        <v>605</v>
      </c>
      <c r="D54" s="1056" t="str">
        <f>IFERROR(INDEX('Modelo 2.0 - Cubação'!$C$7:$C$119,MATCH($A54,'Modelo 2.0 - Cubação'!$CA$7:$CA$119,0)),"")</f>
        <v/>
      </c>
      <c r="E54" s="1056" t="str">
        <f>IFERROR(INDEX('Modelo 2.0 - Cubação'!$A$7:$A$119,MATCH($A54,'Modelo 2.0 - Cubação'!$CC$7:$CC$119,0)),"")</f>
        <v/>
      </c>
      <c r="F54" s="1056" t="s">
        <v>605</v>
      </c>
      <c r="G54" s="1056" t="str">
        <f>IFERROR(INDEX('Modelo 2.0 - Cubação'!$C$7:$C$119,MATCH($A54,'Modelo 2.0 - Cubação'!$CC$7:$CC$119,0)),"")</f>
        <v/>
      </c>
      <c r="H54" s="1057">
        <f>IFERROR(AVERAGEIFS('Modelo 2.0 - Cubação'!$CO$7:$CO$116,
'Modelo 2.0 - Cubação'!$CP$7:$CP$116,"&gt;="&amp;(INDEX('Modelo 2.0 - Cubação'!$CP$7:$CP$116,MATCH(A54,'Modelo 2.0 - Cubação'!$BT$7:$BT$116,0))),
'Modelo 2.0 - Cubação'!$CP$7:$CP$116,"&lt;="&amp;(INDEX('Modelo 2.0 - Cubação'!$CP$7:$CP$116,MATCH(A54,'Modelo 2.0 - Cubação'!$BV$7:$BV$116,0)))),0)</f>
        <v>0</v>
      </c>
      <c r="I54" s="1058" t="str">
        <f t="shared" si="1"/>
        <v/>
      </c>
      <c r="J54" s="1058" t="s">
        <v>1013</v>
      </c>
      <c r="K54" s="1058">
        <v>0.6</v>
      </c>
      <c r="L54" s="1058" t="str">
        <f>IFERROR(INDEX('Modelo 2.0 - Cubação'!$CF$7:$CF$119,MATCH($A54,'Modelo 2.0 - Cubação'!$CC$7:$CC$119,0)),"")</f>
        <v/>
      </c>
    </row>
    <row r="55" spans="1:12" ht="15" hidden="1" customHeight="1">
      <c r="A55" s="1055" t="s">
        <v>1034</v>
      </c>
      <c r="B55" s="1056" t="str">
        <f>IFERROR(INDEX('Modelo 2.0 - Cubação'!$A$7:$A$119,MATCH($A55,'Modelo 2.0 - Cubação'!$CA$7:$CA$119,0)),"")</f>
        <v/>
      </c>
      <c r="C55" s="1056" t="s">
        <v>605</v>
      </c>
      <c r="D55" s="1056" t="str">
        <f>IFERROR(INDEX('Modelo 2.0 - Cubação'!$C$7:$C$119,MATCH($A55,'Modelo 2.0 - Cubação'!$CA$7:$CA$119,0)),"")</f>
        <v/>
      </c>
      <c r="E55" s="1056" t="str">
        <f>IFERROR(INDEX('Modelo 2.0 - Cubação'!$A$7:$A$119,MATCH($A55,'Modelo 2.0 - Cubação'!$CC$7:$CC$119,0)),"")</f>
        <v/>
      </c>
      <c r="F55" s="1056" t="s">
        <v>605</v>
      </c>
      <c r="G55" s="1056" t="str">
        <f>IFERROR(INDEX('Modelo 2.0 - Cubação'!$C$7:$C$119,MATCH($A55,'Modelo 2.0 - Cubação'!$CC$7:$CC$119,0)),"")</f>
        <v/>
      </c>
      <c r="H55" s="1057">
        <f>IFERROR(AVERAGEIFS('Modelo 2.0 - Cubação'!$CO$7:$CO$116,
'Modelo 2.0 - Cubação'!$CP$7:$CP$116,"&gt;="&amp;(INDEX('Modelo 2.0 - Cubação'!$CP$7:$CP$116,MATCH(A55,'Modelo 2.0 - Cubação'!$BT$7:$BT$116,0))),
'Modelo 2.0 - Cubação'!$CP$7:$CP$116,"&lt;="&amp;(INDEX('Modelo 2.0 - Cubação'!$CP$7:$CP$116,MATCH(A55,'Modelo 2.0 - Cubação'!$BV$7:$BV$116,0)))),0)</f>
        <v>0</v>
      </c>
      <c r="I55" s="1058" t="str">
        <f t="shared" si="1"/>
        <v/>
      </c>
      <c r="J55" s="1058" t="s">
        <v>1013</v>
      </c>
      <c r="K55" s="1058">
        <v>0.6</v>
      </c>
      <c r="L55" s="1058" t="str">
        <f>IFERROR(INDEX('Modelo 2.0 - Cubação'!$CF$7:$CF$119,MATCH($A55,'Modelo 2.0 - Cubação'!$CC$7:$CC$119,0)),"")</f>
        <v/>
      </c>
    </row>
    <row r="56" spans="1:12" ht="15" hidden="1" customHeight="1">
      <c r="A56" s="1055" t="s">
        <v>1035</v>
      </c>
      <c r="B56" s="1056" t="str">
        <f>IFERROR(INDEX('Modelo 2.0 - Cubação'!$A$7:$A$119,MATCH($A56,'Modelo 2.0 - Cubação'!$CA$7:$CA$119,0)),"")</f>
        <v/>
      </c>
      <c r="C56" s="1056" t="s">
        <v>605</v>
      </c>
      <c r="D56" s="1056" t="str">
        <f>IFERROR(INDEX('Modelo 2.0 - Cubação'!$C$7:$C$119,MATCH($A56,'Modelo 2.0 - Cubação'!$CA$7:$CA$119,0)),"")</f>
        <v/>
      </c>
      <c r="E56" s="1056" t="str">
        <f>IFERROR(INDEX('Modelo 2.0 - Cubação'!$A$7:$A$119,MATCH($A56,'Modelo 2.0 - Cubação'!$CC$7:$CC$119,0)),"")</f>
        <v/>
      </c>
      <c r="F56" s="1056" t="s">
        <v>605</v>
      </c>
      <c r="G56" s="1056" t="str">
        <f>IFERROR(INDEX('Modelo 2.0 - Cubação'!$C$7:$C$119,MATCH($A56,'Modelo 2.0 - Cubação'!$CC$7:$CC$119,0)),"")</f>
        <v/>
      </c>
      <c r="H56" s="1057">
        <f>IFERROR(AVERAGEIFS('Modelo 2.0 - Cubação'!$CO$7:$CO$116,
'Modelo 2.0 - Cubação'!$CP$7:$CP$116,"&gt;="&amp;(INDEX('Modelo 2.0 - Cubação'!$CP$7:$CP$116,MATCH(A56,'Modelo 2.0 - Cubação'!$BT$7:$BT$116,0))),
'Modelo 2.0 - Cubação'!$CP$7:$CP$116,"&lt;="&amp;(INDEX('Modelo 2.0 - Cubação'!$CP$7:$CP$116,MATCH(A56,'Modelo 2.0 - Cubação'!$BV$7:$BV$116,0)))),0)</f>
        <v>0</v>
      </c>
      <c r="I56" s="1058" t="str">
        <f t="shared" si="1"/>
        <v/>
      </c>
      <c r="J56" s="1058" t="s">
        <v>1013</v>
      </c>
      <c r="K56" s="1058">
        <v>0.6</v>
      </c>
      <c r="L56" s="1058" t="str">
        <f>IFERROR(INDEX('Modelo 2.0 - Cubação'!$CF$7:$CF$119,MATCH($A56,'Modelo 2.0 - Cubação'!$CC$7:$CC$119,0)),"")</f>
        <v/>
      </c>
    </row>
    <row r="57" spans="1:12" ht="15" hidden="1" customHeight="1">
      <c r="A57" s="1055" t="s">
        <v>1036</v>
      </c>
      <c r="B57" s="1056" t="str">
        <f>IFERROR(INDEX('Modelo 2.0 - Cubação'!$A$7:$A$119,MATCH($A57,'Modelo 2.0 - Cubação'!$CA$7:$CA$119,0)),"")</f>
        <v/>
      </c>
      <c r="C57" s="1056" t="s">
        <v>605</v>
      </c>
      <c r="D57" s="1056" t="str">
        <f>IFERROR(INDEX('Modelo 2.0 - Cubação'!$C$7:$C$119,MATCH($A57,'Modelo 2.0 - Cubação'!$CA$7:$CA$119,0)),"")</f>
        <v/>
      </c>
      <c r="E57" s="1056" t="str">
        <f>IFERROR(INDEX('Modelo 2.0 - Cubação'!$A$7:$A$119,MATCH($A57,'Modelo 2.0 - Cubação'!$CC$7:$CC$119,0)),"")</f>
        <v/>
      </c>
      <c r="F57" s="1056" t="s">
        <v>605</v>
      </c>
      <c r="G57" s="1056" t="str">
        <f>IFERROR(INDEX('Modelo 2.0 - Cubação'!$C$7:$C$119,MATCH($A57,'Modelo 2.0 - Cubação'!$CC$7:$CC$119,0)),"")</f>
        <v/>
      </c>
      <c r="H57" s="1057">
        <f>IFERROR(AVERAGEIFS('Modelo 2.0 - Cubação'!$CO$7:$CO$116,
'Modelo 2.0 - Cubação'!$CP$7:$CP$116,"&gt;="&amp;(INDEX('Modelo 2.0 - Cubação'!$CP$7:$CP$116,MATCH(A57,'Modelo 2.0 - Cubação'!$BT$7:$BT$116,0))),
'Modelo 2.0 - Cubação'!$CP$7:$CP$116,"&lt;="&amp;(INDEX('Modelo 2.0 - Cubação'!$CP$7:$CP$116,MATCH(A57,'Modelo 2.0 - Cubação'!$BV$7:$BV$116,0)))),0)</f>
        <v>0</v>
      </c>
      <c r="I57" s="1058" t="str">
        <f t="shared" si="1"/>
        <v/>
      </c>
      <c r="J57" s="1058" t="s">
        <v>1013</v>
      </c>
      <c r="K57" s="1058">
        <v>0.6</v>
      </c>
      <c r="L57" s="1058" t="str">
        <f>IFERROR(INDEX('Modelo 2.0 - Cubação'!$CF$7:$CF$119,MATCH($A57,'Modelo 2.0 - Cubação'!$CC$7:$CC$119,0)),"")</f>
        <v/>
      </c>
    </row>
    <row r="58" spans="1:12" ht="15" hidden="1" customHeight="1">
      <c r="A58" s="2107" t="s">
        <v>422</v>
      </c>
      <c r="B58" s="2108"/>
      <c r="C58" s="2108"/>
      <c r="D58" s="2108"/>
      <c r="E58" s="2108"/>
      <c r="F58" s="2108"/>
      <c r="G58" s="2108"/>
      <c r="H58" s="2108"/>
      <c r="I58" s="2108"/>
      <c r="J58" s="2108"/>
      <c r="K58" s="2109"/>
      <c r="L58" s="1059">
        <f>+SUM(L48:L57)</f>
        <v>0</v>
      </c>
    </row>
    <row r="59" spans="1:12" ht="15" hidden="1" customHeight="1"/>
    <row r="60" spans="1:12" ht="15" customHeight="1">
      <c r="A60" s="1931" t="s">
        <v>1037</v>
      </c>
      <c r="B60" s="1931"/>
      <c r="C60" s="1931"/>
      <c r="D60" s="1931"/>
      <c r="E60" s="1931"/>
      <c r="F60" s="1931"/>
      <c r="G60" s="1931"/>
      <c r="H60" s="1931"/>
      <c r="I60" s="1931"/>
      <c r="J60" s="1931"/>
      <c r="K60" s="1931"/>
      <c r="L60" s="1931"/>
    </row>
    <row r="61" spans="1:12" ht="15" customHeight="1">
      <c r="A61" s="1931" t="s">
        <v>1038</v>
      </c>
      <c r="B61" s="1931"/>
      <c r="C61" s="1931"/>
      <c r="D61" s="1931"/>
      <c r="E61" s="1931"/>
      <c r="F61" s="1931"/>
      <c r="G61" s="1931"/>
      <c r="H61" s="1931"/>
      <c r="I61" s="1931"/>
      <c r="J61" s="1931"/>
      <c r="K61" s="1931"/>
      <c r="L61" s="1931"/>
    </row>
    <row r="62" spans="1:12" ht="22.5">
      <c r="A62" s="2116" t="s">
        <v>1037</v>
      </c>
      <c r="B62" s="2118" t="s">
        <v>1009</v>
      </c>
      <c r="C62" s="2119"/>
      <c r="D62" s="2120"/>
      <c r="E62" s="2118" t="s">
        <v>1010</v>
      </c>
      <c r="F62" s="2119"/>
      <c r="G62" s="2120"/>
      <c r="H62" s="1064"/>
      <c r="I62" s="2116" t="s">
        <v>250</v>
      </c>
      <c r="J62" s="1065" t="s">
        <v>1011</v>
      </c>
      <c r="K62" s="1066" t="s">
        <v>1012</v>
      </c>
      <c r="L62" s="1065" t="s">
        <v>794</v>
      </c>
    </row>
    <row r="63" spans="1:12" ht="11.25">
      <c r="A63" s="2117"/>
      <c r="B63" s="2121"/>
      <c r="C63" s="2122"/>
      <c r="D63" s="2123"/>
      <c r="E63" s="2121"/>
      <c r="F63" s="2122"/>
      <c r="G63" s="2123"/>
      <c r="H63" s="1064"/>
      <c r="I63" s="2117"/>
      <c r="J63" s="1067"/>
      <c r="K63" s="1068"/>
      <c r="L63" s="1067"/>
    </row>
    <row r="64" spans="1:12" ht="15" customHeight="1">
      <c r="A64" s="1051" t="s">
        <v>1039</v>
      </c>
      <c r="B64" s="1052" t="s">
        <v>608</v>
      </c>
      <c r="C64" s="1052" t="s">
        <v>605</v>
      </c>
      <c r="D64" s="1052">
        <v>0</v>
      </c>
      <c r="E64" s="1052" t="s">
        <v>627</v>
      </c>
      <c r="F64" s="1052" t="s">
        <v>605</v>
      </c>
      <c r="G64" s="1052">
        <v>10</v>
      </c>
      <c r="H64" s="1069"/>
      <c r="I64" s="1052">
        <v>130</v>
      </c>
      <c r="J64" s="1070" t="s">
        <v>866</v>
      </c>
      <c r="K64" s="1071">
        <v>0.2</v>
      </c>
      <c r="L64" s="1072">
        <v>426.40000000000003</v>
      </c>
    </row>
    <row r="65" spans="1:12" ht="15" customHeight="1">
      <c r="A65" s="1051" t="s">
        <v>1040</v>
      </c>
      <c r="B65" s="1052" t="s">
        <v>658</v>
      </c>
      <c r="C65" s="1052" t="s">
        <v>605</v>
      </c>
      <c r="D65" s="1052">
        <v>0</v>
      </c>
      <c r="E65" s="1052" t="s">
        <v>668</v>
      </c>
      <c r="F65" s="1052" t="s">
        <v>605</v>
      </c>
      <c r="G65" s="1052">
        <v>0</v>
      </c>
      <c r="H65" s="1069"/>
      <c r="I65" s="1052">
        <v>60</v>
      </c>
      <c r="J65" s="1070" t="s">
        <v>866</v>
      </c>
      <c r="K65" s="1071">
        <v>0.2</v>
      </c>
      <c r="L65" s="1072">
        <v>189.54</v>
      </c>
    </row>
    <row r="66" spans="1:12" ht="15" customHeight="1">
      <c r="A66" s="1051" t="s">
        <v>1041</v>
      </c>
      <c r="B66" s="1052" t="s">
        <v>672</v>
      </c>
      <c r="C66" s="1052" t="s">
        <v>605</v>
      </c>
      <c r="D66" s="1052">
        <v>0</v>
      </c>
      <c r="E66" s="1052" t="s">
        <v>672</v>
      </c>
      <c r="F66" s="1052" t="s">
        <v>605</v>
      </c>
      <c r="G66" s="1052">
        <v>10</v>
      </c>
      <c r="H66" s="1069"/>
      <c r="I66" s="1052">
        <v>10</v>
      </c>
      <c r="J66" s="1070" t="s">
        <v>866</v>
      </c>
      <c r="K66" s="1071">
        <v>0.2</v>
      </c>
      <c r="L66" s="1072">
        <v>30.83</v>
      </c>
    </row>
    <row r="67" spans="1:12" ht="15" customHeight="1">
      <c r="A67" s="1055" t="s">
        <v>1042</v>
      </c>
      <c r="B67" s="1056" t="s">
        <v>675</v>
      </c>
      <c r="C67" s="1056" t="s">
        <v>605</v>
      </c>
      <c r="D67" s="1056">
        <v>10</v>
      </c>
      <c r="E67" s="1056" t="s">
        <v>701</v>
      </c>
      <c r="F67" s="1056" t="s">
        <v>605</v>
      </c>
      <c r="G67" s="1056">
        <v>10</v>
      </c>
      <c r="I67" s="1056">
        <v>180</v>
      </c>
      <c r="J67" s="1073" t="s">
        <v>866</v>
      </c>
      <c r="K67" s="1074">
        <v>0.2</v>
      </c>
      <c r="L67" s="1075">
        <v>456.40000000000015</v>
      </c>
    </row>
    <row r="68" spans="1:12" ht="15" customHeight="1">
      <c r="A68" s="1055" t="s">
        <v>1043</v>
      </c>
      <c r="B68" s="1056" t="s">
        <v>704</v>
      </c>
      <c r="C68" s="1056" t="s">
        <v>605</v>
      </c>
      <c r="D68" s="1056">
        <v>0</v>
      </c>
      <c r="E68" s="1056" t="s">
        <v>716</v>
      </c>
      <c r="F68" s="1056" t="s">
        <v>605</v>
      </c>
      <c r="G68" s="1056">
        <v>10</v>
      </c>
      <c r="I68" s="1056">
        <v>90</v>
      </c>
      <c r="J68" s="1073" t="s">
        <v>866</v>
      </c>
      <c r="K68" s="1074">
        <v>0.2</v>
      </c>
      <c r="L68" s="1075">
        <v>1492.4</v>
      </c>
    </row>
    <row r="69" spans="1:12" ht="15" customHeight="1">
      <c r="A69" s="1051" t="s">
        <v>1044</v>
      </c>
      <c r="B69" s="1052" t="s">
        <v>724</v>
      </c>
      <c r="C69" s="1052" t="s">
        <v>605</v>
      </c>
      <c r="D69" s="1052">
        <v>0</v>
      </c>
      <c r="E69" s="1052" t="s">
        <v>724</v>
      </c>
      <c r="F69" s="1052" t="s">
        <v>605</v>
      </c>
      <c r="G69" s="1052">
        <v>10</v>
      </c>
      <c r="H69" s="1069"/>
      <c r="I69" s="1052">
        <v>10</v>
      </c>
      <c r="J69" s="1070" t="s">
        <v>866</v>
      </c>
      <c r="K69" s="1071">
        <v>0.2</v>
      </c>
      <c r="L69" s="1072">
        <v>3084.8</v>
      </c>
    </row>
    <row r="70" spans="1:12" ht="15" customHeight="1">
      <c r="A70" s="1051" t="s">
        <v>1045</v>
      </c>
      <c r="B70" s="1052" t="s">
        <v>734</v>
      </c>
      <c r="C70" s="1052" t="s">
        <v>605</v>
      </c>
      <c r="D70" s="1052">
        <v>10</v>
      </c>
      <c r="E70" s="1052" t="s">
        <v>746</v>
      </c>
      <c r="F70" s="1052" t="s">
        <v>605</v>
      </c>
      <c r="G70" s="1052">
        <v>10</v>
      </c>
      <c r="H70" s="1069"/>
      <c r="I70" s="1052">
        <v>80</v>
      </c>
      <c r="J70" s="1070" t="s">
        <v>866</v>
      </c>
      <c r="K70" s="1071">
        <v>0.2</v>
      </c>
      <c r="L70" s="1072">
        <v>179.20000000000002</v>
      </c>
    </row>
    <row r="71" spans="1:12" ht="15" customHeight="1">
      <c r="A71" s="1051" t="s">
        <v>1046</v>
      </c>
      <c r="B71" s="1052" t="s">
        <v>758</v>
      </c>
      <c r="C71" s="1052" t="s">
        <v>605</v>
      </c>
      <c r="D71" s="1052">
        <v>0</v>
      </c>
      <c r="E71" s="1052" t="s">
        <v>761</v>
      </c>
      <c r="F71" s="1052" t="s">
        <v>605</v>
      </c>
      <c r="G71" s="1052">
        <v>10</v>
      </c>
      <c r="H71" s="1069"/>
      <c r="I71" s="1052">
        <v>30</v>
      </c>
      <c r="J71" s="1070" t="s">
        <v>866</v>
      </c>
      <c r="K71" s="1071">
        <v>0.2</v>
      </c>
      <c r="L71" s="1072">
        <v>76.8</v>
      </c>
    </row>
    <row r="72" spans="1:12" ht="15" hidden="1" customHeight="1">
      <c r="A72" s="1051" t="str">
        <f t="shared" ref="A72:A83" si="2">"FNA-"&amp;RIGHT(A13,LEN(A13)-SEARCH("-",A13,1))</f>
        <v>FNA-SEG02.9</v>
      </c>
      <c r="B72" s="1056" t="str">
        <f t="shared" ref="B72:B83" si="3">B13</f>
        <v/>
      </c>
      <c r="C72" s="1056" t="s">
        <v>605</v>
      </c>
      <c r="D72" s="1056" t="str">
        <f t="shared" ref="D72:E83" si="4">D13</f>
        <v/>
      </c>
      <c r="E72" s="1056" t="str">
        <f t="shared" si="4"/>
        <v/>
      </c>
      <c r="F72" s="1056" t="s">
        <v>605</v>
      </c>
      <c r="G72" s="1056" t="str">
        <f t="shared" ref="G72:G83" si="5">G13</f>
        <v/>
      </c>
      <c r="I72" s="1056" t="str">
        <f t="shared" ref="I72:I83" si="6">I13</f>
        <v/>
      </c>
      <c r="J72" s="1058" t="s">
        <v>866</v>
      </c>
      <c r="K72" s="1076">
        <v>0.2</v>
      </c>
      <c r="L72" s="1056" t="str">
        <f t="shared" ref="L72:L83" si="7">L13</f>
        <v/>
      </c>
    </row>
    <row r="73" spans="1:12" ht="15" hidden="1" customHeight="1">
      <c r="A73" s="1051" t="str">
        <f t="shared" si="2"/>
        <v>FNA-SEG02.10</v>
      </c>
      <c r="B73" s="1056" t="str">
        <f t="shared" si="3"/>
        <v/>
      </c>
      <c r="C73" s="1056" t="s">
        <v>605</v>
      </c>
      <c r="D73" s="1056" t="str">
        <f t="shared" si="4"/>
        <v/>
      </c>
      <c r="E73" s="1056" t="str">
        <f t="shared" si="4"/>
        <v/>
      </c>
      <c r="F73" s="1056" t="s">
        <v>605</v>
      </c>
      <c r="G73" s="1056" t="str">
        <f t="shared" si="5"/>
        <v/>
      </c>
      <c r="I73" s="1056" t="str">
        <f t="shared" si="6"/>
        <v/>
      </c>
      <c r="J73" s="1058" t="s">
        <v>866</v>
      </c>
      <c r="K73" s="1076">
        <v>0.2</v>
      </c>
      <c r="L73" s="1056" t="str">
        <f t="shared" si="7"/>
        <v/>
      </c>
    </row>
    <row r="74" spans="1:12" ht="15" hidden="1" customHeight="1">
      <c r="A74" s="1051" t="str">
        <f t="shared" si="2"/>
        <v>FNA-SEG02.11</v>
      </c>
      <c r="B74" s="1056" t="str">
        <f t="shared" si="3"/>
        <v/>
      </c>
      <c r="C74" s="1056" t="s">
        <v>605</v>
      </c>
      <c r="D74" s="1056" t="str">
        <f t="shared" si="4"/>
        <v/>
      </c>
      <c r="E74" s="1056" t="str">
        <f t="shared" si="4"/>
        <v/>
      </c>
      <c r="F74" s="1056" t="s">
        <v>605</v>
      </c>
      <c r="G74" s="1056" t="str">
        <f t="shared" si="5"/>
        <v/>
      </c>
      <c r="I74" s="1056" t="str">
        <f t="shared" si="6"/>
        <v/>
      </c>
      <c r="J74" s="1058" t="s">
        <v>866</v>
      </c>
      <c r="K74" s="1076">
        <v>0.2</v>
      </c>
      <c r="L74" s="1056" t="str">
        <f t="shared" si="7"/>
        <v/>
      </c>
    </row>
    <row r="75" spans="1:12" ht="15" hidden="1" customHeight="1">
      <c r="A75" s="1051" t="str">
        <f t="shared" si="2"/>
        <v>FNA-SEG02.12</v>
      </c>
      <c r="B75" s="1056" t="str">
        <f t="shared" si="3"/>
        <v/>
      </c>
      <c r="C75" s="1056" t="s">
        <v>605</v>
      </c>
      <c r="D75" s="1056" t="str">
        <f t="shared" si="4"/>
        <v/>
      </c>
      <c r="E75" s="1056" t="str">
        <f t="shared" si="4"/>
        <v/>
      </c>
      <c r="F75" s="1056" t="s">
        <v>605</v>
      </c>
      <c r="G75" s="1056" t="str">
        <f t="shared" si="5"/>
        <v/>
      </c>
      <c r="I75" s="1056" t="str">
        <f t="shared" si="6"/>
        <v/>
      </c>
      <c r="J75" s="1058" t="s">
        <v>866</v>
      </c>
      <c r="K75" s="1076">
        <v>0.2</v>
      </c>
      <c r="L75" s="1056" t="str">
        <f t="shared" si="7"/>
        <v/>
      </c>
    </row>
    <row r="76" spans="1:12" ht="15" hidden="1" customHeight="1">
      <c r="A76" s="1051" t="str">
        <f t="shared" si="2"/>
        <v>FNA-SEG02.13</v>
      </c>
      <c r="B76" s="1056" t="str">
        <f t="shared" si="3"/>
        <v/>
      </c>
      <c r="C76" s="1056" t="s">
        <v>605</v>
      </c>
      <c r="D76" s="1056" t="str">
        <f t="shared" si="4"/>
        <v/>
      </c>
      <c r="E76" s="1056" t="str">
        <f t="shared" si="4"/>
        <v/>
      </c>
      <c r="F76" s="1056" t="s">
        <v>605</v>
      </c>
      <c r="G76" s="1056" t="str">
        <f t="shared" si="5"/>
        <v/>
      </c>
      <c r="I76" s="1056" t="str">
        <f t="shared" si="6"/>
        <v/>
      </c>
      <c r="J76" s="1058" t="s">
        <v>866</v>
      </c>
      <c r="K76" s="1076">
        <v>0.2</v>
      </c>
      <c r="L76" s="1056" t="str">
        <f t="shared" si="7"/>
        <v/>
      </c>
    </row>
    <row r="77" spans="1:12" ht="15" hidden="1" customHeight="1">
      <c r="A77" s="1051" t="str">
        <f t="shared" si="2"/>
        <v>FNA-SEG02.14</v>
      </c>
      <c r="B77" s="1056" t="str">
        <f t="shared" si="3"/>
        <v/>
      </c>
      <c r="C77" s="1056" t="s">
        <v>605</v>
      </c>
      <c r="D77" s="1056" t="str">
        <f t="shared" si="4"/>
        <v/>
      </c>
      <c r="E77" s="1056" t="str">
        <f t="shared" si="4"/>
        <v/>
      </c>
      <c r="F77" s="1056" t="s">
        <v>605</v>
      </c>
      <c r="G77" s="1056" t="str">
        <f t="shared" si="5"/>
        <v/>
      </c>
      <c r="I77" s="1056" t="str">
        <f t="shared" si="6"/>
        <v/>
      </c>
      <c r="J77" s="1058" t="s">
        <v>866</v>
      </c>
      <c r="K77" s="1076">
        <v>0.2</v>
      </c>
      <c r="L77" s="1056" t="str">
        <f t="shared" si="7"/>
        <v/>
      </c>
    </row>
    <row r="78" spans="1:12" ht="15" hidden="1" customHeight="1">
      <c r="A78" s="1051" t="str">
        <f t="shared" si="2"/>
        <v>FNA-SEG02.15</v>
      </c>
      <c r="B78" s="1056" t="str">
        <f t="shared" si="3"/>
        <v/>
      </c>
      <c r="C78" s="1056" t="s">
        <v>605</v>
      </c>
      <c r="D78" s="1056" t="str">
        <f t="shared" si="4"/>
        <v/>
      </c>
      <c r="E78" s="1056" t="str">
        <f t="shared" si="4"/>
        <v/>
      </c>
      <c r="F78" s="1056" t="s">
        <v>605</v>
      </c>
      <c r="G78" s="1056" t="str">
        <f t="shared" si="5"/>
        <v/>
      </c>
      <c r="I78" s="1056" t="str">
        <f t="shared" si="6"/>
        <v/>
      </c>
      <c r="J78" s="1058" t="s">
        <v>866</v>
      </c>
      <c r="K78" s="1076">
        <v>0.2</v>
      </c>
      <c r="L78" s="1056" t="str">
        <f t="shared" si="7"/>
        <v/>
      </c>
    </row>
    <row r="79" spans="1:12" ht="15" hidden="1" customHeight="1">
      <c r="A79" s="1051" t="str">
        <f t="shared" si="2"/>
        <v>FNA-SEG02.16</v>
      </c>
      <c r="B79" s="1056" t="str">
        <f t="shared" si="3"/>
        <v/>
      </c>
      <c r="C79" s="1056" t="s">
        <v>605</v>
      </c>
      <c r="D79" s="1056" t="str">
        <f t="shared" si="4"/>
        <v/>
      </c>
      <c r="E79" s="1056" t="str">
        <f t="shared" si="4"/>
        <v/>
      </c>
      <c r="F79" s="1056" t="s">
        <v>605</v>
      </c>
      <c r="G79" s="1056" t="str">
        <f t="shared" si="5"/>
        <v/>
      </c>
      <c r="I79" s="1056" t="str">
        <f t="shared" si="6"/>
        <v/>
      </c>
      <c r="J79" s="1058" t="s">
        <v>866</v>
      </c>
      <c r="K79" s="1076">
        <v>0.2</v>
      </c>
      <c r="L79" s="1056" t="str">
        <f t="shared" si="7"/>
        <v/>
      </c>
    </row>
    <row r="80" spans="1:12" ht="15" hidden="1" customHeight="1">
      <c r="A80" s="1051" t="str">
        <f t="shared" si="2"/>
        <v>FNA-SEG02.17</v>
      </c>
      <c r="B80" s="1056" t="str">
        <f t="shared" si="3"/>
        <v/>
      </c>
      <c r="C80" s="1056" t="s">
        <v>605</v>
      </c>
      <c r="D80" s="1056" t="str">
        <f t="shared" si="4"/>
        <v/>
      </c>
      <c r="E80" s="1056" t="str">
        <f t="shared" si="4"/>
        <v/>
      </c>
      <c r="F80" s="1056" t="s">
        <v>605</v>
      </c>
      <c r="G80" s="1056" t="str">
        <f t="shared" si="5"/>
        <v/>
      </c>
      <c r="I80" s="1056" t="str">
        <f t="shared" si="6"/>
        <v/>
      </c>
      <c r="J80" s="1058" t="s">
        <v>866</v>
      </c>
      <c r="K80" s="1076">
        <v>0.2</v>
      </c>
      <c r="L80" s="1056" t="str">
        <f t="shared" si="7"/>
        <v/>
      </c>
    </row>
    <row r="81" spans="1:12" ht="15" hidden="1" customHeight="1">
      <c r="A81" s="1051" t="str">
        <f t="shared" si="2"/>
        <v>FNA-SEG02.18</v>
      </c>
      <c r="B81" s="1056" t="str">
        <f t="shared" si="3"/>
        <v/>
      </c>
      <c r="C81" s="1056" t="s">
        <v>605</v>
      </c>
      <c r="D81" s="1056" t="str">
        <f t="shared" si="4"/>
        <v/>
      </c>
      <c r="E81" s="1056" t="str">
        <f t="shared" si="4"/>
        <v/>
      </c>
      <c r="F81" s="1056" t="s">
        <v>605</v>
      </c>
      <c r="G81" s="1056" t="str">
        <f t="shared" si="5"/>
        <v/>
      </c>
      <c r="I81" s="1056" t="str">
        <f t="shared" si="6"/>
        <v/>
      </c>
      <c r="J81" s="1058" t="s">
        <v>866</v>
      </c>
      <c r="K81" s="1076">
        <v>0.2</v>
      </c>
      <c r="L81" s="1056" t="str">
        <f t="shared" si="7"/>
        <v/>
      </c>
    </row>
    <row r="82" spans="1:12" ht="15" hidden="1" customHeight="1">
      <c r="A82" s="1051" t="str">
        <f t="shared" si="2"/>
        <v>FNA-SEG02.19</v>
      </c>
      <c r="B82" s="1056" t="str">
        <f t="shared" si="3"/>
        <v/>
      </c>
      <c r="C82" s="1056" t="s">
        <v>605</v>
      </c>
      <c r="D82" s="1056" t="str">
        <f t="shared" si="4"/>
        <v/>
      </c>
      <c r="E82" s="1056" t="str">
        <f t="shared" si="4"/>
        <v/>
      </c>
      <c r="F82" s="1056" t="s">
        <v>605</v>
      </c>
      <c r="G82" s="1056" t="str">
        <f t="shared" si="5"/>
        <v/>
      </c>
      <c r="I82" s="1056" t="str">
        <f t="shared" si="6"/>
        <v/>
      </c>
      <c r="J82" s="1058" t="s">
        <v>866</v>
      </c>
      <c r="K82" s="1076">
        <v>0.2</v>
      </c>
      <c r="L82" s="1056" t="str">
        <f t="shared" si="7"/>
        <v/>
      </c>
    </row>
    <row r="83" spans="1:12" ht="15" hidden="1" customHeight="1">
      <c r="A83" s="1051" t="str">
        <f t="shared" si="2"/>
        <v>FNA-SEG02.20</v>
      </c>
      <c r="B83" s="1056" t="str">
        <f t="shared" si="3"/>
        <v/>
      </c>
      <c r="C83" s="1056" t="s">
        <v>605</v>
      </c>
      <c r="D83" s="1056" t="str">
        <f t="shared" si="4"/>
        <v/>
      </c>
      <c r="E83" s="1056" t="str">
        <f t="shared" si="4"/>
        <v/>
      </c>
      <c r="F83" s="1056" t="s">
        <v>605</v>
      </c>
      <c r="G83" s="1056" t="str">
        <f t="shared" si="5"/>
        <v/>
      </c>
      <c r="I83" s="1056" t="str">
        <f t="shared" si="6"/>
        <v/>
      </c>
      <c r="J83" s="1058" t="s">
        <v>866</v>
      </c>
      <c r="K83" s="1076">
        <v>0.2</v>
      </c>
      <c r="L83" s="1056" t="str">
        <f t="shared" si="7"/>
        <v/>
      </c>
    </row>
    <row r="84" spans="1:12" ht="15" hidden="1" customHeight="1">
      <c r="A84" s="1055"/>
      <c r="B84" s="1056"/>
      <c r="C84" s="1056"/>
      <c r="D84" s="1056"/>
      <c r="E84" s="1056"/>
      <c r="F84" s="1056"/>
      <c r="G84" s="1056"/>
      <c r="I84" s="1056"/>
      <c r="J84" s="1058"/>
      <c r="K84" s="1076"/>
      <c r="L84" s="1056"/>
    </row>
    <row r="85" spans="1:12" ht="15" hidden="1" customHeight="1">
      <c r="A85" s="1055"/>
      <c r="B85" s="1056"/>
      <c r="C85" s="1056"/>
      <c r="D85" s="1056"/>
      <c r="E85" s="1056"/>
      <c r="F85" s="1056"/>
      <c r="G85" s="1056"/>
      <c r="I85" s="1056"/>
      <c r="J85" s="1058"/>
      <c r="K85" s="1076"/>
      <c r="L85" s="1056"/>
    </row>
    <row r="86" spans="1:12" ht="15" hidden="1" customHeight="1">
      <c r="A86" s="1055"/>
      <c r="B86" s="1056"/>
      <c r="C86" s="1056"/>
      <c r="D86" s="1056"/>
      <c r="E86" s="1056"/>
      <c r="F86" s="1056"/>
      <c r="G86" s="1056"/>
      <c r="I86" s="1056"/>
      <c r="J86" s="1058"/>
      <c r="K86" s="1076"/>
      <c r="L86" s="1056"/>
    </row>
    <row r="87" spans="1:12" ht="15" hidden="1" customHeight="1">
      <c r="A87" s="1055"/>
      <c r="B87" s="1056"/>
      <c r="C87" s="1056"/>
      <c r="D87" s="1056"/>
      <c r="E87" s="1056"/>
      <c r="F87" s="1056"/>
      <c r="G87" s="1056"/>
      <c r="I87" s="1056"/>
      <c r="J87" s="1058"/>
      <c r="K87" s="1076"/>
      <c r="L87" s="1056"/>
    </row>
    <row r="88" spans="1:12" ht="15" hidden="1" customHeight="1">
      <c r="A88" s="1055"/>
      <c r="B88" s="1056"/>
      <c r="C88" s="1056"/>
      <c r="D88" s="1056"/>
      <c r="E88" s="1056"/>
      <c r="F88" s="1056"/>
      <c r="G88" s="1056"/>
      <c r="I88" s="1056"/>
      <c r="J88" s="1058"/>
      <c r="K88" s="1076"/>
      <c r="L88" s="1056"/>
    </row>
    <row r="89" spans="1:12" ht="15" hidden="1" customHeight="1">
      <c r="A89" s="1055"/>
      <c r="B89" s="1056"/>
      <c r="C89" s="1056"/>
      <c r="D89" s="1056"/>
      <c r="E89" s="1056"/>
      <c r="F89" s="1056"/>
      <c r="G89" s="1056"/>
      <c r="I89" s="1056"/>
      <c r="J89" s="1058"/>
      <c r="K89" s="1076"/>
      <c r="L89" s="1056"/>
    </row>
    <row r="90" spans="1:12" ht="15" hidden="1" customHeight="1">
      <c r="A90" s="1055"/>
      <c r="B90" s="1056"/>
      <c r="C90" s="1056"/>
      <c r="D90" s="1056"/>
      <c r="E90" s="1056"/>
      <c r="F90" s="1056"/>
      <c r="G90" s="1056"/>
      <c r="I90" s="1056"/>
      <c r="J90" s="1058"/>
      <c r="K90" s="1076"/>
      <c r="L90" s="1056"/>
    </row>
    <row r="91" spans="1:12" ht="15" hidden="1" customHeight="1">
      <c r="A91" s="1055"/>
      <c r="B91" s="1056"/>
      <c r="C91" s="1056"/>
      <c r="D91" s="1056"/>
      <c r="E91" s="1056"/>
      <c r="F91" s="1056"/>
      <c r="G91" s="1056"/>
      <c r="I91" s="1058"/>
      <c r="J91" s="1058"/>
      <c r="K91" s="1058"/>
      <c r="L91" s="1077"/>
    </row>
    <row r="92" spans="1:12" ht="15" hidden="1" customHeight="1">
      <c r="A92" s="1055"/>
      <c r="B92" s="1056"/>
      <c r="C92" s="1056"/>
      <c r="D92" s="1056"/>
      <c r="E92" s="1056"/>
      <c r="F92" s="1056"/>
      <c r="G92" s="1056"/>
      <c r="I92" s="1058"/>
      <c r="J92" s="1058"/>
      <c r="K92" s="1058"/>
      <c r="L92" s="1077"/>
    </row>
    <row r="93" spans="1:12" ht="15" hidden="1" customHeight="1">
      <c r="A93" s="1055"/>
      <c r="B93" s="1056"/>
      <c r="C93" s="1056"/>
      <c r="D93" s="1056"/>
      <c r="E93" s="1056"/>
      <c r="F93" s="1056"/>
      <c r="G93" s="1056"/>
      <c r="I93" s="1058"/>
      <c r="J93" s="1058"/>
      <c r="K93" s="1058"/>
      <c r="L93" s="1077"/>
    </row>
    <row r="94" spans="1:12" ht="15" hidden="1" customHeight="1">
      <c r="A94" s="1055"/>
      <c r="B94" s="1056"/>
      <c r="C94" s="1056"/>
      <c r="D94" s="1056"/>
      <c r="E94" s="1056"/>
      <c r="F94" s="1056"/>
      <c r="G94" s="1056"/>
      <c r="I94" s="1058"/>
      <c r="J94" s="1058"/>
      <c r="K94" s="1058"/>
      <c r="L94" s="1077"/>
    </row>
    <row r="95" spans="1:12" ht="15" hidden="1" customHeight="1">
      <c r="A95" s="1055"/>
      <c r="B95" s="1056"/>
      <c r="C95" s="1056"/>
      <c r="D95" s="1056"/>
      <c r="E95" s="1056"/>
      <c r="F95" s="1056"/>
      <c r="G95" s="1056"/>
      <c r="I95" s="1058"/>
      <c r="J95" s="1058"/>
      <c r="K95" s="1058"/>
      <c r="L95" s="1077"/>
    </row>
    <row r="96" spans="1:12" ht="15" hidden="1" customHeight="1">
      <c r="A96" s="1055"/>
      <c r="B96" s="1056"/>
      <c r="C96" s="1056"/>
      <c r="D96" s="1056"/>
      <c r="E96" s="1056"/>
      <c r="F96" s="1056"/>
      <c r="G96" s="1056"/>
      <c r="I96" s="1058"/>
      <c r="J96" s="1058"/>
      <c r="K96" s="1058"/>
      <c r="L96" s="1077"/>
    </row>
    <row r="97" spans="1:12" ht="15" hidden="1" customHeight="1">
      <c r="A97" s="1055"/>
      <c r="B97" s="1056"/>
      <c r="C97" s="1056"/>
      <c r="D97" s="1056"/>
      <c r="E97" s="1056"/>
      <c r="F97" s="1056"/>
      <c r="G97" s="1056"/>
      <c r="I97" s="1058"/>
      <c r="J97" s="1058"/>
      <c r="K97" s="1058"/>
      <c r="L97" s="1077"/>
    </row>
    <row r="98" spans="1:12" ht="15" hidden="1" customHeight="1">
      <c r="A98" s="1055"/>
      <c r="B98" s="1056"/>
      <c r="C98" s="1056"/>
      <c r="D98" s="1056"/>
      <c r="E98" s="1056"/>
      <c r="F98" s="1056"/>
      <c r="G98" s="1056"/>
      <c r="I98" s="1058"/>
      <c r="J98" s="1058"/>
      <c r="K98" s="1058"/>
      <c r="L98" s="1077"/>
    </row>
    <row r="99" spans="1:12" ht="15" hidden="1" customHeight="1">
      <c r="A99" s="1055"/>
      <c r="B99" s="1056"/>
      <c r="C99" s="1056"/>
      <c r="D99" s="1056"/>
      <c r="E99" s="1056"/>
      <c r="F99" s="1056"/>
      <c r="G99" s="1056"/>
      <c r="I99" s="1058"/>
      <c r="J99" s="1058"/>
      <c r="K99" s="1058"/>
      <c r="L99" s="1077"/>
    </row>
    <row r="100" spans="1:12" ht="15" hidden="1" customHeight="1">
      <c r="A100" s="1055"/>
      <c r="B100" s="1056"/>
      <c r="C100" s="1056"/>
      <c r="D100" s="1056"/>
      <c r="E100" s="1056"/>
      <c r="F100" s="1056"/>
      <c r="G100" s="1056"/>
      <c r="I100" s="1058"/>
      <c r="J100" s="1058"/>
      <c r="K100" s="1058"/>
      <c r="L100" s="1077"/>
    </row>
    <row r="101" spans="1:12" ht="15" hidden="1" customHeight="1">
      <c r="A101" s="1055"/>
      <c r="B101" s="1056"/>
      <c r="C101" s="1056"/>
      <c r="D101" s="1056"/>
      <c r="E101" s="1056"/>
      <c r="F101" s="1056"/>
      <c r="G101" s="1056"/>
      <c r="I101" s="1058"/>
      <c r="J101" s="1058"/>
      <c r="K101" s="1058"/>
      <c r="L101" s="1077"/>
    </row>
    <row r="102" spans="1:12" ht="15" hidden="1" customHeight="1">
      <c r="A102" s="1055"/>
      <c r="B102" s="1056"/>
      <c r="C102" s="1056"/>
      <c r="D102" s="1056"/>
      <c r="E102" s="1056"/>
      <c r="F102" s="1056"/>
      <c r="G102" s="1056"/>
      <c r="I102" s="1058"/>
      <c r="J102" s="1058"/>
      <c r="K102" s="1058"/>
      <c r="L102" s="1077"/>
    </row>
    <row r="103" spans="1:12" ht="15" hidden="1" customHeight="1">
      <c r="A103" s="1055"/>
      <c r="B103" s="1056"/>
      <c r="C103" s="1056"/>
      <c r="D103" s="1056"/>
      <c r="E103" s="1056"/>
      <c r="F103" s="1056"/>
      <c r="G103" s="1056"/>
      <c r="I103" s="1058"/>
      <c r="J103" s="1058"/>
      <c r="K103" s="1058"/>
      <c r="L103" s="1077"/>
    </row>
    <row r="104" spans="1:12" ht="15" hidden="1" customHeight="1">
      <c r="A104" s="1055"/>
      <c r="B104" s="1056"/>
      <c r="C104" s="1056"/>
      <c r="D104" s="1056"/>
      <c r="E104" s="1056"/>
      <c r="F104" s="1056"/>
      <c r="G104" s="1056"/>
      <c r="I104" s="1058"/>
      <c r="J104" s="1058"/>
      <c r="K104" s="1058"/>
      <c r="L104" s="1077"/>
    </row>
    <row r="105" spans="1:12" ht="15" hidden="1" customHeight="1">
      <c r="A105" s="1055"/>
      <c r="B105" s="1056"/>
      <c r="C105" s="1056"/>
      <c r="D105" s="1056"/>
      <c r="E105" s="1056"/>
      <c r="F105" s="1056"/>
      <c r="G105" s="1056"/>
      <c r="I105" s="1058"/>
      <c r="J105" s="1058"/>
      <c r="K105" s="1058"/>
      <c r="L105" s="1077"/>
    </row>
    <row r="106" spans="1:12" ht="15" hidden="1" customHeight="1">
      <c r="A106" s="1055"/>
      <c r="B106" s="1056"/>
      <c r="C106" s="1056"/>
      <c r="D106" s="1056"/>
      <c r="E106" s="1056"/>
      <c r="F106" s="1056"/>
      <c r="G106" s="1056"/>
      <c r="I106" s="1058"/>
      <c r="J106" s="1058"/>
      <c r="K106" s="1058"/>
      <c r="L106" s="1077"/>
    </row>
    <row r="107" spans="1:12" ht="15" hidden="1" customHeight="1">
      <c r="A107" s="1055"/>
      <c r="B107" s="1056"/>
      <c r="C107" s="1056"/>
      <c r="D107" s="1056"/>
      <c r="E107" s="1056"/>
      <c r="F107" s="1056"/>
      <c r="G107" s="1056"/>
      <c r="I107" s="1058"/>
      <c r="J107" s="1058"/>
      <c r="K107" s="1058"/>
      <c r="L107" s="1077"/>
    </row>
    <row r="108" spans="1:12" ht="15" customHeight="1">
      <c r="A108" s="2095" t="s">
        <v>422</v>
      </c>
      <c r="B108" s="2095"/>
      <c r="C108" s="2095"/>
      <c r="D108" s="2095"/>
      <c r="E108" s="2095"/>
      <c r="F108" s="2095"/>
      <c r="G108" s="2095"/>
      <c r="H108" s="2095"/>
      <c r="I108" s="2095"/>
      <c r="J108" s="2095"/>
      <c r="K108" s="2095"/>
      <c r="L108" s="1059">
        <f>+SUM(L64:L107)</f>
        <v>5936.3700000000008</v>
      </c>
    </row>
    <row r="112" spans="1:12" ht="15" customHeight="1">
      <c r="A112" s="1931" t="s">
        <v>1047</v>
      </c>
      <c r="B112" s="1931"/>
      <c r="C112" s="1931"/>
      <c r="D112" s="1931"/>
      <c r="E112" s="1931"/>
      <c r="F112" s="1931"/>
      <c r="G112" s="1931"/>
      <c r="H112" s="1931"/>
      <c r="I112" s="1931"/>
      <c r="J112" s="1931"/>
      <c r="K112" s="1931"/>
      <c r="L112" s="1931"/>
    </row>
    <row r="113" spans="1:12" ht="15" customHeight="1">
      <c r="A113" s="2116" t="s">
        <v>1008</v>
      </c>
      <c r="B113" s="2118" t="s">
        <v>1009</v>
      </c>
      <c r="C113" s="2119"/>
      <c r="D113" s="2120"/>
      <c r="E113" s="2118" t="s">
        <v>1010</v>
      </c>
      <c r="F113" s="2119"/>
      <c r="G113" s="2120"/>
      <c r="H113" s="2116" t="s">
        <v>560</v>
      </c>
      <c r="I113" s="2116" t="s">
        <v>250</v>
      </c>
      <c r="J113" s="2116" t="s">
        <v>1011</v>
      </c>
      <c r="K113" s="2124" t="s">
        <v>1012</v>
      </c>
      <c r="L113" s="2116" t="s">
        <v>794</v>
      </c>
    </row>
    <row r="114" spans="1:12" ht="15" customHeight="1">
      <c r="A114" s="2117"/>
      <c r="B114" s="2121"/>
      <c r="C114" s="2122"/>
      <c r="D114" s="2123"/>
      <c r="E114" s="2121"/>
      <c r="F114" s="2122"/>
      <c r="G114" s="2123"/>
      <c r="H114" s="2117"/>
      <c r="I114" s="2117"/>
      <c r="J114" s="2117"/>
      <c r="K114" s="2125"/>
      <c r="L114" s="2117"/>
    </row>
    <row r="115" spans="1:12" ht="15" customHeight="1">
      <c r="A115" s="1051" t="s">
        <v>813</v>
      </c>
      <c r="B115" s="1052" t="s">
        <v>627</v>
      </c>
      <c r="C115" s="1052" t="s">
        <v>605</v>
      </c>
      <c r="D115" s="1052">
        <v>0</v>
      </c>
      <c r="E115" s="1052" t="s">
        <v>658</v>
      </c>
      <c r="F115" s="1052" t="s">
        <v>605</v>
      </c>
      <c r="G115" s="1052">
        <v>0</v>
      </c>
      <c r="H115" s="1053">
        <v>0.10000000000000003</v>
      </c>
      <c r="I115" s="1054">
        <v>180</v>
      </c>
      <c r="J115" s="1054" t="s">
        <v>1013</v>
      </c>
      <c r="K115" s="1054">
        <v>0.2</v>
      </c>
      <c r="L115" s="1054">
        <v>533.00999999999988</v>
      </c>
    </row>
    <row r="116" spans="1:12" ht="15" customHeight="1">
      <c r="A116" s="1051" t="s">
        <v>818</v>
      </c>
      <c r="B116" s="1052" t="s">
        <v>665</v>
      </c>
      <c r="C116" s="1052" t="s">
        <v>605</v>
      </c>
      <c r="D116" s="1052">
        <v>10</v>
      </c>
      <c r="E116" s="1052" t="s">
        <v>672</v>
      </c>
      <c r="F116" s="1052" t="s">
        <v>605</v>
      </c>
      <c r="G116" s="1052">
        <v>10</v>
      </c>
      <c r="H116" s="1053">
        <v>9.9999999999999992E-2</v>
      </c>
      <c r="I116" s="1054">
        <v>40</v>
      </c>
      <c r="J116" s="1054" t="s">
        <v>1013</v>
      </c>
      <c r="K116" s="1054">
        <v>0.2</v>
      </c>
      <c r="L116" s="1054">
        <v>76.34</v>
      </c>
    </row>
    <row r="117" spans="1:12" ht="15" customHeight="1">
      <c r="A117" s="1055" t="s">
        <v>824</v>
      </c>
      <c r="B117" s="1056" t="s">
        <v>680</v>
      </c>
      <c r="C117" s="1056" t="s">
        <v>605</v>
      </c>
      <c r="D117" s="1056">
        <v>10</v>
      </c>
      <c r="E117" s="1056" t="s">
        <v>683</v>
      </c>
      <c r="F117" s="1056" t="s">
        <v>605</v>
      </c>
      <c r="G117" s="1056">
        <v>0</v>
      </c>
      <c r="H117" s="1057">
        <v>0.1</v>
      </c>
      <c r="I117" s="1058">
        <v>10</v>
      </c>
      <c r="J117" s="1058" t="s">
        <v>1013</v>
      </c>
      <c r="K117" s="1058">
        <v>0.2</v>
      </c>
      <c r="L117" s="1058">
        <v>27.92</v>
      </c>
    </row>
    <row r="118" spans="1:12" ht="15" customHeight="1">
      <c r="A118" s="1055" t="s">
        <v>826</v>
      </c>
      <c r="B118" s="1056" t="s">
        <v>689</v>
      </c>
      <c r="C118" s="1056" t="s">
        <v>605</v>
      </c>
      <c r="D118" s="1056">
        <v>0</v>
      </c>
      <c r="E118" s="1056" t="s">
        <v>689</v>
      </c>
      <c r="F118" s="1056" t="s">
        <v>605</v>
      </c>
      <c r="G118" s="1056">
        <v>10</v>
      </c>
      <c r="H118" s="1057">
        <v>0.1</v>
      </c>
      <c r="I118" s="1058">
        <v>10</v>
      </c>
      <c r="J118" s="1058" t="s">
        <v>1013</v>
      </c>
      <c r="K118" s="1058">
        <v>0.2</v>
      </c>
      <c r="L118" s="1058">
        <v>28.76</v>
      </c>
    </row>
    <row r="119" spans="1:12" ht="15" customHeight="1">
      <c r="A119" s="1055" t="s">
        <v>828</v>
      </c>
      <c r="B119" s="1056" t="s">
        <v>695</v>
      </c>
      <c r="C119" s="1056" t="s">
        <v>605</v>
      </c>
      <c r="D119" s="1056">
        <v>0</v>
      </c>
      <c r="E119" s="1056" t="s">
        <v>695</v>
      </c>
      <c r="F119" s="1056" t="s">
        <v>605</v>
      </c>
      <c r="G119" s="1056">
        <v>10</v>
      </c>
      <c r="H119" s="1057">
        <v>0.1</v>
      </c>
      <c r="I119" s="1058">
        <v>10</v>
      </c>
      <c r="J119" s="1058" t="s">
        <v>1013</v>
      </c>
      <c r="K119" s="1058">
        <v>0.2</v>
      </c>
      <c r="L119" s="1058">
        <v>28.76</v>
      </c>
    </row>
    <row r="120" spans="1:12" ht="15" customHeight="1">
      <c r="A120" s="1055" t="s">
        <v>830</v>
      </c>
      <c r="B120" s="1056" t="s">
        <v>701</v>
      </c>
      <c r="C120" s="1056" t="s">
        <v>605</v>
      </c>
      <c r="D120" s="1056">
        <v>10</v>
      </c>
      <c r="E120" s="1056" t="s">
        <v>701</v>
      </c>
      <c r="F120" s="1056" t="s">
        <v>605</v>
      </c>
      <c r="G120" s="1056">
        <v>10</v>
      </c>
      <c r="H120" s="1057">
        <v>0.1</v>
      </c>
      <c r="I120" s="1058">
        <v>0</v>
      </c>
      <c r="J120" s="1058" t="s">
        <v>1013</v>
      </c>
      <c r="K120" s="1058">
        <v>0.2</v>
      </c>
      <c r="L120" s="1058">
        <v>14.38</v>
      </c>
    </row>
    <row r="121" spans="1:12" ht="15" customHeight="1">
      <c r="A121" s="1055" t="s">
        <v>835</v>
      </c>
      <c r="B121" s="1056" t="s">
        <v>713</v>
      </c>
      <c r="C121" s="1056" t="s">
        <v>605</v>
      </c>
      <c r="D121" s="1056">
        <v>0</v>
      </c>
      <c r="E121" s="1056" t="s">
        <v>722</v>
      </c>
      <c r="F121" s="1056" t="s">
        <v>605</v>
      </c>
      <c r="G121" s="1056">
        <v>0</v>
      </c>
      <c r="H121" s="1057">
        <v>9.9999999999999992E-2</v>
      </c>
      <c r="I121" s="1058">
        <v>60</v>
      </c>
      <c r="J121" s="1058" t="s">
        <v>1013</v>
      </c>
      <c r="K121" s="1058">
        <v>0.2</v>
      </c>
      <c r="L121" s="1058">
        <v>123.82000000000001</v>
      </c>
    </row>
    <row r="122" spans="1:12" ht="15" customHeight="1">
      <c r="A122" s="1051" t="s">
        <v>837</v>
      </c>
      <c r="B122" s="1052" t="s">
        <v>724</v>
      </c>
      <c r="C122" s="1052" t="s">
        <v>605</v>
      </c>
      <c r="D122" s="1052">
        <v>0</v>
      </c>
      <c r="E122" s="1052" t="s">
        <v>734</v>
      </c>
      <c r="F122" s="1052" t="s">
        <v>605</v>
      </c>
      <c r="G122" s="1052">
        <v>10</v>
      </c>
      <c r="H122" s="1053">
        <v>9.9999999999999992E-2</v>
      </c>
      <c r="I122" s="1054">
        <v>70</v>
      </c>
      <c r="J122" s="1054" t="s">
        <v>1013</v>
      </c>
      <c r="K122" s="1054">
        <v>0.2</v>
      </c>
      <c r="L122" s="1054">
        <v>142.56</v>
      </c>
    </row>
    <row r="123" spans="1:12" ht="15" customHeight="1">
      <c r="A123" s="1051" t="s">
        <v>845</v>
      </c>
      <c r="B123" s="1052" t="s">
        <v>743</v>
      </c>
      <c r="C123" s="1052" t="s">
        <v>605</v>
      </c>
      <c r="D123" s="1052">
        <v>0</v>
      </c>
      <c r="E123" s="1052" t="s">
        <v>758</v>
      </c>
      <c r="F123" s="1052" t="s">
        <v>605</v>
      </c>
      <c r="G123" s="1052">
        <v>0</v>
      </c>
      <c r="H123" s="1053">
        <v>9.9999999999999992E-2</v>
      </c>
      <c r="I123" s="1054">
        <v>100</v>
      </c>
      <c r="J123" s="1054" t="s">
        <v>1013</v>
      </c>
      <c r="K123" s="1054">
        <v>0.2</v>
      </c>
      <c r="L123" s="1054">
        <v>166.32</v>
      </c>
    </row>
    <row r="124" spans="1:12" ht="15" hidden="1" customHeight="1">
      <c r="A124" s="1055" t="s">
        <v>1048</v>
      </c>
      <c r="B124" s="1056" t="str">
        <f>IFERROR(INDEX('Modelo 2.0 - Cubação'!$A$7:$A$119,MATCH($A124,'Modelo 2.0 - Cubação'!$BF$7:$BF$119,0)),"")</f>
        <v/>
      </c>
      <c r="C124" s="1056" t="s">
        <v>605</v>
      </c>
      <c r="D124" s="1056" t="str">
        <f>IFERROR(INDEX('Modelo 2.0 - Cubação'!$C$7:$C$119,MATCH($A124,'Modelo 2.0 - Cubação'!$BF$7:$BF$119,0)),"")</f>
        <v/>
      </c>
      <c r="E124" s="1056" t="str">
        <f>IFERROR(INDEX('Modelo 2.0 - Cubação'!$A$7:$A$119,MATCH($A124,'Modelo 2.0 - Cubação'!$BH$7:$BH$119,0)),"")</f>
        <v/>
      </c>
      <c r="F124" s="1056" t="s">
        <v>605</v>
      </c>
      <c r="G124" s="1056" t="str">
        <f>IFERROR(INDEX('Modelo 2.0 - Cubação'!$C$7:$C$119,MATCH($A124,'Modelo 2.0 - Cubação'!$BH$7:$BH$119,0)),"")</f>
        <v/>
      </c>
      <c r="H124" s="1057">
        <f>IFERROR(AVERAGEIFS('Modelo 2.0 - Cubação'!$CO$7:$CO$116,
'Modelo 2.0 - Cubação'!$CP$7:$CP$116,"&gt;="&amp;(INDEX('Modelo 2.0 - Cubação'!$CP$7:$CP$116,MATCH(A124,'Modelo 2.0 - Cubação'!$BF$7:$BF$116,0))),
'Modelo 2.0 - Cubação'!$CP$7:$CP$116,"&lt;="&amp;(INDEX('Modelo 2.0 - Cubação'!$CP$7:$CP$116,MATCH(A124,'Modelo 2.0 - Cubação'!$BH$7:$BH$116,0)))),0)</f>
        <v>0</v>
      </c>
      <c r="I124" s="1058" t="str">
        <f t="shared" ref="I124:I140" si="8">IFERROR((E124*20+G124)-(B124*20+D124),"")</f>
        <v/>
      </c>
      <c r="J124" s="1058" t="s">
        <v>1013</v>
      </c>
      <c r="K124" s="1058">
        <v>0.2</v>
      </c>
      <c r="L124" s="1058" t="str">
        <f>IFERROR(INDEX('Modelo 2.0 - Cubação'!$BK$7:$BK$119,MATCH($A124,'Modelo 2.0 - Cubação'!$BH$7:$BH$119,0)),"")</f>
        <v/>
      </c>
    </row>
    <row r="125" spans="1:12" ht="15" hidden="1" customHeight="1">
      <c r="A125" s="1055" t="s">
        <v>1049</v>
      </c>
      <c r="B125" s="1056" t="str">
        <f>IFERROR(INDEX('Modelo 2.0 - Cubação'!$A$7:$A$119,MATCH($A125,'Modelo 2.0 - Cubação'!$BF$7:$BF$119,0)),"")</f>
        <v/>
      </c>
      <c r="C125" s="1056" t="s">
        <v>605</v>
      </c>
      <c r="D125" s="1056" t="str">
        <f>IFERROR(INDEX('Modelo 2.0 - Cubação'!$C$7:$C$119,MATCH($A125,'Modelo 2.0 - Cubação'!$BF$7:$BF$119,0)),"")</f>
        <v/>
      </c>
      <c r="E125" s="1056" t="str">
        <f>IFERROR(INDEX('Modelo 2.0 - Cubação'!$A$7:$A$119,MATCH($A125,'Modelo 2.0 - Cubação'!$BH$7:$BH$119,0)),"")</f>
        <v/>
      </c>
      <c r="F125" s="1056" t="s">
        <v>605</v>
      </c>
      <c r="G125" s="1056" t="str">
        <f>IFERROR(INDEX('Modelo 2.0 - Cubação'!$C$7:$C$119,MATCH($A125,'Modelo 2.0 - Cubação'!$BH$7:$BH$119,0)),"")</f>
        <v/>
      </c>
      <c r="H125" s="1057">
        <f>IFERROR(AVERAGEIFS('Modelo 2.0 - Cubação'!$CO$7:$CO$116,
'Modelo 2.0 - Cubação'!$CP$7:$CP$116,"&gt;="&amp;(INDEX('Modelo 2.0 - Cubação'!$CP$7:$CP$116,MATCH(A125,'Modelo 2.0 - Cubação'!$BF$7:$BF$116,0))),
'Modelo 2.0 - Cubação'!$CP$7:$CP$116,"&lt;="&amp;(INDEX('Modelo 2.0 - Cubação'!$CP$7:$CP$116,MATCH(A125,'Modelo 2.0 - Cubação'!$BH$7:$BH$116,0)))),0)</f>
        <v>0</v>
      </c>
      <c r="I125" s="1058" t="str">
        <f t="shared" si="8"/>
        <v/>
      </c>
      <c r="J125" s="1058" t="s">
        <v>1013</v>
      </c>
      <c r="K125" s="1058">
        <v>0.2</v>
      </c>
      <c r="L125" s="1058" t="str">
        <f>IFERROR(INDEX('Modelo 2.0 - Cubação'!$BK$7:$BK$119,MATCH($A125,'Modelo 2.0 - Cubação'!$BH$7:$BH$119,0)),"")</f>
        <v/>
      </c>
    </row>
    <row r="126" spans="1:12" ht="15" hidden="1" customHeight="1">
      <c r="A126" s="1055" t="s">
        <v>1050</v>
      </c>
      <c r="B126" s="1056" t="str">
        <f>IFERROR(INDEX('Modelo 2.0 - Cubação'!$A$7:$A$119,MATCH($A126,'Modelo 2.0 - Cubação'!$BF$7:$BF$119,0)),"")</f>
        <v/>
      </c>
      <c r="C126" s="1056" t="s">
        <v>605</v>
      </c>
      <c r="D126" s="1056" t="str">
        <f>IFERROR(INDEX('Modelo 2.0 - Cubação'!$C$7:$C$119,MATCH($A126,'Modelo 2.0 - Cubação'!$BF$7:$BF$119,0)),"")</f>
        <v/>
      </c>
      <c r="E126" s="1056" t="str">
        <f>IFERROR(INDEX('Modelo 2.0 - Cubação'!$A$7:$A$119,MATCH($A126,'Modelo 2.0 - Cubação'!$BH$7:$BH$119,0)),"")</f>
        <v/>
      </c>
      <c r="F126" s="1056" t="s">
        <v>605</v>
      </c>
      <c r="G126" s="1056" t="str">
        <f>IFERROR(INDEX('Modelo 2.0 - Cubação'!$C$7:$C$119,MATCH($A126,'Modelo 2.0 - Cubação'!$BH$7:$BH$119,0)),"")</f>
        <v/>
      </c>
      <c r="H126" s="1057">
        <f>IFERROR(AVERAGEIFS('Modelo 2.0 - Cubação'!$CO$7:$CO$116,
'Modelo 2.0 - Cubação'!$CP$7:$CP$116,"&gt;="&amp;(INDEX('Modelo 2.0 - Cubação'!$CP$7:$CP$116,MATCH(A126,'Modelo 2.0 - Cubação'!$BF$7:$BF$116,0))),
'Modelo 2.0 - Cubação'!$CP$7:$CP$116,"&lt;="&amp;(INDEX('Modelo 2.0 - Cubação'!$CP$7:$CP$116,MATCH(A126,'Modelo 2.0 - Cubação'!$BH$7:$BH$116,0)))),0)</f>
        <v>0</v>
      </c>
      <c r="I126" s="1058" t="str">
        <f t="shared" si="8"/>
        <v/>
      </c>
      <c r="J126" s="1058" t="s">
        <v>1013</v>
      </c>
      <c r="K126" s="1058">
        <v>0.2</v>
      </c>
      <c r="L126" s="1058" t="str">
        <f>IFERROR(INDEX('Modelo 2.0 - Cubação'!$BK$7:$BK$119,MATCH($A126,'Modelo 2.0 - Cubação'!$BH$7:$BH$119,0)),"")</f>
        <v/>
      </c>
    </row>
    <row r="127" spans="1:12" ht="15" hidden="1" customHeight="1">
      <c r="A127" s="1055" t="s">
        <v>1051</v>
      </c>
      <c r="B127" s="1056" t="str">
        <f>IFERROR(INDEX('Modelo 2.0 - Cubação'!$A$7:$A$119,MATCH($A127,'Modelo 2.0 - Cubação'!$BF$7:$BF$119,0)),"")</f>
        <v/>
      </c>
      <c r="C127" s="1056" t="s">
        <v>605</v>
      </c>
      <c r="D127" s="1056" t="str">
        <f>IFERROR(INDEX('Modelo 2.0 - Cubação'!$C$7:$C$119,MATCH($A127,'Modelo 2.0 - Cubação'!$BF$7:$BF$119,0)),"")</f>
        <v/>
      </c>
      <c r="E127" s="1056" t="str">
        <f>IFERROR(INDEX('Modelo 2.0 - Cubação'!$A$7:$A$119,MATCH($A127,'Modelo 2.0 - Cubação'!$BH$7:$BH$119,0)),"")</f>
        <v/>
      </c>
      <c r="F127" s="1056" t="s">
        <v>605</v>
      </c>
      <c r="G127" s="1056" t="str">
        <f>IFERROR(INDEX('Modelo 2.0 - Cubação'!$C$7:$C$119,MATCH($A127,'Modelo 2.0 - Cubação'!$BH$7:$BH$119,0)),"")</f>
        <v/>
      </c>
      <c r="H127" s="1057">
        <f>IFERROR(AVERAGEIFS('Modelo 2.0 - Cubação'!$CO$7:$CO$116,
'Modelo 2.0 - Cubação'!$CP$7:$CP$116,"&gt;="&amp;(INDEX('Modelo 2.0 - Cubação'!$CP$7:$CP$116,MATCH(A127,'Modelo 2.0 - Cubação'!$BF$7:$BF$116,0))),
'Modelo 2.0 - Cubação'!$CP$7:$CP$116,"&lt;="&amp;(INDEX('Modelo 2.0 - Cubação'!$CP$7:$CP$116,MATCH(A127,'Modelo 2.0 - Cubação'!$BH$7:$BH$116,0)))),0)</f>
        <v>0</v>
      </c>
      <c r="I127" s="1058" t="str">
        <f t="shared" si="8"/>
        <v/>
      </c>
      <c r="J127" s="1058" t="s">
        <v>1013</v>
      </c>
      <c r="K127" s="1058">
        <v>0.2</v>
      </c>
      <c r="L127" s="1058" t="str">
        <f>IFERROR(INDEX('Modelo 2.0 - Cubação'!$BK$7:$BK$119,MATCH($A127,'Modelo 2.0 - Cubação'!$BH$7:$BH$119,0)),"")</f>
        <v/>
      </c>
    </row>
    <row r="128" spans="1:12" ht="15" hidden="1" customHeight="1">
      <c r="A128" s="1055" t="s">
        <v>1052</v>
      </c>
      <c r="B128" s="1056" t="str">
        <f>IFERROR(INDEX('Modelo 2.0 - Cubação'!$A$7:$A$119,MATCH($A128,'Modelo 2.0 - Cubação'!$BF$7:$BF$119,0)),"")</f>
        <v/>
      </c>
      <c r="C128" s="1056" t="s">
        <v>605</v>
      </c>
      <c r="D128" s="1056" t="str">
        <f>IFERROR(INDEX('Modelo 2.0 - Cubação'!$C$7:$C$119,MATCH($A128,'Modelo 2.0 - Cubação'!$BF$7:$BF$119,0)),"")</f>
        <v/>
      </c>
      <c r="E128" s="1056" t="str">
        <f>IFERROR(INDEX('Modelo 2.0 - Cubação'!$A$7:$A$119,MATCH($A128,'Modelo 2.0 - Cubação'!$BH$7:$BH$119,0)),"")</f>
        <v/>
      </c>
      <c r="F128" s="1056" t="s">
        <v>605</v>
      </c>
      <c r="G128" s="1056" t="str">
        <f>IFERROR(INDEX('Modelo 2.0 - Cubação'!$C$7:$C$119,MATCH($A128,'Modelo 2.0 - Cubação'!$BH$7:$BH$119,0)),"")</f>
        <v/>
      </c>
      <c r="H128" s="1057">
        <f>IFERROR(AVERAGEIFS('Modelo 2.0 - Cubação'!$CO$7:$CO$116,
'Modelo 2.0 - Cubação'!$CP$7:$CP$116,"&gt;="&amp;(INDEX('Modelo 2.0 - Cubação'!$CP$7:$CP$116,MATCH(A128,'Modelo 2.0 - Cubação'!$BF$7:$BF$116,0))),
'Modelo 2.0 - Cubação'!$CP$7:$CP$116,"&lt;="&amp;(INDEX('Modelo 2.0 - Cubação'!$CP$7:$CP$116,MATCH(A128,'Modelo 2.0 - Cubação'!$BH$7:$BH$116,0)))),0)</f>
        <v>0</v>
      </c>
      <c r="I128" s="1058" t="str">
        <f t="shared" si="8"/>
        <v/>
      </c>
      <c r="J128" s="1058" t="s">
        <v>1013</v>
      </c>
      <c r="K128" s="1058">
        <v>0.2</v>
      </c>
      <c r="L128" s="1058" t="str">
        <f>IFERROR(INDEX('Modelo 2.0 - Cubação'!$BK$7:$BK$119,MATCH($A128,'Modelo 2.0 - Cubação'!$BH$7:$BH$119,0)),"")</f>
        <v/>
      </c>
    </row>
    <row r="129" spans="1:12" ht="15" hidden="1" customHeight="1">
      <c r="A129" s="1055" t="s">
        <v>1053</v>
      </c>
      <c r="B129" s="1056" t="str">
        <f>IFERROR(INDEX('Modelo 2.0 - Cubação'!$A$7:$A$119,MATCH($A129,'Modelo 2.0 - Cubação'!$BF$7:$BF$119,0)),"")</f>
        <v/>
      </c>
      <c r="C129" s="1056" t="s">
        <v>605</v>
      </c>
      <c r="D129" s="1056" t="str">
        <f>IFERROR(INDEX('Modelo 2.0 - Cubação'!$C$7:$C$119,MATCH($A129,'Modelo 2.0 - Cubação'!$BF$7:$BF$119,0)),"")</f>
        <v/>
      </c>
      <c r="E129" s="1056" t="str">
        <f>IFERROR(INDEX('Modelo 2.0 - Cubação'!$A$7:$A$119,MATCH($A129,'Modelo 2.0 - Cubação'!$BH$7:$BH$119,0)),"")</f>
        <v/>
      </c>
      <c r="F129" s="1056" t="s">
        <v>605</v>
      </c>
      <c r="G129" s="1056" t="str">
        <f>IFERROR(INDEX('Modelo 2.0 - Cubação'!$C$7:$C$119,MATCH($A129,'Modelo 2.0 - Cubação'!$BH$7:$BH$119,0)),"")</f>
        <v/>
      </c>
      <c r="H129" s="1057">
        <f>IFERROR(AVERAGEIFS('Modelo 2.0 - Cubação'!$CO$7:$CO$116,
'Modelo 2.0 - Cubação'!$CP$7:$CP$116,"&gt;="&amp;(INDEX('Modelo 2.0 - Cubação'!$CP$7:$CP$116,MATCH(A129,'Modelo 2.0 - Cubação'!$BF$7:$BF$116,0))),
'Modelo 2.0 - Cubação'!$CP$7:$CP$116,"&lt;="&amp;(INDEX('Modelo 2.0 - Cubação'!$CP$7:$CP$116,MATCH(A129,'Modelo 2.0 - Cubação'!$BH$7:$BH$116,0)))),0)</f>
        <v>0</v>
      </c>
      <c r="I129" s="1058" t="str">
        <f t="shared" si="8"/>
        <v/>
      </c>
      <c r="J129" s="1058" t="s">
        <v>1013</v>
      </c>
      <c r="K129" s="1058">
        <v>0.2</v>
      </c>
      <c r="L129" s="1058" t="str">
        <f>IFERROR(INDEX('Modelo 2.0 - Cubação'!$BK$7:$BK$119,MATCH($A129,'Modelo 2.0 - Cubação'!$BH$7:$BH$119,0)),"")</f>
        <v/>
      </c>
    </row>
    <row r="130" spans="1:12" ht="15" hidden="1" customHeight="1">
      <c r="A130" s="1055" t="s">
        <v>1054</v>
      </c>
      <c r="B130" s="1056" t="str">
        <f>IFERROR(INDEX('Modelo 2.0 - Cubação'!$A$7:$A$119,MATCH($A130,'Modelo 2.0 - Cubação'!$BF$7:$BF$119,0)),"")</f>
        <v/>
      </c>
      <c r="C130" s="1056" t="s">
        <v>605</v>
      </c>
      <c r="D130" s="1056" t="str">
        <f>IFERROR(INDEX('Modelo 2.0 - Cubação'!$C$7:$C$119,MATCH($A130,'Modelo 2.0 - Cubação'!$BF$7:$BF$119,0)),"")</f>
        <v/>
      </c>
      <c r="E130" s="1056" t="str">
        <f>IFERROR(INDEX('Modelo 2.0 - Cubação'!$A$7:$A$119,MATCH($A130,'Modelo 2.0 - Cubação'!$BH$7:$BH$119,0)),"")</f>
        <v/>
      </c>
      <c r="F130" s="1056" t="s">
        <v>605</v>
      </c>
      <c r="G130" s="1056" t="str">
        <f>IFERROR(INDEX('Modelo 2.0 - Cubação'!$C$7:$C$119,MATCH($A130,'Modelo 2.0 - Cubação'!$BH$7:$BH$119,0)),"")</f>
        <v/>
      </c>
      <c r="H130" s="1057">
        <f>IFERROR(AVERAGEIFS('Modelo 2.0 - Cubação'!$CO$7:$CO$116,
'Modelo 2.0 - Cubação'!$CP$7:$CP$116,"&gt;="&amp;(INDEX('Modelo 2.0 - Cubação'!$CP$7:$CP$116,MATCH(A130,'Modelo 2.0 - Cubação'!$BF$7:$BF$116,0))),
'Modelo 2.0 - Cubação'!$CP$7:$CP$116,"&lt;="&amp;(INDEX('Modelo 2.0 - Cubação'!$CP$7:$CP$116,MATCH(A130,'Modelo 2.0 - Cubação'!$BH$7:$BH$116,0)))),0)</f>
        <v>0</v>
      </c>
      <c r="I130" s="1058" t="str">
        <f t="shared" si="8"/>
        <v/>
      </c>
      <c r="J130" s="1058" t="s">
        <v>1013</v>
      </c>
      <c r="K130" s="1058">
        <v>0.2</v>
      </c>
      <c r="L130" s="1058" t="str">
        <f>IFERROR(INDEX('Modelo 2.0 - Cubação'!$BK$7:$BK$119,MATCH($A130,'Modelo 2.0 - Cubação'!$BH$7:$BH$119,0)),"")</f>
        <v/>
      </c>
    </row>
    <row r="131" spans="1:12" ht="15" hidden="1" customHeight="1">
      <c r="A131" s="1055" t="s">
        <v>1055</v>
      </c>
      <c r="B131" s="1056" t="str">
        <f>IFERROR(INDEX('Modelo 2.0 - Cubação'!$A$7:$A$119,MATCH($A131,'Modelo 2.0 - Cubação'!$BF$7:$BF$119,0)),"")</f>
        <v/>
      </c>
      <c r="C131" s="1056" t="s">
        <v>605</v>
      </c>
      <c r="D131" s="1056" t="str">
        <f>IFERROR(INDEX('Modelo 2.0 - Cubação'!$C$7:$C$119,MATCH($A131,'Modelo 2.0 - Cubação'!$BF$7:$BF$119,0)),"")</f>
        <v/>
      </c>
      <c r="E131" s="1056" t="str">
        <f>IFERROR(INDEX('Modelo 2.0 - Cubação'!$A$7:$A$119,MATCH($A131,'Modelo 2.0 - Cubação'!$BH$7:$BH$119,0)),"")</f>
        <v/>
      </c>
      <c r="F131" s="1056" t="s">
        <v>605</v>
      </c>
      <c r="G131" s="1056" t="str">
        <f>IFERROR(INDEX('Modelo 2.0 - Cubação'!$C$7:$C$119,MATCH($A131,'Modelo 2.0 - Cubação'!$BH$7:$BH$119,0)),"")</f>
        <v/>
      </c>
      <c r="H131" s="1057">
        <f>IFERROR(AVERAGEIFS('Modelo 2.0 - Cubação'!$CO$7:$CO$116,
'Modelo 2.0 - Cubação'!$CP$7:$CP$116,"&gt;="&amp;(INDEX('Modelo 2.0 - Cubação'!$CP$7:$CP$116,MATCH(A131,'Modelo 2.0 - Cubação'!$BF$7:$BF$116,0))),
'Modelo 2.0 - Cubação'!$CP$7:$CP$116,"&lt;="&amp;(INDEX('Modelo 2.0 - Cubação'!$CP$7:$CP$116,MATCH(A131,'Modelo 2.0 - Cubação'!$BH$7:$BH$116,0)))),0)</f>
        <v>0</v>
      </c>
      <c r="I131" s="1058" t="str">
        <f t="shared" si="8"/>
        <v/>
      </c>
      <c r="J131" s="1058" t="s">
        <v>1013</v>
      </c>
      <c r="K131" s="1058">
        <v>0.2</v>
      </c>
      <c r="L131" s="1058" t="str">
        <f>IFERROR(INDEX('Modelo 2.0 - Cubação'!$BK$7:$BK$119,MATCH($A131,'Modelo 2.0 - Cubação'!$BH$7:$BH$119,0)),"")</f>
        <v/>
      </c>
    </row>
    <row r="132" spans="1:12" ht="15" hidden="1" customHeight="1">
      <c r="A132" s="1055" t="s">
        <v>1056</v>
      </c>
      <c r="B132" s="1056" t="str">
        <f>IFERROR(INDEX('Modelo 2.0 - Cubação'!$A$7:$A$119,MATCH($A132,'Modelo 2.0 - Cubação'!$BF$7:$BF$119,0)),"")</f>
        <v/>
      </c>
      <c r="C132" s="1056" t="s">
        <v>605</v>
      </c>
      <c r="D132" s="1056" t="str">
        <f>IFERROR(INDEX('Modelo 2.0 - Cubação'!$C$7:$C$119,MATCH($A132,'Modelo 2.0 - Cubação'!$BF$7:$BF$119,0)),"")</f>
        <v/>
      </c>
      <c r="E132" s="1056" t="str">
        <f>IFERROR(INDEX('Modelo 2.0 - Cubação'!$A$7:$A$119,MATCH($A132,'Modelo 2.0 - Cubação'!$BH$7:$BH$119,0)),"")</f>
        <v/>
      </c>
      <c r="F132" s="1056" t="s">
        <v>605</v>
      </c>
      <c r="G132" s="1056" t="str">
        <f>IFERROR(INDEX('Modelo 2.0 - Cubação'!$C$7:$C$119,MATCH($A132,'Modelo 2.0 - Cubação'!$BH$7:$BH$119,0)),"")</f>
        <v/>
      </c>
      <c r="H132" s="1057">
        <f>IFERROR(AVERAGEIFS('Modelo 2.0 - Cubação'!$CO$7:$CO$116,
'Modelo 2.0 - Cubação'!$CP$7:$CP$116,"&gt;="&amp;(INDEX('Modelo 2.0 - Cubação'!$CP$7:$CP$116,MATCH(A132,'Modelo 2.0 - Cubação'!$BF$7:$BF$116,0))),
'Modelo 2.0 - Cubação'!$CP$7:$CP$116,"&lt;="&amp;(INDEX('Modelo 2.0 - Cubação'!$CP$7:$CP$116,MATCH(A132,'Modelo 2.0 - Cubação'!$BH$7:$BH$116,0)))),0)</f>
        <v>0</v>
      </c>
      <c r="I132" s="1058" t="str">
        <f t="shared" si="8"/>
        <v/>
      </c>
      <c r="J132" s="1058" t="s">
        <v>1013</v>
      </c>
      <c r="K132" s="1058">
        <v>0.2</v>
      </c>
      <c r="L132" s="1058" t="str">
        <f>IFERROR(INDEX('Modelo 2.0 - Cubação'!$BK$7:$BK$119,MATCH($A132,'Modelo 2.0 - Cubação'!$BH$7:$BH$119,0)),"")</f>
        <v/>
      </c>
    </row>
    <row r="133" spans="1:12" ht="15" hidden="1" customHeight="1">
      <c r="A133" s="1055" t="s">
        <v>1057</v>
      </c>
      <c r="B133" s="1056" t="str">
        <f>IFERROR(INDEX('Modelo 2.0 - Cubação'!$A$7:$A$119,MATCH($A133,'Modelo 2.0 - Cubação'!$BF$7:$BF$119,0)),"")</f>
        <v/>
      </c>
      <c r="C133" s="1056" t="s">
        <v>605</v>
      </c>
      <c r="D133" s="1056" t="str">
        <f>IFERROR(INDEX('Modelo 2.0 - Cubação'!$C$7:$C$119,MATCH($A133,'Modelo 2.0 - Cubação'!$BF$7:$BF$119,0)),"")</f>
        <v/>
      </c>
      <c r="E133" s="1056" t="str">
        <f>IFERROR(INDEX('Modelo 2.0 - Cubação'!$A$7:$A$119,MATCH($A133,'Modelo 2.0 - Cubação'!$BH$7:$BH$119,0)),"")</f>
        <v/>
      </c>
      <c r="F133" s="1056" t="s">
        <v>605</v>
      </c>
      <c r="G133" s="1056" t="str">
        <f>IFERROR(INDEX('Modelo 2.0 - Cubação'!$C$7:$C$119,MATCH($A133,'Modelo 2.0 - Cubação'!$BH$7:$BH$119,0)),"")</f>
        <v/>
      </c>
      <c r="H133" s="1057">
        <f>IFERROR(AVERAGEIFS('Modelo 2.0 - Cubação'!$CO$7:$CO$116,
'Modelo 2.0 - Cubação'!$CP$7:$CP$116,"&gt;="&amp;(INDEX('Modelo 2.0 - Cubação'!$CP$7:$CP$116,MATCH(A133,'Modelo 2.0 - Cubação'!$BF$7:$BF$116,0))),
'Modelo 2.0 - Cubação'!$CP$7:$CP$116,"&lt;="&amp;(INDEX('Modelo 2.0 - Cubação'!$CP$7:$CP$116,MATCH(A133,'Modelo 2.0 - Cubação'!$BH$7:$BH$116,0)))),0)</f>
        <v>0</v>
      </c>
      <c r="I133" s="1058" t="str">
        <f t="shared" si="8"/>
        <v/>
      </c>
      <c r="J133" s="1058" t="s">
        <v>1013</v>
      </c>
      <c r="K133" s="1058">
        <v>0.2</v>
      </c>
      <c r="L133" s="1058" t="str">
        <f>IFERROR(INDEX('Modelo 2.0 - Cubação'!$BK$7:$BK$119,MATCH($A133,'Modelo 2.0 - Cubação'!$BH$7:$BH$119,0)),"")</f>
        <v/>
      </c>
    </row>
    <row r="134" spans="1:12" ht="15" hidden="1" customHeight="1">
      <c r="A134" s="1055" t="s">
        <v>1058</v>
      </c>
      <c r="B134" s="1056" t="str">
        <f>IFERROR(INDEX('Modelo 2.0 - Cubação'!$A$7:$A$119,MATCH($A134,'Modelo 2.0 - Cubação'!$BF$7:$BF$119,0)),"")</f>
        <v/>
      </c>
      <c r="C134" s="1056" t="s">
        <v>605</v>
      </c>
      <c r="D134" s="1056" t="str">
        <f>IFERROR(INDEX('Modelo 2.0 - Cubação'!$C$7:$C$119,MATCH($A134,'Modelo 2.0 - Cubação'!$BF$7:$BF$119,0)),"")</f>
        <v/>
      </c>
      <c r="E134" s="1056" t="str">
        <f>IFERROR(INDEX('Modelo 2.0 - Cubação'!$A$7:$A$119,MATCH($A134,'Modelo 2.0 - Cubação'!$BH$7:$BH$119,0)),"")</f>
        <v/>
      </c>
      <c r="F134" s="1056" t="s">
        <v>605</v>
      </c>
      <c r="G134" s="1056" t="str">
        <f>IFERROR(INDEX('Modelo 2.0 - Cubação'!$C$7:$C$119,MATCH($A134,'Modelo 2.0 - Cubação'!$BH$7:$BH$119,0)),"")</f>
        <v/>
      </c>
      <c r="H134" s="1057">
        <f>IFERROR(AVERAGEIFS('Modelo 2.0 - Cubação'!$CO$7:$CO$116,
'Modelo 2.0 - Cubação'!$CP$7:$CP$116,"&gt;="&amp;(INDEX('Modelo 2.0 - Cubação'!$CP$7:$CP$116,MATCH(A134,'Modelo 2.0 - Cubação'!$BF$7:$BF$116,0))),
'Modelo 2.0 - Cubação'!$CP$7:$CP$116,"&lt;="&amp;(INDEX('Modelo 2.0 - Cubação'!$CP$7:$CP$116,MATCH(A134,'Modelo 2.0 - Cubação'!$BH$7:$BH$116,0)))),0)</f>
        <v>0</v>
      </c>
      <c r="I134" s="1058" t="str">
        <f t="shared" si="8"/>
        <v/>
      </c>
      <c r="J134" s="1058" t="s">
        <v>1013</v>
      </c>
      <c r="K134" s="1058">
        <v>0.2</v>
      </c>
      <c r="L134" s="1058" t="str">
        <f>IFERROR(INDEX('Modelo 2.0 - Cubação'!$BK$7:$BK$119,MATCH($A134,'Modelo 2.0 - Cubação'!$BH$7:$BH$119,0)),"")</f>
        <v/>
      </c>
    </row>
    <row r="135" spans="1:12" ht="15" hidden="1" customHeight="1">
      <c r="A135" s="1055" t="s">
        <v>1059</v>
      </c>
      <c r="B135" s="1056" t="str">
        <f>IFERROR(INDEX('Modelo 2.0 - Cubação'!$A$7:$A$119,MATCH($A135,'Modelo 2.0 - Cubação'!$BF$7:$BF$119,0)),"")</f>
        <v/>
      </c>
      <c r="C135" s="1056" t="s">
        <v>605</v>
      </c>
      <c r="D135" s="1056" t="str">
        <f>IFERROR(INDEX('Modelo 2.0 - Cubação'!$C$7:$C$119,MATCH($A135,'Modelo 2.0 - Cubação'!$BF$7:$BF$119,0)),"")</f>
        <v/>
      </c>
      <c r="E135" s="1056" t="str">
        <f>IFERROR(INDEX('Modelo 2.0 - Cubação'!$A$7:$A$119,MATCH($A135,'Modelo 2.0 - Cubação'!$BH$7:$BH$119,0)),"")</f>
        <v/>
      </c>
      <c r="F135" s="1056" t="s">
        <v>605</v>
      </c>
      <c r="G135" s="1056" t="str">
        <f>IFERROR(INDEX('Modelo 2.0 - Cubação'!$C$7:$C$119,MATCH($A135,'Modelo 2.0 - Cubação'!$BH$7:$BH$119,0)),"")</f>
        <v/>
      </c>
      <c r="H135" s="1057">
        <f>IFERROR(AVERAGEIFS('Modelo 2.0 - Cubação'!$CO$7:$CO$116,
'Modelo 2.0 - Cubação'!$CP$7:$CP$116,"&gt;="&amp;(INDEX('Modelo 2.0 - Cubação'!$CP$7:$CP$116,MATCH(A135,'Modelo 2.0 - Cubação'!$BF$7:$BF$116,0))),
'Modelo 2.0 - Cubação'!$CP$7:$CP$116,"&lt;="&amp;(INDEX('Modelo 2.0 - Cubação'!$CP$7:$CP$116,MATCH(A135,'Modelo 2.0 - Cubação'!$BH$7:$BH$116,0)))),0)</f>
        <v>0</v>
      </c>
      <c r="I135" s="1058" t="str">
        <f t="shared" si="8"/>
        <v/>
      </c>
      <c r="J135" s="1058" t="s">
        <v>1013</v>
      </c>
      <c r="K135" s="1058">
        <v>0.2</v>
      </c>
      <c r="L135" s="1058" t="str">
        <f>IFERROR(INDEX('Modelo 2.0 - Cubação'!$BK$7:$BK$119,MATCH($A135,'Modelo 2.0 - Cubação'!$BH$7:$BH$119,0)),"")</f>
        <v/>
      </c>
    </row>
    <row r="136" spans="1:12" ht="15" hidden="1" customHeight="1">
      <c r="A136" s="1055" t="s">
        <v>1060</v>
      </c>
      <c r="B136" s="1056" t="str">
        <f>IFERROR(INDEX('Modelo 2.0 - Cubação'!$A$7:$A$119,MATCH($A136,'Modelo 2.0 - Cubação'!$BF$7:$BF$119,0)),"")</f>
        <v/>
      </c>
      <c r="C136" s="1056" t="s">
        <v>605</v>
      </c>
      <c r="D136" s="1056" t="str">
        <f>IFERROR(INDEX('Modelo 2.0 - Cubação'!$C$7:$C$119,MATCH($A136,'Modelo 2.0 - Cubação'!$BF$7:$BF$119,0)),"")</f>
        <v/>
      </c>
      <c r="E136" s="1056" t="str">
        <f>IFERROR(INDEX('Modelo 2.0 - Cubação'!$A$7:$A$119,MATCH($A136,'Modelo 2.0 - Cubação'!$BH$7:$BH$119,0)),"")</f>
        <v/>
      </c>
      <c r="F136" s="1056" t="s">
        <v>605</v>
      </c>
      <c r="G136" s="1056" t="str">
        <f>IFERROR(INDEX('Modelo 2.0 - Cubação'!$C$7:$C$119,MATCH($A136,'Modelo 2.0 - Cubação'!$BH$7:$BH$119,0)),"")</f>
        <v/>
      </c>
      <c r="H136" s="1057">
        <f>IFERROR(AVERAGEIFS('Modelo 2.0 - Cubação'!$CO$7:$CO$116,
'Modelo 2.0 - Cubação'!$CP$7:$CP$116,"&gt;="&amp;(INDEX('Modelo 2.0 - Cubação'!$CP$7:$CP$116,MATCH(A136,'Modelo 2.0 - Cubação'!$BF$7:$BF$116,0))),
'Modelo 2.0 - Cubação'!$CP$7:$CP$116,"&lt;="&amp;(INDEX('Modelo 2.0 - Cubação'!$CP$7:$CP$116,MATCH(A136,'Modelo 2.0 - Cubação'!$BH$7:$BH$116,0)))),0)</f>
        <v>0</v>
      </c>
      <c r="I136" s="1058" t="str">
        <f t="shared" si="8"/>
        <v/>
      </c>
      <c r="J136" s="1058" t="s">
        <v>1013</v>
      </c>
      <c r="K136" s="1058">
        <v>0.2</v>
      </c>
      <c r="L136" s="1058" t="str">
        <f>IFERROR(INDEX('Modelo 2.0 - Cubação'!$BK$7:$BK$119,MATCH($A136,'Modelo 2.0 - Cubação'!$BH$7:$BH$119,0)),"")</f>
        <v/>
      </c>
    </row>
    <row r="137" spans="1:12" ht="15" hidden="1" customHeight="1">
      <c r="A137" s="1055" t="s">
        <v>1061</v>
      </c>
      <c r="B137" s="1056" t="str">
        <f>IFERROR(INDEX('Modelo 2.0 - Cubação'!$A$7:$A$119,MATCH($A137,'Modelo 2.0 - Cubação'!$BF$7:$BF$119,0)),"")</f>
        <v/>
      </c>
      <c r="C137" s="1056" t="s">
        <v>605</v>
      </c>
      <c r="D137" s="1056" t="str">
        <f>IFERROR(INDEX('Modelo 2.0 - Cubação'!$C$7:$C$119,MATCH($A137,'Modelo 2.0 - Cubação'!$BF$7:$BF$119,0)),"")</f>
        <v/>
      </c>
      <c r="E137" s="1056" t="str">
        <f>IFERROR(INDEX('Modelo 2.0 - Cubação'!$A$7:$A$119,MATCH($A137,'Modelo 2.0 - Cubação'!$BH$7:$BH$119,0)),"")</f>
        <v/>
      </c>
      <c r="F137" s="1056" t="s">
        <v>605</v>
      </c>
      <c r="G137" s="1056" t="str">
        <f>IFERROR(INDEX('Modelo 2.0 - Cubação'!$C$7:$C$119,MATCH($A137,'Modelo 2.0 - Cubação'!$BH$7:$BH$119,0)),"")</f>
        <v/>
      </c>
      <c r="H137" s="1057">
        <f>IFERROR(AVERAGEIFS('Modelo 2.0 - Cubação'!$CO$7:$CO$116,
'Modelo 2.0 - Cubação'!$CP$7:$CP$116,"&gt;="&amp;(INDEX('Modelo 2.0 - Cubação'!$CP$7:$CP$116,MATCH(A137,'Modelo 2.0 - Cubação'!$BF$7:$BF$116,0))),
'Modelo 2.0 - Cubação'!$CP$7:$CP$116,"&lt;="&amp;(INDEX('Modelo 2.0 - Cubação'!$CP$7:$CP$116,MATCH(A137,'Modelo 2.0 - Cubação'!$BH$7:$BH$116,0)))),0)</f>
        <v>0</v>
      </c>
      <c r="I137" s="1058" t="str">
        <f t="shared" si="8"/>
        <v/>
      </c>
      <c r="J137" s="1058" t="s">
        <v>1013</v>
      </c>
      <c r="K137" s="1058">
        <v>0.2</v>
      </c>
      <c r="L137" s="1058" t="str">
        <f>IFERROR(INDEX('Modelo 2.0 - Cubação'!$BK$7:$BK$119,MATCH($A137,'Modelo 2.0 - Cubação'!$BH$7:$BH$119,0)),"")</f>
        <v/>
      </c>
    </row>
    <row r="138" spans="1:12" ht="15" hidden="1" customHeight="1">
      <c r="A138" s="1055" t="s">
        <v>1062</v>
      </c>
      <c r="B138" s="1056" t="str">
        <f>IFERROR(INDEX('Modelo 2.0 - Cubação'!$A$7:$A$119,MATCH($A138,'Modelo 2.0 - Cubação'!$BF$7:$BF$119,0)),"")</f>
        <v/>
      </c>
      <c r="C138" s="1056" t="s">
        <v>605</v>
      </c>
      <c r="D138" s="1056" t="str">
        <f>IFERROR(INDEX('Modelo 2.0 - Cubação'!$C$7:$C$119,MATCH($A138,'Modelo 2.0 - Cubação'!$BF$7:$BF$119,0)),"")</f>
        <v/>
      </c>
      <c r="E138" s="1056" t="str">
        <f>IFERROR(INDEX('Modelo 2.0 - Cubação'!$A$7:$A$119,MATCH($A138,'Modelo 2.0 - Cubação'!$BH$7:$BH$119,0)),"")</f>
        <v/>
      </c>
      <c r="F138" s="1056" t="s">
        <v>605</v>
      </c>
      <c r="G138" s="1056" t="str">
        <f>IFERROR(INDEX('Modelo 2.0 - Cubação'!$C$7:$C$119,MATCH($A138,'Modelo 2.0 - Cubação'!$BH$7:$BH$119,0)),"")</f>
        <v/>
      </c>
      <c r="H138" s="1057">
        <f>IFERROR(AVERAGEIFS('Modelo 2.0 - Cubação'!$CO$7:$CO$116,
'Modelo 2.0 - Cubação'!$CP$7:$CP$116,"&gt;="&amp;(INDEX('Modelo 2.0 - Cubação'!$CP$7:$CP$116,MATCH(A138,'Modelo 2.0 - Cubação'!$BF$7:$BF$116,0))),
'Modelo 2.0 - Cubação'!$CP$7:$CP$116,"&lt;="&amp;(INDEX('Modelo 2.0 - Cubação'!$CP$7:$CP$116,MATCH(A138,'Modelo 2.0 - Cubação'!$BH$7:$BH$116,0)))),0)</f>
        <v>0</v>
      </c>
      <c r="I138" s="1058" t="str">
        <f t="shared" si="8"/>
        <v/>
      </c>
      <c r="J138" s="1058" t="s">
        <v>1013</v>
      </c>
      <c r="K138" s="1058">
        <v>0.2</v>
      </c>
      <c r="L138" s="1058" t="str">
        <f>IFERROR(INDEX('Modelo 2.0 - Cubação'!$BK$7:$BK$119,MATCH($A138,'Modelo 2.0 - Cubação'!$BH$7:$BH$119,0)),"")</f>
        <v/>
      </c>
    </row>
    <row r="139" spans="1:12" ht="15" hidden="1" customHeight="1">
      <c r="A139" s="1055" t="s">
        <v>1063</v>
      </c>
      <c r="B139" s="1056" t="str">
        <f>IFERROR(INDEX('Modelo 2.0 - Cubação'!$A$7:$A$119,MATCH($A139,'Modelo 2.0 - Cubação'!$BF$7:$BF$119,0)),"")</f>
        <v/>
      </c>
      <c r="C139" s="1056" t="s">
        <v>605</v>
      </c>
      <c r="D139" s="1056" t="str">
        <f>IFERROR(INDEX('Modelo 2.0 - Cubação'!$C$7:$C$119,MATCH($A139,'Modelo 2.0 - Cubação'!$BF$7:$BF$119,0)),"")</f>
        <v/>
      </c>
      <c r="E139" s="1056" t="str">
        <f>IFERROR(INDEX('Modelo 2.0 - Cubação'!$A$7:$A$119,MATCH($A139,'Modelo 2.0 - Cubação'!$BH$7:$BH$119,0)),"")</f>
        <v/>
      </c>
      <c r="F139" s="1056" t="s">
        <v>605</v>
      </c>
      <c r="G139" s="1056" t="str">
        <f>IFERROR(INDEX('Modelo 2.0 - Cubação'!$C$7:$C$119,MATCH($A139,'Modelo 2.0 - Cubação'!$BH$7:$BH$119,0)),"")</f>
        <v/>
      </c>
      <c r="H139" s="1057">
        <f>IFERROR(AVERAGEIFS('Modelo 2.0 - Cubação'!$CO$7:$CO$116,
'Modelo 2.0 - Cubação'!$CP$7:$CP$116,"&gt;="&amp;(INDEX('Modelo 2.0 - Cubação'!$CP$7:$CP$116,MATCH(A139,'Modelo 2.0 - Cubação'!$BF$7:$BF$116,0))),
'Modelo 2.0 - Cubação'!$CP$7:$CP$116,"&lt;="&amp;(INDEX('Modelo 2.0 - Cubação'!$CP$7:$CP$116,MATCH(A139,'Modelo 2.0 - Cubação'!$BH$7:$BH$116,0)))),0)</f>
        <v>0</v>
      </c>
      <c r="I139" s="1058" t="str">
        <f t="shared" si="8"/>
        <v/>
      </c>
      <c r="J139" s="1058" t="s">
        <v>1013</v>
      </c>
      <c r="K139" s="1058">
        <v>0.2</v>
      </c>
      <c r="L139" s="1058" t="str">
        <f>IFERROR(INDEX('Modelo 2.0 - Cubação'!$BK$7:$BK$119,MATCH($A139,'Modelo 2.0 - Cubação'!$BH$7:$BH$119,0)),"")</f>
        <v/>
      </c>
    </row>
    <row r="140" spans="1:12" ht="15" hidden="1" customHeight="1">
      <c r="A140" s="1055" t="s">
        <v>1064</v>
      </c>
      <c r="B140" s="1056" t="str">
        <f>IFERROR(INDEX('Modelo 2.0 - Cubação'!$A$7:$A$119,MATCH($A140,'Modelo 2.0 - Cubação'!$BF$7:$BF$119,0)),"")</f>
        <v/>
      </c>
      <c r="C140" s="1056" t="s">
        <v>605</v>
      </c>
      <c r="D140" s="1056" t="str">
        <f>IFERROR(INDEX('Modelo 2.0 - Cubação'!$C$7:$C$119,MATCH($A140,'Modelo 2.0 - Cubação'!$BF$7:$BF$119,0)),"")</f>
        <v/>
      </c>
      <c r="E140" s="1056" t="str">
        <f>IFERROR(INDEX('Modelo 2.0 - Cubação'!$A$7:$A$119,MATCH($A140,'Modelo 2.0 - Cubação'!$BH$7:$BH$119,0)),"")</f>
        <v/>
      </c>
      <c r="F140" s="1056" t="s">
        <v>605</v>
      </c>
      <c r="G140" s="1056" t="str">
        <f>IFERROR(INDEX('Modelo 2.0 - Cubação'!$C$7:$C$119,MATCH($A140,'Modelo 2.0 - Cubação'!$BH$7:$BH$119,0)),"")</f>
        <v/>
      </c>
      <c r="H140" s="1057">
        <f>IFERROR(AVERAGEIFS('Modelo 2.0 - Cubação'!$CO$7:$CO$116,
'Modelo 2.0 - Cubação'!$CP$7:$CP$116,"&gt;="&amp;(INDEX('Modelo 2.0 - Cubação'!$CP$7:$CP$116,MATCH(A140,'Modelo 2.0 - Cubação'!$BF$7:$BF$116,0))),
'Modelo 2.0 - Cubação'!$CP$7:$CP$116,"&lt;="&amp;(INDEX('Modelo 2.0 - Cubação'!$CP$7:$CP$116,MATCH(A140,'Modelo 2.0 - Cubação'!$BH$7:$BH$116,0)))),0)</f>
        <v>0</v>
      </c>
      <c r="I140" s="1058" t="str">
        <f t="shared" si="8"/>
        <v/>
      </c>
      <c r="J140" s="1058" t="s">
        <v>1013</v>
      </c>
      <c r="K140" s="1058">
        <v>0.2</v>
      </c>
      <c r="L140" s="1058" t="str">
        <f>IFERROR(INDEX('Modelo 2.0 - Cubação'!$BK$7:$BK$119,MATCH($A140,'Modelo 2.0 - Cubação'!$BH$7:$BH$119,0)),"")</f>
        <v/>
      </c>
    </row>
    <row r="141" spans="1:12" ht="15" customHeight="1">
      <c r="A141" s="2107" t="s">
        <v>422</v>
      </c>
      <c r="B141" s="2108"/>
      <c r="C141" s="2108"/>
      <c r="D141" s="2108"/>
      <c r="E141" s="2108"/>
      <c r="F141" s="2108"/>
      <c r="G141" s="2108"/>
      <c r="H141" s="2108"/>
      <c r="I141" s="2108"/>
      <c r="J141" s="2108"/>
      <c r="K141" s="2109"/>
      <c r="L141" s="1059">
        <f>+SUM(L115:L140)</f>
        <v>1141.8699999999999</v>
      </c>
    </row>
    <row r="143" spans="1:12" ht="15" hidden="1" customHeight="1">
      <c r="A143" s="2096" t="s">
        <v>1065</v>
      </c>
      <c r="B143" s="2096"/>
      <c r="C143" s="2096"/>
      <c r="D143" s="2096"/>
      <c r="E143" s="2096"/>
      <c r="F143" s="2096"/>
      <c r="G143" s="2096"/>
      <c r="H143" s="2096"/>
      <c r="I143" s="2096"/>
      <c r="J143" s="2096"/>
      <c r="K143" s="2096"/>
      <c r="L143" s="2096"/>
    </row>
    <row r="144" spans="1:12" ht="15" hidden="1" customHeight="1">
      <c r="A144" s="2097" t="s">
        <v>1008</v>
      </c>
      <c r="B144" s="1078"/>
      <c r="C144" s="1078"/>
      <c r="D144" s="1078"/>
      <c r="E144" s="1078"/>
      <c r="F144" s="1078"/>
      <c r="G144" s="1078"/>
      <c r="H144" s="2097" t="s">
        <v>560</v>
      </c>
      <c r="I144" s="2097" t="s">
        <v>250</v>
      </c>
      <c r="J144" s="2097" t="s">
        <v>1011</v>
      </c>
      <c r="K144" s="2105" t="s">
        <v>1012</v>
      </c>
      <c r="L144" s="2097" t="s">
        <v>794</v>
      </c>
    </row>
    <row r="145" spans="1:12" ht="15" hidden="1" customHeight="1">
      <c r="A145" s="2098"/>
      <c r="B145" s="1079"/>
      <c r="C145" s="1079"/>
      <c r="D145" s="1079"/>
      <c r="E145" s="1079"/>
      <c r="F145" s="1079"/>
      <c r="G145" s="1079"/>
      <c r="H145" s="2098"/>
      <c r="I145" s="2098"/>
      <c r="J145" s="2098"/>
      <c r="K145" s="2106"/>
      <c r="L145" s="2098"/>
    </row>
    <row r="146" spans="1:12" ht="15" hidden="1" customHeight="1">
      <c r="A146" s="1055" t="s">
        <v>1066</v>
      </c>
      <c r="B146" s="1056" t="str">
        <f>IFERROR(INDEX('Modelo 2.0 - Cubação'!$A$7:$A$119,MATCH($A146,'Modelo 2.0 - Cubação'!$BF$7:$BF$119,0)),"")</f>
        <v/>
      </c>
      <c r="C146" s="1056" t="s">
        <v>605</v>
      </c>
      <c r="D146" s="1056" t="str">
        <f>IFERROR(INDEX('Modelo 2.0 - Cubação'!$C$7:$C$119,MATCH($A146,'Modelo 2.0 - Cubação'!$BF$7:$BF$119,0)),"")</f>
        <v/>
      </c>
      <c r="E146" s="1056" t="str">
        <f>IFERROR(INDEX('Modelo 2.0 - Cubação'!$A$7:$A$119,MATCH($A146,'Modelo 2.0 - Cubação'!$BH$7:$BH$119,0)),"")</f>
        <v/>
      </c>
      <c r="F146" s="1056" t="s">
        <v>605</v>
      </c>
      <c r="G146" s="1056" t="str">
        <f>IFERROR(INDEX('Modelo 2.0 - Cubação'!$C$7:$C$119,MATCH($A146,'Modelo 2.0 - Cubação'!$BH$7:$BH$119,0)),"")</f>
        <v/>
      </c>
      <c r="H146" s="1057">
        <f>IFERROR(AVERAGEIFS('Modelo 2.0 - Cubação'!$CO$7:$CO$116,
'Modelo 2.0 - Cubação'!$CP$7:$CP$116,"&gt;="&amp;(INDEX('Modelo 2.0 - Cubação'!$CP$7:$CP$116,MATCH(A146,'Modelo 2.0 - Cubação'!$BF$7:$BF$116,0))),
'Modelo 2.0 - Cubação'!$CP$7:$CP$116,"&lt;="&amp;(INDEX('Modelo 2.0 - Cubação'!$CP$7:$CP$116,MATCH(A146,'Modelo 2.0 - Cubação'!$BH$7:$BH$116,0)))),0)</f>
        <v>0</v>
      </c>
      <c r="I146" s="1058" t="str">
        <f t="shared" ref="I146:I162" si="9">IFERROR((E146*20+G146)-(B146*20+D146),"")</f>
        <v/>
      </c>
      <c r="J146" s="1058" t="s">
        <v>1013</v>
      </c>
      <c r="K146" s="1058">
        <v>0.6</v>
      </c>
      <c r="L146" s="1058" t="str">
        <f>IFERROR(INDEX('Modelo 2.0 - Cubação'!$BK$7:$BK$119,MATCH($A146,'Modelo 2.0 - Cubação'!$BH$7:$BH$119,0)),"")</f>
        <v/>
      </c>
    </row>
    <row r="147" spans="1:12" ht="15" hidden="1" customHeight="1">
      <c r="A147" s="1055" t="s">
        <v>1067</v>
      </c>
      <c r="B147" s="1056" t="str">
        <f>IFERROR(INDEX('Modelo 2.0 - Cubação'!$A$7:$A$119,MATCH($A147,'Modelo 2.0 - Cubação'!$BF$7:$BF$119,0)),"")</f>
        <v/>
      </c>
      <c r="C147" s="1056" t="s">
        <v>605</v>
      </c>
      <c r="D147" s="1056" t="str">
        <f>IFERROR(INDEX('Modelo 2.0 - Cubação'!$C$7:$C$119,MATCH($A147,'Modelo 2.0 - Cubação'!$BF$7:$BF$119,0)),"")</f>
        <v/>
      </c>
      <c r="E147" s="1056" t="str">
        <f>IFERROR(INDEX('Modelo 2.0 - Cubação'!$A$7:$A$119,MATCH($A147,'Modelo 2.0 - Cubação'!$BH$7:$BH$119,0)),"")</f>
        <v/>
      </c>
      <c r="F147" s="1056" t="s">
        <v>605</v>
      </c>
      <c r="G147" s="1056" t="str">
        <f>IFERROR(INDEX('Modelo 2.0 - Cubação'!$C$7:$C$119,MATCH($A147,'Modelo 2.0 - Cubação'!$BH$7:$BH$119,0)),"")</f>
        <v/>
      </c>
      <c r="H147" s="1057">
        <f>IFERROR(AVERAGEIFS('Modelo 2.0 - Cubação'!$CO$7:$CO$116,
'Modelo 2.0 - Cubação'!$CP$7:$CP$116,"&gt;="&amp;(INDEX('Modelo 2.0 - Cubação'!$CP$7:$CP$116,MATCH(A147,'Modelo 2.0 - Cubação'!$BF$7:$BF$116,0))),
'Modelo 2.0 - Cubação'!$CP$7:$CP$116,"&lt;="&amp;(INDEX('Modelo 2.0 - Cubação'!$CP$7:$CP$116,MATCH(A147,'Modelo 2.0 - Cubação'!$BH$7:$BH$116,0)))),0)</f>
        <v>0</v>
      </c>
      <c r="I147" s="1058" t="str">
        <f t="shared" si="9"/>
        <v/>
      </c>
      <c r="J147" s="1058" t="s">
        <v>1013</v>
      </c>
      <c r="K147" s="1058">
        <v>0.6</v>
      </c>
      <c r="L147" s="1058" t="str">
        <f>IFERROR(INDEX('Modelo 2.0 - Cubação'!$BK$7:$BK$119,MATCH($A147,'Modelo 2.0 - Cubação'!$BH$7:$BH$119,0)),"")</f>
        <v/>
      </c>
    </row>
    <row r="148" spans="1:12" ht="15" hidden="1" customHeight="1">
      <c r="A148" s="1055" t="s">
        <v>1068</v>
      </c>
      <c r="B148" s="1056" t="str">
        <f>IFERROR(INDEX('Modelo 2.0 - Cubação'!$A$7:$A$119,MATCH($A148,'Modelo 2.0 - Cubação'!$BF$7:$BF$119,0)),"")</f>
        <v/>
      </c>
      <c r="C148" s="1056" t="s">
        <v>605</v>
      </c>
      <c r="D148" s="1056" t="str">
        <f>IFERROR(INDEX('Modelo 2.0 - Cubação'!$C$7:$C$119,MATCH($A148,'Modelo 2.0 - Cubação'!$BF$7:$BF$119,0)),"")</f>
        <v/>
      </c>
      <c r="E148" s="1056" t="str">
        <f>IFERROR(INDEX('Modelo 2.0 - Cubação'!$A$7:$A$119,MATCH($A148,'Modelo 2.0 - Cubação'!$BH$7:$BH$119,0)),"")</f>
        <v/>
      </c>
      <c r="F148" s="1056" t="s">
        <v>605</v>
      </c>
      <c r="G148" s="1056" t="str">
        <f>IFERROR(INDEX('Modelo 2.0 - Cubação'!$C$7:$C$119,MATCH($A148,'Modelo 2.0 - Cubação'!$BH$7:$BH$119,0)),"")</f>
        <v/>
      </c>
      <c r="H148" s="1057">
        <f>IFERROR(AVERAGEIFS('Modelo 2.0 - Cubação'!$CO$7:$CO$116,
'Modelo 2.0 - Cubação'!$CP$7:$CP$116,"&gt;="&amp;(INDEX('Modelo 2.0 - Cubação'!$CP$7:$CP$116,MATCH(A148,'Modelo 2.0 - Cubação'!$BF$7:$BF$116,0))),
'Modelo 2.0 - Cubação'!$CP$7:$CP$116,"&lt;="&amp;(INDEX('Modelo 2.0 - Cubação'!$CP$7:$CP$116,MATCH(A148,'Modelo 2.0 - Cubação'!$BH$7:$BH$116,0)))),0)</f>
        <v>0</v>
      </c>
      <c r="I148" s="1058" t="str">
        <f t="shared" si="9"/>
        <v/>
      </c>
      <c r="J148" s="1058" t="s">
        <v>1013</v>
      </c>
      <c r="K148" s="1058">
        <v>0.6</v>
      </c>
      <c r="L148" s="1058" t="str">
        <f>IFERROR(INDEX('Modelo 2.0 - Cubação'!$BK$7:$BK$119,MATCH($A148,'Modelo 2.0 - Cubação'!$BH$7:$BH$119,0)),"")</f>
        <v/>
      </c>
    </row>
    <row r="149" spans="1:12" ht="15" hidden="1" customHeight="1">
      <c r="A149" s="1055" t="s">
        <v>1069</v>
      </c>
      <c r="B149" s="1056" t="str">
        <f>IFERROR(INDEX('Modelo 2.0 - Cubação'!$A$7:$A$119,MATCH($A149,'Modelo 2.0 - Cubação'!$BF$7:$BF$119,0)),"")</f>
        <v/>
      </c>
      <c r="C149" s="1056" t="s">
        <v>605</v>
      </c>
      <c r="D149" s="1056" t="str">
        <f>IFERROR(INDEX('Modelo 2.0 - Cubação'!$C$7:$C$119,MATCH($A149,'Modelo 2.0 - Cubação'!$BF$7:$BF$119,0)),"")</f>
        <v/>
      </c>
      <c r="E149" s="1056" t="str">
        <f>IFERROR(INDEX('Modelo 2.0 - Cubação'!$A$7:$A$119,MATCH($A149,'Modelo 2.0 - Cubação'!$BH$7:$BH$119,0)),"")</f>
        <v/>
      </c>
      <c r="F149" s="1056" t="s">
        <v>605</v>
      </c>
      <c r="G149" s="1056" t="str">
        <f>IFERROR(INDEX('Modelo 2.0 - Cubação'!$C$7:$C$119,MATCH($A149,'Modelo 2.0 - Cubação'!$BH$7:$BH$119,0)),"")</f>
        <v/>
      </c>
      <c r="H149" s="1057">
        <f>IFERROR(AVERAGEIFS('Modelo 2.0 - Cubação'!$CO$7:$CO$116,
'Modelo 2.0 - Cubação'!$CP$7:$CP$116,"&gt;="&amp;(INDEX('Modelo 2.0 - Cubação'!$CP$7:$CP$116,MATCH(A149,'Modelo 2.0 - Cubação'!$BF$7:$BF$116,0))),
'Modelo 2.0 - Cubação'!$CP$7:$CP$116,"&lt;="&amp;(INDEX('Modelo 2.0 - Cubação'!$CP$7:$CP$116,MATCH(A149,'Modelo 2.0 - Cubação'!$BH$7:$BH$116,0)))),0)</f>
        <v>0</v>
      </c>
      <c r="I149" s="1058" t="str">
        <f t="shared" si="9"/>
        <v/>
      </c>
      <c r="J149" s="1058" t="s">
        <v>1013</v>
      </c>
      <c r="K149" s="1058">
        <v>0.6</v>
      </c>
      <c r="L149" s="1058" t="str">
        <f>IFERROR(INDEX('Modelo 2.0 - Cubação'!$BK$7:$BK$119,MATCH($A149,'Modelo 2.0 - Cubação'!$BH$7:$BH$119,0)),"")</f>
        <v/>
      </c>
    </row>
    <row r="150" spans="1:12" ht="15" hidden="1" customHeight="1">
      <c r="A150" s="1055" t="s">
        <v>1070</v>
      </c>
      <c r="B150" s="1056" t="str">
        <f>IFERROR(INDEX('Modelo 2.0 - Cubação'!$A$7:$A$119,MATCH($A150,'Modelo 2.0 - Cubação'!$BF$7:$BF$119,0)),"")</f>
        <v/>
      </c>
      <c r="C150" s="1056" t="s">
        <v>605</v>
      </c>
      <c r="D150" s="1056" t="str">
        <f>IFERROR(INDEX('Modelo 2.0 - Cubação'!$C$7:$C$119,MATCH($A150,'Modelo 2.0 - Cubação'!$BF$7:$BF$119,0)),"")</f>
        <v/>
      </c>
      <c r="E150" s="1056" t="str">
        <f>IFERROR(INDEX('Modelo 2.0 - Cubação'!$A$7:$A$119,MATCH($A150,'Modelo 2.0 - Cubação'!$BH$7:$BH$119,0)),"")</f>
        <v/>
      </c>
      <c r="F150" s="1056" t="s">
        <v>605</v>
      </c>
      <c r="G150" s="1056" t="str">
        <f>IFERROR(INDEX('Modelo 2.0 - Cubação'!$C$7:$C$119,MATCH($A150,'Modelo 2.0 - Cubação'!$BH$7:$BH$119,0)),"")</f>
        <v/>
      </c>
      <c r="H150" s="1057">
        <f>IFERROR(AVERAGEIFS('Modelo 2.0 - Cubação'!$CO$7:$CO$116,
'Modelo 2.0 - Cubação'!$CP$7:$CP$116,"&gt;="&amp;(INDEX('Modelo 2.0 - Cubação'!$CP$7:$CP$116,MATCH(A150,'Modelo 2.0 - Cubação'!$BF$7:$BF$116,0))),
'Modelo 2.0 - Cubação'!$CP$7:$CP$116,"&lt;="&amp;(INDEX('Modelo 2.0 - Cubação'!$CP$7:$CP$116,MATCH(A150,'Modelo 2.0 - Cubação'!$BH$7:$BH$116,0)))),0)</f>
        <v>0</v>
      </c>
      <c r="I150" s="1058" t="str">
        <f t="shared" si="9"/>
        <v/>
      </c>
      <c r="J150" s="1058" t="s">
        <v>1013</v>
      </c>
      <c r="K150" s="1058">
        <v>0.6</v>
      </c>
      <c r="L150" s="1058" t="str">
        <f>IFERROR(INDEX('Modelo 2.0 - Cubação'!$BK$7:$BK$119,MATCH($A150,'Modelo 2.0 - Cubação'!$BH$7:$BH$119,0)),"")</f>
        <v/>
      </c>
    </row>
    <row r="151" spans="1:12" ht="15" hidden="1" customHeight="1">
      <c r="A151" s="1055" t="s">
        <v>1071</v>
      </c>
      <c r="B151" s="1056" t="str">
        <f>IFERROR(INDEX('Modelo 2.0 - Cubação'!$A$7:$A$119,MATCH($A151,'Modelo 2.0 - Cubação'!$BF$7:$BF$119,0)),"")</f>
        <v/>
      </c>
      <c r="C151" s="1056" t="s">
        <v>605</v>
      </c>
      <c r="D151" s="1056" t="str">
        <f>IFERROR(INDEX('Modelo 2.0 - Cubação'!$C$7:$C$119,MATCH($A151,'Modelo 2.0 - Cubação'!$BF$7:$BF$119,0)),"")</f>
        <v/>
      </c>
      <c r="E151" s="1056" t="str">
        <f>IFERROR(INDEX('Modelo 2.0 - Cubação'!$A$7:$A$119,MATCH($A151,'Modelo 2.0 - Cubação'!$BH$7:$BH$119,0)),"")</f>
        <v/>
      </c>
      <c r="F151" s="1056" t="s">
        <v>605</v>
      </c>
      <c r="G151" s="1056" t="str">
        <f>IFERROR(INDEX('Modelo 2.0 - Cubação'!$C$7:$C$119,MATCH($A151,'Modelo 2.0 - Cubação'!$BH$7:$BH$119,0)),"")</f>
        <v/>
      </c>
      <c r="H151" s="1057">
        <f>IFERROR(AVERAGEIFS('Modelo 2.0 - Cubação'!$CO$7:$CO$116,
'Modelo 2.0 - Cubação'!$CP$7:$CP$116,"&gt;="&amp;(INDEX('Modelo 2.0 - Cubação'!$CP$7:$CP$116,MATCH(A151,'Modelo 2.0 - Cubação'!$BF$7:$BF$116,0))),
'Modelo 2.0 - Cubação'!$CP$7:$CP$116,"&lt;="&amp;(INDEX('Modelo 2.0 - Cubação'!$CP$7:$CP$116,MATCH(A151,'Modelo 2.0 - Cubação'!$BH$7:$BH$116,0)))),0)</f>
        <v>0</v>
      </c>
      <c r="I151" s="1058" t="str">
        <f t="shared" si="9"/>
        <v/>
      </c>
      <c r="J151" s="1058" t="s">
        <v>1013</v>
      </c>
      <c r="K151" s="1058">
        <v>0.6</v>
      </c>
      <c r="L151" s="1058" t="str">
        <f>IFERROR(INDEX('Modelo 2.0 - Cubação'!$BK$7:$BK$119,MATCH($A151,'Modelo 2.0 - Cubação'!$BH$7:$BH$119,0)),"")</f>
        <v/>
      </c>
    </row>
    <row r="152" spans="1:12" ht="15" hidden="1" customHeight="1">
      <c r="A152" s="1055" t="s">
        <v>1072</v>
      </c>
      <c r="B152" s="1056" t="str">
        <f>IFERROR(INDEX('Modelo 2.0 - Cubação'!$A$7:$A$119,MATCH($A152,'Modelo 2.0 - Cubação'!$BF$7:$BF$119,0)),"")</f>
        <v/>
      </c>
      <c r="C152" s="1056" t="s">
        <v>605</v>
      </c>
      <c r="D152" s="1056" t="str">
        <f>IFERROR(INDEX('Modelo 2.0 - Cubação'!$C$7:$C$119,MATCH($A152,'Modelo 2.0 - Cubação'!$BF$7:$BF$119,0)),"")</f>
        <v/>
      </c>
      <c r="E152" s="1056" t="str">
        <f>IFERROR(INDEX('Modelo 2.0 - Cubação'!$A$7:$A$119,MATCH($A152,'Modelo 2.0 - Cubação'!$BH$7:$BH$119,0)),"")</f>
        <v/>
      </c>
      <c r="F152" s="1056" t="s">
        <v>605</v>
      </c>
      <c r="G152" s="1056" t="str">
        <f>IFERROR(INDEX('Modelo 2.0 - Cubação'!$C$7:$C$119,MATCH($A152,'Modelo 2.0 - Cubação'!$BH$7:$BH$119,0)),"")</f>
        <v/>
      </c>
      <c r="H152" s="1057">
        <f>IFERROR(AVERAGEIFS('Modelo 2.0 - Cubação'!$CO$7:$CO$116,
'Modelo 2.0 - Cubação'!$CP$7:$CP$116,"&gt;="&amp;(INDEX('Modelo 2.0 - Cubação'!$CP$7:$CP$116,MATCH(A152,'Modelo 2.0 - Cubação'!$BF$7:$BF$116,0))),
'Modelo 2.0 - Cubação'!$CP$7:$CP$116,"&lt;="&amp;(INDEX('Modelo 2.0 - Cubação'!$CP$7:$CP$116,MATCH(A152,'Modelo 2.0 - Cubação'!$BH$7:$BH$116,0)))),0)</f>
        <v>0</v>
      </c>
      <c r="I152" s="1058" t="str">
        <f t="shared" si="9"/>
        <v/>
      </c>
      <c r="J152" s="1058" t="s">
        <v>1013</v>
      </c>
      <c r="K152" s="1058">
        <v>0.6</v>
      </c>
      <c r="L152" s="1058" t="str">
        <f>IFERROR(INDEX('Modelo 2.0 - Cubação'!$BK$7:$BK$119,MATCH($A152,'Modelo 2.0 - Cubação'!$BH$7:$BH$119,0)),"")</f>
        <v/>
      </c>
    </row>
    <row r="153" spans="1:12" ht="15" hidden="1" customHeight="1">
      <c r="A153" s="1055" t="s">
        <v>1073</v>
      </c>
      <c r="B153" s="1056" t="str">
        <f>IFERROR(INDEX('Modelo 2.0 - Cubação'!$A$7:$A$119,MATCH($A153,'Modelo 2.0 - Cubação'!$BF$7:$BF$119,0)),"")</f>
        <v/>
      </c>
      <c r="C153" s="1056" t="s">
        <v>605</v>
      </c>
      <c r="D153" s="1056" t="str">
        <f>IFERROR(INDEX('Modelo 2.0 - Cubação'!$C$7:$C$119,MATCH($A153,'Modelo 2.0 - Cubação'!$BF$7:$BF$119,0)),"")</f>
        <v/>
      </c>
      <c r="E153" s="1056" t="str">
        <f>IFERROR(INDEX('Modelo 2.0 - Cubação'!$A$7:$A$119,MATCH($A153,'Modelo 2.0 - Cubação'!$BH$7:$BH$119,0)),"")</f>
        <v/>
      </c>
      <c r="F153" s="1056" t="s">
        <v>605</v>
      </c>
      <c r="G153" s="1056" t="str">
        <f>IFERROR(INDEX('Modelo 2.0 - Cubação'!$C$7:$C$119,MATCH($A153,'Modelo 2.0 - Cubação'!$BH$7:$BH$119,0)),"")</f>
        <v/>
      </c>
      <c r="H153" s="1057">
        <f>IFERROR(AVERAGEIFS('Modelo 2.0 - Cubação'!$CO$7:$CO$116,
'Modelo 2.0 - Cubação'!$CP$7:$CP$116,"&gt;="&amp;(INDEX('Modelo 2.0 - Cubação'!$CP$7:$CP$116,MATCH(A153,'Modelo 2.0 - Cubação'!$BF$7:$BF$116,0))),
'Modelo 2.0 - Cubação'!$CP$7:$CP$116,"&lt;="&amp;(INDEX('Modelo 2.0 - Cubação'!$CP$7:$CP$116,MATCH(A153,'Modelo 2.0 - Cubação'!$BH$7:$BH$116,0)))),0)</f>
        <v>0</v>
      </c>
      <c r="I153" s="1058" t="str">
        <f t="shared" si="9"/>
        <v/>
      </c>
      <c r="J153" s="1058" t="s">
        <v>1013</v>
      </c>
      <c r="K153" s="1058">
        <v>0.6</v>
      </c>
      <c r="L153" s="1058" t="str">
        <f>IFERROR(INDEX('Modelo 2.0 - Cubação'!$BK$7:$BK$119,MATCH($A153,'Modelo 2.0 - Cubação'!$BH$7:$BH$119,0)),"")</f>
        <v/>
      </c>
    </row>
    <row r="154" spans="1:12" ht="15" hidden="1" customHeight="1">
      <c r="A154" s="1055" t="s">
        <v>1074</v>
      </c>
      <c r="B154" s="1056" t="str">
        <f>IFERROR(INDEX('Modelo 2.0 - Cubação'!$A$7:$A$119,MATCH($A154,'Modelo 2.0 - Cubação'!$BF$7:$BF$119,0)),"")</f>
        <v/>
      </c>
      <c r="C154" s="1056" t="s">
        <v>605</v>
      </c>
      <c r="D154" s="1056" t="str">
        <f>IFERROR(INDEX('Modelo 2.0 - Cubação'!$C$7:$C$119,MATCH($A154,'Modelo 2.0 - Cubação'!$BF$7:$BF$119,0)),"")</f>
        <v/>
      </c>
      <c r="E154" s="1056" t="str">
        <f>IFERROR(INDEX('Modelo 2.0 - Cubação'!$A$7:$A$119,MATCH($A154,'Modelo 2.0 - Cubação'!$BH$7:$BH$119,0)),"")</f>
        <v/>
      </c>
      <c r="F154" s="1056" t="s">
        <v>605</v>
      </c>
      <c r="G154" s="1056" t="str">
        <f>IFERROR(INDEX('Modelo 2.0 - Cubação'!$C$7:$C$119,MATCH($A154,'Modelo 2.0 - Cubação'!$BH$7:$BH$119,0)),"")</f>
        <v/>
      </c>
      <c r="H154" s="1057">
        <f>IFERROR(AVERAGEIFS('Modelo 2.0 - Cubação'!$CO$7:$CO$116,
'Modelo 2.0 - Cubação'!$CP$7:$CP$116,"&gt;="&amp;(INDEX('Modelo 2.0 - Cubação'!$CP$7:$CP$116,MATCH(A154,'Modelo 2.0 - Cubação'!$BF$7:$BF$116,0))),
'Modelo 2.0 - Cubação'!$CP$7:$CP$116,"&lt;="&amp;(INDEX('Modelo 2.0 - Cubação'!$CP$7:$CP$116,MATCH(A154,'Modelo 2.0 - Cubação'!$BH$7:$BH$116,0)))),0)</f>
        <v>0</v>
      </c>
      <c r="I154" s="1058" t="str">
        <f t="shared" si="9"/>
        <v/>
      </c>
      <c r="J154" s="1058" t="s">
        <v>1013</v>
      </c>
      <c r="K154" s="1058">
        <v>0.6</v>
      </c>
      <c r="L154" s="1058" t="str">
        <f>IFERROR(INDEX('Modelo 2.0 - Cubação'!$BK$7:$BK$119,MATCH($A154,'Modelo 2.0 - Cubação'!$BH$7:$BH$119,0)),"")</f>
        <v/>
      </c>
    </row>
    <row r="155" spans="1:12" ht="15" hidden="1" customHeight="1">
      <c r="A155" s="1055" t="s">
        <v>1075</v>
      </c>
      <c r="B155" s="1056" t="str">
        <f>IFERROR(INDEX('Modelo 2.0 - Cubação'!$A$7:$A$119,MATCH($A155,'Modelo 2.0 - Cubação'!$BF$7:$BF$119,0)),"")</f>
        <v/>
      </c>
      <c r="C155" s="1056" t="s">
        <v>605</v>
      </c>
      <c r="D155" s="1056" t="str">
        <f>IFERROR(INDEX('Modelo 2.0 - Cubação'!$C$7:$C$119,MATCH($A155,'Modelo 2.0 - Cubação'!$BF$7:$BF$119,0)),"")</f>
        <v/>
      </c>
      <c r="E155" s="1056" t="str">
        <f>IFERROR(INDEX('Modelo 2.0 - Cubação'!$A$7:$A$119,MATCH($A155,'Modelo 2.0 - Cubação'!$BH$7:$BH$119,0)),"")</f>
        <v/>
      </c>
      <c r="F155" s="1056" t="s">
        <v>605</v>
      </c>
      <c r="G155" s="1056" t="str">
        <f>IFERROR(INDEX('Modelo 2.0 - Cubação'!$C$7:$C$119,MATCH($A155,'Modelo 2.0 - Cubação'!$BH$7:$BH$119,0)),"")</f>
        <v/>
      </c>
      <c r="H155" s="1057">
        <f>IFERROR(AVERAGEIFS('Modelo 2.0 - Cubação'!$CO$7:$CO$116,
'Modelo 2.0 - Cubação'!$CP$7:$CP$116,"&gt;="&amp;(INDEX('Modelo 2.0 - Cubação'!$CP$7:$CP$116,MATCH(A155,'Modelo 2.0 - Cubação'!$BF$7:$BF$116,0))),
'Modelo 2.0 - Cubação'!$CP$7:$CP$116,"&lt;="&amp;(INDEX('Modelo 2.0 - Cubação'!$CP$7:$CP$116,MATCH(A155,'Modelo 2.0 - Cubação'!$BH$7:$BH$116,0)))),0)</f>
        <v>0</v>
      </c>
      <c r="I155" s="1058" t="str">
        <f t="shared" si="9"/>
        <v/>
      </c>
      <c r="J155" s="1058" t="s">
        <v>1013</v>
      </c>
      <c r="K155" s="1058">
        <v>0.6</v>
      </c>
      <c r="L155" s="1058" t="str">
        <f>IFERROR(INDEX('Modelo 2.0 - Cubação'!$BK$7:$BK$119,MATCH($A155,'Modelo 2.0 - Cubação'!$BH$7:$BH$119,0)),"")</f>
        <v/>
      </c>
    </row>
    <row r="156" spans="1:12" ht="15" hidden="1" customHeight="1">
      <c r="A156" s="1055" t="s">
        <v>1076</v>
      </c>
      <c r="B156" s="1056" t="str">
        <f>IFERROR(INDEX('Modelo 2.0 - Cubação'!$A$7:$A$119,MATCH($A156,'Modelo 2.0 - Cubação'!$BF$7:$BF$119,0)),"")</f>
        <v/>
      </c>
      <c r="C156" s="1056" t="s">
        <v>605</v>
      </c>
      <c r="D156" s="1056" t="str">
        <f>IFERROR(INDEX('Modelo 2.0 - Cubação'!$C$7:$C$119,MATCH($A156,'Modelo 2.0 - Cubação'!$BF$7:$BF$119,0)),"")</f>
        <v/>
      </c>
      <c r="E156" s="1056" t="str">
        <f>IFERROR(INDEX('Modelo 2.0 - Cubação'!$A$7:$A$119,MATCH($A156,'Modelo 2.0 - Cubação'!$BH$7:$BH$119,0)),"")</f>
        <v/>
      </c>
      <c r="F156" s="1056" t="s">
        <v>605</v>
      </c>
      <c r="G156" s="1056" t="str">
        <f>IFERROR(INDEX('Modelo 2.0 - Cubação'!$C$7:$C$119,MATCH($A156,'Modelo 2.0 - Cubação'!$BH$7:$BH$119,0)),"")</f>
        <v/>
      </c>
      <c r="H156" s="1057">
        <f>IFERROR(AVERAGEIFS('Modelo 2.0 - Cubação'!$CO$7:$CO$116,
'Modelo 2.0 - Cubação'!$CP$7:$CP$116,"&gt;="&amp;(INDEX('Modelo 2.0 - Cubação'!$CP$7:$CP$116,MATCH(A156,'Modelo 2.0 - Cubação'!$BF$7:$BF$116,0))),
'Modelo 2.0 - Cubação'!$CP$7:$CP$116,"&lt;="&amp;(INDEX('Modelo 2.0 - Cubação'!$CP$7:$CP$116,MATCH(A156,'Modelo 2.0 - Cubação'!$BH$7:$BH$116,0)))),0)</f>
        <v>0</v>
      </c>
      <c r="I156" s="1058" t="str">
        <f t="shared" si="9"/>
        <v/>
      </c>
      <c r="J156" s="1058" t="s">
        <v>1013</v>
      </c>
      <c r="K156" s="1058">
        <v>0.6</v>
      </c>
      <c r="L156" s="1058" t="str">
        <f>IFERROR(INDEX('Modelo 2.0 - Cubação'!$BK$7:$BK$119,MATCH($A156,'Modelo 2.0 - Cubação'!$BH$7:$BH$119,0)),"")</f>
        <v/>
      </c>
    </row>
    <row r="157" spans="1:12" ht="15" hidden="1" customHeight="1">
      <c r="A157" s="1055" t="s">
        <v>1077</v>
      </c>
      <c r="B157" s="1056" t="str">
        <f>IFERROR(INDEX('Modelo 2.0 - Cubação'!$A$7:$A$119,MATCH($A157,'Modelo 2.0 - Cubação'!$BF$7:$BF$119,0)),"")</f>
        <v/>
      </c>
      <c r="C157" s="1056" t="s">
        <v>605</v>
      </c>
      <c r="D157" s="1056" t="str">
        <f>IFERROR(INDEX('Modelo 2.0 - Cubação'!$C$7:$C$119,MATCH($A157,'Modelo 2.0 - Cubação'!$BF$7:$BF$119,0)),"")</f>
        <v/>
      </c>
      <c r="E157" s="1056" t="str">
        <f>IFERROR(INDEX('Modelo 2.0 - Cubação'!$A$7:$A$119,MATCH($A157,'Modelo 2.0 - Cubação'!$BH$7:$BH$119,0)),"")</f>
        <v/>
      </c>
      <c r="F157" s="1056" t="s">
        <v>605</v>
      </c>
      <c r="G157" s="1056" t="str">
        <f>IFERROR(INDEX('Modelo 2.0 - Cubação'!$C$7:$C$119,MATCH($A157,'Modelo 2.0 - Cubação'!$BH$7:$BH$119,0)),"")</f>
        <v/>
      </c>
      <c r="H157" s="1057">
        <f>IFERROR(AVERAGEIFS('Modelo 2.0 - Cubação'!$CO$7:$CO$116,
'Modelo 2.0 - Cubação'!$CP$7:$CP$116,"&gt;="&amp;(INDEX('Modelo 2.0 - Cubação'!$CP$7:$CP$116,MATCH(A157,'Modelo 2.0 - Cubação'!$BF$7:$BF$116,0))),
'Modelo 2.0 - Cubação'!$CP$7:$CP$116,"&lt;="&amp;(INDEX('Modelo 2.0 - Cubação'!$CP$7:$CP$116,MATCH(A157,'Modelo 2.0 - Cubação'!$BH$7:$BH$116,0)))),0)</f>
        <v>0</v>
      </c>
      <c r="I157" s="1058" t="str">
        <f t="shared" si="9"/>
        <v/>
      </c>
      <c r="J157" s="1058" t="s">
        <v>1013</v>
      </c>
      <c r="K157" s="1058">
        <v>0.6</v>
      </c>
      <c r="L157" s="1058" t="str">
        <f>IFERROR(INDEX('Modelo 2.0 - Cubação'!$BK$7:$BK$119,MATCH($A157,'Modelo 2.0 - Cubação'!$BH$7:$BH$119,0)),"")</f>
        <v/>
      </c>
    </row>
    <row r="158" spans="1:12" ht="15" hidden="1" customHeight="1">
      <c r="A158" s="1055" t="s">
        <v>1078</v>
      </c>
      <c r="B158" s="1056" t="str">
        <f>IFERROR(INDEX('Modelo 2.0 - Cubação'!$A$7:$A$119,MATCH($A158,'Modelo 2.0 - Cubação'!$BF$7:$BF$119,0)),"")</f>
        <v/>
      </c>
      <c r="C158" s="1056" t="s">
        <v>605</v>
      </c>
      <c r="D158" s="1056" t="str">
        <f>IFERROR(INDEX('Modelo 2.0 - Cubação'!$C$7:$C$119,MATCH($A158,'Modelo 2.0 - Cubação'!$BF$7:$BF$119,0)),"")</f>
        <v/>
      </c>
      <c r="E158" s="1056" t="str">
        <f>IFERROR(INDEX('Modelo 2.0 - Cubação'!$A$7:$A$119,MATCH($A158,'Modelo 2.0 - Cubação'!$BH$7:$BH$119,0)),"")</f>
        <v/>
      </c>
      <c r="F158" s="1056" t="s">
        <v>605</v>
      </c>
      <c r="G158" s="1056" t="str">
        <f>IFERROR(INDEX('Modelo 2.0 - Cubação'!$C$7:$C$119,MATCH($A158,'Modelo 2.0 - Cubação'!$BH$7:$BH$119,0)),"")</f>
        <v/>
      </c>
      <c r="H158" s="1057">
        <f>IFERROR(AVERAGEIFS('Modelo 2.0 - Cubação'!$CO$7:$CO$116,
'Modelo 2.0 - Cubação'!$CP$7:$CP$116,"&gt;="&amp;(INDEX('Modelo 2.0 - Cubação'!$CP$7:$CP$116,MATCH(A158,'Modelo 2.0 - Cubação'!$BF$7:$BF$116,0))),
'Modelo 2.0 - Cubação'!$CP$7:$CP$116,"&lt;="&amp;(INDEX('Modelo 2.0 - Cubação'!$CP$7:$CP$116,MATCH(A158,'Modelo 2.0 - Cubação'!$BH$7:$BH$116,0)))),0)</f>
        <v>0</v>
      </c>
      <c r="I158" s="1058" t="str">
        <f t="shared" si="9"/>
        <v/>
      </c>
      <c r="J158" s="1058" t="s">
        <v>1013</v>
      </c>
      <c r="K158" s="1058">
        <v>0.6</v>
      </c>
      <c r="L158" s="1058" t="str">
        <f>IFERROR(INDEX('Modelo 2.0 - Cubação'!$BK$7:$BK$119,MATCH($A158,'Modelo 2.0 - Cubação'!$BH$7:$BH$119,0)),"")</f>
        <v/>
      </c>
    </row>
    <row r="159" spans="1:12" ht="15" hidden="1" customHeight="1">
      <c r="A159" s="1055" t="s">
        <v>1079</v>
      </c>
      <c r="B159" s="1056" t="str">
        <f>IFERROR(INDEX('Modelo 2.0 - Cubação'!$A$7:$A$119,MATCH($A159,'Modelo 2.0 - Cubação'!$BF$7:$BF$119,0)),"")</f>
        <v/>
      </c>
      <c r="C159" s="1056" t="s">
        <v>605</v>
      </c>
      <c r="D159" s="1056" t="str">
        <f>IFERROR(INDEX('Modelo 2.0 - Cubação'!$C$7:$C$119,MATCH($A159,'Modelo 2.0 - Cubação'!$BF$7:$BF$119,0)),"")</f>
        <v/>
      </c>
      <c r="E159" s="1056" t="str">
        <f>IFERROR(INDEX('Modelo 2.0 - Cubação'!$A$7:$A$119,MATCH($A159,'Modelo 2.0 - Cubação'!$BH$7:$BH$119,0)),"")</f>
        <v/>
      </c>
      <c r="F159" s="1056" t="s">
        <v>605</v>
      </c>
      <c r="G159" s="1056" t="str">
        <f>IFERROR(INDEX('Modelo 2.0 - Cubação'!$C$7:$C$119,MATCH($A159,'Modelo 2.0 - Cubação'!$BH$7:$BH$119,0)),"")</f>
        <v/>
      </c>
      <c r="H159" s="1057">
        <f>IFERROR(AVERAGEIFS('Modelo 2.0 - Cubação'!$CO$7:$CO$116,
'Modelo 2.0 - Cubação'!$CP$7:$CP$116,"&gt;="&amp;(INDEX('Modelo 2.0 - Cubação'!$CP$7:$CP$116,MATCH(A159,'Modelo 2.0 - Cubação'!$BF$7:$BF$116,0))),
'Modelo 2.0 - Cubação'!$CP$7:$CP$116,"&lt;="&amp;(INDEX('Modelo 2.0 - Cubação'!$CP$7:$CP$116,MATCH(A159,'Modelo 2.0 - Cubação'!$BH$7:$BH$116,0)))),0)</f>
        <v>0</v>
      </c>
      <c r="I159" s="1058" t="str">
        <f t="shared" si="9"/>
        <v/>
      </c>
      <c r="J159" s="1058" t="s">
        <v>1013</v>
      </c>
      <c r="K159" s="1058">
        <v>0.6</v>
      </c>
      <c r="L159" s="1058" t="str">
        <f>IFERROR(INDEX('Modelo 2.0 - Cubação'!$BK$7:$BK$119,MATCH($A159,'Modelo 2.0 - Cubação'!$BH$7:$BH$119,0)),"")</f>
        <v/>
      </c>
    </row>
    <row r="160" spans="1:12" ht="15" hidden="1" customHeight="1">
      <c r="A160" s="1055" t="s">
        <v>1080</v>
      </c>
      <c r="B160" s="1056" t="str">
        <f>IFERROR(INDEX('Modelo 2.0 - Cubação'!$A$7:$A$119,MATCH($A160,'Modelo 2.0 - Cubação'!$BF$7:$BF$119,0)),"")</f>
        <v/>
      </c>
      <c r="C160" s="1056" t="s">
        <v>605</v>
      </c>
      <c r="D160" s="1056" t="str">
        <f>IFERROR(INDEX('Modelo 2.0 - Cubação'!$C$7:$C$119,MATCH($A160,'Modelo 2.0 - Cubação'!$BF$7:$BF$119,0)),"")</f>
        <v/>
      </c>
      <c r="E160" s="1056" t="str">
        <f>IFERROR(INDEX('Modelo 2.0 - Cubação'!$A$7:$A$119,MATCH($A160,'Modelo 2.0 - Cubação'!$BH$7:$BH$119,0)),"")</f>
        <v/>
      </c>
      <c r="F160" s="1056" t="s">
        <v>605</v>
      </c>
      <c r="G160" s="1056" t="str">
        <f>IFERROR(INDEX('Modelo 2.0 - Cubação'!$C$7:$C$119,MATCH($A160,'Modelo 2.0 - Cubação'!$BH$7:$BH$119,0)),"")</f>
        <v/>
      </c>
      <c r="H160" s="1057">
        <f>IFERROR(AVERAGEIFS('Modelo 2.0 - Cubação'!$CO$7:$CO$116,
'Modelo 2.0 - Cubação'!$CP$7:$CP$116,"&gt;="&amp;(INDEX('Modelo 2.0 - Cubação'!$CP$7:$CP$116,MATCH(A160,'Modelo 2.0 - Cubação'!$BF$7:$BF$116,0))),
'Modelo 2.0 - Cubação'!$CP$7:$CP$116,"&lt;="&amp;(INDEX('Modelo 2.0 - Cubação'!$CP$7:$CP$116,MATCH(A160,'Modelo 2.0 - Cubação'!$BH$7:$BH$116,0)))),0)</f>
        <v>0</v>
      </c>
      <c r="I160" s="1058" t="str">
        <f t="shared" si="9"/>
        <v/>
      </c>
      <c r="J160" s="1058" t="s">
        <v>1013</v>
      </c>
      <c r="K160" s="1058">
        <v>0.6</v>
      </c>
      <c r="L160" s="1058" t="str">
        <f>IFERROR(INDEX('Modelo 2.0 - Cubação'!$BK$7:$BK$119,MATCH($A160,'Modelo 2.0 - Cubação'!$BH$7:$BH$119,0)),"")</f>
        <v/>
      </c>
    </row>
    <row r="161" spans="1:12" ht="15" hidden="1" customHeight="1">
      <c r="A161" s="1055" t="s">
        <v>1081</v>
      </c>
      <c r="B161" s="1056" t="str">
        <f>IFERROR(INDEX('Modelo 2.0 - Cubação'!$A$7:$A$119,MATCH($A161,'Modelo 2.0 - Cubação'!$BF$7:$BF$119,0)),"")</f>
        <v/>
      </c>
      <c r="C161" s="1056" t="s">
        <v>605</v>
      </c>
      <c r="D161" s="1056" t="str">
        <f>IFERROR(INDEX('Modelo 2.0 - Cubação'!$C$7:$C$119,MATCH($A161,'Modelo 2.0 - Cubação'!$BF$7:$BF$119,0)),"")</f>
        <v/>
      </c>
      <c r="E161" s="1056" t="str">
        <f>IFERROR(INDEX('Modelo 2.0 - Cubação'!$A$7:$A$119,MATCH($A161,'Modelo 2.0 - Cubação'!$BH$7:$BH$119,0)),"")</f>
        <v/>
      </c>
      <c r="F161" s="1056" t="s">
        <v>605</v>
      </c>
      <c r="G161" s="1056" t="str">
        <f>IFERROR(INDEX('Modelo 2.0 - Cubação'!$C$7:$C$119,MATCH($A161,'Modelo 2.0 - Cubação'!$BH$7:$BH$119,0)),"")</f>
        <v/>
      </c>
      <c r="H161" s="1057">
        <f>IFERROR(AVERAGEIFS('Modelo 2.0 - Cubação'!$CO$7:$CO$116,
'Modelo 2.0 - Cubação'!$CP$7:$CP$116,"&gt;="&amp;(INDEX('Modelo 2.0 - Cubação'!$CP$7:$CP$116,MATCH(A161,'Modelo 2.0 - Cubação'!$BF$7:$BF$116,0))),
'Modelo 2.0 - Cubação'!$CP$7:$CP$116,"&lt;="&amp;(INDEX('Modelo 2.0 - Cubação'!$CP$7:$CP$116,MATCH(A161,'Modelo 2.0 - Cubação'!$BH$7:$BH$116,0)))),0)</f>
        <v>0</v>
      </c>
      <c r="I161" s="1058" t="str">
        <f t="shared" si="9"/>
        <v/>
      </c>
      <c r="J161" s="1058" t="s">
        <v>1013</v>
      </c>
      <c r="K161" s="1058">
        <v>0.6</v>
      </c>
      <c r="L161" s="1058" t="str">
        <f>IFERROR(INDEX('Modelo 2.0 - Cubação'!$BK$7:$BK$119,MATCH($A161,'Modelo 2.0 - Cubação'!$BH$7:$BH$119,0)),"")</f>
        <v/>
      </c>
    </row>
    <row r="162" spans="1:12" ht="15" hidden="1" customHeight="1">
      <c r="A162" s="1055" t="s">
        <v>1082</v>
      </c>
      <c r="B162" s="1056" t="str">
        <f>IFERROR(INDEX('Modelo 2.0 - Cubação'!$A$7:$A$119,MATCH($A162,'Modelo 2.0 - Cubação'!$BF$7:$BF$119,0)),"")</f>
        <v/>
      </c>
      <c r="C162" s="1056" t="s">
        <v>605</v>
      </c>
      <c r="D162" s="1056" t="str">
        <f>IFERROR(INDEX('Modelo 2.0 - Cubação'!$C$7:$C$119,MATCH($A162,'Modelo 2.0 - Cubação'!$BF$7:$BF$119,0)),"")</f>
        <v/>
      </c>
      <c r="E162" s="1056" t="str">
        <f>IFERROR(INDEX('Modelo 2.0 - Cubação'!$A$7:$A$119,MATCH($A162,'Modelo 2.0 - Cubação'!$BH$7:$BH$119,0)),"")</f>
        <v/>
      </c>
      <c r="F162" s="1056" t="s">
        <v>605</v>
      </c>
      <c r="G162" s="1056" t="str">
        <f>IFERROR(INDEX('Modelo 2.0 - Cubação'!$C$7:$C$119,MATCH($A162,'Modelo 2.0 - Cubação'!$BH$7:$BH$119,0)),"")</f>
        <v/>
      </c>
      <c r="H162" s="1057">
        <f>IFERROR(AVERAGEIFS('Modelo 2.0 - Cubação'!$CO$7:$CO$116,
'Modelo 2.0 - Cubação'!$CP$7:$CP$116,"&gt;="&amp;(INDEX('Modelo 2.0 - Cubação'!$CP$7:$CP$116,MATCH(A162,'Modelo 2.0 - Cubação'!$BF$7:$BF$116,0))),
'Modelo 2.0 - Cubação'!$CP$7:$CP$116,"&lt;="&amp;(INDEX('Modelo 2.0 - Cubação'!$CP$7:$CP$116,MATCH(A162,'Modelo 2.0 - Cubação'!$BH$7:$BH$116,0)))),0)</f>
        <v>0</v>
      </c>
      <c r="I162" s="1058" t="str">
        <f t="shared" si="9"/>
        <v/>
      </c>
      <c r="J162" s="1058" t="s">
        <v>1013</v>
      </c>
      <c r="K162" s="1058">
        <v>0.6</v>
      </c>
      <c r="L162" s="1058" t="str">
        <f>IFERROR(INDEX('Modelo 2.0 - Cubação'!$BK$7:$BK$119,MATCH($A162,'Modelo 2.0 - Cubação'!$BH$7:$BH$119,0)),"")</f>
        <v/>
      </c>
    </row>
    <row r="163" spans="1:12" ht="15" hidden="1" customHeight="1">
      <c r="A163" s="2107" t="s">
        <v>422</v>
      </c>
      <c r="B163" s="2108"/>
      <c r="C163" s="2108"/>
      <c r="D163" s="2108"/>
      <c r="E163" s="2108"/>
      <c r="F163" s="2108"/>
      <c r="G163" s="2108"/>
      <c r="H163" s="2108"/>
      <c r="I163" s="2108"/>
      <c r="J163" s="2108"/>
      <c r="K163" s="2109"/>
      <c r="L163" s="1059">
        <f>SUM(L146:L162)</f>
        <v>0</v>
      </c>
    </row>
    <row r="164" spans="1:12" ht="15" hidden="1" customHeight="1"/>
    <row r="165" spans="1:12" ht="15" hidden="1" customHeight="1">
      <c r="A165" s="2110" t="s">
        <v>1083</v>
      </c>
      <c r="B165" s="2111"/>
      <c r="C165" s="2111"/>
      <c r="D165" s="2111"/>
      <c r="E165" s="2111"/>
      <c r="F165" s="2111"/>
      <c r="G165" s="2111"/>
      <c r="H165" s="2111"/>
      <c r="I165" s="2111"/>
      <c r="J165" s="2111"/>
      <c r="K165" s="2111"/>
      <c r="L165" s="2112"/>
    </row>
    <row r="166" spans="1:12" ht="15" hidden="1" customHeight="1">
      <c r="A166" s="2113"/>
      <c r="B166" s="2114"/>
      <c r="C166" s="2114"/>
      <c r="D166" s="2114"/>
      <c r="E166" s="2114"/>
      <c r="F166" s="2114"/>
      <c r="G166" s="2114"/>
      <c r="H166" s="2114"/>
      <c r="I166" s="2114"/>
      <c r="J166" s="2114"/>
      <c r="K166" s="2114"/>
      <c r="L166" s="2115"/>
    </row>
    <row r="167" spans="1:12" ht="15" hidden="1" customHeight="1"/>
    <row r="168" spans="1:12" ht="15" hidden="1" customHeight="1"/>
    <row r="169" spans="1:12" ht="15" customHeight="1">
      <c r="A169" s="1931" t="s">
        <v>1084</v>
      </c>
      <c r="B169" s="1931"/>
      <c r="C169" s="1931"/>
      <c r="D169" s="1931"/>
      <c r="E169" s="1931"/>
      <c r="F169" s="1931"/>
      <c r="G169" s="1931"/>
      <c r="H169" s="1931"/>
      <c r="I169" s="1931"/>
      <c r="J169" s="1931"/>
      <c r="K169" s="1931"/>
      <c r="L169" s="1931"/>
    </row>
    <row r="170" spans="1:12" ht="15" customHeight="1">
      <c r="A170" s="2116" t="s">
        <v>1085</v>
      </c>
      <c r="B170" s="2118" t="s">
        <v>1009</v>
      </c>
      <c r="C170" s="2119"/>
      <c r="D170" s="2120"/>
      <c r="E170" s="2118" t="s">
        <v>1010</v>
      </c>
      <c r="F170" s="2119"/>
      <c r="G170" s="2120"/>
      <c r="H170" s="1064"/>
      <c r="I170" s="2116" t="s">
        <v>250</v>
      </c>
      <c r="J170" s="2116" t="s">
        <v>1011</v>
      </c>
      <c r="K170" s="2124" t="s">
        <v>1012</v>
      </c>
      <c r="L170" s="2116" t="s">
        <v>794</v>
      </c>
    </row>
    <row r="171" spans="1:12" ht="15" customHeight="1">
      <c r="A171" s="2117"/>
      <c r="B171" s="2121"/>
      <c r="C171" s="2122"/>
      <c r="D171" s="2123"/>
      <c r="E171" s="2121"/>
      <c r="F171" s="2122"/>
      <c r="G171" s="2123"/>
      <c r="H171" s="1064"/>
      <c r="I171" s="2117"/>
      <c r="J171" s="2117"/>
      <c r="K171" s="2125"/>
      <c r="L171" s="2117"/>
    </row>
    <row r="172" spans="1:12" ht="15" customHeight="1">
      <c r="A172" s="1051" t="s">
        <v>1086</v>
      </c>
      <c r="B172" s="1052" t="s">
        <v>627</v>
      </c>
      <c r="C172" s="1052" t="s">
        <v>605</v>
      </c>
      <c r="D172" s="1052">
        <v>0</v>
      </c>
      <c r="E172" s="1052" t="s">
        <v>658</v>
      </c>
      <c r="F172" s="1052" t="s">
        <v>605</v>
      </c>
      <c r="G172" s="1052">
        <v>0</v>
      </c>
      <c r="H172" s="1069"/>
      <c r="I172" s="1054">
        <v>180</v>
      </c>
      <c r="J172" s="1054" t="s">
        <v>866</v>
      </c>
      <c r="K172" s="1054">
        <v>0.2</v>
      </c>
      <c r="L172" s="1054">
        <v>533.00999999999988</v>
      </c>
    </row>
    <row r="173" spans="1:12" ht="15" customHeight="1">
      <c r="A173" s="1051" t="s">
        <v>1087</v>
      </c>
      <c r="B173" s="1052" t="s">
        <v>665</v>
      </c>
      <c r="C173" s="1052" t="s">
        <v>605</v>
      </c>
      <c r="D173" s="1052">
        <v>10</v>
      </c>
      <c r="E173" s="1052" t="s">
        <v>672</v>
      </c>
      <c r="F173" s="1052" t="s">
        <v>605</v>
      </c>
      <c r="G173" s="1052">
        <v>10</v>
      </c>
      <c r="H173" s="1069"/>
      <c r="I173" s="1054">
        <v>40</v>
      </c>
      <c r="J173" s="1054" t="s">
        <v>866</v>
      </c>
      <c r="K173" s="1054">
        <v>0.2</v>
      </c>
      <c r="L173" s="1054">
        <v>76.34</v>
      </c>
    </row>
    <row r="174" spans="1:12" ht="15" customHeight="1">
      <c r="A174" s="1055" t="s">
        <v>1088</v>
      </c>
      <c r="B174" s="1056" t="s">
        <v>680</v>
      </c>
      <c r="C174" s="1056" t="s">
        <v>605</v>
      </c>
      <c r="D174" s="1056">
        <v>10</v>
      </c>
      <c r="E174" s="1056" t="s">
        <v>683</v>
      </c>
      <c r="F174" s="1056" t="s">
        <v>605</v>
      </c>
      <c r="G174" s="1056">
        <v>0</v>
      </c>
      <c r="I174" s="1058">
        <v>10</v>
      </c>
      <c r="J174" s="1058" t="s">
        <v>866</v>
      </c>
      <c r="K174" s="1058">
        <v>0.2</v>
      </c>
      <c r="L174" s="1058">
        <v>27.92</v>
      </c>
    </row>
    <row r="175" spans="1:12" ht="15" customHeight="1">
      <c r="A175" s="1055" t="s">
        <v>1089</v>
      </c>
      <c r="B175" s="1056" t="s">
        <v>689</v>
      </c>
      <c r="C175" s="1056" t="s">
        <v>605</v>
      </c>
      <c r="D175" s="1056">
        <v>0</v>
      </c>
      <c r="E175" s="1056" t="s">
        <v>689</v>
      </c>
      <c r="F175" s="1056" t="s">
        <v>605</v>
      </c>
      <c r="G175" s="1056">
        <v>10</v>
      </c>
      <c r="I175" s="1058">
        <v>10</v>
      </c>
      <c r="J175" s="1058" t="s">
        <v>866</v>
      </c>
      <c r="K175" s="1058">
        <v>0.2</v>
      </c>
      <c r="L175" s="1058">
        <v>28.76</v>
      </c>
    </row>
    <row r="176" spans="1:12" ht="15" customHeight="1">
      <c r="A176" s="1055" t="s">
        <v>1090</v>
      </c>
      <c r="B176" s="1056" t="s">
        <v>695</v>
      </c>
      <c r="C176" s="1056" t="s">
        <v>605</v>
      </c>
      <c r="D176" s="1056">
        <v>0</v>
      </c>
      <c r="E176" s="1056" t="s">
        <v>695</v>
      </c>
      <c r="F176" s="1056" t="s">
        <v>605</v>
      </c>
      <c r="G176" s="1056">
        <v>10</v>
      </c>
      <c r="I176" s="1058">
        <v>10</v>
      </c>
      <c r="J176" s="1058" t="s">
        <v>866</v>
      </c>
      <c r="K176" s="1058">
        <v>0.2</v>
      </c>
      <c r="L176" s="1058">
        <v>28.76</v>
      </c>
    </row>
    <row r="177" spans="1:12" ht="15" customHeight="1">
      <c r="A177" s="1055" t="s">
        <v>1091</v>
      </c>
      <c r="B177" s="1056" t="s">
        <v>701</v>
      </c>
      <c r="C177" s="1056" t="s">
        <v>605</v>
      </c>
      <c r="D177" s="1056">
        <v>10</v>
      </c>
      <c r="E177" s="1056" t="s">
        <v>701</v>
      </c>
      <c r="F177" s="1056" t="s">
        <v>605</v>
      </c>
      <c r="G177" s="1056">
        <v>10</v>
      </c>
      <c r="I177" s="1058">
        <v>0</v>
      </c>
      <c r="J177" s="1058" t="s">
        <v>866</v>
      </c>
      <c r="K177" s="1058">
        <v>0.2</v>
      </c>
      <c r="L177" s="1058">
        <v>14.38</v>
      </c>
    </row>
    <row r="178" spans="1:12" ht="15" customHeight="1">
      <c r="A178" s="1055" t="s">
        <v>1092</v>
      </c>
      <c r="B178" s="1056" t="s">
        <v>713</v>
      </c>
      <c r="C178" s="1056" t="s">
        <v>605</v>
      </c>
      <c r="D178" s="1056">
        <v>0</v>
      </c>
      <c r="E178" s="1056" t="s">
        <v>722</v>
      </c>
      <c r="F178" s="1056" t="s">
        <v>605</v>
      </c>
      <c r="G178" s="1056">
        <v>0</v>
      </c>
      <c r="I178" s="1058">
        <v>60</v>
      </c>
      <c r="J178" s="1058" t="s">
        <v>866</v>
      </c>
      <c r="K178" s="1058">
        <v>0.2</v>
      </c>
      <c r="L178" s="1058">
        <v>123.82000000000001</v>
      </c>
    </row>
    <row r="179" spans="1:12" ht="15" customHeight="1">
      <c r="A179" s="1051" t="s">
        <v>1093</v>
      </c>
      <c r="B179" s="1052" t="s">
        <v>724</v>
      </c>
      <c r="C179" s="1052" t="s">
        <v>605</v>
      </c>
      <c r="D179" s="1052">
        <v>0</v>
      </c>
      <c r="E179" s="1052" t="s">
        <v>734</v>
      </c>
      <c r="F179" s="1052" t="s">
        <v>605</v>
      </c>
      <c r="G179" s="1052">
        <v>10</v>
      </c>
      <c r="H179" s="1069"/>
      <c r="I179" s="1054">
        <v>70</v>
      </c>
      <c r="J179" s="1054" t="s">
        <v>866</v>
      </c>
      <c r="K179" s="1054">
        <v>0.2</v>
      </c>
      <c r="L179" s="1054">
        <v>142.56</v>
      </c>
    </row>
    <row r="180" spans="1:12" ht="15" customHeight="1">
      <c r="A180" s="1051" t="s">
        <v>1094</v>
      </c>
      <c r="B180" s="1052" t="s">
        <v>743</v>
      </c>
      <c r="C180" s="1052" t="s">
        <v>605</v>
      </c>
      <c r="D180" s="1052">
        <v>0</v>
      </c>
      <c r="E180" s="1052" t="s">
        <v>758</v>
      </c>
      <c r="F180" s="1052" t="s">
        <v>605</v>
      </c>
      <c r="G180" s="1052">
        <v>0</v>
      </c>
      <c r="H180" s="1069"/>
      <c r="I180" s="1054">
        <v>100</v>
      </c>
      <c r="J180" s="1054" t="s">
        <v>866</v>
      </c>
      <c r="K180" s="1054">
        <v>0.2</v>
      </c>
      <c r="L180" s="1054">
        <v>166.32</v>
      </c>
    </row>
    <row r="181" spans="1:12" ht="15" hidden="1" customHeight="1">
      <c r="A181" s="1055" t="str">
        <f t="shared" ref="A181:A197" si="10">"FNC-"&amp;RIGHT(A124,LEN(A124)-SEARCH("-",A124,1))</f>
        <v>FNC-SEG02.11</v>
      </c>
      <c r="B181" s="1056" t="str">
        <f t="shared" ref="B181:B197" si="11">B124</f>
        <v/>
      </c>
      <c r="C181" s="1056" t="s">
        <v>605</v>
      </c>
      <c r="D181" s="1056" t="str">
        <f t="shared" ref="D181:E184" si="12">D124</f>
        <v/>
      </c>
      <c r="E181" s="1056" t="str">
        <f t="shared" si="12"/>
        <v/>
      </c>
      <c r="F181" s="1056" t="s">
        <v>605</v>
      </c>
      <c r="G181" s="1056" t="str">
        <f t="shared" ref="G181:G197" si="13">G124</f>
        <v/>
      </c>
      <c r="I181" s="1058" t="str">
        <f t="shared" ref="I181:I197" si="14">I124</f>
        <v/>
      </c>
      <c r="J181" s="1058" t="s">
        <v>866</v>
      </c>
      <c r="K181" s="1058">
        <f t="shared" ref="K181:K197" si="15">0.2</f>
        <v>0.2</v>
      </c>
      <c r="L181" s="1058" t="str">
        <f t="shared" ref="L181:L197" si="16">IFERROR(L124,"")</f>
        <v/>
      </c>
    </row>
    <row r="182" spans="1:12" ht="15" hidden="1" customHeight="1">
      <c r="A182" s="1055" t="str">
        <f t="shared" si="10"/>
        <v>FNC-SEG02.12</v>
      </c>
      <c r="B182" s="1056" t="str">
        <f>B125</f>
        <v/>
      </c>
      <c r="C182" s="1056" t="s">
        <v>605</v>
      </c>
      <c r="D182" s="1056" t="str">
        <f t="shared" si="12"/>
        <v/>
      </c>
      <c r="E182" s="1056" t="str">
        <f t="shared" si="12"/>
        <v/>
      </c>
      <c r="F182" s="1056" t="s">
        <v>605</v>
      </c>
      <c r="G182" s="1056" t="str">
        <f t="shared" si="13"/>
        <v/>
      </c>
      <c r="I182" s="1058" t="str">
        <f t="shared" si="14"/>
        <v/>
      </c>
      <c r="J182" s="1058" t="s">
        <v>866</v>
      </c>
      <c r="K182" s="1058">
        <f t="shared" si="15"/>
        <v>0.2</v>
      </c>
      <c r="L182" s="1058" t="str">
        <f t="shared" si="16"/>
        <v/>
      </c>
    </row>
    <row r="183" spans="1:12" ht="15" hidden="1" customHeight="1">
      <c r="A183" s="1055" t="str">
        <f t="shared" si="10"/>
        <v>FNC-SEG02.13</v>
      </c>
      <c r="B183" s="1056" t="str">
        <f t="shared" si="11"/>
        <v/>
      </c>
      <c r="C183" s="1056" t="s">
        <v>605</v>
      </c>
      <c r="D183" s="1056" t="str">
        <f t="shared" si="12"/>
        <v/>
      </c>
      <c r="E183" s="1056" t="str">
        <f t="shared" si="12"/>
        <v/>
      </c>
      <c r="F183" s="1056" t="s">
        <v>605</v>
      </c>
      <c r="G183" s="1056" t="str">
        <f t="shared" si="13"/>
        <v/>
      </c>
      <c r="I183" s="1058" t="str">
        <f t="shared" si="14"/>
        <v/>
      </c>
      <c r="J183" s="1058" t="s">
        <v>866</v>
      </c>
      <c r="K183" s="1058">
        <f t="shared" si="15"/>
        <v>0.2</v>
      </c>
      <c r="L183" s="1058" t="str">
        <f t="shared" si="16"/>
        <v/>
      </c>
    </row>
    <row r="184" spans="1:12" ht="15" hidden="1" customHeight="1">
      <c r="A184" s="1055" t="str">
        <f t="shared" si="10"/>
        <v>FNC-SEG02.14</v>
      </c>
      <c r="B184" s="1056" t="str">
        <f t="shared" si="11"/>
        <v/>
      </c>
      <c r="C184" s="1056" t="s">
        <v>605</v>
      </c>
      <c r="D184" s="1056" t="str">
        <f t="shared" si="12"/>
        <v/>
      </c>
      <c r="E184" s="1056" t="str">
        <f t="shared" si="12"/>
        <v/>
      </c>
      <c r="F184" s="1056" t="s">
        <v>605</v>
      </c>
      <c r="G184" s="1056" t="str">
        <f t="shared" si="13"/>
        <v/>
      </c>
      <c r="I184" s="1058" t="str">
        <f t="shared" si="14"/>
        <v/>
      </c>
      <c r="J184" s="1058" t="s">
        <v>866</v>
      </c>
      <c r="K184" s="1058">
        <f t="shared" si="15"/>
        <v>0.2</v>
      </c>
      <c r="L184" s="1058" t="str">
        <f t="shared" si="16"/>
        <v/>
      </c>
    </row>
    <row r="185" spans="1:12" ht="15" hidden="1" customHeight="1">
      <c r="A185" s="1055" t="str">
        <f t="shared" si="10"/>
        <v>FNC-SEG02.15</v>
      </c>
      <c r="B185" s="1056" t="str">
        <f>B128</f>
        <v/>
      </c>
      <c r="C185" s="1056" t="s">
        <v>605</v>
      </c>
      <c r="D185" s="1056" t="str">
        <f>D128</f>
        <v/>
      </c>
      <c r="E185" s="1056" t="str">
        <f>E128</f>
        <v/>
      </c>
      <c r="F185" s="1056" t="s">
        <v>605</v>
      </c>
      <c r="G185" s="1056" t="str">
        <f>G128</f>
        <v/>
      </c>
      <c r="I185" s="1058" t="str">
        <f>I128</f>
        <v/>
      </c>
      <c r="J185" s="1058" t="s">
        <v>866</v>
      </c>
      <c r="K185" s="1058">
        <f>0.2</f>
        <v>0.2</v>
      </c>
      <c r="L185" s="1058" t="str">
        <f t="shared" si="16"/>
        <v/>
      </c>
    </row>
    <row r="186" spans="1:12" ht="15" hidden="1" customHeight="1">
      <c r="A186" s="1055" t="str">
        <f t="shared" si="10"/>
        <v>FNC-SEG02.16</v>
      </c>
      <c r="B186" s="1056" t="str">
        <f t="shared" si="11"/>
        <v/>
      </c>
      <c r="C186" s="1056" t="s">
        <v>605</v>
      </c>
      <c r="D186" s="1056" t="str">
        <f t="shared" ref="D186:E197" si="17">D129</f>
        <v/>
      </c>
      <c r="E186" s="1056" t="str">
        <f t="shared" si="17"/>
        <v/>
      </c>
      <c r="F186" s="1056" t="s">
        <v>605</v>
      </c>
      <c r="G186" s="1056" t="str">
        <f t="shared" si="13"/>
        <v/>
      </c>
      <c r="I186" s="1058" t="str">
        <f t="shared" si="14"/>
        <v/>
      </c>
      <c r="J186" s="1058" t="s">
        <v>866</v>
      </c>
      <c r="K186" s="1058">
        <f t="shared" si="15"/>
        <v>0.2</v>
      </c>
      <c r="L186" s="1058" t="str">
        <f t="shared" si="16"/>
        <v/>
      </c>
    </row>
    <row r="187" spans="1:12" ht="15" hidden="1" customHeight="1">
      <c r="A187" s="1055" t="str">
        <f t="shared" si="10"/>
        <v>FNC-SEG02.17</v>
      </c>
      <c r="B187" s="1056" t="str">
        <f t="shared" si="11"/>
        <v/>
      </c>
      <c r="C187" s="1056" t="s">
        <v>605</v>
      </c>
      <c r="D187" s="1056" t="str">
        <f t="shared" si="17"/>
        <v/>
      </c>
      <c r="E187" s="1056" t="str">
        <f t="shared" si="17"/>
        <v/>
      </c>
      <c r="F187" s="1056" t="s">
        <v>605</v>
      </c>
      <c r="G187" s="1056" t="str">
        <f t="shared" si="13"/>
        <v/>
      </c>
      <c r="I187" s="1058" t="str">
        <f t="shared" si="14"/>
        <v/>
      </c>
      <c r="J187" s="1058" t="s">
        <v>866</v>
      </c>
      <c r="K187" s="1058">
        <f t="shared" si="15"/>
        <v>0.2</v>
      </c>
      <c r="L187" s="1058" t="str">
        <f t="shared" si="16"/>
        <v/>
      </c>
    </row>
    <row r="188" spans="1:12" ht="15" hidden="1" customHeight="1">
      <c r="A188" s="1055" t="str">
        <f t="shared" si="10"/>
        <v>FNC-SEG02.18</v>
      </c>
      <c r="B188" s="1056" t="str">
        <f t="shared" si="11"/>
        <v/>
      </c>
      <c r="C188" s="1056" t="s">
        <v>605</v>
      </c>
      <c r="D188" s="1056" t="str">
        <f t="shared" si="17"/>
        <v/>
      </c>
      <c r="E188" s="1056" t="str">
        <f t="shared" si="17"/>
        <v/>
      </c>
      <c r="F188" s="1056" t="s">
        <v>605</v>
      </c>
      <c r="G188" s="1056" t="str">
        <f t="shared" si="13"/>
        <v/>
      </c>
      <c r="I188" s="1058" t="str">
        <f t="shared" si="14"/>
        <v/>
      </c>
      <c r="J188" s="1058" t="s">
        <v>866</v>
      </c>
      <c r="K188" s="1058">
        <f t="shared" si="15"/>
        <v>0.2</v>
      </c>
      <c r="L188" s="1058" t="str">
        <f t="shared" si="16"/>
        <v/>
      </c>
    </row>
    <row r="189" spans="1:12" ht="15" hidden="1" customHeight="1">
      <c r="A189" s="1055" t="str">
        <f t="shared" si="10"/>
        <v>FNC-SEG02.19</v>
      </c>
      <c r="B189" s="1056" t="str">
        <f t="shared" si="11"/>
        <v/>
      </c>
      <c r="C189" s="1056" t="s">
        <v>605</v>
      </c>
      <c r="D189" s="1056" t="str">
        <f t="shared" si="17"/>
        <v/>
      </c>
      <c r="E189" s="1056" t="str">
        <f t="shared" si="17"/>
        <v/>
      </c>
      <c r="F189" s="1056" t="s">
        <v>605</v>
      </c>
      <c r="G189" s="1056" t="str">
        <f t="shared" si="13"/>
        <v/>
      </c>
      <c r="I189" s="1058" t="str">
        <f t="shared" si="14"/>
        <v/>
      </c>
      <c r="J189" s="1058" t="s">
        <v>866</v>
      </c>
      <c r="K189" s="1058">
        <f t="shared" si="15"/>
        <v>0.2</v>
      </c>
      <c r="L189" s="1058" t="str">
        <f t="shared" si="16"/>
        <v/>
      </c>
    </row>
    <row r="190" spans="1:12" ht="15" hidden="1" customHeight="1">
      <c r="A190" s="1055" t="str">
        <f t="shared" si="10"/>
        <v>FNC-SEG02.20</v>
      </c>
      <c r="B190" s="1056" t="str">
        <f t="shared" si="11"/>
        <v/>
      </c>
      <c r="C190" s="1056" t="s">
        <v>605</v>
      </c>
      <c r="D190" s="1056" t="str">
        <f t="shared" si="17"/>
        <v/>
      </c>
      <c r="E190" s="1056" t="str">
        <f t="shared" si="17"/>
        <v/>
      </c>
      <c r="F190" s="1056" t="s">
        <v>605</v>
      </c>
      <c r="G190" s="1056" t="str">
        <f t="shared" si="13"/>
        <v/>
      </c>
      <c r="I190" s="1058" t="str">
        <f t="shared" si="14"/>
        <v/>
      </c>
      <c r="J190" s="1058" t="s">
        <v>866</v>
      </c>
      <c r="K190" s="1058">
        <f t="shared" si="15"/>
        <v>0.2</v>
      </c>
      <c r="L190" s="1058" t="str">
        <f t="shared" si="16"/>
        <v/>
      </c>
    </row>
    <row r="191" spans="1:12" ht="15" hidden="1" customHeight="1">
      <c r="A191" s="1055" t="str">
        <f t="shared" si="10"/>
        <v>FNC-SEG02.21</v>
      </c>
      <c r="B191" s="1056" t="str">
        <f t="shared" si="11"/>
        <v/>
      </c>
      <c r="C191" s="1056" t="s">
        <v>605</v>
      </c>
      <c r="D191" s="1056" t="str">
        <f t="shared" si="17"/>
        <v/>
      </c>
      <c r="E191" s="1056" t="str">
        <f t="shared" si="17"/>
        <v/>
      </c>
      <c r="F191" s="1056" t="s">
        <v>605</v>
      </c>
      <c r="G191" s="1056" t="str">
        <f t="shared" si="13"/>
        <v/>
      </c>
      <c r="I191" s="1058" t="str">
        <f t="shared" si="14"/>
        <v/>
      </c>
      <c r="J191" s="1058" t="s">
        <v>866</v>
      </c>
      <c r="K191" s="1058">
        <f t="shared" si="15"/>
        <v>0.2</v>
      </c>
      <c r="L191" s="1058" t="str">
        <f t="shared" si="16"/>
        <v/>
      </c>
    </row>
    <row r="192" spans="1:12" ht="15" hidden="1" customHeight="1">
      <c r="A192" s="1055" t="str">
        <f t="shared" si="10"/>
        <v>FNC-SEG02.22</v>
      </c>
      <c r="B192" s="1056" t="str">
        <f t="shared" si="11"/>
        <v/>
      </c>
      <c r="C192" s="1056" t="s">
        <v>605</v>
      </c>
      <c r="D192" s="1056" t="str">
        <f t="shared" si="17"/>
        <v/>
      </c>
      <c r="E192" s="1056" t="str">
        <f t="shared" si="17"/>
        <v/>
      </c>
      <c r="F192" s="1056" t="s">
        <v>605</v>
      </c>
      <c r="G192" s="1056" t="str">
        <f t="shared" si="13"/>
        <v/>
      </c>
      <c r="I192" s="1058" t="str">
        <f t="shared" si="14"/>
        <v/>
      </c>
      <c r="J192" s="1058" t="s">
        <v>866</v>
      </c>
      <c r="K192" s="1058">
        <f t="shared" si="15"/>
        <v>0.2</v>
      </c>
      <c r="L192" s="1058" t="str">
        <f t="shared" si="16"/>
        <v/>
      </c>
    </row>
    <row r="193" spans="1:12" ht="15" hidden="1" customHeight="1">
      <c r="A193" s="1055" t="str">
        <f t="shared" si="10"/>
        <v>FNC-SEG02.23</v>
      </c>
      <c r="B193" s="1056" t="str">
        <f t="shared" si="11"/>
        <v/>
      </c>
      <c r="C193" s="1056" t="s">
        <v>605</v>
      </c>
      <c r="D193" s="1056" t="str">
        <f t="shared" si="17"/>
        <v/>
      </c>
      <c r="E193" s="1056" t="str">
        <f t="shared" si="17"/>
        <v/>
      </c>
      <c r="F193" s="1056" t="s">
        <v>605</v>
      </c>
      <c r="G193" s="1056" t="str">
        <f t="shared" si="13"/>
        <v/>
      </c>
      <c r="I193" s="1058" t="str">
        <f t="shared" si="14"/>
        <v/>
      </c>
      <c r="J193" s="1058" t="s">
        <v>866</v>
      </c>
      <c r="K193" s="1058">
        <f t="shared" si="15"/>
        <v>0.2</v>
      </c>
      <c r="L193" s="1058" t="str">
        <f t="shared" si="16"/>
        <v/>
      </c>
    </row>
    <row r="194" spans="1:12" ht="15" hidden="1" customHeight="1">
      <c r="A194" s="1055" t="str">
        <f t="shared" si="10"/>
        <v>FNC-SEG02.24</v>
      </c>
      <c r="B194" s="1056" t="str">
        <f t="shared" si="11"/>
        <v/>
      </c>
      <c r="C194" s="1056" t="s">
        <v>605</v>
      </c>
      <c r="D194" s="1056" t="str">
        <f t="shared" si="17"/>
        <v/>
      </c>
      <c r="E194" s="1056" t="str">
        <f t="shared" si="17"/>
        <v/>
      </c>
      <c r="F194" s="1056" t="s">
        <v>605</v>
      </c>
      <c r="G194" s="1056" t="str">
        <f t="shared" si="13"/>
        <v/>
      </c>
      <c r="I194" s="1058" t="str">
        <f t="shared" si="14"/>
        <v/>
      </c>
      <c r="J194" s="1058" t="s">
        <v>866</v>
      </c>
      <c r="K194" s="1058">
        <f t="shared" si="15"/>
        <v>0.2</v>
      </c>
      <c r="L194" s="1058" t="str">
        <f t="shared" si="16"/>
        <v/>
      </c>
    </row>
    <row r="195" spans="1:12" ht="15" hidden="1" customHeight="1">
      <c r="A195" s="1055" t="str">
        <f t="shared" si="10"/>
        <v>FNC-SEG02.25</v>
      </c>
      <c r="B195" s="1056" t="str">
        <f t="shared" si="11"/>
        <v/>
      </c>
      <c r="C195" s="1056" t="s">
        <v>605</v>
      </c>
      <c r="D195" s="1056" t="str">
        <f t="shared" si="17"/>
        <v/>
      </c>
      <c r="E195" s="1056" t="str">
        <f t="shared" si="17"/>
        <v/>
      </c>
      <c r="F195" s="1056" t="s">
        <v>605</v>
      </c>
      <c r="G195" s="1056" t="str">
        <f t="shared" si="13"/>
        <v/>
      </c>
      <c r="I195" s="1058" t="str">
        <f t="shared" si="14"/>
        <v/>
      </c>
      <c r="J195" s="1058" t="s">
        <v>866</v>
      </c>
      <c r="K195" s="1058">
        <f t="shared" si="15"/>
        <v>0.2</v>
      </c>
      <c r="L195" s="1058" t="str">
        <f t="shared" si="16"/>
        <v/>
      </c>
    </row>
    <row r="196" spans="1:12" ht="15" hidden="1" customHeight="1">
      <c r="A196" s="1055" t="str">
        <f t="shared" si="10"/>
        <v>FNC-SEG02.26</v>
      </c>
      <c r="B196" s="1056" t="str">
        <f t="shared" si="11"/>
        <v/>
      </c>
      <c r="C196" s="1056" t="s">
        <v>605</v>
      </c>
      <c r="D196" s="1056" t="str">
        <f t="shared" si="17"/>
        <v/>
      </c>
      <c r="E196" s="1056" t="str">
        <f t="shared" si="17"/>
        <v/>
      </c>
      <c r="F196" s="1056" t="s">
        <v>605</v>
      </c>
      <c r="G196" s="1056" t="str">
        <f t="shared" si="13"/>
        <v/>
      </c>
      <c r="I196" s="1058" t="str">
        <f t="shared" si="14"/>
        <v/>
      </c>
      <c r="J196" s="1058" t="s">
        <v>866</v>
      </c>
      <c r="K196" s="1058">
        <f t="shared" si="15"/>
        <v>0.2</v>
      </c>
      <c r="L196" s="1058" t="str">
        <f t="shared" si="16"/>
        <v/>
      </c>
    </row>
    <row r="197" spans="1:12" ht="15" hidden="1" customHeight="1">
      <c r="A197" s="1055" t="str">
        <f t="shared" si="10"/>
        <v>FNC-SEG02.27</v>
      </c>
      <c r="B197" s="1056" t="str">
        <f t="shared" si="11"/>
        <v/>
      </c>
      <c r="C197" s="1056" t="s">
        <v>605</v>
      </c>
      <c r="D197" s="1056" t="str">
        <f t="shared" si="17"/>
        <v/>
      </c>
      <c r="E197" s="1056" t="str">
        <f t="shared" si="17"/>
        <v/>
      </c>
      <c r="F197" s="1056" t="s">
        <v>605</v>
      </c>
      <c r="G197" s="1056" t="str">
        <f t="shared" si="13"/>
        <v/>
      </c>
      <c r="I197" s="1058" t="str">
        <f t="shared" si="14"/>
        <v/>
      </c>
      <c r="J197" s="1058" t="s">
        <v>866</v>
      </c>
      <c r="K197" s="1058">
        <f t="shared" si="15"/>
        <v>0.2</v>
      </c>
      <c r="L197" s="1058" t="str">
        <f t="shared" si="16"/>
        <v/>
      </c>
    </row>
    <row r="198" spans="1:12" ht="15" customHeight="1">
      <c r="A198" s="2095" t="s">
        <v>422</v>
      </c>
      <c r="B198" s="2095"/>
      <c r="C198" s="2095"/>
      <c r="D198" s="2095"/>
      <c r="E198" s="2095"/>
      <c r="F198" s="2095"/>
      <c r="G198" s="2095"/>
      <c r="H198" s="2095"/>
      <c r="I198" s="2095"/>
      <c r="J198" s="2095"/>
      <c r="K198" s="2095"/>
      <c r="L198" s="1059">
        <f>+SUM(L172:L197)</f>
        <v>1141.8699999999999</v>
      </c>
    </row>
    <row r="201" spans="1:12" ht="15" hidden="1" customHeight="1">
      <c r="A201" s="2096" t="s">
        <v>1037</v>
      </c>
      <c r="B201" s="2096"/>
      <c r="C201" s="2096"/>
      <c r="D201" s="2096"/>
      <c r="E201" s="2096"/>
      <c r="F201" s="2096"/>
      <c r="G201" s="2096"/>
      <c r="H201" s="2096"/>
      <c r="I201" s="2096"/>
      <c r="J201" s="2096"/>
      <c r="K201" s="2096"/>
      <c r="L201" s="2096"/>
    </row>
    <row r="202" spans="1:12" ht="15" hidden="1" customHeight="1">
      <c r="A202" s="2096" t="s">
        <v>1095</v>
      </c>
      <c r="B202" s="2096"/>
      <c r="C202" s="2096"/>
      <c r="D202" s="2096"/>
      <c r="E202" s="2096"/>
      <c r="F202" s="2096"/>
      <c r="G202" s="2096"/>
      <c r="H202" s="2096"/>
      <c r="I202" s="2096"/>
      <c r="J202" s="2096"/>
      <c r="K202" s="2096"/>
      <c r="L202" s="2096"/>
    </row>
    <row r="203" spans="1:12" ht="15" hidden="1" customHeight="1">
      <c r="A203" s="2097" t="s">
        <v>1037</v>
      </c>
      <c r="B203" s="2099" t="s">
        <v>1009</v>
      </c>
      <c r="C203" s="2100"/>
      <c r="D203" s="2101"/>
      <c r="E203" s="2099" t="s">
        <v>1010</v>
      </c>
      <c r="F203" s="2100"/>
      <c r="G203" s="2101"/>
      <c r="I203" s="2097" t="s">
        <v>250</v>
      </c>
      <c r="J203" s="2097" t="s">
        <v>1011</v>
      </c>
      <c r="K203" s="2097" t="s">
        <v>1012</v>
      </c>
      <c r="L203" s="2105" t="s">
        <v>794</v>
      </c>
    </row>
    <row r="204" spans="1:12" ht="15" hidden="1" customHeight="1">
      <c r="A204" s="2098"/>
      <c r="B204" s="2102"/>
      <c r="C204" s="2103"/>
      <c r="D204" s="2104"/>
      <c r="E204" s="2102"/>
      <c r="F204" s="2103"/>
      <c r="G204" s="2104"/>
      <c r="I204" s="2098"/>
      <c r="J204" s="2098"/>
      <c r="K204" s="2098"/>
      <c r="L204" s="2106"/>
    </row>
    <row r="205" spans="1:12" ht="15" hidden="1" customHeight="1">
      <c r="A205" s="1055" t="s">
        <v>1096</v>
      </c>
      <c r="B205" s="1056" t="str">
        <f>IFERROR(INDEX('Modelo 1.0 - NS'!$C$6:$C$118,MATCH($A205,'Modelo 1.0 - NS'!$AI$6:$AI$118,0)),"")</f>
        <v/>
      </c>
      <c r="C205" s="1056" t="s">
        <v>605</v>
      </c>
      <c r="D205" s="1056" t="str">
        <f>IFERROR(INDEX('Modelo 1.0 - NS'!$E$6:$E$118,MATCH($A205,'Modelo 1.0 - NS'!$AI$6:$AI$118,0)),"")</f>
        <v/>
      </c>
      <c r="E205" s="1056" t="str">
        <f>IFERROR(INDEX('Modelo 1.0 - NS'!$C$6:$C$118,MATCH($A205,'Modelo 1.0 - NS'!$AK$6:$AK$118,0)),"")</f>
        <v/>
      </c>
      <c r="F205" s="1056" t="s">
        <v>605</v>
      </c>
      <c r="G205" s="1056" t="str">
        <f>IFERROR(INDEX('Modelo 1.0 - NS'!$E$6:$E$118,MATCH($A205,'Modelo 1.0 - NS'!$AK$6:$AK$118,0)),"")</f>
        <v/>
      </c>
      <c r="I205" s="1058" t="str">
        <f t="shared" ref="I205:I229" si="18">IFERROR((E205*20+G205)-(B205*20+D205),"")</f>
        <v/>
      </c>
      <c r="J205" s="1058" t="s">
        <v>866</v>
      </c>
      <c r="K205" s="1058">
        <v>0.2</v>
      </c>
      <c r="L205" s="1080" t="str">
        <f>IFERROR(INDEX('Modelo 1.0 - NS'!$AO$6:$AO$118,MATCH($A205,'Modelo 1.0 - NS'!$AK$6:$AK$118,0)),"")</f>
        <v/>
      </c>
    </row>
    <row r="206" spans="1:12" ht="15" hidden="1" customHeight="1">
      <c r="A206" s="1055" t="s">
        <v>1097</v>
      </c>
      <c r="B206" s="1056" t="str">
        <f>IFERROR(INDEX('Modelo 1.0 - NS'!$C$6:$C$118,MATCH($A206,'Modelo 1.0 - NS'!$AI$6:$AI$118,0)),"")</f>
        <v/>
      </c>
      <c r="C206" s="1056" t="s">
        <v>605</v>
      </c>
      <c r="D206" s="1056" t="str">
        <f>IFERROR(INDEX('Modelo 1.0 - NS'!$E$6:$E$118,MATCH($A206,'Modelo 1.0 - NS'!$AI$6:$AI$118,0)),"")</f>
        <v/>
      </c>
      <c r="E206" s="1056" t="str">
        <f>IFERROR(INDEX('Modelo 1.0 - NS'!$C$6:$C$118,MATCH($A206,'Modelo 1.0 - NS'!$AK$6:$AK$118,0)),"")</f>
        <v/>
      </c>
      <c r="F206" s="1056" t="s">
        <v>605</v>
      </c>
      <c r="G206" s="1056" t="str">
        <f>IFERROR(INDEX('Modelo 1.0 - NS'!$E$6:$E$118,MATCH($A206,'Modelo 1.0 - NS'!$AK$6:$AK$118,0)),"")</f>
        <v/>
      </c>
      <c r="I206" s="1058" t="str">
        <f t="shared" si="18"/>
        <v/>
      </c>
      <c r="J206" s="1058" t="s">
        <v>866</v>
      </c>
      <c r="K206" s="1058">
        <v>0.2</v>
      </c>
      <c r="L206" s="1080" t="str">
        <f>IFERROR(INDEX('Modelo 1.0 - NS'!$AO$6:$AO$118,MATCH($A206,'Modelo 1.0 - NS'!$AK$6:$AK$118,0)),"")</f>
        <v/>
      </c>
    </row>
    <row r="207" spans="1:12" ht="15" hidden="1" customHeight="1">
      <c r="A207" s="1055" t="s">
        <v>1098</v>
      </c>
      <c r="B207" s="1056" t="str">
        <f>IFERROR(INDEX('Modelo 1.0 - NS'!$C$6:$C$118,MATCH($A207,'Modelo 1.0 - NS'!$AI$6:$AI$118,0)),"")</f>
        <v/>
      </c>
      <c r="C207" s="1056" t="s">
        <v>605</v>
      </c>
      <c r="D207" s="1056" t="str">
        <f>IFERROR(INDEX('Modelo 1.0 - NS'!$E$6:$E$118,MATCH($A207,'Modelo 1.0 - NS'!$AI$6:$AI$118,0)),"")</f>
        <v/>
      </c>
      <c r="E207" s="1056" t="str">
        <f>IFERROR(INDEX('Modelo 1.0 - NS'!$C$6:$C$118,MATCH($A207,'Modelo 1.0 - NS'!$AK$6:$AK$118,0)),"")</f>
        <v/>
      </c>
      <c r="F207" s="1056" t="s">
        <v>605</v>
      </c>
      <c r="G207" s="1056" t="str">
        <f>IFERROR(INDEX('Modelo 1.0 - NS'!$E$6:$E$118,MATCH($A207,'Modelo 1.0 - NS'!$AK$6:$AK$118,0)),"")</f>
        <v/>
      </c>
      <c r="I207" s="1058" t="str">
        <f t="shared" si="18"/>
        <v/>
      </c>
      <c r="J207" s="1058" t="s">
        <v>866</v>
      </c>
      <c r="K207" s="1058">
        <v>0.2</v>
      </c>
      <c r="L207" s="1080" t="str">
        <f>IFERROR(INDEX('Modelo 1.0 - NS'!$AO$6:$AO$118,MATCH($A207,'Modelo 1.0 - NS'!$AK$6:$AK$118,0)),"")</f>
        <v/>
      </c>
    </row>
    <row r="208" spans="1:12" ht="15" hidden="1" customHeight="1">
      <c r="A208" s="1055" t="s">
        <v>1099</v>
      </c>
      <c r="B208" s="1056" t="str">
        <f>IFERROR(INDEX('Modelo 1.0 - NS'!$C$6:$C$118,MATCH($A208,'Modelo 1.0 - NS'!$AI$6:$AI$118,0)),"")</f>
        <v/>
      </c>
      <c r="C208" s="1056" t="s">
        <v>605</v>
      </c>
      <c r="D208" s="1056" t="str">
        <f>IFERROR(INDEX('Modelo 1.0 - NS'!$E$6:$E$118,MATCH($A208,'Modelo 1.0 - NS'!$AI$6:$AI$118,0)),"")</f>
        <v/>
      </c>
      <c r="E208" s="1056" t="str">
        <f>IFERROR(INDEX('Modelo 1.0 - NS'!$C$6:$C$118,MATCH($A208,'Modelo 1.0 - NS'!$AK$6:$AK$118,0)),"")</f>
        <v/>
      </c>
      <c r="F208" s="1056" t="s">
        <v>605</v>
      </c>
      <c r="G208" s="1056" t="str">
        <f>IFERROR(INDEX('Modelo 1.0 - NS'!$E$6:$E$118,MATCH($A208,'Modelo 1.0 - NS'!$AK$6:$AK$118,0)),"")</f>
        <v/>
      </c>
      <c r="I208" s="1058" t="str">
        <f t="shared" si="18"/>
        <v/>
      </c>
      <c r="J208" s="1058" t="s">
        <v>866</v>
      </c>
      <c r="K208" s="1058">
        <v>0.2</v>
      </c>
      <c r="L208" s="1080" t="str">
        <f>IFERROR(INDEX('Modelo 1.0 - NS'!$AO$6:$AO$118,MATCH($A208,'Modelo 1.0 - NS'!$AK$6:$AK$118,0)),"")</f>
        <v/>
      </c>
    </row>
    <row r="209" spans="1:12" ht="15" hidden="1" customHeight="1">
      <c r="A209" s="1055" t="s">
        <v>1100</v>
      </c>
      <c r="B209" s="1056" t="str">
        <f>IFERROR(INDEX('Modelo 1.0 - NS'!$C$6:$C$118,MATCH($A209,'Modelo 1.0 - NS'!$AI$6:$AI$118,0)),"")</f>
        <v/>
      </c>
      <c r="C209" s="1056" t="s">
        <v>605</v>
      </c>
      <c r="D209" s="1056" t="str">
        <f>IFERROR(INDEX('Modelo 1.0 - NS'!$E$6:$E$118,MATCH($A209,'Modelo 1.0 - NS'!$AI$6:$AI$118,0)),"")</f>
        <v/>
      </c>
      <c r="E209" s="1056" t="str">
        <f>IFERROR(INDEX('Modelo 1.0 - NS'!$C$6:$C$118,MATCH($A209,'Modelo 1.0 - NS'!$AK$6:$AK$118,0)),"")</f>
        <v/>
      </c>
      <c r="F209" s="1056" t="s">
        <v>605</v>
      </c>
      <c r="G209" s="1056" t="str">
        <f>IFERROR(INDEX('Modelo 1.0 - NS'!$E$6:$E$118,MATCH($A209,'Modelo 1.0 - NS'!$AK$6:$AK$118,0)),"")</f>
        <v/>
      </c>
      <c r="I209" s="1058" t="str">
        <f t="shared" si="18"/>
        <v/>
      </c>
      <c r="J209" s="1058" t="s">
        <v>866</v>
      </c>
      <c r="K209" s="1058">
        <v>0.2</v>
      </c>
      <c r="L209" s="1080" t="str">
        <f>IFERROR(INDEX('Modelo 1.0 - NS'!$AO$6:$AO$118,MATCH($A209,'Modelo 1.0 - NS'!$AK$6:$AK$118,0)),"")</f>
        <v/>
      </c>
    </row>
    <row r="210" spans="1:12" ht="15" hidden="1" customHeight="1">
      <c r="A210" s="1055" t="s">
        <v>1101</v>
      </c>
      <c r="B210" s="1056" t="str">
        <f>IFERROR(INDEX('Modelo 1.0 - NS'!$C$6:$C$118,MATCH($A210,'Modelo 1.0 - NS'!$AI$6:$AI$118,0)),"")</f>
        <v/>
      </c>
      <c r="C210" s="1056" t="s">
        <v>605</v>
      </c>
      <c r="D210" s="1056" t="str">
        <f>IFERROR(INDEX('Modelo 1.0 - NS'!$E$6:$E$118,MATCH($A210,'Modelo 1.0 - NS'!$AI$6:$AI$118,0)),"")</f>
        <v/>
      </c>
      <c r="E210" s="1056" t="str">
        <f>IFERROR(INDEX('Modelo 1.0 - NS'!$C$6:$C$118,MATCH($A210,'Modelo 1.0 - NS'!$AK$6:$AK$118,0)),"")</f>
        <v/>
      </c>
      <c r="F210" s="1056" t="s">
        <v>605</v>
      </c>
      <c r="G210" s="1056" t="str">
        <f>IFERROR(INDEX('Modelo 1.0 - NS'!$E$6:$E$118,MATCH($A210,'Modelo 1.0 - NS'!$AK$6:$AK$118,0)),"")</f>
        <v/>
      </c>
      <c r="I210" s="1058" t="str">
        <f t="shared" si="18"/>
        <v/>
      </c>
      <c r="J210" s="1058" t="s">
        <v>866</v>
      </c>
      <c r="K210" s="1058">
        <v>0.2</v>
      </c>
      <c r="L210" s="1080" t="str">
        <f>IFERROR(INDEX('Modelo 1.0 - NS'!$AO$6:$AO$118,MATCH($A210,'Modelo 1.0 - NS'!$AK$6:$AK$118,0)),"")</f>
        <v/>
      </c>
    </row>
    <row r="211" spans="1:12" ht="15" hidden="1" customHeight="1">
      <c r="A211" s="1055" t="s">
        <v>1102</v>
      </c>
      <c r="B211" s="1056" t="str">
        <f>IFERROR(INDEX('Modelo 1.0 - NS'!$C$6:$C$118,MATCH($A211,'Modelo 1.0 - NS'!$AI$6:$AI$118,0)),"")</f>
        <v/>
      </c>
      <c r="C211" s="1056" t="s">
        <v>605</v>
      </c>
      <c r="D211" s="1056" t="str">
        <f>IFERROR(INDEX('Modelo 1.0 - NS'!$E$6:$E$118,MATCH($A211,'Modelo 1.0 - NS'!$AI$6:$AI$118,0)),"")</f>
        <v/>
      </c>
      <c r="E211" s="1056" t="str">
        <f>IFERROR(INDEX('Modelo 1.0 - NS'!$C$6:$C$118,MATCH($A211,'Modelo 1.0 - NS'!$AK$6:$AK$118,0)),"")</f>
        <v/>
      </c>
      <c r="F211" s="1056" t="s">
        <v>605</v>
      </c>
      <c r="G211" s="1056" t="str">
        <f>IFERROR(INDEX('Modelo 1.0 - NS'!$E$6:$E$118,MATCH($A211,'Modelo 1.0 - NS'!$AK$6:$AK$118,0)),"")</f>
        <v/>
      </c>
      <c r="I211" s="1058" t="str">
        <f t="shared" si="18"/>
        <v/>
      </c>
      <c r="J211" s="1058" t="s">
        <v>866</v>
      </c>
      <c r="K211" s="1058">
        <v>0.2</v>
      </c>
      <c r="L211" s="1080" t="str">
        <f>IFERROR(INDEX('Modelo 1.0 - NS'!$AO$6:$AO$118,MATCH($A211,'Modelo 1.0 - NS'!$AK$6:$AK$118,0)),"")</f>
        <v/>
      </c>
    </row>
    <row r="212" spans="1:12" ht="15" hidden="1" customHeight="1">
      <c r="A212" s="1055" t="s">
        <v>1103</v>
      </c>
      <c r="B212" s="1056" t="str">
        <f>IFERROR(INDEX('Modelo 1.0 - NS'!$C$6:$C$118,MATCH($A212,'Modelo 1.0 - NS'!$AI$6:$AI$118,0)),"")</f>
        <v/>
      </c>
      <c r="C212" s="1056" t="s">
        <v>605</v>
      </c>
      <c r="D212" s="1056" t="str">
        <f>IFERROR(INDEX('Modelo 1.0 - NS'!$E$6:$E$118,MATCH($A212,'Modelo 1.0 - NS'!$AI$6:$AI$118,0)),"")</f>
        <v/>
      </c>
      <c r="E212" s="1056" t="str">
        <f>IFERROR(INDEX('Modelo 1.0 - NS'!$C$6:$C$118,MATCH($A212,'Modelo 1.0 - NS'!$AK$6:$AK$118,0)),"")</f>
        <v/>
      </c>
      <c r="F212" s="1056" t="s">
        <v>605</v>
      </c>
      <c r="G212" s="1056" t="str">
        <f>IFERROR(INDEX('Modelo 1.0 - NS'!$E$6:$E$118,MATCH($A212,'Modelo 1.0 - NS'!$AK$6:$AK$118,0)),"")</f>
        <v/>
      </c>
      <c r="I212" s="1058" t="str">
        <f t="shared" si="18"/>
        <v/>
      </c>
      <c r="J212" s="1058" t="s">
        <v>866</v>
      </c>
      <c r="K212" s="1058">
        <v>0.2</v>
      </c>
      <c r="L212" s="1080" t="str">
        <f>IFERROR(INDEX('Modelo 1.0 - NS'!$AO$6:$AO$118,MATCH($A212,'Modelo 1.0 - NS'!$AK$6:$AK$118,0)),"")</f>
        <v/>
      </c>
    </row>
    <row r="213" spans="1:12" ht="15" hidden="1" customHeight="1">
      <c r="A213" s="1055" t="s">
        <v>1104</v>
      </c>
      <c r="B213" s="1056" t="str">
        <f>IFERROR(INDEX('Modelo 1.0 - NS'!$C$6:$C$118,MATCH($A213,'Modelo 1.0 - NS'!$AI$6:$AI$118,0)),"")</f>
        <v/>
      </c>
      <c r="C213" s="1056" t="s">
        <v>605</v>
      </c>
      <c r="D213" s="1056" t="str">
        <f>IFERROR(INDEX('Modelo 1.0 - NS'!$E$6:$E$118,MATCH($A213,'Modelo 1.0 - NS'!$AI$6:$AI$118,0)),"")</f>
        <v/>
      </c>
      <c r="E213" s="1056" t="str">
        <f>IFERROR(INDEX('Modelo 1.0 - NS'!$C$6:$C$118,MATCH($A213,'Modelo 1.0 - NS'!$AK$6:$AK$118,0)),"")</f>
        <v/>
      </c>
      <c r="F213" s="1056" t="s">
        <v>605</v>
      </c>
      <c r="G213" s="1056" t="str">
        <f>IFERROR(INDEX('Modelo 1.0 - NS'!$E$6:$E$118,MATCH($A213,'Modelo 1.0 - NS'!$AK$6:$AK$118,0)),"")</f>
        <v/>
      </c>
      <c r="I213" s="1058" t="str">
        <f t="shared" si="18"/>
        <v/>
      </c>
      <c r="J213" s="1058" t="s">
        <v>866</v>
      </c>
      <c r="K213" s="1058">
        <v>0.2</v>
      </c>
      <c r="L213" s="1080" t="str">
        <f>IFERROR(INDEX('Modelo 1.0 - NS'!$AO$6:$AO$118,MATCH($A213,'Modelo 1.0 - NS'!$AK$6:$AK$118,0)),"")</f>
        <v/>
      </c>
    </row>
    <row r="214" spans="1:12" ht="15" hidden="1" customHeight="1">
      <c r="A214" s="1055" t="s">
        <v>1105</v>
      </c>
      <c r="B214" s="1056" t="str">
        <f>IFERROR(INDEX('Modelo 1.0 - NS'!$C$6:$C$118,MATCH($A214,'Modelo 1.0 - NS'!$AI$6:$AI$118,0)),"")</f>
        <v/>
      </c>
      <c r="C214" s="1056" t="s">
        <v>605</v>
      </c>
      <c r="D214" s="1056" t="str">
        <f>IFERROR(INDEX('Modelo 1.0 - NS'!$E$6:$E$118,MATCH($A214,'Modelo 1.0 - NS'!$AI$6:$AI$118,0)),"")</f>
        <v/>
      </c>
      <c r="E214" s="1056" t="str">
        <f>IFERROR(INDEX('Modelo 1.0 - NS'!$C$6:$C$118,MATCH($A214,'Modelo 1.0 - NS'!$AK$6:$AK$118,0)),"")</f>
        <v/>
      </c>
      <c r="F214" s="1056" t="s">
        <v>605</v>
      </c>
      <c r="G214" s="1056" t="str">
        <f>IFERROR(INDEX('Modelo 1.0 - NS'!$E$6:$E$118,MATCH($A214,'Modelo 1.0 - NS'!$AK$6:$AK$118,0)),"")</f>
        <v/>
      </c>
      <c r="I214" s="1058" t="str">
        <f t="shared" si="18"/>
        <v/>
      </c>
      <c r="J214" s="1058" t="s">
        <v>866</v>
      </c>
      <c r="K214" s="1058">
        <v>0.2</v>
      </c>
      <c r="L214" s="1080" t="str">
        <f>IFERROR(INDEX('Modelo 1.0 - NS'!$AO$6:$AO$118,MATCH($A214,'Modelo 1.0 - NS'!$AK$6:$AK$118,0)),"")</f>
        <v/>
      </c>
    </row>
    <row r="215" spans="1:12" ht="15" hidden="1" customHeight="1">
      <c r="A215" s="1055" t="s">
        <v>1106</v>
      </c>
      <c r="B215" s="1056" t="str">
        <f>IFERROR(INDEX('Modelo 1.0 - NS'!$C$6:$C$118,MATCH($A215,'Modelo 1.0 - NS'!$AI$6:$AI$118,0)),"")</f>
        <v/>
      </c>
      <c r="C215" s="1056" t="s">
        <v>605</v>
      </c>
      <c r="D215" s="1056" t="str">
        <f>IFERROR(INDEX('Modelo 1.0 - NS'!$E$6:$E$118,MATCH($A215,'Modelo 1.0 - NS'!$AI$6:$AI$118,0)),"")</f>
        <v/>
      </c>
      <c r="E215" s="1056" t="str">
        <f>IFERROR(INDEX('Modelo 1.0 - NS'!$C$6:$C$118,MATCH($A215,'Modelo 1.0 - NS'!$AK$6:$AK$118,0)),"")</f>
        <v/>
      </c>
      <c r="F215" s="1056" t="s">
        <v>605</v>
      </c>
      <c r="G215" s="1056" t="str">
        <f>IFERROR(INDEX('Modelo 1.0 - NS'!$E$6:$E$118,MATCH($A215,'Modelo 1.0 - NS'!$AK$6:$AK$118,0)),"")</f>
        <v/>
      </c>
      <c r="I215" s="1058" t="str">
        <f t="shared" si="18"/>
        <v/>
      </c>
      <c r="J215" s="1058" t="s">
        <v>866</v>
      </c>
      <c r="K215" s="1058">
        <v>0.2</v>
      </c>
      <c r="L215" s="1080" t="str">
        <f>IFERROR(INDEX('Modelo 1.0 - NS'!$AO$6:$AO$118,MATCH($A215,'Modelo 1.0 - NS'!$AK$6:$AK$118,0)),"")</f>
        <v/>
      </c>
    </row>
    <row r="216" spans="1:12" ht="15" hidden="1" customHeight="1">
      <c r="A216" s="1055" t="s">
        <v>1107</v>
      </c>
      <c r="B216" s="1056" t="str">
        <f>IFERROR(INDEX('Modelo 1.0 - NS'!$C$6:$C$118,MATCH($A216,'Modelo 1.0 - NS'!$AI$6:$AI$118,0)),"")</f>
        <v/>
      </c>
      <c r="C216" s="1056" t="s">
        <v>605</v>
      </c>
      <c r="D216" s="1056" t="str">
        <f>IFERROR(INDEX('Modelo 1.0 - NS'!$E$6:$E$118,MATCH($A216,'Modelo 1.0 - NS'!$AI$6:$AI$118,0)),"")</f>
        <v/>
      </c>
      <c r="E216" s="1056" t="str">
        <f>IFERROR(INDEX('Modelo 1.0 - NS'!$C$6:$C$118,MATCH($A216,'Modelo 1.0 - NS'!$AK$6:$AK$118,0)),"")</f>
        <v/>
      </c>
      <c r="F216" s="1056" t="s">
        <v>605</v>
      </c>
      <c r="G216" s="1056" t="str">
        <f>IFERROR(INDEX('Modelo 1.0 - NS'!$E$6:$E$118,MATCH($A216,'Modelo 1.0 - NS'!$AK$6:$AK$118,0)),"")</f>
        <v/>
      </c>
      <c r="I216" s="1058" t="str">
        <f t="shared" si="18"/>
        <v/>
      </c>
      <c r="J216" s="1058" t="s">
        <v>866</v>
      </c>
      <c r="K216" s="1058">
        <v>0.2</v>
      </c>
      <c r="L216" s="1080" t="str">
        <f>IFERROR(INDEX('Modelo 1.0 - NS'!$AO$6:$AO$118,MATCH($A216,'Modelo 1.0 - NS'!$AK$6:$AK$118,0)),"")</f>
        <v/>
      </c>
    </row>
    <row r="217" spans="1:12" ht="15" hidden="1" customHeight="1">
      <c r="A217" s="1055" t="s">
        <v>1108</v>
      </c>
      <c r="B217" s="1056" t="str">
        <f>IFERROR(INDEX('Modelo 1.0 - NS'!$C$6:$C$118,MATCH($A217,'Modelo 1.0 - NS'!$AI$6:$AI$118,0)),"")</f>
        <v/>
      </c>
      <c r="C217" s="1056" t="s">
        <v>605</v>
      </c>
      <c r="D217" s="1056" t="str">
        <f>IFERROR(INDEX('Modelo 1.0 - NS'!$E$6:$E$118,MATCH($A217,'Modelo 1.0 - NS'!$AI$6:$AI$118,0)),"")</f>
        <v/>
      </c>
      <c r="E217" s="1056" t="str">
        <f>IFERROR(INDEX('Modelo 1.0 - NS'!$C$6:$C$118,MATCH($A217,'Modelo 1.0 - NS'!$AK$6:$AK$118,0)),"")</f>
        <v/>
      </c>
      <c r="F217" s="1056" t="s">
        <v>605</v>
      </c>
      <c r="G217" s="1056" t="str">
        <f>IFERROR(INDEX('Modelo 1.0 - NS'!$E$6:$E$118,MATCH($A217,'Modelo 1.0 - NS'!$AK$6:$AK$118,0)),"")</f>
        <v/>
      </c>
      <c r="I217" s="1058" t="str">
        <f t="shared" si="18"/>
        <v/>
      </c>
      <c r="J217" s="1058" t="s">
        <v>866</v>
      </c>
      <c r="K217" s="1058">
        <v>0.2</v>
      </c>
      <c r="L217" s="1080" t="str">
        <f>IFERROR(INDEX('Modelo 1.0 - NS'!$AO$6:$AO$118,MATCH($A217,'Modelo 1.0 - NS'!$AK$6:$AK$118,0)),"")</f>
        <v/>
      </c>
    </row>
    <row r="218" spans="1:12" ht="15" hidden="1" customHeight="1">
      <c r="A218" s="1055" t="s">
        <v>1109</v>
      </c>
      <c r="B218" s="1056" t="str">
        <f>IFERROR(INDEX('Modelo 1.0 - NS'!$C$6:$C$118,MATCH($A218,'Modelo 1.0 - NS'!$AI$6:$AI$118,0)),"")</f>
        <v/>
      </c>
      <c r="C218" s="1056" t="s">
        <v>605</v>
      </c>
      <c r="D218" s="1056" t="str">
        <f>IFERROR(INDEX('Modelo 1.0 - NS'!$E$6:$E$118,MATCH($A218,'Modelo 1.0 - NS'!$AI$6:$AI$118,0)),"")</f>
        <v/>
      </c>
      <c r="E218" s="1056" t="str">
        <f>IFERROR(INDEX('Modelo 1.0 - NS'!$C$6:$C$118,MATCH($A218,'Modelo 1.0 - NS'!$AK$6:$AK$118,0)),"")</f>
        <v/>
      </c>
      <c r="F218" s="1056" t="s">
        <v>605</v>
      </c>
      <c r="G218" s="1056" t="str">
        <f>IFERROR(INDEX('Modelo 1.0 - NS'!$E$6:$E$118,MATCH($A218,'Modelo 1.0 - NS'!$AK$6:$AK$118,0)),"")</f>
        <v/>
      </c>
      <c r="I218" s="1058" t="str">
        <f t="shared" si="18"/>
        <v/>
      </c>
      <c r="J218" s="1058" t="s">
        <v>866</v>
      </c>
      <c r="K218" s="1058">
        <v>0.2</v>
      </c>
      <c r="L218" s="1080" t="str">
        <f>IFERROR(INDEX('Modelo 1.0 - NS'!$AO$6:$AO$118,MATCH($A218,'Modelo 1.0 - NS'!$AK$6:$AK$118,0)),"")</f>
        <v/>
      </c>
    </row>
    <row r="219" spans="1:12" ht="15" hidden="1" customHeight="1">
      <c r="A219" s="1055" t="s">
        <v>1110</v>
      </c>
      <c r="B219" s="1056" t="str">
        <f>IFERROR(INDEX('Modelo 1.0 - NS'!$C$6:$C$118,MATCH($A219,'Modelo 1.0 - NS'!$AI$6:$AI$118,0)),"")</f>
        <v/>
      </c>
      <c r="C219" s="1056" t="s">
        <v>605</v>
      </c>
      <c r="D219" s="1056" t="str">
        <f>IFERROR(INDEX('Modelo 1.0 - NS'!$E$6:$E$118,MATCH($A219,'Modelo 1.0 - NS'!$AI$6:$AI$118,0)),"")</f>
        <v/>
      </c>
      <c r="E219" s="1056" t="str">
        <f>IFERROR(INDEX('Modelo 1.0 - NS'!$C$6:$C$118,MATCH($A219,'Modelo 1.0 - NS'!$AK$6:$AK$118,0)),"")</f>
        <v/>
      </c>
      <c r="F219" s="1056" t="s">
        <v>605</v>
      </c>
      <c r="G219" s="1056" t="str">
        <f>IFERROR(INDEX('Modelo 1.0 - NS'!$E$6:$E$118,MATCH($A219,'Modelo 1.0 - NS'!$AK$6:$AK$118,0)),"")</f>
        <v/>
      </c>
      <c r="I219" s="1058" t="str">
        <f t="shared" si="18"/>
        <v/>
      </c>
      <c r="J219" s="1058" t="s">
        <v>866</v>
      </c>
      <c r="K219" s="1058">
        <v>0.2</v>
      </c>
      <c r="L219" s="1080" t="str">
        <f>IFERROR(INDEX('Modelo 1.0 - NS'!$AO$6:$AO$118,MATCH($A219,'Modelo 1.0 - NS'!$AK$6:$AK$118,0)),"")</f>
        <v/>
      </c>
    </row>
    <row r="220" spans="1:12" ht="15" hidden="1" customHeight="1">
      <c r="A220" s="1055" t="s">
        <v>1111</v>
      </c>
      <c r="B220" s="1056" t="str">
        <f>IFERROR(INDEX('Modelo 1.0 - NS'!$C$6:$C$118,MATCH($A220,'Modelo 1.0 - NS'!$AI$6:$AI$118,0)),"")</f>
        <v/>
      </c>
      <c r="C220" s="1056" t="s">
        <v>605</v>
      </c>
      <c r="D220" s="1056" t="str">
        <f>IFERROR(INDEX('Modelo 1.0 - NS'!$E$6:$E$118,MATCH($A220,'Modelo 1.0 - NS'!$AI$6:$AI$118,0)),"")</f>
        <v/>
      </c>
      <c r="E220" s="1056" t="str">
        <f>IFERROR(INDEX('Modelo 1.0 - NS'!$C$6:$C$118,MATCH($A220,'Modelo 1.0 - NS'!$AK$6:$AK$118,0)),"")</f>
        <v/>
      </c>
      <c r="F220" s="1056" t="s">
        <v>605</v>
      </c>
      <c r="G220" s="1056" t="str">
        <f>IFERROR(INDEX('Modelo 1.0 - NS'!$E$6:$E$118,MATCH($A220,'Modelo 1.0 - NS'!$AK$6:$AK$118,0)),"")</f>
        <v/>
      </c>
      <c r="I220" s="1058" t="str">
        <f t="shared" si="18"/>
        <v/>
      </c>
      <c r="J220" s="1058" t="s">
        <v>866</v>
      </c>
      <c r="K220" s="1058">
        <v>0.2</v>
      </c>
      <c r="L220" s="1080" t="str">
        <f>IFERROR(INDEX('Modelo 1.0 - NS'!$AO$6:$AO$118,MATCH($A220,'Modelo 1.0 - NS'!$AK$6:$AK$118,0)),"")</f>
        <v/>
      </c>
    </row>
    <row r="221" spans="1:12" ht="15" hidden="1" customHeight="1">
      <c r="A221" s="1055" t="s">
        <v>1112</v>
      </c>
      <c r="B221" s="1056" t="str">
        <f>IFERROR(INDEX('Modelo 1.0 - NS'!$C$6:$C$118,MATCH($A221,'Modelo 1.0 - NS'!$AI$6:$AI$118,0)),"")</f>
        <v/>
      </c>
      <c r="C221" s="1056" t="s">
        <v>605</v>
      </c>
      <c r="D221" s="1056" t="str">
        <f>IFERROR(INDEX('Modelo 1.0 - NS'!$E$6:$E$118,MATCH($A221,'Modelo 1.0 - NS'!$AI$6:$AI$118,0)),"")</f>
        <v/>
      </c>
      <c r="E221" s="1056" t="str">
        <f>IFERROR(INDEX('Modelo 1.0 - NS'!$C$6:$C$118,MATCH($A221,'Modelo 1.0 - NS'!$AK$6:$AK$118,0)),"")</f>
        <v/>
      </c>
      <c r="F221" s="1056" t="s">
        <v>605</v>
      </c>
      <c r="G221" s="1056" t="str">
        <f>IFERROR(INDEX('Modelo 1.0 - NS'!$E$6:$E$118,MATCH($A221,'Modelo 1.0 - NS'!$AK$6:$AK$118,0)),"")</f>
        <v/>
      </c>
      <c r="I221" s="1058" t="str">
        <f t="shared" si="18"/>
        <v/>
      </c>
      <c r="J221" s="1058" t="s">
        <v>866</v>
      </c>
      <c r="K221" s="1058">
        <v>0.2</v>
      </c>
      <c r="L221" s="1080" t="str">
        <f>IFERROR(INDEX('Modelo 1.0 - NS'!$AO$6:$AO$118,MATCH($A221,'Modelo 1.0 - NS'!$AK$6:$AK$118,0)),"")</f>
        <v/>
      </c>
    </row>
    <row r="222" spans="1:12" ht="15" hidden="1" customHeight="1">
      <c r="A222" s="1055" t="s">
        <v>1113</v>
      </c>
      <c r="B222" s="1056" t="str">
        <f>IFERROR(INDEX('Modelo 1.0 - NS'!$C$6:$C$118,MATCH($A222,'Modelo 1.0 - NS'!$AI$6:$AI$118,0)),"")</f>
        <v/>
      </c>
      <c r="C222" s="1056" t="s">
        <v>605</v>
      </c>
      <c r="D222" s="1056" t="str">
        <f>IFERROR(INDEX('Modelo 1.0 - NS'!$E$6:$E$118,MATCH($A222,'Modelo 1.0 - NS'!$AI$6:$AI$118,0)),"")</f>
        <v/>
      </c>
      <c r="E222" s="1056" t="str">
        <f>IFERROR(INDEX('Modelo 1.0 - NS'!$C$6:$C$118,MATCH($A222,'Modelo 1.0 - NS'!$AK$6:$AK$118,0)),"")</f>
        <v/>
      </c>
      <c r="F222" s="1056" t="s">
        <v>605</v>
      </c>
      <c r="G222" s="1056" t="str">
        <f>IFERROR(INDEX('Modelo 1.0 - NS'!$E$6:$E$118,MATCH($A222,'Modelo 1.0 - NS'!$AK$6:$AK$118,0)),"")</f>
        <v/>
      </c>
      <c r="I222" s="1058" t="str">
        <f t="shared" si="18"/>
        <v/>
      </c>
      <c r="J222" s="1058" t="s">
        <v>866</v>
      </c>
      <c r="K222" s="1058">
        <v>0.2</v>
      </c>
      <c r="L222" s="1080" t="str">
        <f>IFERROR(INDEX('Modelo 1.0 - NS'!$AO$6:$AO$118,MATCH($A222,'Modelo 1.0 - NS'!$AK$6:$AK$118,0)),"")</f>
        <v/>
      </c>
    </row>
    <row r="223" spans="1:12" ht="15" hidden="1" customHeight="1">
      <c r="A223" s="1055" t="s">
        <v>1114</v>
      </c>
      <c r="B223" s="1056" t="str">
        <f>IFERROR(INDEX('Modelo 1.0 - NS'!$C$6:$C$118,MATCH($A223,'Modelo 1.0 - NS'!$AI$6:$AI$118,0)),"")</f>
        <v/>
      </c>
      <c r="C223" s="1056" t="s">
        <v>605</v>
      </c>
      <c r="D223" s="1056" t="str">
        <f>IFERROR(INDEX('Modelo 1.0 - NS'!$E$6:$E$118,MATCH($A223,'Modelo 1.0 - NS'!$AI$6:$AI$118,0)),"")</f>
        <v/>
      </c>
      <c r="E223" s="1056" t="str">
        <f>IFERROR(INDEX('Modelo 1.0 - NS'!$C$6:$C$118,MATCH($A223,'Modelo 1.0 - NS'!$AK$6:$AK$118,0)),"")</f>
        <v/>
      </c>
      <c r="F223" s="1056" t="s">
        <v>605</v>
      </c>
      <c r="G223" s="1056" t="str">
        <f>IFERROR(INDEX('Modelo 1.0 - NS'!$E$6:$E$118,MATCH($A223,'Modelo 1.0 - NS'!$AK$6:$AK$118,0)),"")</f>
        <v/>
      </c>
      <c r="I223" s="1058" t="str">
        <f t="shared" si="18"/>
        <v/>
      </c>
      <c r="J223" s="1058" t="s">
        <v>866</v>
      </c>
      <c r="K223" s="1058">
        <v>0.2</v>
      </c>
      <c r="L223" s="1080" t="str">
        <f>IFERROR(INDEX('Modelo 1.0 - NS'!$AO$6:$AO$118,MATCH($A223,'Modelo 1.0 - NS'!$AK$6:$AK$118,0)),"")</f>
        <v/>
      </c>
    </row>
    <row r="224" spans="1:12" ht="15" hidden="1" customHeight="1">
      <c r="A224" s="1055" t="s">
        <v>1115</v>
      </c>
      <c r="B224" s="1056" t="str">
        <f>IFERROR(INDEX('Modelo 1.0 - NS'!$C$6:$C$118,MATCH($A224,'Modelo 1.0 - NS'!$AI$6:$AI$118,0)),"")</f>
        <v/>
      </c>
      <c r="C224" s="1056" t="s">
        <v>605</v>
      </c>
      <c r="D224" s="1056" t="str">
        <f>IFERROR(INDEX('Modelo 1.0 - NS'!$E$6:$E$118,MATCH($A224,'Modelo 1.0 - NS'!$AI$6:$AI$118,0)),"")</f>
        <v/>
      </c>
      <c r="E224" s="1056" t="str">
        <f>IFERROR(INDEX('Modelo 1.0 - NS'!$C$6:$C$118,MATCH($A224,'Modelo 1.0 - NS'!$AK$6:$AK$118,0)),"")</f>
        <v/>
      </c>
      <c r="F224" s="1056" t="s">
        <v>605</v>
      </c>
      <c r="G224" s="1056" t="str">
        <f>IFERROR(INDEX('Modelo 1.0 - NS'!$E$6:$E$118,MATCH($A224,'Modelo 1.0 - NS'!$AK$6:$AK$118,0)),"")</f>
        <v/>
      </c>
      <c r="I224" s="1058" t="str">
        <f t="shared" si="18"/>
        <v/>
      </c>
      <c r="J224" s="1058" t="s">
        <v>866</v>
      </c>
      <c r="K224" s="1058">
        <v>0.2</v>
      </c>
      <c r="L224" s="1080" t="str">
        <f>IFERROR(INDEX('Modelo 1.0 - NS'!$AO$6:$AO$118,MATCH($A224,'Modelo 1.0 - NS'!$AK$6:$AK$118,0)),"")</f>
        <v/>
      </c>
    </row>
    <row r="225" spans="1:12" ht="15" hidden="1" customHeight="1">
      <c r="A225" s="1055" t="s">
        <v>1116</v>
      </c>
      <c r="B225" s="1056" t="str">
        <f>IFERROR(INDEX('Modelo 1.0 - NS'!$C$6:$C$118,MATCH($A225,'Modelo 1.0 - NS'!$AI$6:$AI$118,0)),"")</f>
        <v/>
      </c>
      <c r="C225" s="1056" t="s">
        <v>605</v>
      </c>
      <c r="D225" s="1056" t="str">
        <f>IFERROR(INDEX('Modelo 1.0 - NS'!$E$6:$E$118,MATCH($A225,'Modelo 1.0 - NS'!$AI$6:$AI$118,0)),"")</f>
        <v/>
      </c>
      <c r="E225" s="1056" t="str">
        <f>IFERROR(INDEX('Modelo 1.0 - NS'!$C$6:$C$118,MATCH($A225,'Modelo 1.0 - NS'!$AK$6:$AK$118,0)),"")</f>
        <v/>
      </c>
      <c r="F225" s="1056" t="s">
        <v>605</v>
      </c>
      <c r="G225" s="1056" t="str">
        <f>IFERROR(INDEX('Modelo 1.0 - NS'!$E$6:$E$118,MATCH($A225,'Modelo 1.0 - NS'!$AK$6:$AK$118,0)),"")</f>
        <v/>
      </c>
      <c r="I225" s="1058" t="str">
        <f t="shared" si="18"/>
        <v/>
      </c>
      <c r="J225" s="1058" t="s">
        <v>866</v>
      </c>
      <c r="K225" s="1058">
        <v>0.2</v>
      </c>
      <c r="L225" s="1080" t="str">
        <f>IFERROR(INDEX('Modelo 1.0 - NS'!$AO$6:$AO$118,MATCH($A225,'Modelo 1.0 - NS'!$AK$6:$AK$118,0)),"")</f>
        <v/>
      </c>
    </row>
    <row r="226" spans="1:12" ht="15" hidden="1" customHeight="1">
      <c r="A226" s="1055" t="s">
        <v>1117</v>
      </c>
      <c r="B226" s="1056" t="str">
        <f>IFERROR(INDEX('Modelo 1.0 - NS'!$C$6:$C$118,MATCH($A226,'Modelo 1.0 - NS'!$AI$6:$AI$118,0)),"")</f>
        <v/>
      </c>
      <c r="C226" s="1056" t="s">
        <v>605</v>
      </c>
      <c r="D226" s="1056" t="str">
        <f>IFERROR(INDEX('Modelo 1.0 - NS'!$E$6:$E$118,MATCH($A226,'Modelo 1.0 - NS'!$AI$6:$AI$118,0)),"")</f>
        <v/>
      </c>
      <c r="E226" s="1056" t="str">
        <f>IFERROR(INDEX('Modelo 1.0 - NS'!$C$6:$C$118,MATCH($A226,'Modelo 1.0 - NS'!$AK$6:$AK$118,0)),"")</f>
        <v/>
      </c>
      <c r="F226" s="1056" t="s">
        <v>605</v>
      </c>
      <c r="G226" s="1056" t="str">
        <f>IFERROR(INDEX('Modelo 1.0 - NS'!$E$6:$E$118,MATCH($A226,'Modelo 1.0 - NS'!$AK$6:$AK$118,0)),"")</f>
        <v/>
      </c>
      <c r="I226" s="1058" t="str">
        <f t="shared" si="18"/>
        <v/>
      </c>
      <c r="J226" s="1058" t="s">
        <v>866</v>
      </c>
      <c r="K226" s="1058">
        <v>0.2</v>
      </c>
      <c r="L226" s="1080" t="str">
        <f>IFERROR(INDEX('Modelo 1.0 - NS'!$AO$6:$AO$118,MATCH($A226,'Modelo 1.0 - NS'!$AK$6:$AK$118,0)),"")</f>
        <v/>
      </c>
    </row>
    <row r="227" spans="1:12" ht="15" hidden="1" customHeight="1">
      <c r="A227" s="1055" t="s">
        <v>1118</v>
      </c>
      <c r="B227" s="1056" t="str">
        <f>IFERROR(INDEX('Modelo 1.0 - NS'!$C$6:$C$118,MATCH($A227,'Modelo 1.0 - NS'!$AI$6:$AI$118,0)),"")</f>
        <v/>
      </c>
      <c r="C227" s="1056" t="s">
        <v>605</v>
      </c>
      <c r="D227" s="1056" t="str">
        <f>IFERROR(INDEX('Modelo 1.0 - NS'!$E$6:$E$118,MATCH($A227,'Modelo 1.0 - NS'!$AI$6:$AI$118,0)),"")</f>
        <v/>
      </c>
      <c r="E227" s="1056" t="str">
        <f>IFERROR(INDEX('Modelo 1.0 - NS'!$C$6:$C$118,MATCH($A227,'Modelo 1.0 - NS'!$AK$6:$AK$118,0)),"")</f>
        <v/>
      </c>
      <c r="F227" s="1056" t="s">
        <v>605</v>
      </c>
      <c r="G227" s="1056" t="str">
        <f>IFERROR(INDEX('Modelo 1.0 - NS'!$E$6:$E$118,MATCH($A227,'Modelo 1.0 - NS'!$AK$6:$AK$118,0)),"")</f>
        <v/>
      </c>
      <c r="I227" s="1058" t="str">
        <f t="shared" si="18"/>
        <v/>
      </c>
      <c r="J227" s="1058" t="s">
        <v>866</v>
      </c>
      <c r="K227" s="1058">
        <v>0.2</v>
      </c>
      <c r="L227" s="1080" t="str">
        <f>IFERROR(INDEX('Modelo 1.0 - NS'!$AO$6:$AO$118,MATCH($A227,'Modelo 1.0 - NS'!$AK$6:$AK$118,0)),"")</f>
        <v/>
      </c>
    </row>
    <row r="228" spans="1:12" ht="15" hidden="1" customHeight="1">
      <c r="A228" s="1055" t="s">
        <v>1119</v>
      </c>
      <c r="B228" s="1056" t="str">
        <f>IFERROR(INDEX('Modelo 1.0 - NS'!$C$6:$C$118,MATCH($A228,'Modelo 1.0 - NS'!$AI$6:$AI$118,0)),"")</f>
        <v/>
      </c>
      <c r="C228" s="1056" t="s">
        <v>605</v>
      </c>
      <c r="D228" s="1056" t="str">
        <f>IFERROR(INDEX('Modelo 1.0 - NS'!$E$6:$E$118,MATCH($A228,'Modelo 1.0 - NS'!$AI$6:$AI$118,0)),"")</f>
        <v/>
      </c>
      <c r="E228" s="1056" t="str">
        <f>IFERROR(INDEX('Modelo 1.0 - NS'!$C$6:$C$118,MATCH($A228,'Modelo 1.0 - NS'!$AK$6:$AK$118,0)),"")</f>
        <v/>
      </c>
      <c r="F228" s="1056" t="s">
        <v>605</v>
      </c>
      <c r="G228" s="1056" t="str">
        <f>IFERROR(INDEX('Modelo 1.0 - NS'!$E$6:$E$118,MATCH($A228,'Modelo 1.0 - NS'!$AK$6:$AK$118,0)),"")</f>
        <v/>
      </c>
      <c r="I228" s="1058" t="str">
        <f t="shared" si="18"/>
        <v/>
      </c>
      <c r="J228" s="1058" t="s">
        <v>866</v>
      </c>
      <c r="K228" s="1058">
        <v>0.2</v>
      </c>
      <c r="L228" s="1080" t="str">
        <f>IFERROR(INDEX('Modelo 1.0 - NS'!$AO$6:$AO$118,MATCH($A228,'Modelo 1.0 - NS'!$AK$6:$AK$118,0)),"")</f>
        <v/>
      </c>
    </row>
    <row r="229" spans="1:12" ht="15" hidden="1" customHeight="1">
      <c r="A229" s="1055" t="s">
        <v>1120</v>
      </c>
      <c r="B229" s="1056" t="str">
        <f>IFERROR(INDEX('Modelo 1.0 - NS'!$C$6:$C$118,MATCH($A229,'Modelo 1.0 - NS'!$AI$6:$AI$118,0)),"")</f>
        <v/>
      </c>
      <c r="C229" s="1056" t="s">
        <v>605</v>
      </c>
      <c r="D229" s="1056" t="str">
        <f>IFERROR(INDEX('Modelo 1.0 - NS'!$E$6:$E$118,MATCH($A229,'Modelo 1.0 - NS'!$AI$6:$AI$118,0)),"")</f>
        <v/>
      </c>
      <c r="E229" s="1056" t="str">
        <f>IFERROR(INDEX('Modelo 1.0 - NS'!$C$6:$C$118,MATCH($A229,'Modelo 1.0 - NS'!$AK$6:$AK$118,0)),"")</f>
        <v/>
      </c>
      <c r="F229" s="1056" t="s">
        <v>605</v>
      </c>
      <c r="G229" s="1056" t="str">
        <f>IFERROR(INDEX('Modelo 1.0 - NS'!$E$6:$E$118,MATCH($A229,'Modelo 1.0 - NS'!$AK$6:$AK$118,0)),"")</f>
        <v/>
      </c>
      <c r="I229" s="1058" t="str">
        <f t="shared" si="18"/>
        <v/>
      </c>
      <c r="J229" s="1058" t="s">
        <v>866</v>
      </c>
      <c r="K229" s="1058">
        <v>0.2</v>
      </c>
      <c r="L229" s="1080" t="str">
        <f>IFERROR(INDEX('Modelo 1.0 - NS'!$AO$6:$AO$118,MATCH($A229,'Modelo 1.0 - NS'!$AK$6:$AK$118,0)),"")</f>
        <v/>
      </c>
    </row>
    <row r="230" spans="1:12" ht="15" hidden="1" customHeight="1">
      <c r="A230" s="1055"/>
      <c r="B230" s="1056"/>
      <c r="C230" s="1056"/>
      <c r="D230" s="1056"/>
      <c r="E230" s="1056"/>
      <c r="F230" s="1056"/>
      <c r="G230" s="1056"/>
      <c r="I230" s="1058"/>
      <c r="J230" s="1058"/>
      <c r="K230" s="1058"/>
      <c r="L230" s="1080"/>
    </row>
    <row r="231" spans="1:12" ht="15" hidden="1" customHeight="1">
      <c r="A231" s="1055"/>
      <c r="B231" s="1056"/>
      <c r="C231" s="1056"/>
      <c r="D231" s="1056"/>
      <c r="E231" s="1056"/>
      <c r="F231" s="1056"/>
      <c r="G231" s="1056"/>
      <c r="I231" s="1058"/>
      <c r="J231" s="1058"/>
      <c r="K231" s="1058"/>
      <c r="L231" s="1080"/>
    </row>
    <row r="232" spans="1:12" ht="15" hidden="1" customHeight="1">
      <c r="A232" s="1055"/>
      <c r="B232" s="1056"/>
      <c r="C232" s="1056"/>
      <c r="D232" s="1056"/>
      <c r="E232" s="1056"/>
      <c r="F232" s="1056"/>
      <c r="G232" s="1056"/>
      <c r="I232" s="1058"/>
      <c r="J232" s="1058"/>
      <c r="K232" s="1058"/>
      <c r="L232" s="1080"/>
    </row>
    <row r="233" spans="1:12" ht="15" hidden="1" customHeight="1">
      <c r="A233" s="1055"/>
      <c r="B233" s="1056"/>
      <c r="C233" s="1056"/>
      <c r="D233" s="1056"/>
      <c r="E233" s="1056"/>
      <c r="F233" s="1056"/>
      <c r="G233" s="1056"/>
      <c r="I233" s="1058"/>
      <c r="J233" s="1058"/>
      <c r="K233" s="1058"/>
      <c r="L233" s="1080"/>
    </row>
    <row r="234" spans="1:12" ht="15" hidden="1" customHeight="1">
      <c r="A234" s="1055"/>
      <c r="B234" s="1056"/>
      <c r="C234" s="1056"/>
      <c r="D234" s="1056"/>
      <c r="E234" s="1056"/>
      <c r="F234" s="1056"/>
      <c r="G234" s="1056"/>
      <c r="I234" s="1058"/>
      <c r="J234" s="1058"/>
      <c r="K234" s="1058"/>
      <c r="L234" s="1080"/>
    </row>
    <row r="235" spans="1:12" ht="15" hidden="1" customHeight="1">
      <c r="A235" s="2095" t="s">
        <v>422</v>
      </c>
      <c r="B235" s="2095"/>
      <c r="C235" s="2095"/>
      <c r="D235" s="2095"/>
      <c r="E235" s="2095"/>
      <c r="F235" s="2095"/>
      <c r="G235" s="2095"/>
      <c r="H235" s="2095"/>
      <c r="I235" s="2095"/>
      <c r="J235" s="2095"/>
      <c r="K235" s="2095"/>
      <c r="L235" s="1059">
        <f>SUM(L205:L234)</f>
        <v>0</v>
      </c>
    </row>
  </sheetData>
  <mergeCells count="66">
    <mergeCell ref="A1:L1"/>
    <mergeCell ref="A2:L2"/>
    <mergeCell ref="A3:A4"/>
    <mergeCell ref="B3:D4"/>
    <mergeCell ref="E3:G4"/>
    <mergeCell ref="H3:H4"/>
    <mergeCell ref="I3:I4"/>
    <mergeCell ref="J3:J4"/>
    <mergeCell ref="K3:K4"/>
    <mergeCell ref="L3:L4"/>
    <mergeCell ref="A42:K42"/>
    <mergeCell ref="A45:L45"/>
    <mergeCell ref="A46:A47"/>
    <mergeCell ref="B46:D47"/>
    <mergeCell ref="E46:G47"/>
    <mergeCell ref="H46:H47"/>
    <mergeCell ref="I46:I47"/>
    <mergeCell ref="J46:J47"/>
    <mergeCell ref="K46:K47"/>
    <mergeCell ref="L46:L47"/>
    <mergeCell ref="A58:K58"/>
    <mergeCell ref="A60:L60"/>
    <mergeCell ref="A61:L61"/>
    <mergeCell ref="A62:A63"/>
    <mergeCell ref="B62:D63"/>
    <mergeCell ref="E62:G63"/>
    <mergeCell ref="I62:I63"/>
    <mergeCell ref="A108:K108"/>
    <mergeCell ref="A112:L112"/>
    <mergeCell ref="A113:A114"/>
    <mergeCell ref="B113:D114"/>
    <mergeCell ref="E113:G114"/>
    <mergeCell ref="H113:H114"/>
    <mergeCell ref="I113:I114"/>
    <mergeCell ref="J113:J114"/>
    <mergeCell ref="K113:K114"/>
    <mergeCell ref="L113:L114"/>
    <mergeCell ref="A141:K141"/>
    <mergeCell ref="A143:L143"/>
    <mergeCell ref="A144:A145"/>
    <mergeCell ref="H144:H145"/>
    <mergeCell ref="I144:I145"/>
    <mergeCell ref="J144:J145"/>
    <mergeCell ref="K144:K145"/>
    <mergeCell ref="L144:L145"/>
    <mergeCell ref="A163:K163"/>
    <mergeCell ref="A165:L166"/>
    <mergeCell ref="A169:L169"/>
    <mergeCell ref="A170:A171"/>
    <mergeCell ref="B170:D171"/>
    <mergeCell ref="E170:G171"/>
    <mergeCell ref="I170:I171"/>
    <mergeCell ref="J170:J171"/>
    <mergeCell ref="K170:K171"/>
    <mergeCell ref="L170:L171"/>
    <mergeCell ref="A235:K235"/>
    <mergeCell ref="A198:K198"/>
    <mergeCell ref="A201:L201"/>
    <mergeCell ref="A202:L202"/>
    <mergeCell ref="A203:A204"/>
    <mergeCell ref="B203:D204"/>
    <mergeCell ref="E203:G204"/>
    <mergeCell ref="I203:I204"/>
    <mergeCell ref="J203:J204"/>
    <mergeCell ref="K203:K204"/>
    <mergeCell ref="L203:L204"/>
  </mergeCells>
  <printOptions horizontalCentered="1"/>
  <pageMargins left="0.59055118110236227" right="0.59055118110236227" top="0.59055118110236227" bottom="0.59055118110236227" header="0.51181102362204722" footer="0.51181102362204722"/>
  <pageSetup paperSize="9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31A14-F0E7-4E47-BDB8-7FD63DC2386F}">
  <sheetPr codeName="Planilha12">
    <tabColor theme="7" tint="0.79998168889431442"/>
  </sheetPr>
  <dimension ref="A1:O11"/>
  <sheetViews>
    <sheetView workbookViewId="0">
      <selection activeCell="O32" sqref="O32:O33"/>
    </sheetView>
  </sheetViews>
  <sheetFormatPr defaultColWidth="9.140625" defaultRowHeight="12.75"/>
  <cols>
    <col min="1" max="1" width="12.85546875" style="956" customWidth="1"/>
    <col min="2" max="2" width="5.42578125" style="956" bestFit="1" customWidth="1"/>
    <col min="3" max="3" width="2" style="956" bestFit="1" customWidth="1"/>
    <col min="4" max="4" width="4.42578125" style="956" bestFit="1" customWidth="1"/>
    <col min="5" max="5" width="5.42578125" style="956" bestFit="1" customWidth="1"/>
    <col min="6" max="6" width="2" style="956" bestFit="1" customWidth="1"/>
    <col min="7" max="7" width="4.42578125" style="956" bestFit="1" customWidth="1"/>
    <col min="8" max="8" width="11.42578125" style="956" bestFit="1" customWidth="1"/>
    <col min="9" max="9" width="10.42578125" style="956" hidden="1" customWidth="1"/>
    <col min="10" max="10" width="11.28515625" style="956" hidden="1" customWidth="1"/>
    <col min="11" max="11" width="14" style="956" hidden="1" customWidth="1"/>
    <col min="12" max="12" width="16.140625" style="956" hidden="1" customWidth="1"/>
    <col min="13" max="13" width="14.5703125" style="956" customWidth="1"/>
    <col min="14" max="14" width="19.28515625" style="956" bestFit="1" customWidth="1"/>
    <col min="15" max="15" width="26.140625" style="956" bestFit="1" customWidth="1"/>
    <col min="16" max="16384" width="9.140625" style="956"/>
  </cols>
  <sheetData>
    <row r="1" spans="1:15">
      <c r="A1" s="1081" t="s">
        <v>1121</v>
      </c>
      <c r="B1" s="1082"/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O1" s="1083"/>
    </row>
    <row r="2" spans="1:15" ht="25.5" customHeight="1">
      <c r="A2" s="1084" t="s">
        <v>1122</v>
      </c>
      <c r="B2" s="2126" t="s">
        <v>551</v>
      </c>
      <c r="C2" s="2127"/>
      <c r="D2" s="2127"/>
      <c r="E2" s="2127"/>
      <c r="F2" s="2127"/>
      <c r="G2" s="2128"/>
      <c r="H2" s="1085" t="s">
        <v>1123</v>
      </c>
      <c r="I2" s="1084" t="s">
        <v>1011</v>
      </c>
      <c r="J2" s="1084" t="s">
        <v>1124</v>
      </c>
      <c r="K2" s="1084" t="s">
        <v>1125</v>
      </c>
      <c r="L2" s="1085" t="s">
        <v>1126</v>
      </c>
      <c r="M2" s="1085" t="s">
        <v>1127</v>
      </c>
      <c r="O2" s="1083"/>
    </row>
    <row r="3" spans="1:15" ht="24.95" customHeight="1">
      <c r="A3" s="1086"/>
      <c r="B3" s="2129" t="s">
        <v>253</v>
      </c>
      <c r="C3" s="2130"/>
      <c r="D3" s="2131"/>
      <c r="E3" s="2129" t="s">
        <v>254</v>
      </c>
      <c r="F3" s="2130"/>
      <c r="G3" s="2131"/>
      <c r="H3" s="1087" t="s">
        <v>34</v>
      </c>
      <c r="I3" s="1086"/>
      <c r="J3" s="1086"/>
      <c r="K3" s="1086"/>
      <c r="L3" s="1086"/>
      <c r="M3" s="1087" t="s">
        <v>1128</v>
      </c>
      <c r="O3" s="1083"/>
    </row>
    <row r="4" spans="1:15">
      <c r="A4" s="1088" t="s">
        <v>940</v>
      </c>
      <c r="B4" s="979">
        <v>172</v>
      </c>
      <c r="C4" s="979" t="s">
        <v>605</v>
      </c>
      <c r="D4" s="979">
        <v>0</v>
      </c>
      <c r="E4" s="979">
        <v>172</v>
      </c>
      <c r="F4" s="979" t="s">
        <v>605</v>
      </c>
      <c r="G4" s="979">
        <v>0</v>
      </c>
      <c r="H4" s="1089">
        <v>5000</v>
      </c>
      <c r="I4" s="1089"/>
      <c r="J4" s="1089"/>
      <c r="K4" s="1089"/>
      <c r="L4" s="1089"/>
      <c r="M4" s="1090">
        <f>SUMIFS('4.0 - QDM OK'!K:K,'4.0 - QDM OK'!I:I,' 6.0 - Empréstimos '!A4)</f>
        <v>1225.0729999999999</v>
      </c>
      <c r="O4" s="1083"/>
    </row>
    <row r="5" spans="1:15">
      <c r="A5" s="1091"/>
      <c r="B5" s="1092"/>
      <c r="C5" s="979"/>
      <c r="D5" s="1092"/>
      <c r="E5" s="1092"/>
      <c r="F5" s="979"/>
      <c r="G5" s="1092"/>
      <c r="H5" s="1089"/>
      <c r="I5" s="1093"/>
      <c r="J5" s="1089"/>
      <c r="K5" s="1089"/>
      <c r="L5" s="1089"/>
      <c r="M5" s="1094"/>
      <c r="O5" s="1083"/>
    </row>
    <row r="6" spans="1:15">
      <c r="A6" s="1091"/>
      <c r="B6" s="1092"/>
      <c r="C6" s="979"/>
      <c r="D6" s="1092"/>
      <c r="E6" s="1092"/>
      <c r="F6" s="979"/>
      <c r="G6" s="1092"/>
      <c r="H6" s="1089"/>
      <c r="I6" s="1093"/>
      <c r="J6" s="1089"/>
      <c r="K6" s="1089"/>
      <c r="L6" s="1089"/>
      <c r="M6" s="1094"/>
      <c r="O6" s="1083"/>
    </row>
    <row r="7" spans="1:15">
      <c r="A7" s="1091"/>
      <c r="B7" s="1092"/>
      <c r="C7" s="979"/>
      <c r="D7" s="1092"/>
      <c r="E7" s="1092"/>
      <c r="F7" s="979"/>
      <c r="G7" s="1092"/>
      <c r="H7" s="1089"/>
      <c r="I7" s="1093"/>
      <c r="J7" s="1089"/>
      <c r="K7" s="1089"/>
      <c r="L7" s="1089"/>
      <c r="M7" s="1094"/>
      <c r="O7" s="1083"/>
    </row>
    <row r="8" spans="1:15">
      <c r="A8" s="1095" t="s">
        <v>422</v>
      </c>
      <c r="B8" s="1096"/>
      <c r="C8" s="1096"/>
      <c r="D8" s="1096"/>
      <c r="E8" s="1096"/>
      <c r="F8" s="1096"/>
      <c r="G8" s="1096"/>
      <c r="H8" s="1096"/>
      <c r="I8" s="1097"/>
      <c r="J8" s="1098">
        <f>SUM(J4:J7)</f>
        <v>0</v>
      </c>
      <c r="K8" s="1098"/>
      <c r="L8" s="1098">
        <f>SUM(L4:L7)</f>
        <v>0</v>
      </c>
      <c r="M8" s="1099">
        <f>SUM(M4:M7)</f>
        <v>1225.0729999999999</v>
      </c>
    </row>
    <row r="10" spans="1:15">
      <c r="H10" s="1100" t="s">
        <v>1129</v>
      </c>
      <c r="M10" s="1101">
        <v>0</v>
      </c>
    </row>
    <row r="11" spans="1:15">
      <c r="H11" s="1100" t="s">
        <v>1130</v>
      </c>
      <c r="M11" s="1101">
        <f>SUM(M4:M7)</f>
        <v>1225.0729999999999</v>
      </c>
    </row>
  </sheetData>
  <mergeCells count="3">
    <mergeCell ref="B2:G2"/>
    <mergeCell ref="B3:D3"/>
    <mergeCell ref="E3:G3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3ED85-E2F4-4CA4-807C-5D3E6700D3FE}">
  <sheetPr codeName="Planilha16" filterMode="1">
    <tabColor rgb="FFFFFF00"/>
    <pageSetUpPr fitToPage="1"/>
  </sheetPr>
  <dimension ref="A1:AB154"/>
  <sheetViews>
    <sheetView showGridLines="0" zoomScale="90" zoomScaleNormal="90" zoomScaleSheetLayoutView="100" zoomScalePageLayoutView="85" workbookViewId="0">
      <selection activeCell="F30" sqref="A1:AB154"/>
    </sheetView>
  </sheetViews>
  <sheetFormatPr defaultColWidth="9.140625" defaultRowHeight="12.75"/>
  <cols>
    <col min="1" max="1" width="10.5703125" style="955" customWidth="1"/>
    <col min="2" max="2" width="4.7109375" style="955" customWidth="1"/>
    <col min="3" max="3" width="15" style="955" customWidth="1"/>
    <col min="4" max="4" width="9.140625" style="955"/>
    <col min="5" max="7" width="14.28515625" style="955" bestFit="1" customWidth="1"/>
    <col min="8" max="8" width="13.85546875" style="955" bestFit="1" customWidth="1"/>
    <col min="9" max="9" width="11.85546875" style="955" customWidth="1"/>
    <col min="10" max="10" width="10.28515625" style="955" customWidth="1"/>
    <col min="11" max="11" width="12.7109375" style="955" bestFit="1" customWidth="1"/>
    <col min="12" max="12" width="9.28515625" style="955" bestFit="1" customWidth="1"/>
    <col min="13" max="13" width="20.7109375" style="955" bestFit="1" customWidth="1"/>
    <col min="14" max="14" width="15.28515625" style="955" bestFit="1" customWidth="1"/>
    <col min="15" max="15" width="14.28515625" style="955" bestFit="1" customWidth="1"/>
    <col min="16" max="16" width="12.140625" style="955" customWidth="1"/>
    <col min="17" max="17" width="18.140625" style="955" customWidth="1"/>
    <col min="18" max="18" width="20" style="955" customWidth="1"/>
    <col min="19" max="19" width="18.28515625" style="955" customWidth="1"/>
    <col min="20" max="20" width="13.5703125" style="955" customWidth="1"/>
    <col min="21" max="21" width="16.28515625" style="955" customWidth="1"/>
    <col min="22" max="22" width="17.140625" style="955" bestFit="1" customWidth="1"/>
    <col min="23" max="23" width="16.42578125" style="955" bestFit="1" customWidth="1"/>
    <col min="24" max="24" width="14.28515625" style="955" bestFit="1" customWidth="1"/>
    <col min="25" max="16384" width="9.140625" style="955"/>
  </cols>
  <sheetData>
    <row r="1" spans="1:25" s="1103" customFormat="1" ht="24.95" customHeight="1">
      <c r="A1" s="2196" t="s">
        <v>1131</v>
      </c>
      <c r="B1" s="2197"/>
      <c r="C1" s="2197"/>
      <c r="D1" s="2197"/>
      <c r="E1" s="2197"/>
      <c r="F1" s="2197"/>
      <c r="G1" s="2197"/>
      <c r="H1" s="2197"/>
      <c r="I1" s="2197"/>
      <c r="J1" s="2197"/>
      <c r="K1" s="2197"/>
      <c r="L1" s="2197"/>
      <c r="M1" s="2197"/>
      <c r="N1" s="2197"/>
      <c r="O1" s="2197"/>
      <c r="P1" s="2197"/>
      <c r="Q1" s="2197"/>
      <c r="R1" s="2197"/>
      <c r="S1" s="2197"/>
      <c r="T1" s="2197"/>
      <c r="U1" s="2197"/>
      <c r="V1" s="2197"/>
      <c r="W1" s="2198"/>
      <c r="X1" s="1102"/>
    </row>
    <row r="2" spans="1:25" ht="20.100000000000001" customHeight="1">
      <c r="A2" s="2199" t="s">
        <v>1132</v>
      </c>
      <c r="B2" s="2200"/>
      <c r="C2" s="2200"/>
      <c r="D2" s="2200"/>
      <c r="E2" s="2200"/>
      <c r="F2" s="2200"/>
      <c r="G2" s="2200"/>
      <c r="H2" s="2200"/>
      <c r="I2" s="2200"/>
      <c r="J2" s="2200"/>
      <c r="K2" s="2200"/>
      <c r="L2" s="2200"/>
      <c r="M2" s="2200"/>
      <c r="N2" s="2200"/>
      <c r="O2" s="2201"/>
      <c r="P2" s="2202" t="s">
        <v>1133</v>
      </c>
      <c r="Q2" s="2202" t="s">
        <v>1134</v>
      </c>
      <c r="R2" s="2202" t="s">
        <v>1135</v>
      </c>
      <c r="S2" s="2205" t="s">
        <v>1136</v>
      </c>
      <c r="T2" s="2206"/>
      <c r="U2" s="2206"/>
      <c r="V2" s="2206"/>
      <c r="W2" s="2207"/>
      <c r="X2" s="1104"/>
      <c r="Y2" s="1105"/>
    </row>
    <row r="3" spans="1:25" ht="24">
      <c r="A3" s="2199" t="s">
        <v>1137</v>
      </c>
      <c r="B3" s="2200"/>
      <c r="C3" s="2200"/>
      <c r="D3" s="2200"/>
      <c r="E3" s="2200"/>
      <c r="F3" s="2200"/>
      <c r="G3" s="2200"/>
      <c r="H3" s="2200"/>
      <c r="I3" s="2200"/>
      <c r="J3" s="2200"/>
      <c r="K3" s="2200"/>
      <c r="L3" s="2200"/>
      <c r="M3" s="2200"/>
      <c r="N3" s="2200"/>
      <c r="O3" s="2201"/>
      <c r="P3" s="2203"/>
      <c r="Q3" s="2203"/>
      <c r="R3" s="2203"/>
      <c r="S3" s="1085" t="s">
        <v>1138</v>
      </c>
      <c r="T3" s="2202" t="s">
        <v>1139</v>
      </c>
      <c r="U3" s="2202" t="s">
        <v>1140</v>
      </c>
      <c r="V3" s="2187" t="s">
        <v>1141</v>
      </c>
      <c r="W3" s="2189"/>
      <c r="X3" s="1104"/>
      <c r="Y3" s="1105"/>
    </row>
    <row r="4" spans="1:25">
      <c r="A4" s="2187" t="s">
        <v>1142</v>
      </c>
      <c r="B4" s="2188"/>
      <c r="C4" s="2189"/>
      <c r="D4" s="1106" t="s">
        <v>1143</v>
      </c>
      <c r="E4" s="2187" t="s">
        <v>1144</v>
      </c>
      <c r="F4" s="2191" t="s">
        <v>1145</v>
      </c>
      <c r="G4" s="2191" t="s">
        <v>1146</v>
      </c>
      <c r="H4" s="2191" t="s">
        <v>1147</v>
      </c>
      <c r="I4" s="2193" t="s">
        <v>1148</v>
      </c>
      <c r="J4" s="2193"/>
      <c r="K4" s="2193"/>
      <c r="L4" s="2193"/>
      <c r="M4" s="2193"/>
      <c r="N4" s="1107" t="s">
        <v>1149</v>
      </c>
      <c r="O4" s="1108" t="s">
        <v>1150</v>
      </c>
      <c r="P4" s="2203"/>
      <c r="Q4" s="2203"/>
      <c r="R4" s="2203"/>
      <c r="S4" s="1109" t="s">
        <v>1151</v>
      </c>
      <c r="T4" s="2203"/>
      <c r="U4" s="2203"/>
      <c r="V4" s="2190"/>
      <c r="W4" s="2195"/>
      <c r="X4" s="1104"/>
      <c r="Y4" s="1105"/>
    </row>
    <row r="5" spans="1:25" ht="22.5">
      <c r="A5" s="2190" t="s">
        <v>1152</v>
      </c>
      <c r="B5" s="2194"/>
      <c r="C5" s="2195"/>
      <c r="D5" s="1110" t="s">
        <v>1153</v>
      </c>
      <c r="E5" s="2190"/>
      <c r="F5" s="2192"/>
      <c r="G5" s="2192"/>
      <c r="H5" s="2192"/>
      <c r="I5" s="1111" t="s">
        <v>574</v>
      </c>
      <c r="J5" s="1112" t="s">
        <v>1154</v>
      </c>
      <c r="K5" s="1111" t="s">
        <v>1155</v>
      </c>
      <c r="L5" s="1112" t="s">
        <v>1156</v>
      </c>
      <c r="M5" s="1112" t="s">
        <v>1157</v>
      </c>
      <c r="N5" s="1113" t="s">
        <v>1158</v>
      </c>
      <c r="O5" s="1113" t="s">
        <v>1159</v>
      </c>
      <c r="P5" s="2204"/>
      <c r="Q5" s="2204"/>
      <c r="R5" s="2204"/>
      <c r="S5" s="1113" t="s">
        <v>1160</v>
      </c>
      <c r="T5" s="1113" t="s">
        <v>1161</v>
      </c>
      <c r="U5" s="2204"/>
      <c r="V5" s="1111" t="s">
        <v>1162</v>
      </c>
      <c r="W5" s="1111" t="s">
        <v>1163</v>
      </c>
      <c r="X5" s="1104"/>
      <c r="Y5" s="1105"/>
    </row>
    <row r="6" spans="1:25" ht="12.95" customHeight="1">
      <c r="A6" s="1114">
        <v>0</v>
      </c>
      <c r="B6" s="1115" t="s">
        <v>68</v>
      </c>
      <c r="C6" s="1116">
        <v>50</v>
      </c>
      <c r="D6" s="1117">
        <f>'4.0 - QDM OK'!AH59</f>
        <v>237.23000000000005</v>
      </c>
      <c r="E6" s="1117">
        <f>'4.0 - QDM OK'!AQ59</f>
        <v>0</v>
      </c>
      <c r="F6" s="1117">
        <f>'4.0 - QDM OK'!BF59</f>
        <v>0</v>
      </c>
      <c r="G6" s="1117">
        <f>'4.0 - QDM OK'!BU59</f>
        <v>0</v>
      </c>
      <c r="H6" s="1117">
        <f>'4.0 - QDM OK'!CP59</f>
        <v>0</v>
      </c>
      <c r="I6" s="1117">
        <f>'4.0 - QDM OK'!GB59</f>
        <v>1141.8699999999999</v>
      </c>
      <c r="J6" s="1117">
        <f>'4.0 - QDM OK'!FM59</f>
        <v>0</v>
      </c>
      <c r="K6" s="1117">
        <f>'4.0 - QDM OK'!GQ59</f>
        <v>5936.3700000000008</v>
      </c>
      <c r="L6" s="1117">
        <f>'4.0 - QDM OK'!HF59</f>
        <v>0</v>
      </c>
      <c r="M6" s="1117">
        <f>'4.0 - QDM OK'!HU59</f>
        <v>0</v>
      </c>
      <c r="N6" s="1117">
        <f>'4.0 - QDM OK'!KC59</f>
        <v>0</v>
      </c>
      <c r="O6" s="1117"/>
      <c r="P6" s="1117">
        <f>SUM(D6:O6)</f>
        <v>7315.4700000000012</v>
      </c>
      <c r="Q6" s="1118">
        <f>P6/$P$26</f>
        <v>0.83209456081708599</v>
      </c>
      <c r="R6" s="1118">
        <f>Q6</f>
        <v>0.83209456081708599</v>
      </c>
      <c r="S6" s="1117">
        <f>'4.0 - QDM OK'!DE59</f>
        <v>7260.7246153846163</v>
      </c>
      <c r="T6" s="1117">
        <f>'4.0 - QDM OK'!DT59</f>
        <v>0</v>
      </c>
      <c r="U6" s="1117"/>
      <c r="V6" s="1117">
        <f>'4.0 - QDM OK'!EX59</f>
        <v>0</v>
      </c>
      <c r="W6" s="1117">
        <f>'4.0 - QDM OK'!EI59</f>
        <v>0</v>
      </c>
      <c r="X6" s="1104"/>
      <c r="Y6" s="1105"/>
    </row>
    <row r="7" spans="1:25" ht="12.95" customHeight="1">
      <c r="A7" s="1114">
        <v>50</v>
      </c>
      <c r="B7" s="1115" t="s">
        <v>68</v>
      </c>
      <c r="C7" s="1116">
        <v>200</v>
      </c>
      <c r="D7" s="1117">
        <f>'4.0 - QDM OK'!AH60</f>
        <v>0</v>
      </c>
      <c r="E7" s="1117">
        <f>'4.0 - QDM OK'!AQ60</f>
        <v>140.75600000000003</v>
      </c>
      <c r="F7" s="1117">
        <f>'4.0 - QDM OK'!BF60</f>
        <v>0</v>
      </c>
      <c r="G7" s="1117">
        <f>'4.0 - QDM OK'!BU60</f>
        <v>0</v>
      </c>
      <c r="H7" s="1117">
        <f>'4.0 - QDM OK'!CP60</f>
        <v>0</v>
      </c>
      <c r="I7" s="1117">
        <f>'4.0 - QDM OK'!GB60</f>
        <v>0</v>
      </c>
      <c r="J7" s="1117">
        <f>'4.0 - QDM OK'!FM60</f>
        <v>0</v>
      </c>
      <c r="K7" s="1117">
        <f>'4.0 - QDM OK'!GQ60</f>
        <v>0</v>
      </c>
      <c r="L7" s="1117">
        <f>'4.0 - QDM OK'!HF60</f>
        <v>0</v>
      </c>
      <c r="M7" s="1117">
        <f>'4.0 - QDM OK'!HU60</f>
        <v>0</v>
      </c>
      <c r="N7" s="1117">
        <f>'4.0 - QDM OK'!KC60</f>
        <v>0</v>
      </c>
      <c r="O7" s="1117"/>
      <c r="P7" s="1117">
        <f t="shared" ref="P7:P19" si="0">SUM(D7:O7)</f>
        <v>140.75600000000003</v>
      </c>
      <c r="Q7" s="1118">
        <f>P7/$P$26</f>
        <v>1.601022244672861E-2</v>
      </c>
      <c r="R7" s="1118">
        <f>Q7+R6</f>
        <v>0.84810478326381455</v>
      </c>
      <c r="S7" s="1117">
        <f>'4.0 - QDM OK'!DE60</f>
        <v>108.27384615384616</v>
      </c>
      <c r="T7" s="1117">
        <f>'4.0 - QDM OK'!DT60</f>
        <v>0</v>
      </c>
      <c r="U7" s="1117"/>
      <c r="V7" s="1117">
        <f>'4.0 - QDM OK'!EX60</f>
        <v>0</v>
      </c>
      <c r="W7" s="1117">
        <f>'4.0 - QDM OK'!EI60</f>
        <v>0</v>
      </c>
      <c r="X7" s="1104"/>
      <c r="Y7" s="1105"/>
    </row>
    <row r="8" spans="1:25" ht="12.95" customHeight="1">
      <c r="A8" s="1114">
        <v>200</v>
      </c>
      <c r="B8" s="1115" t="s">
        <v>68</v>
      </c>
      <c r="C8" s="1116">
        <v>400</v>
      </c>
      <c r="D8" s="1117">
        <f>'4.0 - QDM OK'!AH61</f>
        <v>0</v>
      </c>
      <c r="E8" s="1117">
        <f>'4.0 - QDM OK'!AQ61</f>
        <v>94.98399999999998</v>
      </c>
      <c r="F8" s="1117">
        <f>'4.0 - QDM OK'!BF61</f>
        <v>0</v>
      </c>
      <c r="G8" s="1117">
        <f>'4.0 - QDM OK'!BU61</f>
        <v>0</v>
      </c>
      <c r="H8" s="1117">
        <f>'4.0 - QDM OK'!CP61</f>
        <v>0</v>
      </c>
      <c r="I8" s="1117">
        <f>'4.0 - QDM OK'!GB61</f>
        <v>0</v>
      </c>
      <c r="J8" s="1117">
        <f>'4.0 - QDM OK'!FM61</f>
        <v>0</v>
      </c>
      <c r="K8" s="1117">
        <f>'4.0 - QDM OK'!GQ61</f>
        <v>0</v>
      </c>
      <c r="L8" s="1117">
        <f>'4.0 - QDM OK'!HF61</f>
        <v>0</v>
      </c>
      <c r="M8" s="1117">
        <f>'4.0 - QDM OK'!HU61</f>
        <v>0</v>
      </c>
      <c r="N8" s="1117">
        <f>'4.0 - QDM OK'!KC61</f>
        <v>0</v>
      </c>
      <c r="O8" s="1117"/>
      <c r="P8" s="1117">
        <f t="shared" si="0"/>
        <v>94.98399999999998</v>
      </c>
      <c r="Q8" s="1118">
        <f t="shared" ref="Q8:Q19" si="1">P8/$P$26</f>
        <v>1.0803908670891968E-2</v>
      </c>
      <c r="R8" s="1118">
        <f t="shared" ref="R8:R19" si="2">Q8+R7</f>
        <v>0.85890869193470654</v>
      </c>
      <c r="S8" s="1117">
        <f>'4.0 - QDM OK'!DE61</f>
        <v>73.064615384615365</v>
      </c>
      <c r="T8" s="1117">
        <f>'4.0 - QDM OK'!DT61</f>
        <v>0</v>
      </c>
      <c r="U8" s="1117"/>
      <c r="V8" s="1117">
        <f>'4.0 - QDM OK'!EX61</f>
        <v>0</v>
      </c>
      <c r="W8" s="1117">
        <f>'4.0 - QDM OK'!EI61</f>
        <v>0</v>
      </c>
      <c r="X8" s="1104"/>
      <c r="Y8" s="1105"/>
    </row>
    <row r="9" spans="1:25" ht="12.95" customHeight="1">
      <c r="A9" s="1114">
        <v>400</v>
      </c>
      <c r="B9" s="1115" t="s">
        <v>68</v>
      </c>
      <c r="C9" s="1116">
        <v>600</v>
      </c>
      <c r="D9" s="1117">
        <f>'4.0 - QDM OK'!AH62</f>
        <v>0</v>
      </c>
      <c r="E9" s="1117">
        <f>'4.0 - QDM OK'!AQ62</f>
        <v>15.350000000000001</v>
      </c>
      <c r="F9" s="1117">
        <f>'4.0 - QDM OK'!BF62</f>
        <v>0</v>
      </c>
      <c r="G9" s="1117">
        <f>'4.0 - QDM OK'!BU62</f>
        <v>0</v>
      </c>
      <c r="H9" s="1117">
        <f>'4.0 - QDM OK'!CP62</f>
        <v>0</v>
      </c>
      <c r="I9" s="1117">
        <f>'4.0 - QDM OK'!GB62</f>
        <v>0</v>
      </c>
      <c r="J9" s="1117">
        <f>'4.0 - QDM OK'!FM62</f>
        <v>0</v>
      </c>
      <c r="K9" s="1117">
        <f>'4.0 - QDM OK'!GQ62</f>
        <v>0</v>
      </c>
      <c r="L9" s="1117">
        <f>'4.0 - QDM OK'!HF62</f>
        <v>0</v>
      </c>
      <c r="M9" s="1117">
        <f>'4.0 - QDM OK'!HU62</f>
        <v>0</v>
      </c>
      <c r="N9" s="1117">
        <f>'4.0 - QDM OK'!KC62</f>
        <v>0</v>
      </c>
      <c r="O9" s="1117"/>
      <c r="P9" s="1117">
        <f t="shared" si="0"/>
        <v>15.350000000000001</v>
      </c>
      <c r="Q9" s="1118">
        <f t="shared" si="1"/>
        <v>1.7459782500020189E-3</v>
      </c>
      <c r="R9" s="1118">
        <f t="shared" si="2"/>
        <v>0.86065467018470854</v>
      </c>
      <c r="S9" s="1117">
        <f>'4.0 - QDM OK'!DE62</f>
        <v>11.807692307692308</v>
      </c>
      <c r="T9" s="1117">
        <f>'4.0 - QDM OK'!DT62</f>
        <v>0</v>
      </c>
      <c r="U9" s="1117"/>
      <c r="V9" s="1117">
        <f>'4.0 - QDM OK'!EX62</f>
        <v>0</v>
      </c>
      <c r="W9" s="1117">
        <f>'4.0 - QDM OK'!EI62</f>
        <v>0</v>
      </c>
      <c r="X9" s="1104"/>
      <c r="Y9" s="1105"/>
    </row>
    <row r="10" spans="1:25" ht="12.95" customHeight="1">
      <c r="A10" s="1114">
        <v>600</v>
      </c>
      <c r="B10" s="1115" t="s">
        <v>68</v>
      </c>
      <c r="C10" s="1116">
        <v>800</v>
      </c>
      <c r="D10" s="1117">
        <f>'4.0 - QDM OK'!AH63</f>
        <v>0</v>
      </c>
      <c r="E10" s="1117">
        <f>'4.0 - QDM OK'!AQ63</f>
        <v>0</v>
      </c>
      <c r="F10" s="1117">
        <f>'4.0 - QDM OK'!BF63</f>
        <v>0</v>
      </c>
      <c r="G10" s="1117">
        <f>'4.0 - QDM OK'!BU63</f>
        <v>0</v>
      </c>
      <c r="H10" s="1117">
        <f>'4.0 - QDM OK'!CP63</f>
        <v>0</v>
      </c>
      <c r="I10" s="1117">
        <f>'4.0 - QDM OK'!GB63</f>
        <v>0</v>
      </c>
      <c r="J10" s="1117">
        <f>'4.0 - QDM OK'!FM63</f>
        <v>0</v>
      </c>
      <c r="K10" s="1117">
        <f>'4.0 - QDM OK'!GQ63</f>
        <v>0</v>
      </c>
      <c r="L10" s="1117">
        <f>'4.0 - QDM OK'!HF63</f>
        <v>0</v>
      </c>
      <c r="M10" s="1117">
        <f>'4.0 - QDM OK'!HU63</f>
        <v>0</v>
      </c>
      <c r="N10" s="1117">
        <f>'4.0 - QDM OK'!KC63</f>
        <v>0</v>
      </c>
      <c r="O10" s="1117"/>
      <c r="P10" s="1117">
        <f t="shared" si="0"/>
        <v>0</v>
      </c>
      <c r="Q10" s="1118">
        <f t="shared" si="1"/>
        <v>0</v>
      </c>
      <c r="R10" s="1118">
        <f t="shared" si="2"/>
        <v>0.86065467018470854</v>
      </c>
      <c r="S10" s="1117">
        <f>'4.0 - QDM OK'!DE63</f>
        <v>0</v>
      </c>
      <c r="T10" s="1117">
        <f>'4.0 - QDM OK'!DT63</f>
        <v>0</v>
      </c>
      <c r="U10" s="1117"/>
      <c r="V10" s="1117">
        <f>'4.0 - QDM OK'!EX63</f>
        <v>0</v>
      </c>
      <c r="W10" s="1117">
        <f>'4.0 - QDM OK'!EI63</f>
        <v>0</v>
      </c>
      <c r="X10" s="1104"/>
      <c r="Y10" s="1105"/>
    </row>
    <row r="11" spans="1:25" ht="12.95" customHeight="1">
      <c r="A11" s="1114">
        <v>800</v>
      </c>
      <c r="B11" s="1115" t="s">
        <v>68</v>
      </c>
      <c r="C11" s="1116">
        <v>1000</v>
      </c>
      <c r="D11" s="1117">
        <f>'4.0 - QDM OK'!AH64</f>
        <v>0</v>
      </c>
      <c r="E11" s="1117">
        <f>'4.0 - QDM OK'!AQ64</f>
        <v>0</v>
      </c>
      <c r="F11" s="1117">
        <f>'4.0 - QDM OK'!BF64</f>
        <v>0</v>
      </c>
      <c r="G11" s="1117">
        <f>'4.0 - QDM OK'!BU64</f>
        <v>0</v>
      </c>
      <c r="H11" s="1117">
        <f>'4.0 - QDM OK'!CP64</f>
        <v>0</v>
      </c>
      <c r="I11" s="1117">
        <f>'4.0 - QDM OK'!GB64</f>
        <v>0</v>
      </c>
      <c r="J11" s="1117">
        <f>'4.0 - QDM OK'!FM64</f>
        <v>0</v>
      </c>
      <c r="K11" s="1117">
        <f>'4.0 - QDM OK'!GQ64</f>
        <v>0</v>
      </c>
      <c r="L11" s="1117">
        <f>'4.0 - QDM OK'!HF64</f>
        <v>0</v>
      </c>
      <c r="M11" s="1117">
        <f>'4.0 - QDM OK'!HU64</f>
        <v>0</v>
      </c>
      <c r="N11" s="1117">
        <f>'4.0 - QDM OK'!KC64</f>
        <v>0</v>
      </c>
      <c r="O11" s="1117"/>
      <c r="P11" s="1117">
        <f t="shared" si="0"/>
        <v>0</v>
      </c>
      <c r="Q11" s="1118">
        <f t="shared" si="1"/>
        <v>0</v>
      </c>
      <c r="R11" s="1118">
        <f t="shared" si="2"/>
        <v>0.86065467018470854</v>
      </c>
      <c r="S11" s="1117">
        <f>'4.0 - QDM OK'!DE64</f>
        <v>0</v>
      </c>
      <c r="T11" s="1117">
        <f>'4.0 - QDM OK'!DT64</f>
        <v>0</v>
      </c>
      <c r="U11" s="1117"/>
      <c r="V11" s="1117">
        <f>'4.0 - QDM OK'!EX64</f>
        <v>0</v>
      </c>
      <c r="W11" s="1117">
        <f>'4.0 - QDM OK'!EI64</f>
        <v>0</v>
      </c>
      <c r="X11" s="1104"/>
      <c r="Y11" s="1105"/>
    </row>
    <row r="12" spans="1:25" ht="12.95" customHeight="1">
      <c r="A12" s="1114">
        <v>1000</v>
      </c>
      <c r="B12" s="1115" t="s">
        <v>68</v>
      </c>
      <c r="C12" s="1116">
        <v>1200</v>
      </c>
      <c r="D12" s="1117">
        <f>'4.0 - QDM OK'!AH65</f>
        <v>0</v>
      </c>
      <c r="E12" s="1117">
        <f>'4.0 - QDM OK'!AQ65</f>
        <v>0</v>
      </c>
      <c r="F12" s="1117">
        <f>'4.0 - QDM OK'!BF65</f>
        <v>0</v>
      </c>
      <c r="G12" s="1117">
        <f>'4.0 - QDM OK'!BU65</f>
        <v>0</v>
      </c>
      <c r="H12" s="1117">
        <f>'4.0 - QDM OK'!CP65</f>
        <v>0</v>
      </c>
      <c r="I12" s="1117">
        <f>'4.0 - QDM OK'!GB65</f>
        <v>0</v>
      </c>
      <c r="J12" s="1117">
        <f>'4.0 - QDM OK'!FM65</f>
        <v>0</v>
      </c>
      <c r="K12" s="1117">
        <f>'4.0 - QDM OK'!GQ65</f>
        <v>0</v>
      </c>
      <c r="L12" s="1117">
        <f>'4.0 - QDM OK'!HF65</f>
        <v>0</v>
      </c>
      <c r="M12" s="1117">
        <f>'4.0 - QDM OK'!HU65</f>
        <v>0</v>
      </c>
      <c r="N12" s="1117">
        <f>'4.0 - QDM OK'!KC65</f>
        <v>0</v>
      </c>
      <c r="O12" s="1117"/>
      <c r="P12" s="1117">
        <f t="shared" si="0"/>
        <v>0</v>
      </c>
      <c r="Q12" s="1118">
        <f t="shared" si="1"/>
        <v>0</v>
      </c>
      <c r="R12" s="1118">
        <f t="shared" si="2"/>
        <v>0.86065467018470854</v>
      </c>
      <c r="S12" s="1117">
        <f>'4.0 - QDM OK'!DE65</f>
        <v>0</v>
      </c>
      <c r="T12" s="1117">
        <f>'4.0 - QDM OK'!DT65</f>
        <v>0</v>
      </c>
      <c r="U12" s="1117"/>
      <c r="V12" s="1117">
        <f>'4.0 - QDM OK'!EX65</f>
        <v>0</v>
      </c>
      <c r="W12" s="1117">
        <f>'4.0 - QDM OK'!EI65</f>
        <v>0</v>
      </c>
      <c r="X12" s="1104"/>
      <c r="Y12" s="1105"/>
    </row>
    <row r="13" spans="1:25" ht="12.95" customHeight="1">
      <c r="A13" s="1114">
        <v>1200</v>
      </c>
      <c r="B13" s="1115" t="s">
        <v>68</v>
      </c>
      <c r="C13" s="1116">
        <v>1400</v>
      </c>
      <c r="D13" s="1117">
        <f>'4.0 - QDM OK'!AH66</f>
        <v>0</v>
      </c>
      <c r="E13" s="1117">
        <f>'4.0 - QDM OK'!AQ66</f>
        <v>0</v>
      </c>
      <c r="F13" s="1117">
        <f>'4.0 - QDM OK'!BF66</f>
        <v>0</v>
      </c>
      <c r="G13" s="1117">
        <f>'4.0 - QDM OK'!BU66</f>
        <v>0</v>
      </c>
      <c r="H13" s="1117">
        <f>'4.0 - QDM OK'!CP66</f>
        <v>0</v>
      </c>
      <c r="I13" s="1117">
        <f>'4.0 - QDM OK'!GB66</f>
        <v>0</v>
      </c>
      <c r="J13" s="1117">
        <f>'4.0 - QDM OK'!FM66</f>
        <v>0</v>
      </c>
      <c r="K13" s="1117">
        <f>'4.0 - QDM OK'!GQ66</f>
        <v>0</v>
      </c>
      <c r="L13" s="1117">
        <f>'4.0 - QDM OK'!HF66</f>
        <v>0</v>
      </c>
      <c r="M13" s="1117">
        <f>'4.0 - QDM OK'!HU66</f>
        <v>0</v>
      </c>
      <c r="N13" s="1117">
        <f>'4.0 - QDM OK'!KC66</f>
        <v>0</v>
      </c>
      <c r="O13" s="1117"/>
      <c r="P13" s="1117">
        <f t="shared" si="0"/>
        <v>0</v>
      </c>
      <c r="Q13" s="1118">
        <f t="shared" si="1"/>
        <v>0</v>
      </c>
      <c r="R13" s="1118">
        <f t="shared" si="2"/>
        <v>0.86065467018470854</v>
      </c>
      <c r="S13" s="1117">
        <f>'4.0 - QDM OK'!DE66</f>
        <v>0</v>
      </c>
      <c r="T13" s="1117">
        <f>'4.0 - QDM OK'!DT66</f>
        <v>0</v>
      </c>
      <c r="U13" s="1117"/>
      <c r="V13" s="1117">
        <f>'4.0 - QDM OK'!EX66</f>
        <v>0</v>
      </c>
      <c r="W13" s="1117">
        <f>'4.0 - QDM OK'!EI66</f>
        <v>0</v>
      </c>
      <c r="X13" s="1104"/>
      <c r="Y13" s="1105"/>
    </row>
    <row r="14" spans="1:25" ht="12.95" customHeight="1">
      <c r="A14" s="1114">
        <v>1400</v>
      </c>
      <c r="B14" s="1115" t="s">
        <v>68</v>
      </c>
      <c r="C14" s="1116">
        <v>1600</v>
      </c>
      <c r="D14" s="1117">
        <f>'4.0 - QDM OK'!AH67</f>
        <v>0</v>
      </c>
      <c r="E14" s="1117">
        <f>'4.0 - QDM OK'!AQ67</f>
        <v>0</v>
      </c>
      <c r="F14" s="1117">
        <f>'4.0 - QDM OK'!BF67</f>
        <v>0</v>
      </c>
      <c r="G14" s="1117">
        <f>'4.0 - QDM OK'!BU67</f>
        <v>0</v>
      </c>
      <c r="H14" s="1117">
        <f>'4.0 - QDM OK'!CP67</f>
        <v>0</v>
      </c>
      <c r="I14" s="1117">
        <f>'4.0 - QDM OK'!GB67</f>
        <v>0</v>
      </c>
      <c r="J14" s="1117">
        <f>'4.0 - QDM OK'!FM67</f>
        <v>0</v>
      </c>
      <c r="K14" s="1117">
        <f>'4.0 - QDM OK'!GQ67</f>
        <v>0</v>
      </c>
      <c r="L14" s="1117">
        <f>'4.0 - QDM OK'!HF67</f>
        <v>0</v>
      </c>
      <c r="M14" s="1117">
        <f>'4.0 - QDM OK'!HU67</f>
        <v>0</v>
      </c>
      <c r="N14" s="1117">
        <f>'4.0 - QDM OK'!KC67</f>
        <v>0</v>
      </c>
      <c r="O14" s="1117"/>
      <c r="P14" s="1117">
        <f t="shared" si="0"/>
        <v>0</v>
      </c>
      <c r="Q14" s="1118">
        <f t="shared" si="1"/>
        <v>0</v>
      </c>
      <c r="R14" s="1118">
        <f t="shared" si="2"/>
        <v>0.86065467018470854</v>
      </c>
      <c r="S14" s="1117">
        <f>'4.0 - QDM OK'!DE67</f>
        <v>0</v>
      </c>
      <c r="T14" s="1117">
        <f>'4.0 - QDM OK'!DT67</f>
        <v>0</v>
      </c>
      <c r="U14" s="1117"/>
      <c r="V14" s="1117">
        <f>'4.0 - QDM OK'!EX67</f>
        <v>0</v>
      </c>
      <c r="W14" s="1117">
        <f>'4.0 - QDM OK'!EI67</f>
        <v>0</v>
      </c>
      <c r="X14" s="1104"/>
      <c r="Y14" s="1105"/>
    </row>
    <row r="15" spans="1:25" ht="12.95" customHeight="1">
      <c r="A15" s="1114">
        <v>1600</v>
      </c>
      <c r="B15" s="1115" t="s">
        <v>68</v>
      </c>
      <c r="C15" s="1116">
        <v>1800</v>
      </c>
      <c r="D15" s="1117">
        <f>'4.0 - QDM OK'!AH68</f>
        <v>0</v>
      </c>
      <c r="E15" s="1117">
        <f>'4.0 - QDM OK'!AQ68</f>
        <v>0</v>
      </c>
      <c r="F15" s="1117">
        <f>'4.0 - QDM OK'!BF68</f>
        <v>0</v>
      </c>
      <c r="G15" s="1117">
        <f>'4.0 - QDM OK'!BU68</f>
        <v>0</v>
      </c>
      <c r="H15" s="1117">
        <f>'4.0 - QDM OK'!CP68</f>
        <v>0</v>
      </c>
      <c r="I15" s="1117">
        <f>'4.0 - QDM OK'!GB68</f>
        <v>0</v>
      </c>
      <c r="J15" s="1117">
        <f>'4.0 - QDM OK'!FM68</f>
        <v>0</v>
      </c>
      <c r="K15" s="1117">
        <f>'4.0 - QDM OK'!GQ68</f>
        <v>0</v>
      </c>
      <c r="L15" s="1117">
        <f>'4.0 - QDM OK'!HF68</f>
        <v>0</v>
      </c>
      <c r="M15" s="1117">
        <f>'4.0 - QDM OK'!HU68</f>
        <v>0</v>
      </c>
      <c r="N15" s="1117">
        <f>'4.0 - QDM OK'!KC68</f>
        <v>0</v>
      </c>
      <c r="O15" s="1117"/>
      <c r="P15" s="1117">
        <f t="shared" si="0"/>
        <v>0</v>
      </c>
      <c r="Q15" s="1118">
        <f t="shared" si="1"/>
        <v>0</v>
      </c>
      <c r="R15" s="1118">
        <f t="shared" si="2"/>
        <v>0.86065467018470854</v>
      </c>
      <c r="S15" s="1117">
        <f>'4.0 - QDM OK'!DE68</f>
        <v>0</v>
      </c>
      <c r="T15" s="1117">
        <f>'4.0 - QDM OK'!DT68</f>
        <v>0</v>
      </c>
      <c r="U15" s="1117"/>
      <c r="V15" s="1117">
        <f>'4.0 - QDM OK'!EX68</f>
        <v>0</v>
      </c>
      <c r="W15" s="1117">
        <f>'4.0 - QDM OK'!EI68</f>
        <v>0</v>
      </c>
      <c r="X15" s="1104"/>
      <c r="Y15" s="1105"/>
    </row>
    <row r="16" spans="1:25" ht="12.95" customHeight="1">
      <c r="A16" s="1114">
        <v>1800</v>
      </c>
      <c r="B16" s="1115" t="s">
        <v>68</v>
      </c>
      <c r="C16" s="1116">
        <v>2000</v>
      </c>
      <c r="D16" s="1117">
        <f>'4.0 - QDM OK'!AH69</f>
        <v>0</v>
      </c>
      <c r="E16" s="1117">
        <f>'4.0 - QDM OK'!AQ69</f>
        <v>0</v>
      </c>
      <c r="F16" s="1117">
        <f>'4.0 - QDM OK'!BF69</f>
        <v>0</v>
      </c>
      <c r="G16" s="1117">
        <f>'4.0 - QDM OK'!BU69</f>
        <v>0</v>
      </c>
      <c r="H16" s="1117">
        <f>'4.0 - QDM OK'!CP69</f>
        <v>0</v>
      </c>
      <c r="I16" s="1117">
        <f>'4.0 - QDM OK'!GB69</f>
        <v>0</v>
      </c>
      <c r="J16" s="1117">
        <f>'4.0 - QDM OK'!FM69</f>
        <v>0</v>
      </c>
      <c r="K16" s="1117">
        <f>'4.0 - QDM OK'!GQ69</f>
        <v>0</v>
      </c>
      <c r="L16" s="1117">
        <f>'4.0 - QDM OK'!HF69</f>
        <v>0</v>
      </c>
      <c r="M16" s="1117">
        <f>'4.0 - QDM OK'!HU69</f>
        <v>0</v>
      </c>
      <c r="N16" s="1117">
        <f>'4.0 - QDM OK'!KC69</f>
        <v>0</v>
      </c>
      <c r="O16" s="1117"/>
      <c r="P16" s="1117">
        <f t="shared" si="0"/>
        <v>0</v>
      </c>
      <c r="Q16" s="1118">
        <f t="shared" si="1"/>
        <v>0</v>
      </c>
      <c r="R16" s="1118">
        <f t="shared" si="2"/>
        <v>0.86065467018470854</v>
      </c>
      <c r="S16" s="1117">
        <f>'4.0 - QDM OK'!DE69</f>
        <v>0</v>
      </c>
      <c r="T16" s="1117">
        <f>'4.0 - QDM OK'!DT69</f>
        <v>0</v>
      </c>
      <c r="U16" s="1117"/>
      <c r="V16" s="1117">
        <f>'4.0 - QDM OK'!EX69</f>
        <v>0</v>
      </c>
      <c r="W16" s="1117">
        <f>'4.0 - QDM OK'!EI69</f>
        <v>0</v>
      </c>
      <c r="X16" s="1104"/>
      <c r="Y16" s="1105"/>
    </row>
    <row r="17" spans="1:28" ht="12.95" customHeight="1">
      <c r="A17" s="1114">
        <v>2000</v>
      </c>
      <c r="B17" s="1115" t="s">
        <v>68</v>
      </c>
      <c r="C17" s="1116">
        <v>3000</v>
      </c>
      <c r="D17" s="1117">
        <f>'4.0 - QDM OK'!AH70</f>
        <v>0</v>
      </c>
      <c r="E17" s="1117">
        <f>'4.0 - QDM OK'!AQ70</f>
        <v>0</v>
      </c>
      <c r="F17" s="1117">
        <f>'4.0 - QDM OK'!BF70</f>
        <v>0</v>
      </c>
      <c r="G17" s="1117">
        <f>'4.0 - QDM OK'!BU70</f>
        <v>0</v>
      </c>
      <c r="H17" s="1117">
        <f>'4.0 - QDM OK'!CP70</f>
        <v>0</v>
      </c>
      <c r="I17" s="1117">
        <f>'4.0 - QDM OK'!GB70</f>
        <v>0</v>
      </c>
      <c r="J17" s="1117">
        <f>'4.0 - QDM OK'!FM70</f>
        <v>0</v>
      </c>
      <c r="K17" s="1117">
        <f>'4.0 - QDM OK'!GQ70</f>
        <v>0</v>
      </c>
      <c r="L17" s="1117">
        <f>'4.0 - QDM OK'!HF70</f>
        <v>0</v>
      </c>
      <c r="M17" s="1117">
        <f>'4.0 - QDM OK'!HU70</f>
        <v>0</v>
      </c>
      <c r="N17" s="1117">
        <f>'4.0 - QDM OK'!KC70</f>
        <v>0</v>
      </c>
      <c r="O17" s="1117"/>
      <c r="P17" s="1117">
        <f t="shared" si="0"/>
        <v>0</v>
      </c>
      <c r="Q17" s="1118">
        <f t="shared" si="1"/>
        <v>0</v>
      </c>
      <c r="R17" s="1118">
        <f t="shared" si="2"/>
        <v>0.86065467018470854</v>
      </c>
      <c r="S17" s="1117">
        <f>'4.0 - QDM OK'!DE70</f>
        <v>0</v>
      </c>
      <c r="T17" s="1117">
        <f>'4.0 - QDM OK'!DT70</f>
        <v>0</v>
      </c>
      <c r="U17" s="1117"/>
      <c r="V17" s="1117">
        <f>'4.0 - QDM OK'!EX70</f>
        <v>0</v>
      </c>
      <c r="W17" s="1117">
        <f>'4.0 - QDM OK'!EI70</f>
        <v>0</v>
      </c>
      <c r="X17" s="1104"/>
      <c r="Y17" s="1105"/>
    </row>
    <row r="18" spans="1:28" ht="12.95" customHeight="1">
      <c r="A18" s="1114">
        <v>3000</v>
      </c>
      <c r="B18" s="1115" t="s">
        <v>68</v>
      </c>
      <c r="C18" s="1116">
        <v>5000</v>
      </c>
      <c r="D18" s="1117">
        <f>'4.0 - QDM OK'!AH71</f>
        <v>0</v>
      </c>
      <c r="E18" s="1117">
        <f>'4.0 - QDM OK'!AQ71</f>
        <v>0</v>
      </c>
      <c r="F18" s="1117">
        <f>'4.0 - QDM OK'!BF71</f>
        <v>0</v>
      </c>
      <c r="G18" s="1117">
        <f>'4.0 - QDM OK'!BU71</f>
        <v>0</v>
      </c>
      <c r="H18" s="1117">
        <f>'4.0 - QDM OK'!CP71</f>
        <v>0</v>
      </c>
      <c r="I18" s="1117">
        <f>'4.0 - QDM OK'!GB71</f>
        <v>0</v>
      </c>
      <c r="J18" s="1117">
        <f>'4.0 - QDM OK'!FM71</f>
        <v>0</v>
      </c>
      <c r="K18" s="1117">
        <f>'4.0 - QDM OK'!GQ71</f>
        <v>0</v>
      </c>
      <c r="L18" s="1117">
        <f>'4.0 - QDM OK'!HF71</f>
        <v>0</v>
      </c>
      <c r="M18" s="1117">
        <f>'4.0 - QDM OK'!HU71</f>
        <v>0</v>
      </c>
      <c r="N18" s="1117">
        <f>'4.0 - QDM OK'!KC71</f>
        <v>0</v>
      </c>
      <c r="O18" s="1117"/>
      <c r="P18" s="1117">
        <f t="shared" si="0"/>
        <v>0</v>
      </c>
      <c r="Q18" s="1118">
        <f t="shared" si="1"/>
        <v>0</v>
      </c>
      <c r="R18" s="1118">
        <f t="shared" si="2"/>
        <v>0.86065467018470854</v>
      </c>
      <c r="S18" s="1117">
        <f>'4.0 - QDM OK'!DE71</f>
        <v>0</v>
      </c>
      <c r="T18" s="1117">
        <f>'4.0 - QDM OK'!DT71</f>
        <v>0</v>
      </c>
      <c r="U18" s="1117"/>
      <c r="V18" s="1117">
        <f>'4.0 - QDM OK'!EX71</f>
        <v>0</v>
      </c>
      <c r="W18" s="1117">
        <f>'4.0 - QDM OK'!EI71</f>
        <v>0</v>
      </c>
      <c r="X18" s="1104"/>
      <c r="Y18" s="1105"/>
    </row>
    <row r="19" spans="1:28" ht="12.95" customHeight="1">
      <c r="A19" s="1114">
        <v>5000</v>
      </c>
      <c r="B19" s="1115" t="s">
        <v>68</v>
      </c>
      <c r="C19" s="1116">
        <v>10000</v>
      </c>
      <c r="D19" s="1117">
        <f>'4.0 - QDM OK'!AH72</f>
        <v>0</v>
      </c>
      <c r="E19" s="1117">
        <f>'4.0 - QDM OK'!AQ72</f>
        <v>0</v>
      </c>
      <c r="F19" s="1117">
        <f>'4.0 - QDM OK'!BF72</f>
        <v>0</v>
      </c>
      <c r="G19" s="1117">
        <f>'4.0 - QDM OK'!BU72</f>
        <v>0</v>
      </c>
      <c r="H19" s="1117">
        <f>'4.0 - QDM OK'!CP72</f>
        <v>1225.0729999999999</v>
      </c>
      <c r="I19" s="1117">
        <f>'4.0 - QDM OK'!GB72</f>
        <v>0</v>
      </c>
      <c r="J19" s="1117">
        <f>'4.0 - QDM OK'!FM72</f>
        <v>0</v>
      </c>
      <c r="K19" s="1117">
        <f>'4.0 - QDM OK'!GQ72</f>
        <v>0</v>
      </c>
      <c r="L19" s="1117">
        <f>'4.0 - QDM OK'!HF72</f>
        <v>0</v>
      </c>
      <c r="M19" s="1117">
        <f>'4.0 - QDM OK'!HU72</f>
        <v>0</v>
      </c>
      <c r="N19" s="1117">
        <f>'4.0 - QDM OK'!KC72</f>
        <v>0</v>
      </c>
      <c r="O19" s="1117"/>
      <c r="P19" s="1117">
        <f t="shared" si="0"/>
        <v>1225.0729999999999</v>
      </c>
      <c r="Q19" s="1118">
        <f t="shared" si="1"/>
        <v>0.13934532981529138</v>
      </c>
      <c r="R19" s="1118">
        <f t="shared" si="2"/>
        <v>0.99999999999999989</v>
      </c>
      <c r="S19" s="1117">
        <f>'4.0 - QDM OK'!DE72</f>
        <v>942.363846153846</v>
      </c>
      <c r="T19" s="1117">
        <f>'4.0 - QDM OK'!DT72</f>
        <v>0</v>
      </c>
      <c r="U19" s="1117"/>
      <c r="V19" s="1117">
        <f>'4.0 - QDM OK'!EX72</f>
        <v>0</v>
      </c>
      <c r="W19" s="1117">
        <f>'4.0 - QDM OK'!EI72</f>
        <v>0</v>
      </c>
      <c r="X19" s="1104"/>
      <c r="Y19" s="1105"/>
    </row>
    <row r="20" spans="1:28" ht="12.95" customHeight="1">
      <c r="A20" s="2167"/>
      <c r="B20" s="2168"/>
      <c r="C20" s="2169"/>
      <c r="D20" s="1119"/>
      <c r="E20" s="1117"/>
      <c r="F20" s="1117"/>
      <c r="G20" s="1117"/>
      <c r="H20" s="1117"/>
      <c r="I20" s="1117"/>
      <c r="J20" s="1117"/>
      <c r="K20" s="1117"/>
      <c r="L20" s="1117"/>
      <c r="M20" s="1117"/>
      <c r="N20" s="1117"/>
      <c r="O20" s="1117"/>
      <c r="P20" s="1117"/>
      <c r="Q20" s="1118"/>
      <c r="R20" s="1118"/>
      <c r="S20" s="1117"/>
      <c r="T20" s="1117"/>
      <c r="U20" s="1117"/>
      <c r="V20" s="1117"/>
      <c r="W20" s="1117"/>
      <c r="X20" s="1104"/>
      <c r="Y20" s="1105"/>
    </row>
    <row r="21" spans="1:28" ht="12.95" customHeight="1">
      <c r="A21" s="2180" t="s">
        <v>1164</v>
      </c>
      <c r="B21" s="2181"/>
      <c r="C21" s="2182"/>
      <c r="D21" s="1119"/>
      <c r="E21" s="1117"/>
      <c r="F21" s="1117"/>
      <c r="G21" s="1117"/>
      <c r="H21" s="1117"/>
      <c r="I21" s="1117"/>
      <c r="J21" s="1117"/>
      <c r="K21" s="1117"/>
      <c r="L21" s="1117"/>
      <c r="M21" s="1117"/>
      <c r="N21" s="1117"/>
      <c r="O21" s="1117"/>
      <c r="P21" s="1117"/>
      <c r="Q21" s="1118"/>
      <c r="R21" s="1118"/>
      <c r="S21" s="1117"/>
      <c r="T21" s="1117"/>
      <c r="U21" s="1117"/>
      <c r="V21" s="1117"/>
      <c r="W21" s="1117"/>
      <c r="X21" s="1104"/>
      <c r="Y21" s="1105"/>
    </row>
    <row r="22" spans="1:28" ht="12.95" customHeight="1">
      <c r="A22" s="2183" t="s">
        <v>1165</v>
      </c>
      <c r="B22" s="2184"/>
      <c r="C22" s="2185"/>
      <c r="D22" s="1119"/>
      <c r="E22" s="1117"/>
      <c r="F22" s="1117"/>
      <c r="G22" s="1117"/>
      <c r="H22" s="1117"/>
      <c r="I22" s="1117"/>
      <c r="J22" s="1117"/>
      <c r="K22" s="1117"/>
      <c r="L22" s="1117"/>
      <c r="M22" s="1117"/>
      <c r="N22" s="1117"/>
      <c r="O22" s="1117"/>
      <c r="P22" s="1117"/>
      <c r="Q22" s="1118"/>
      <c r="R22" s="1120"/>
      <c r="S22" s="1117"/>
      <c r="T22" s="1117"/>
      <c r="U22" s="1121">
        <f>'Modelo 5.0 - Rebaixos'!L108</f>
        <v>5936.3700000000008</v>
      </c>
      <c r="V22" s="1117"/>
      <c r="W22" s="1117"/>
      <c r="X22" s="1104"/>
      <c r="Y22" s="1105"/>
    </row>
    <row r="23" spans="1:28" ht="12.95" customHeight="1">
      <c r="A23" s="2183" t="s">
        <v>1166</v>
      </c>
      <c r="B23" s="2184"/>
      <c r="C23" s="2185"/>
      <c r="D23" s="1119"/>
      <c r="E23" s="1117"/>
      <c r="F23" s="1117"/>
      <c r="G23" s="1117"/>
      <c r="H23" s="1117"/>
      <c r="I23" s="1117"/>
      <c r="J23" s="1117"/>
      <c r="K23" s="1117"/>
      <c r="L23" s="1117"/>
      <c r="M23" s="1117"/>
      <c r="N23" s="1117"/>
      <c r="O23" s="1117"/>
      <c r="P23" s="1117"/>
      <c r="Q23" s="1118"/>
      <c r="R23" s="1120"/>
      <c r="S23" s="1117"/>
      <c r="T23" s="1117"/>
      <c r="U23" s="1121">
        <f>'Modelo 5.0 - Rebaixos'!L198</f>
        <v>1141.8699999999999</v>
      </c>
      <c r="V23" s="1117"/>
      <c r="W23" s="1117"/>
      <c r="X23" s="1104"/>
      <c r="Y23" s="1122"/>
    </row>
    <row r="24" spans="1:28" ht="12.95" customHeight="1">
      <c r="A24" s="2183" t="s">
        <v>1167</v>
      </c>
      <c r="B24" s="2184"/>
      <c r="C24" s="2185"/>
      <c r="D24" s="1119"/>
      <c r="E24" s="1117"/>
      <c r="F24" s="1117"/>
      <c r="G24" s="1117"/>
      <c r="H24" s="1117"/>
      <c r="I24" s="1117"/>
      <c r="J24" s="1117"/>
      <c r="K24" s="1117"/>
      <c r="L24" s="1117"/>
      <c r="M24" s="1117"/>
      <c r="N24" s="1117"/>
      <c r="O24" s="1117"/>
      <c r="P24" s="1117"/>
      <c r="Q24" s="1118"/>
      <c r="R24" s="1120"/>
      <c r="S24" s="1117"/>
      <c r="T24" s="1117"/>
      <c r="U24" s="1121">
        <f>'Modelo 5.0 - Rebaixos'!L235</f>
        <v>0</v>
      </c>
      <c r="V24" s="1117"/>
      <c r="W24" s="1117"/>
      <c r="X24" s="1104"/>
      <c r="Y24" s="1105"/>
      <c r="AA24" s="943"/>
      <c r="AB24" s="943"/>
    </row>
    <row r="25" spans="1:28" ht="12.95" customHeight="1">
      <c r="A25" s="2186"/>
      <c r="B25" s="2186"/>
      <c r="C25" s="2186"/>
      <c r="D25" s="1117"/>
      <c r="E25" s="1117"/>
      <c r="F25" s="1117"/>
      <c r="G25" s="1117"/>
      <c r="H25" s="1117"/>
      <c r="I25" s="1117"/>
      <c r="J25" s="1117"/>
      <c r="K25" s="1117"/>
      <c r="L25" s="1117"/>
      <c r="M25" s="1117"/>
      <c r="N25" s="1117"/>
      <c r="O25" s="1117"/>
      <c r="P25" s="1117"/>
      <c r="Q25" s="1118"/>
      <c r="R25" s="1120"/>
      <c r="S25" s="1117"/>
      <c r="T25" s="1117"/>
      <c r="U25" s="1117"/>
      <c r="V25" s="1117"/>
      <c r="W25" s="1117"/>
      <c r="X25" s="1104"/>
      <c r="Y25" s="1105"/>
      <c r="AA25" s="943"/>
      <c r="AB25" s="943"/>
    </row>
    <row r="26" spans="1:28" ht="12.95" customHeight="1">
      <c r="A26" s="2167" t="s">
        <v>422</v>
      </c>
      <c r="B26" s="2168"/>
      <c r="C26" s="2169"/>
      <c r="D26" s="1119">
        <f>SUM(D6:D19)</f>
        <v>237.23000000000005</v>
      </c>
      <c r="E26" s="1119">
        <f t="shared" ref="E26:O26" si="3">SUM(E6:E19)</f>
        <v>251.09</v>
      </c>
      <c r="F26" s="1119">
        <f t="shared" si="3"/>
        <v>0</v>
      </c>
      <c r="G26" s="1119">
        <f t="shared" si="3"/>
        <v>0</v>
      </c>
      <c r="H26" s="1119">
        <f t="shared" si="3"/>
        <v>1225.0729999999999</v>
      </c>
      <c r="I26" s="1119">
        <f t="shared" si="3"/>
        <v>1141.8699999999999</v>
      </c>
      <c r="J26" s="1119">
        <f t="shared" si="3"/>
        <v>0</v>
      </c>
      <c r="K26" s="1119">
        <f t="shared" si="3"/>
        <v>5936.3700000000008</v>
      </c>
      <c r="L26" s="1119">
        <f>SUM(L6:L19)</f>
        <v>0</v>
      </c>
      <c r="M26" s="1119">
        <f>SUM(M6:M19)</f>
        <v>0</v>
      </c>
      <c r="N26" s="1119">
        <f>SUM(N6:N19)</f>
        <v>0</v>
      </c>
      <c r="O26" s="1119">
        <f t="shared" si="3"/>
        <v>0</v>
      </c>
      <c r="P26" s="1119">
        <f>SUM(P6:P19)</f>
        <v>8791.6330000000016</v>
      </c>
      <c r="Q26" s="1117"/>
      <c r="R26" s="1120"/>
      <c r="S26" s="1119">
        <f>SUM(S6:S24)</f>
        <v>8396.2346153846174</v>
      </c>
      <c r="T26" s="1119">
        <f t="shared" ref="T26:W26" si="4">SUM(T6:T24)</f>
        <v>0</v>
      </c>
      <c r="U26" s="1119">
        <f>SUM(U6:U24)</f>
        <v>7078.2400000000007</v>
      </c>
      <c r="V26" s="1119">
        <f t="shared" si="4"/>
        <v>0</v>
      </c>
      <c r="W26" s="1119">
        <f t="shared" si="4"/>
        <v>0</v>
      </c>
      <c r="X26" s="1123"/>
      <c r="Y26" s="1124"/>
      <c r="AA26" s="1125"/>
      <c r="AB26" s="1125"/>
    </row>
    <row r="27" spans="1:28" ht="12.95" customHeight="1">
      <c r="A27" s="2167" t="s">
        <v>1168</v>
      </c>
      <c r="B27" s="2168"/>
      <c r="C27" s="2169"/>
      <c r="D27" s="1118">
        <f>D26/$P$26</f>
        <v>2.6983610439607751E-2</v>
      </c>
      <c r="E27" s="1118">
        <f t="shared" ref="E27:O27" si="5">E26/$P$26</f>
        <v>2.8560109367622596E-2</v>
      </c>
      <c r="F27" s="1118">
        <f t="shared" si="5"/>
        <v>0</v>
      </c>
      <c r="G27" s="1118">
        <f t="shared" si="5"/>
        <v>0</v>
      </c>
      <c r="H27" s="1118">
        <f t="shared" si="5"/>
        <v>0.13934532981529138</v>
      </c>
      <c r="I27" s="1118">
        <f t="shared" si="5"/>
        <v>0.12988144523321205</v>
      </c>
      <c r="J27" s="1118">
        <f t="shared" si="5"/>
        <v>0</v>
      </c>
      <c r="K27" s="1118">
        <f t="shared" si="5"/>
        <v>0.67522950514426616</v>
      </c>
      <c r="L27" s="1118">
        <f>L26/$P$26</f>
        <v>0</v>
      </c>
      <c r="M27" s="1118">
        <f>M26/$P$26</f>
        <v>0</v>
      </c>
      <c r="N27" s="1118">
        <f t="shared" si="5"/>
        <v>0</v>
      </c>
      <c r="O27" s="1118">
        <f t="shared" si="5"/>
        <v>0</v>
      </c>
      <c r="P27" s="1118">
        <f>SUM(D27:O27)</f>
        <v>1</v>
      </c>
      <c r="Q27" s="1118"/>
      <c r="R27" s="1120"/>
      <c r="S27" s="1118">
        <f>S26/SUM($S$26:$W$26)</f>
        <v>0.54258608605924097</v>
      </c>
      <c r="T27" s="1118">
        <f>T26/SUM($S$26:$W$26)</f>
        <v>0</v>
      </c>
      <c r="U27" s="1118">
        <f>U26/SUM($S$26:$W$26)</f>
        <v>0.45741391394075909</v>
      </c>
      <c r="V27" s="1118">
        <f>V26/SUM($S$26:$W$26)</f>
        <v>0</v>
      </c>
      <c r="W27" s="1118">
        <f>W26/SUM($S$26:$W$26)</f>
        <v>0</v>
      </c>
      <c r="X27" s="1104"/>
      <c r="Y27" s="1124"/>
      <c r="Z27" s="1126"/>
      <c r="AB27" s="1127"/>
    </row>
    <row r="28" spans="1:28" ht="12.95" customHeight="1">
      <c r="A28" s="2167"/>
      <c r="B28" s="2168"/>
      <c r="C28" s="2168"/>
      <c r="D28" s="2168"/>
      <c r="E28" s="2168"/>
      <c r="F28" s="2168"/>
      <c r="G28" s="2168"/>
      <c r="H28" s="2168"/>
      <c r="I28" s="2168"/>
      <c r="J28" s="2168"/>
      <c r="K28" s="2168"/>
      <c r="L28" s="2168"/>
      <c r="M28" s="2168"/>
      <c r="N28" s="2168"/>
      <c r="O28" s="2168"/>
      <c r="P28" s="2168"/>
      <c r="Q28" s="2168"/>
      <c r="R28" s="2168"/>
      <c r="S28" s="2168"/>
      <c r="T28" s="2168"/>
      <c r="U28" s="2168"/>
      <c r="V28" s="2168"/>
      <c r="W28" s="2169"/>
      <c r="X28" s="1104"/>
      <c r="Y28" s="1124"/>
      <c r="Z28" s="1126"/>
      <c r="AB28" s="1127"/>
    </row>
    <row r="29" spans="1:28" ht="12.95" customHeight="1">
      <c r="A29" s="2158" t="s">
        <v>1169</v>
      </c>
      <c r="B29" s="2159"/>
      <c r="C29" s="2159"/>
      <c r="D29" s="2159"/>
      <c r="E29" s="2159"/>
      <c r="F29" s="1089">
        <f>'4.0 - QDM OK'!Q59/'4.0 - QDM OK'!K59*1000</f>
        <v>944.79611458667523</v>
      </c>
      <c r="G29" s="1128" t="s">
        <v>107</v>
      </c>
      <c r="H29" s="1129"/>
      <c r="I29" s="1129"/>
      <c r="J29" s="1129"/>
      <c r="K29" s="1129"/>
      <c r="L29" s="1129"/>
      <c r="M29" s="1129"/>
      <c r="N29" s="1129"/>
      <c r="O29" s="1129"/>
      <c r="P29" s="1130"/>
      <c r="Q29" s="1131"/>
      <c r="R29" s="1132"/>
      <c r="S29" s="2170" t="s">
        <v>1170</v>
      </c>
      <c r="T29" s="2171"/>
      <c r="U29" s="2171"/>
      <c r="V29" s="2172"/>
      <c r="W29" s="2173">
        <f>S26+T26</f>
        <v>8396.2346153846174</v>
      </c>
      <c r="X29" s="1104"/>
      <c r="Y29" s="1124"/>
      <c r="Z29" s="1126"/>
      <c r="AB29" s="1127"/>
    </row>
    <row r="30" spans="1:28" ht="12.95" customHeight="1">
      <c r="A30" s="2175" t="s">
        <v>1171</v>
      </c>
      <c r="B30" s="2176"/>
      <c r="C30" s="2176"/>
      <c r="D30" s="2176"/>
      <c r="E30" s="2176"/>
      <c r="F30" s="1089">
        <v>0</v>
      </c>
      <c r="G30" s="1133" t="s">
        <v>105</v>
      </c>
      <c r="H30" s="1134"/>
      <c r="I30" s="1135"/>
      <c r="J30" s="1135"/>
      <c r="K30" s="1135"/>
      <c r="L30" s="1135"/>
      <c r="M30" s="1134"/>
      <c r="N30" s="1134"/>
      <c r="O30" s="1134"/>
      <c r="P30" s="1136"/>
      <c r="Q30" s="1136"/>
      <c r="R30" s="1137"/>
      <c r="S30" s="2177" t="s">
        <v>1172</v>
      </c>
      <c r="T30" s="2178"/>
      <c r="U30" s="2178"/>
      <c r="V30" s="2179"/>
      <c r="W30" s="2174"/>
      <c r="X30" s="1104"/>
      <c r="Y30" s="1124"/>
      <c r="Z30" s="1126"/>
      <c r="AB30" s="1127"/>
    </row>
    <row r="31" spans="1:28" ht="12.95" customHeight="1">
      <c r="A31" s="1128"/>
      <c r="B31" s="1129"/>
      <c r="C31" s="1129"/>
      <c r="D31" s="1129"/>
      <c r="E31" s="1129"/>
      <c r="F31" s="1138"/>
      <c r="G31" s="1134"/>
      <c r="H31" s="1134"/>
      <c r="I31" s="1135"/>
      <c r="J31" s="1135"/>
      <c r="K31" s="1135"/>
      <c r="L31" s="1135"/>
      <c r="M31" s="1134"/>
      <c r="N31" s="1134"/>
      <c r="O31" s="1134"/>
      <c r="P31" s="1136"/>
      <c r="Q31" s="1136"/>
      <c r="R31" s="1137"/>
      <c r="S31" s="2162" t="s">
        <v>1173</v>
      </c>
      <c r="T31" s="2162"/>
      <c r="U31" s="2162"/>
      <c r="V31" s="2162"/>
      <c r="W31" s="1139">
        <f>SUM(D26,E26,F26,G26,H26,J26,L26,M26,N26)/W32</f>
        <v>1784.7843750000002</v>
      </c>
      <c r="X31" s="1104"/>
      <c r="Y31" s="1124"/>
      <c r="Z31" s="1126"/>
      <c r="AB31" s="1127"/>
    </row>
    <row r="32" spans="1:28" ht="12.95" customHeight="1">
      <c r="A32" s="2158" t="s">
        <v>1174</v>
      </c>
      <c r="B32" s="2159"/>
      <c r="C32" s="2159"/>
      <c r="D32" s="2159"/>
      <c r="E32" s="2160"/>
      <c r="F32" s="1140">
        <f>SUM('4.0 - QDM OK'!K65:K72)-SUM('4.0 - QDM OK'!K73:K82)</f>
        <v>8791.6330000000016</v>
      </c>
      <c r="G32" s="2164" t="s">
        <v>1175</v>
      </c>
      <c r="H32" s="2165"/>
      <c r="I32" s="2165"/>
      <c r="J32" s="2165"/>
      <c r="K32" s="2165"/>
      <c r="L32" s="2165"/>
      <c r="M32" s="2165"/>
      <c r="N32" s="2165"/>
      <c r="O32" s="2165"/>
      <c r="P32" s="2166"/>
      <c r="Q32" s="1141"/>
      <c r="R32" s="1142"/>
      <c r="S32" s="2162" t="s">
        <v>1176</v>
      </c>
      <c r="T32" s="2162"/>
      <c r="U32" s="2162"/>
      <c r="V32" s="2162"/>
      <c r="W32" s="1143">
        <f>'Modelo 1.0 - NS'!X10</f>
        <v>0.96</v>
      </c>
      <c r="X32" s="1104"/>
      <c r="Y32" s="1124"/>
      <c r="Z32" s="1126"/>
      <c r="AB32" s="1127"/>
    </row>
    <row r="33" spans="1:28" ht="12.95" customHeight="1">
      <c r="S33" s="2162" t="s">
        <v>1177</v>
      </c>
      <c r="T33" s="2162"/>
      <c r="U33" s="2162"/>
      <c r="V33" s="2162"/>
      <c r="W33" s="1144">
        <v>1.3</v>
      </c>
      <c r="X33" s="1104"/>
      <c r="Y33" s="1124"/>
      <c r="Z33" s="1126"/>
      <c r="AB33" s="1127"/>
    </row>
    <row r="34" spans="1:28">
      <c r="A34" s="2155" t="s">
        <v>1178</v>
      </c>
      <c r="B34" s="2156"/>
      <c r="C34" s="2156"/>
      <c r="D34" s="2156"/>
      <c r="E34" s="2156"/>
      <c r="F34" s="2156"/>
      <c r="G34" s="2157"/>
      <c r="H34" s="1145">
        <f>'4.0 - QDM OK'!K73+'4.0 - QDM OK'!K74+'4.0 - QDM OK'!K82</f>
        <v>0</v>
      </c>
      <c r="I34" s="1146"/>
      <c r="J34" s="1147"/>
      <c r="K34" s="1147"/>
      <c r="L34" s="1147"/>
      <c r="M34" s="1147"/>
      <c r="N34" s="1147"/>
      <c r="O34" s="1147"/>
      <c r="P34" s="1147"/>
      <c r="Q34" s="1147"/>
      <c r="R34" s="1148"/>
      <c r="S34" s="2162" t="s">
        <v>1179</v>
      </c>
      <c r="T34" s="2162"/>
      <c r="U34" s="2162"/>
      <c r="V34" s="2162"/>
      <c r="W34" s="1144"/>
      <c r="X34" s="1104"/>
      <c r="Y34" s="1124"/>
      <c r="Z34" s="1126"/>
      <c r="AB34" s="1127"/>
    </row>
    <row r="35" spans="1:28" ht="12.95" customHeight="1">
      <c r="A35" s="2158" t="s">
        <v>1180</v>
      </c>
      <c r="B35" s="2159"/>
      <c r="C35" s="2159"/>
      <c r="D35" s="2159"/>
      <c r="E35" s="2159"/>
      <c r="F35" s="2159"/>
      <c r="G35" s="2160"/>
      <c r="H35" s="1093">
        <f>SUMIFS('4.0 - QDM OK'!$K$59:$K$59,'4.0 - QDM OK'!$AF$55:$AF$55,"C",'4.0 - QDM OK'!$AE$55:$AE$55,"BFN")+SUMIFS('4.0 - QDM OK'!$L$56:$L$56,'4.0 - QDM OK'!$AF$55:$AF$55,"C",'4.0 - QDM OK'!$AE$55:$AE$55,"BFN")</f>
        <v>0</v>
      </c>
      <c r="I35" s="1149"/>
      <c r="J35" s="1150"/>
      <c r="K35" s="1150"/>
      <c r="L35" s="1150"/>
      <c r="M35" s="1150"/>
      <c r="N35" s="1150"/>
      <c r="O35" s="1150"/>
      <c r="P35" s="1150"/>
      <c r="Q35" s="1150"/>
      <c r="R35" s="1151"/>
      <c r="S35" s="2162" t="s">
        <v>1181</v>
      </c>
      <c r="T35" s="2162"/>
      <c r="U35" s="2162"/>
      <c r="V35" s="2162"/>
      <c r="W35" s="1144">
        <v>1.3</v>
      </c>
      <c r="X35" s="1105"/>
      <c r="Y35" s="1124"/>
      <c r="Z35" s="1126"/>
      <c r="AB35" s="1127"/>
    </row>
    <row r="36" spans="1:28" ht="12.95" customHeight="1">
      <c r="A36" s="2158" t="s">
        <v>1182</v>
      </c>
      <c r="B36" s="2159"/>
      <c r="C36" s="2159"/>
      <c r="D36" s="2159"/>
      <c r="E36" s="2159"/>
      <c r="F36" s="2159"/>
      <c r="G36" s="2160"/>
      <c r="H36" s="1089">
        <f>'4.0 - QDM OK'!K73</f>
        <v>0</v>
      </c>
      <c r="I36" s="1152"/>
      <c r="J36" s="1153"/>
      <c r="K36" s="1153"/>
      <c r="L36" s="1153"/>
      <c r="M36" s="1153"/>
      <c r="N36" s="1153"/>
      <c r="O36" s="1153"/>
      <c r="P36" s="1153"/>
      <c r="Q36" s="1153"/>
      <c r="R36" s="1154"/>
      <c r="W36" s="1038"/>
      <c r="X36" s="1105"/>
      <c r="Y36" s="1124"/>
      <c r="Z36" s="1126"/>
      <c r="AB36" s="1127"/>
    </row>
    <row r="37" spans="1:28">
      <c r="A37" s="2158" t="s">
        <v>1183</v>
      </c>
      <c r="B37" s="2159"/>
      <c r="C37" s="2159"/>
      <c r="D37" s="2159"/>
      <c r="E37" s="2159"/>
      <c r="F37" s="2159"/>
      <c r="G37" s="2160"/>
      <c r="H37" s="1089">
        <f>SUMIFS('4.0 - QDM OK'!$N$55:$N$55,'4.0 - QDM OK'!$AE$55:$AE$55,"BFC")+SUMIFS('4.0 - QDM OK'!$M$55:$M$55,'4.0 - QDM OK'!$AE$55:$AE$55,"BFC")+SUMIFS('4.0 - QDM OK'!$N$55:$N$55,'4.0 - QDM OK'!$AE$55:$AE$55,"BFN")+SUMIFS('4.0 - QDM OK'!$M$55:$M$55,'4.0 - QDM OK'!$AE$55:$AE$55,"BFN")</f>
        <v>0</v>
      </c>
      <c r="Q37" s="1136"/>
      <c r="R37" s="1136"/>
      <c r="S37" s="2163" t="s">
        <v>1184</v>
      </c>
      <c r="T37" s="2163"/>
      <c r="U37" s="1155" t="s">
        <v>22</v>
      </c>
      <c r="V37" s="1155" t="s">
        <v>1185</v>
      </c>
      <c r="W37" s="1155" t="s">
        <v>1186</v>
      </c>
      <c r="X37" s="1105"/>
      <c r="Y37" s="1124"/>
      <c r="Z37" s="1126"/>
      <c r="AB37" s="1127"/>
    </row>
    <row r="38" spans="1:28">
      <c r="Q38" s="1134"/>
      <c r="R38" s="1134"/>
      <c r="S38" s="2161" t="s">
        <v>1187</v>
      </c>
      <c r="T38" s="2161"/>
      <c r="U38" s="1117">
        <f>D26+E26+H26+K26+I26+J26</f>
        <v>8791.6330000000016</v>
      </c>
      <c r="V38" s="1156">
        <f>U38/$U$42</f>
        <v>1</v>
      </c>
      <c r="W38" s="1156">
        <f>V38</f>
        <v>1</v>
      </c>
      <c r="X38" s="1105"/>
      <c r="Y38" s="1124"/>
      <c r="Z38" s="1126"/>
      <c r="AB38" s="1127"/>
    </row>
    <row r="39" spans="1:28" ht="12.95" customHeight="1">
      <c r="A39" s="2140" t="s">
        <v>1188</v>
      </c>
      <c r="B39" s="2141"/>
      <c r="C39" s="2141"/>
      <c r="D39" s="2141"/>
      <c r="E39" s="2141"/>
      <c r="F39" s="2141"/>
      <c r="G39" s="2142"/>
      <c r="H39" s="1117">
        <f>S26+U22+U23</f>
        <v>15474.474615384617</v>
      </c>
      <c r="I39" s="1133" t="s">
        <v>100</v>
      </c>
      <c r="J39" s="1157" t="s">
        <v>1189</v>
      </c>
      <c r="K39" s="1158"/>
      <c r="L39" s="1158"/>
      <c r="M39" s="1158"/>
      <c r="N39" s="1159"/>
      <c r="O39" s="1159"/>
      <c r="P39" s="1159"/>
      <c r="Q39" s="1159"/>
      <c r="R39" s="1159"/>
      <c r="S39" s="2161" t="s">
        <v>1190</v>
      </c>
      <c r="T39" s="2161"/>
      <c r="U39" s="1117">
        <f>F26</f>
        <v>0</v>
      </c>
      <c r="V39" s="1156">
        <f>U39/$U$42</f>
        <v>0</v>
      </c>
      <c r="W39" s="1156">
        <f>V39+W38</f>
        <v>1</v>
      </c>
      <c r="X39" s="1105"/>
      <c r="Y39" s="1105"/>
      <c r="AA39" s="1160"/>
      <c r="AB39" s="1160"/>
    </row>
    <row r="40" spans="1:28" ht="12.95" customHeight="1">
      <c r="A40" s="2140" t="s">
        <v>1191</v>
      </c>
      <c r="B40" s="2141"/>
      <c r="C40" s="2141"/>
      <c r="D40" s="2141"/>
      <c r="E40" s="2141"/>
      <c r="F40" s="2141"/>
      <c r="G40" s="2142"/>
      <c r="H40" s="1117">
        <f>I40*0.2</f>
        <v>3245.5200000000004</v>
      </c>
      <c r="I40" s="1145">
        <v>16227.6</v>
      </c>
      <c r="J40" s="1157" t="s">
        <v>1192</v>
      </c>
      <c r="K40" s="1157"/>
      <c r="L40" s="1157"/>
      <c r="N40" s="1159"/>
      <c r="O40" s="1134"/>
      <c r="P40" s="1134"/>
      <c r="Q40" s="1161"/>
      <c r="R40" s="1159"/>
      <c r="S40" s="2161" t="s">
        <v>1193</v>
      </c>
      <c r="T40" s="2161"/>
      <c r="U40" s="1117">
        <f>G26+M26</f>
        <v>0</v>
      </c>
      <c r="V40" s="1156">
        <f>U40/$U$42</f>
        <v>0</v>
      </c>
      <c r="W40" s="1156">
        <f>V40+W39</f>
        <v>1</v>
      </c>
      <c r="X40" s="1105"/>
      <c r="Y40" s="1105"/>
    </row>
    <row r="41" spans="1:28" ht="12.95" customHeight="1">
      <c r="A41" s="1037"/>
      <c r="B41" s="1037"/>
      <c r="C41" s="1037"/>
      <c r="D41" s="1037"/>
      <c r="E41" s="1037"/>
      <c r="F41" s="1037"/>
      <c r="G41" s="1037"/>
      <c r="I41" s="1157"/>
      <c r="J41" s="1157"/>
      <c r="K41" s="1157"/>
      <c r="L41" s="1157"/>
      <c r="M41" s="1157"/>
      <c r="N41" s="1157"/>
      <c r="O41" s="1157"/>
      <c r="P41" s="1157"/>
      <c r="Q41" s="1159"/>
      <c r="R41" s="1159"/>
      <c r="S41" s="2161" t="s">
        <v>1194</v>
      </c>
      <c r="T41" s="2161"/>
      <c r="U41" s="1117">
        <f>N26</f>
        <v>0</v>
      </c>
      <c r="V41" s="1156">
        <f>U41/$U$42</f>
        <v>0</v>
      </c>
      <c r="W41" s="1156">
        <f>V41+W40</f>
        <v>1</v>
      </c>
      <c r="X41" s="1105"/>
      <c r="Y41" s="1122"/>
    </row>
    <row r="42" spans="1:28" ht="12.95" customHeight="1">
      <c r="A42" s="2155" t="s">
        <v>1195</v>
      </c>
      <c r="B42" s="2156"/>
      <c r="C42" s="2156"/>
      <c r="D42" s="2156"/>
      <c r="E42" s="2156"/>
      <c r="F42" s="2157"/>
      <c r="G42" s="1162">
        <f>T26+U24+V26</f>
        <v>0</v>
      </c>
      <c r="H42" s="1133" t="s">
        <v>100</v>
      </c>
      <c r="I42" s="1163" t="s">
        <v>1196</v>
      </c>
      <c r="J42" s="1163"/>
      <c r="K42" s="1163"/>
      <c r="L42" s="1163"/>
      <c r="M42" s="1163"/>
      <c r="N42" s="1163"/>
      <c r="O42" s="1163"/>
      <c r="P42" s="1163"/>
      <c r="Q42" s="1163"/>
      <c r="R42" s="1159"/>
      <c r="S42" s="2161" t="s">
        <v>1197</v>
      </c>
      <c r="T42" s="2161"/>
      <c r="U42" s="1117">
        <f>SUM(U38:U41)</f>
        <v>8791.6330000000016</v>
      </c>
      <c r="V42" s="1156">
        <f>SUM(V38:V41)</f>
        <v>1</v>
      </c>
      <c r="W42" s="1156"/>
      <c r="X42" s="1104"/>
      <c r="Y42" s="1122"/>
    </row>
    <row r="43" spans="1:28" ht="12.95" customHeight="1">
      <c r="A43" s="2155" t="s">
        <v>1198</v>
      </c>
      <c r="B43" s="2156"/>
      <c r="C43" s="2156"/>
      <c r="D43" s="2156"/>
      <c r="E43" s="2156"/>
      <c r="F43" s="2157"/>
      <c r="G43" s="1162">
        <f>H39-H40</f>
        <v>12228.954615384617</v>
      </c>
      <c r="H43" s="1133" t="s">
        <v>100</v>
      </c>
      <c r="I43" s="1163" t="s">
        <v>1199</v>
      </c>
      <c r="J43" s="1163"/>
      <c r="K43" s="1163"/>
      <c r="L43" s="1163"/>
      <c r="M43" s="1163"/>
      <c r="N43" s="1163"/>
      <c r="O43" s="1163"/>
      <c r="P43" s="1163"/>
      <c r="Q43" s="1163"/>
      <c r="R43" s="1159"/>
      <c r="X43" s="1104"/>
      <c r="Y43" s="1105"/>
    </row>
    <row r="44" spans="1:28" ht="12.95" customHeight="1">
      <c r="R44" s="1159"/>
      <c r="S44" s="1159"/>
      <c r="X44" s="1104"/>
      <c r="Y44" s="1105"/>
    </row>
    <row r="45" spans="1:28" ht="12.95" customHeight="1">
      <c r="A45" s="2140" t="s">
        <v>1200</v>
      </c>
      <c r="B45" s="2141"/>
      <c r="C45" s="2141"/>
      <c r="D45" s="2141"/>
      <c r="E45" s="2141"/>
      <c r="F45" s="2142"/>
      <c r="G45" s="1164">
        <f>SUM(G42:G43)/W32</f>
        <v>12738.494391025642</v>
      </c>
      <c r="H45" s="1133" t="s">
        <v>1201</v>
      </c>
      <c r="I45" s="1163"/>
      <c r="J45" s="1163"/>
      <c r="K45" s="1163"/>
      <c r="L45" s="1163"/>
      <c r="M45" s="1163"/>
      <c r="N45" s="1163"/>
      <c r="O45" s="1163"/>
      <c r="P45" s="1163"/>
      <c r="Q45" s="1163"/>
      <c r="R45" s="1165"/>
      <c r="S45" s="1165"/>
      <c r="T45" s="1037"/>
      <c r="U45" s="1037"/>
      <c r="V45" s="1037"/>
      <c r="W45" s="1038"/>
      <c r="X45" s="1104"/>
      <c r="Y45" s="1105"/>
    </row>
    <row r="46" spans="1:28" ht="12.95" customHeight="1">
      <c r="A46" s="2158" t="s">
        <v>1202</v>
      </c>
      <c r="B46" s="2159"/>
      <c r="C46" s="2159"/>
      <c r="D46" s="2159"/>
      <c r="E46" s="2159"/>
      <c r="F46" s="2159"/>
      <c r="G46" s="2160"/>
      <c r="H46" s="1089">
        <v>0</v>
      </c>
      <c r="I46" s="1166" t="s">
        <v>105</v>
      </c>
      <c r="J46" s="995"/>
      <c r="K46" s="995"/>
      <c r="L46" s="995"/>
      <c r="M46" s="995"/>
      <c r="N46" s="995"/>
      <c r="O46" s="995"/>
      <c r="P46" s="995"/>
      <c r="Q46" s="995"/>
      <c r="S46" s="1167"/>
      <c r="T46" s="1167"/>
      <c r="U46" s="1168"/>
      <c r="V46" s="1169"/>
      <c r="W46" s="1169"/>
      <c r="X46" s="1104"/>
      <c r="Y46" s="1105"/>
      <c r="AA46" s="1023"/>
    </row>
    <row r="47" spans="1:28" ht="12.95" customHeight="1">
      <c r="A47" s="2158" t="s">
        <v>1203</v>
      </c>
      <c r="B47" s="2159"/>
      <c r="C47" s="2159"/>
      <c r="D47" s="2159"/>
      <c r="E47" s="2159"/>
      <c r="F47" s="2159"/>
      <c r="G47" s="2160"/>
      <c r="H47" s="1089">
        <v>0</v>
      </c>
      <c r="I47" s="1157" t="s">
        <v>374</v>
      </c>
      <c r="X47" s="1104"/>
      <c r="Y47" s="1105"/>
      <c r="AA47" s="1023"/>
    </row>
    <row r="48" spans="1:28" ht="12.95" customHeight="1">
      <c r="A48" s="2158" t="s">
        <v>1204</v>
      </c>
      <c r="B48" s="2159"/>
      <c r="C48" s="2159"/>
      <c r="D48" s="2159"/>
      <c r="E48" s="2159"/>
      <c r="F48" s="2159"/>
      <c r="G48" s="2160"/>
      <c r="H48" s="1089">
        <v>0</v>
      </c>
      <c r="I48" s="1157" t="s">
        <v>374</v>
      </c>
      <c r="W48" s="1170"/>
      <c r="X48" s="1105"/>
      <c r="Y48" s="1105"/>
      <c r="AA48" s="1023"/>
    </row>
    <row r="49" spans="1:27" ht="12.95" customHeight="1">
      <c r="A49" s="2140" t="s">
        <v>1205</v>
      </c>
      <c r="B49" s="2141"/>
      <c r="C49" s="2141"/>
      <c r="D49" s="2141"/>
      <c r="E49" s="2141"/>
      <c r="F49" s="2141"/>
      <c r="G49" s="2142"/>
      <c r="H49" s="1089">
        <v>0</v>
      </c>
      <c r="I49" s="1157" t="s">
        <v>100</v>
      </c>
      <c r="S49" s="1171"/>
      <c r="T49" s="1171"/>
      <c r="U49" s="1171"/>
      <c r="V49" s="1172"/>
      <c r="W49" s="1170"/>
      <c r="X49" s="1105"/>
      <c r="Y49" s="1105"/>
      <c r="AA49" s="1023"/>
    </row>
    <row r="50" spans="1:27" ht="12.95" customHeight="1">
      <c r="A50" s="2140" t="s">
        <v>1206</v>
      </c>
      <c r="B50" s="2141"/>
      <c r="C50" s="2141"/>
      <c r="D50" s="2141"/>
      <c r="E50" s="2141"/>
      <c r="F50" s="2141"/>
      <c r="G50" s="2142"/>
      <c r="H50" s="1117">
        <v>0</v>
      </c>
      <c r="I50" s="1173" t="s">
        <v>1207</v>
      </c>
      <c r="J50" s="1037"/>
      <c r="K50" s="1037"/>
      <c r="L50" s="1037"/>
      <c r="M50" s="1037"/>
      <c r="N50" s="1037"/>
      <c r="O50" s="1037"/>
      <c r="P50" s="1174"/>
      <c r="Q50" s="1174"/>
      <c r="R50" s="1174"/>
      <c r="S50" s="1174"/>
      <c r="T50" s="1174"/>
      <c r="U50" s="1174"/>
      <c r="V50" s="1175"/>
      <c r="W50" s="1176"/>
      <c r="X50" s="1105"/>
      <c r="Y50" s="1105"/>
      <c r="AA50" s="1023"/>
    </row>
    <row r="51" spans="1:27">
      <c r="A51" s="1177"/>
      <c r="B51" s="1037"/>
      <c r="C51" s="1037"/>
      <c r="D51" s="1037"/>
      <c r="E51" s="1037"/>
      <c r="F51" s="1037"/>
      <c r="G51" s="1037"/>
      <c r="H51" s="1037"/>
      <c r="I51" s="1037"/>
      <c r="J51" s="1037"/>
      <c r="K51" s="1037"/>
      <c r="L51" s="1037"/>
      <c r="M51" s="1037"/>
      <c r="N51" s="1045"/>
      <c r="O51" s="1045"/>
      <c r="P51" s="1045"/>
      <c r="Q51" s="1045"/>
      <c r="R51" s="1045"/>
      <c r="S51" s="1045"/>
      <c r="T51" s="1045"/>
      <c r="U51" s="1045"/>
      <c r="V51" s="1045"/>
      <c r="W51" s="1178"/>
      <c r="X51" s="1105"/>
      <c r="Y51" s="1105"/>
    </row>
    <row r="52" spans="1:27">
      <c r="A52" s="2143" t="s">
        <v>1208</v>
      </c>
      <c r="B52" s="2144"/>
      <c r="C52" s="2144"/>
      <c r="D52" s="2144"/>
      <c r="E52" s="2144"/>
      <c r="F52" s="2144"/>
      <c r="G52" s="2144"/>
      <c r="H52" s="2144"/>
      <c r="I52" s="2144"/>
      <c r="J52" s="2144"/>
      <c r="K52" s="2144"/>
      <c r="L52" s="2144"/>
      <c r="M52" s="2144"/>
      <c r="N52" s="2144"/>
      <c r="O52" s="2144"/>
      <c r="P52" s="2144"/>
      <c r="Q52" s="2144"/>
      <c r="R52" s="2144"/>
      <c r="S52" s="2144"/>
      <c r="T52" s="2144"/>
      <c r="U52" s="2144"/>
      <c r="V52" s="2144"/>
      <c r="W52" s="2145"/>
      <c r="X52" s="1104"/>
      <c r="Y52" s="1105"/>
    </row>
    <row r="53" spans="1:27" s="1105" customFormat="1" ht="12.95" customHeight="1">
      <c r="A53" s="2146" t="s">
        <v>1209</v>
      </c>
      <c r="B53" s="2147"/>
      <c r="C53" s="2147"/>
      <c r="D53" s="2147"/>
      <c r="E53" s="2147"/>
      <c r="F53" s="2147"/>
      <c r="G53" s="2147"/>
      <c r="H53" s="2147"/>
      <c r="I53" s="2147"/>
      <c r="J53" s="2147"/>
      <c r="K53" s="2147"/>
      <c r="L53" s="2147"/>
      <c r="M53" s="2147"/>
      <c r="N53" s="2147"/>
      <c r="O53" s="2148"/>
      <c r="P53" s="1179"/>
      <c r="Q53" s="1179"/>
      <c r="R53" s="1179"/>
      <c r="S53" s="1179"/>
      <c r="T53" s="1179"/>
      <c r="U53" s="1179"/>
      <c r="V53" s="1179"/>
      <c r="W53" s="1180"/>
      <c r="X53" s="1104"/>
    </row>
    <row r="54" spans="1:27" s="1105" customFormat="1" ht="12.95" customHeight="1">
      <c r="A54" s="2149" t="str">
        <f>"Para os solos obtidos na operação de rebaixo que não atendem a ISC&gt; "&amp;R32*100&amp;"% devem ser substituídos por solo selecionado de empréstimos e direcionados para corpo de aterro."</f>
        <v>Para os solos obtidos na operação de rebaixo que não atendem a ISC&gt; 0% devem ser substituídos por solo selecionado de empréstimos e direcionados para corpo de aterro.</v>
      </c>
      <c r="B54" s="2150"/>
      <c r="C54" s="2150"/>
      <c r="D54" s="2150"/>
      <c r="E54" s="2150"/>
      <c r="F54" s="2150"/>
      <c r="G54" s="2150"/>
      <c r="H54" s="2150"/>
      <c r="I54" s="2150"/>
      <c r="J54" s="2150"/>
      <c r="K54" s="2150"/>
      <c r="L54" s="2150"/>
      <c r="M54" s="2150"/>
      <c r="N54" s="2150"/>
      <c r="O54" s="2151"/>
      <c r="P54" s="1181"/>
      <c r="Q54" s="1181"/>
      <c r="R54" s="1181"/>
      <c r="S54" s="1181"/>
      <c r="T54" s="1181"/>
      <c r="U54" s="1181"/>
      <c r="V54" s="1181"/>
      <c r="W54" s="1182"/>
      <c r="X54" s="1104"/>
    </row>
    <row r="55" spans="1:27" s="1105" customFormat="1" ht="12.95" customHeight="1">
      <c r="A55" s="2149" t="s">
        <v>1210</v>
      </c>
      <c r="B55" s="2150"/>
      <c r="C55" s="2150"/>
      <c r="D55" s="2150"/>
      <c r="E55" s="2150"/>
      <c r="F55" s="2150"/>
      <c r="G55" s="2150"/>
      <c r="H55" s="2150"/>
      <c r="I55" s="2150"/>
      <c r="J55" s="2150"/>
      <c r="K55" s="2150"/>
      <c r="L55" s="2150"/>
      <c r="M55" s="2150"/>
      <c r="N55" s="2150"/>
      <c r="O55" s="2151"/>
      <c r="P55" s="1181"/>
      <c r="Q55" s="1181"/>
      <c r="R55" s="1181"/>
      <c r="S55" s="1181"/>
      <c r="T55" s="1181"/>
      <c r="U55" s="1181"/>
      <c r="V55" s="1181"/>
      <c r="W55" s="1182"/>
      <c r="X55" s="1104"/>
    </row>
    <row r="56" spans="1:27" s="1105" customFormat="1" ht="12.95" customHeight="1">
      <c r="A56" s="2152" t="s">
        <v>1211</v>
      </c>
      <c r="B56" s="2153"/>
      <c r="C56" s="2153"/>
      <c r="D56" s="2153"/>
      <c r="E56" s="2153"/>
      <c r="F56" s="2153"/>
      <c r="G56" s="2153"/>
      <c r="H56" s="2153"/>
      <c r="I56" s="2153"/>
      <c r="J56" s="2153"/>
      <c r="K56" s="2153"/>
      <c r="L56" s="2153"/>
      <c r="M56" s="2153"/>
      <c r="N56" s="2153"/>
      <c r="O56" s="2154"/>
      <c r="P56" s="1183"/>
      <c r="Q56" s="1183"/>
      <c r="R56" s="1183"/>
      <c r="S56" s="1183"/>
      <c r="T56" s="1183"/>
      <c r="U56" s="1183"/>
      <c r="V56" s="1183"/>
      <c r="W56" s="1184"/>
      <c r="X56" s="1104"/>
    </row>
    <row r="58" spans="1:27" ht="24.75" customHeight="1">
      <c r="A58" s="2135" t="s">
        <v>1212</v>
      </c>
      <c r="B58" s="2135"/>
      <c r="C58" s="2135"/>
      <c r="D58" s="2135"/>
      <c r="E58" s="2135"/>
      <c r="F58" s="2135"/>
      <c r="G58" s="2135"/>
      <c r="H58" s="2135"/>
      <c r="I58" s="2135"/>
      <c r="J58" s="2135"/>
      <c r="K58" s="2135"/>
      <c r="L58" s="2136"/>
      <c r="M58" s="2136"/>
    </row>
    <row r="59" spans="1:27">
      <c r="A59" s="1185" t="s">
        <v>88</v>
      </c>
      <c r="B59" s="2137" t="s">
        <v>1213</v>
      </c>
      <c r="C59" s="2138"/>
      <c r="D59" s="2138"/>
      <c r="E59" s="2138"/>
      <c r="F59" s="2138"/>
      <c r="G59" s="2138"/>
      <c r="H59" s="2138"/>
      <c r="I59" s="2139"/>
      <c r="J59" s="1185" t="s">
        <v>1214</v>
      </c>
      <c r="K59" s="1186" t="s">
        <v>1215</v>
      </c>
    </row>
    <row r="60" spans="1:27" ht="15" hidden="1">
      <c r="A60" s="1187">
        <v>40001</v>
      </c>
      <c r="B60" s="2132" t="s">
        <v>1216</v>
      </c>
      <c r="C60" s="2133"/>
      <c r="D60" s="2133"/>
      <c r="E60" s="2133"/>
      <c r="F60" s="2133"/>
      <c r="G60" s="2133"/>
      <c r="H60" s="2133"/>
      <c r="I60" s="2134"/>
      <c r="J60" s="1188" t="s">
        <v>72</v>
      </c>
      <c r="K60" s="1189">
        <f>H46</f>
        <v>0</v>
      </c>
      <c r="L60" s="1190">
        <v>0.68</v>
      </c>
      <c r="M60" s="1191">
        <f>K60*L60</f>
        <v>0</v>
      </c>
    </row>
    <row r="61" spans="1:27" ht="15" hidden="1">
      <c r="A61" s="1187">
        <v>40003</v>
      </c>
      <c r="B61" s="2132" t="s">
        <v>1203</v>
      </c>
      <c r="C61" s="2133"/>
      <c r="D61" s="2133"/>
      <c r="E61" s="2133"/>
      <c r="F61" s="2133"/>
      <c r="G61" s="2133"/>
      <c r="H61" s="2133"/>
      <c r="I61" s="2134"/>
      <c r="J61" s="1188" t="s">
        <v>1217</v>
      </c>
      <c r="K61" s="1189">
        <f>H47</f>
        <v>0</v>
      </c>
      <c r="L61" s="1190">
        <v>51.55</v>
      </c>
      <c r="M61" s="1191">
        <f>K61*L61</f>
        <v>0</v>
      </c>
    </row>
    <row r="62" spans="1:27" ht="15" hidden="1">
      <c r="A62" s="1187">
        <v>40004</v>
      </c>
      <c r="B62" s="2132" t="s">
        <v>1204</v>
      </c>
      <c r="C62" s="2133"/>
      <c r="D62" s="2133"/>
      <c r="E62" s="2133"/>
      <c r="F62" s="2133"/>
      <c r="G62" s="2133"/>
      <c r="H62" s="2133"/>
      <c r="I62" s="2134"/>
      <c r="J62" s="1188" t="s">
        <v>1217</v>
      </c>
      <c r="K62" s="1189">
        <f>H48</f>
        <v>0</v>
      </c>
      <c r="L62" s="1190">
        <v>128.9</v>
      </c>
      <c r="M62" s="1191">
        <f t="shared" ref="M62:M125" si="6">K62*L62</f>
        <v>0</v>
      </c>
    </row>
    <row r="63" spans="1:27" ht="15" hidden="1">
      <c r="A63" s="1187">
        <v>40005</v>
      </c>
      <c r="B63" s="2132" t="s">
        <v>1218</v>
      </c>
      <c r="C63" s="2133"/>
      <c r="D63" s="2133"/>
      <c r="E63" s="2133"/>
      <c r="F63" s="2133"/>
      <c r="G63" s="2133"/>
      <c r="H63" s="2133"/>
      <c r="I63" s="2134"/>
      <c r="J63" s="1188" t="s">
        <v>73</v>
      </c>
      <c r="K63" s="1189">
        <f>H49</f>
        <v>0</v>
      </c>
      <c r="L63" s="1190">
        <v>3.3</v>
      </c>
      <c r="M63" s="1191">
        <f t="shared" si="6"/>
        <v>0</v>
      </c>
    </row>
    <row r="64" spans="1:27" ht="15" hidden="1">
      <c r="A64" s="1187">
        <v>40006</v>
      </c>
      <c r="B64" s="2132" t="s">
        <v>367</v>
      </c>
      <c r="C64" s="2133"/>
      <c r="D64" s="2133"/>
      <c r="E64" s="2133"/>
      <c r="F64" s="2133"/>
      <c r="G64" s="2133"/>
      <c r="H64" s="2133"/>
      <c r="I64" s="2134"/>
      <c r="J64" s="1188" t="s">
        <v>74</v>
      </c>
      <c r="K64" s="1189">
        <f>H50</f>
        <v>0</v>
      </c>
      <c r="L64" s="1190">
        <v>2.74</v>
      </c>
      <c r="M64" s="1191">
        <f t="shared" si="6"/>
        <v>0</v>
      </c>
    </row>
    <row r="65" spans="1:13">
      <c r="A65" s="1187">
        <v>40010</v>
      </c>
      <c r="B65" s="2132" t="s">
        <v>1219</v>
      </c>
      <c r="C65" s="2133"/>
      <c r="D65" s="2133"/>
      <c r="E65" s="2133"/>
      <c r="F65" s="2133"/>
      <c r="G65" s="2133"/>
      <c r="H65" s="2133"/>
      <c r="I65" s="2134"/>
      <c r="J65" s="1188" t="s">
        <v>73</v>
      </c>
      <c r="K65" s="1189">
        <f>'4.0 - QDM OK'!IJ59</f>
        <v>7315.4700000000012</v>
      </c>
    </row>
    <row r="66" spans="1:13" ht="15" hidden="1">
      <c r="A66" s="1187">
        <v>40011</v>
      </c>
      <c r="B66" s="2132" t="s">
        <v>1220</v>
      </c>
      <c r="C66" s="2133"/>
      <c r="D66" s="2133"/>
      <c r="E66" s="2133"/>
      <c r="F66" s="2133"/>
      <c r="G66" s="2133"/>
      <c r="H66" s="2133"/>
      <c r="I66" s="2134"/>
      <c r="J66" s="1188" t="s">
        <v>73</v>
      </c>
      <c r="K66" s="1189">
        <f>'4.0 - QDM OK'!IY59</f>
        <v>0</v>
      </c>
      <c r="L66" s="1190">
        <v>8.7100000000000009</v>
      </c>
      <c r="M66" s="1191">
        <f t="shared" si="6"/>
        <v>0</v>
      </c>
    </row>
    <row r="67" spans="1:13" ht="15" hidden="1">
      <c r="A67" s="1187">
        <v>40012</v>
      </c>
      <c r="B67" s="2132" t="s">
        <v>1221</v>
      </c>
      <c r="C67" s="2133"/>
      <c r="D67" s="2133"/>
      <c r="E67" s="2133"/>
      <c r="F67" s="2133"/>
      <c r="G67" s="2133"/>
      <c r="H67" s="2133"/>
      <c r="I67" s="2134"/>
      <c r="J67" s="1188" t="s">
        <v>73</v>
      </c>
      <c r="K67" s="1189">
        <f>'4.0 - QDM OK'!JN59</f>
        <v>0</v>
      </c>
      <c r="L67" s="1190">
        <v>44.67</v>
      </c>
      <c r="M67" s="1191">
        <f t="shared" si="6"/>
        <v>0</v>
      </c>
    </row>
    <row r="68" spans="1:13">
      <c r="A68" s="1187">
        <v>40015</v>
      </c>
      <c r="B68" s="2132" t="s">
        <v>1222</v>
      </c>
      <c r="C68" s="2133"/>
      <c r="D68" s="2133"/>
      <c r="E68" s="2133"/>
      <c r="F68" s="2133"/>
      <c r="G68" s="2133"/>
      <c r="H68" s="2133"/>
      <c r="I68" s="2134"/>
      <c r="J68" s="1188" t="s">
        <v>73</v>
      </c>
      <c r="K68" s="1189">
        <f>'4.0 - QDM OK'!IJ60</f>
        <v>140.75600000000003</v>
      </c>
    </row>
    <row r="69" spans="1:13">
      <c r="A69" s="1187">
        <v>40016</v>
      </c>
      <c r="B69" s="2132" t="s">
        <v>1223</v>
      </c>
      <c r="C69" s="2133"/>
      <c r="D69" s="2133"/>
      <c r="E69" s="2133"/>
      <c r="F69" s="2133"/>
      <c r="G69" s="2133"/>
      <c r="H69" s="2133"/>
      <c r="I69" s="2134"/>
      <c r="J69" s="1188" t="s">
        <v>73</v>
      </c>
      <c r="K69" s="1189">
        <f>'4.0 - QDM OK'!IJ61</f>
        <v>94.98399999999998</v>
      </c>
    </row>
    <row r="70" spans="1:13">
      <c r="A70" s="1187">
        <v>40017</v>
      </c>
      <c r="B70" s="2132" t="s">
        <v>1224</v>
      </c>
      <c r="C70" s="2133"/>
      <c r="D70" s="2133"/>
      <c r="E70" s="2133"/>
      <c r="F70" s="2133"/>
      <c r="G70" s="2133"/>
      <c r="H70" s="2133"/>
      <c r="I70" s="2134"/>
      <c r="J70" s="1188" t="s">
        <v>73</v>
      </c>
      <c r="K70" s="1189">
        <f>'4.0 - QDM OK'!IJ62</f>
        <v>15.350000000000001</v>
      </c>
    </row>
    <row r="71" spans="1:13" ht="15" hidden="1">
      <c r="A71" s="1187">
        <v>40018</v>
      </c>
      <c r="B71" s="2132" t="s">
        <v>1225</v>
      </c>
      <c r="C71" s="2133"/>
      <c r="D71" s="2133"/>
      <c r="E71" s="2133"/>
      <c r="F71" s="2133"/>
      <c r="G71" s="2133"/>
      <c r="H71" s="2133"/>
      <c r="I71" s="2134"/>
      <c r="J71" s="1188" t="s">
        <v>73</v>
      </c>
      <c r="K71" s="1189">
        <f>'4.0 - QDM OK'!IJ63</f>
        <v>0</v>
      </c>
      <c r="L71" s="1190">
        <v>12.31</v>
      </c>
      <c r="M71" s="1191">
        <f t="shared" si="6"/>
        <v>0</v>
      </c>
    </row>
    <row r="72" spans="1:13" ht="15" hidden="1">
      <c r="A72" s="1187">
        <v>40019</v>
      </c>
      <c r="B72" s="2132" t="s">
        <v>1226</v>
      </c>
      <c r="C72" s="2133"/>
      <c r="D72" s="2133"/>
      <c r="E72" s="2133"/>
      <c r="F72" s="2133"/>
      <c r="G72" s="2133"/>
      <c r="H72" s="2133"/>
      <c r="I72" s="2134"/>
      <c r="J72" s="1188" t="s">
        <v>73</v>
      </c>
      <c r="K72" s="1189">
        <f>'4.0 - QDM OK'!IJ64</f>
        <v>0</v>
      </c>
      <c r="L72" s="1190">
        <v>12.98</v>
      </c>
      <c r="M72" s="1191">
        <f t="shared" si="6"/>
        <v>0</v>
      </c>
    </row>
    <row r="73" spans="1:13" ht="15" hidden="1">
      <c r="A73" s="1187">
        <v>40020</v>
      </c>
      <c r="B73" s="2132" t="s">
        <v>1227</v>
      </c>
      <c r="C73" s="2133"/>
      <c r="D73" s="2133"/>
      <c r="E73" s="2133"/>
      <c r="F73" s="2133"/>
      <c r="G73" s="2133"/>
      <c r="H73" s="2133"/>
      <c r="I73" s="2134"/>
      <c r="J73" s="1188" t="s">
        <v>73</v>
      </c>
      <c r="K73" s="1189">
        <f>'4.0 - QDM OK'!IJ65</f>
        <v>0</v>
      </c>
      <c r="L73" s="1190">
        <v>13.59</v>
      </c>
      <c r="M73" s="1191">
        <f t="shared" si="6"/>
        <v>0</v>
      </c>
    </row>
    <row r="74" spans="1:13" ht="15" hidden="1">
      <c r="A74" s="1187">
        <v>40021</v>
      </c>
      <c r="B74" s="2132" t="s">
        <v>1228</v>
      </c>
      <c r="C74" s="2133"/>
      <c r="D74" s="2133"/>
      <c r="E74" s="2133"/>
      <c r="F74" s="2133"/>
      <c r="G74" s="2133"/>
      <c r="H74" s="2133"/>
      <c r="I74" s="2134"/>
      <c r="J74" s="1188" t="s">
        <v>73</v>
      </c>
      <c r="K74" s="1189">
        <f>'4.0 - QDM OK'!IJ66</f>
        <v>0</v>
      </c>
      <c r="L74" s="1190">
        <v>14.73</v>
      </c>
      <c r="M74" s="1191">
        <f t="shared" si="6"/>
        <v>0</v>
      </c>
    </row>
    <row r="75" spans="1:13" ht="15" hidden="1">
      <c r="A75" s="1187">
        <v>40022</v>
      </c>
      <c r="B75" s="2132" t="s">
        <v>1229</v>
      </c>
      <c r="C75" s="2133"/>
      <c r="D75" s="2133"/>
      <c r="E75" s="2133"/>
      <c r="F75" s="2133"/>
      <c r="G75" s="2133"/>
      <c r="H75" s="2133"/>
      <c r="I75" s="2134"/>
      <c r="J75" s="1188" t="s">
        <v>73</v>
      </c>
      <c r="K75" s="1189">
        <f>'4.0 - QDM OK'!IJ67</f>
        <v>0</v>
      </c>
      <c r="L75" s="1190">
        <v>15.17</v>
      </c>
      <c r="M75" s="1191">
        <f t="shared" si="6"/>
        <v>0</v>
      </c>
    </row>
    <row r="76" spans="1:13" ht="15" hidden="1">
      <c r="A76" s="1187">
        <v>40023</v>
      </c>
      <c r="B76" s="2132" t="s">
        <v>1230</v>
      </c>
      <c r="C76" s="2133"/>
      <c r="D76" s="2133"/>
      <c r="E76" s="2133"/>
      <c r="F76" s="2133"/>
      <c r="G76" s="2133"/>
      <c r="H76" s="2133"/>
      <c r="I76" s="2134"/>
      <c r="J76" s="1188" t="s">
        <v>73</v>
      </c>
      <c r="K76" s="1189">
        <f>'4.0 - QDM OK'!IJ68</f>
        <v>0</v>
      </c>
      <c r="L76" s="1190">
        <v>15.55</v>
      </c>
      <c r="M76" s="1191">
        <f t="shared" si="6"/>
        <v>0</v>
      </c>
    </row>
    <row r="77" spans="1:13" ht="15" hidden="1">
      <c r="A77" s="1187">
        <v>40024</v>
      </c>
      <c r="B77" s="2132" t="s">
        <v>1231</v>
      </c>
      <c r="C77" s="2133"/>
      <c r="D77" s="2133"/>
      <c r="E77" s="2133"/>
      <c r="F77" s="2133"/>
      <c r="G77" s="2133"/>
      <c r="H77" s="2133"/>
      <c r="I77" s="2134"/>
      <c r="J77" s="1188" t="s">
        <v>73</v>
      </c>
      <c r="K77" s="1189">
        <f>'4.0 - QDM OK'!IJ69</f>
        <v>0</v>
      </c>
      <c r="L77" s="1190">
        <v>16.84</v>
      </c>
      <c r="M77" s="1191">
        <f t="shared" si="6"/>
        <v>0</v>
      </c>
    </row>
    <row r="78" spans="1:13" ht="15" hidden="1">
      <c r="A78" s="1187">
        <v>40025</v>
      </c>
      <c r="B78" s="2132" t="s">
        <v>1232</v>
      </c>
      <c r="C78" s="2133"/>
      <c r="D78" s="2133"/>
      <c r="E78" s="2133"/>
      <c r="F78" s="2133"/>
      <c r="G78" s="2133"/>
      <c r="H78" s="2133"/>
      <c r="I78" s="2134"/>
      <c r="J78" s="1188" t="s">
        <v>73</v>
      </c>
      <c r="K78" s="1189">
        <f>'4.0 - QDM OK'!IJ70</f>
        <v>0</v>
      </c>
      <c r="L78" s="1190">
        <v>19.23</v>
      </c>
      <c r="M78" s="1191">
        <f t="shared" si="6"/>
        <v>0</v>
      </c>
    </row>
    <row r="79" spans="1:13" ht="15" hidden="1">
      <c r="A79" s="1187">
        <v>40026</v>
      </c>
      <c r="B79" s="2132" t="s">
        <v>1233</v>
      </c>
      <c r="C79" s="2133"/>
      <c r="D79" s="2133"/>
      <c r="E79" s="2133"/>
      <c r="F79" s="2133"/>
      <c r="G79" s="2133"/>
      <c r="H79" s="2133"/>
      <c r="I79" s="2134"/>
      <c r="J79" s="1188" t="s">
        <v>73</v>
      </c>
      <c r="K79" s="1189">
        <f>'4.0 - QDM OK'!IJ71</f>
        <v>0</v>
      </c>
      <c r="L79" s="1190">
        <v>26.71</v>
      </c>
      <c r="M79" s="1191">
        <f t="shared" si="6"/>
        <v>0</v>
      </c>
    </row>
    <row r="80" spans="1:13">
      <c r="A80" s="1187">
        <v>40027</v>
      </c>
      <c r="B80" s="2132" t="s">
        <v>1234</v>
      </c>
      <c r="C80" s="2133"/>
      <c r="D80" s="2133"/>
      <c r="E80" s="2133"/>
      <c r="F80" s="2133"/>
      <c r="G80" s="2133"/>
      <c r="H80" s="2133"/>
      <c r="I80" s="2134"/>
      <c r="J80" s="1188" t="s">
        <v>73</v>
      </c>
      <c r="K80" s="1189">
        <f>'4.0 - QDM OK'!IJ72</f>
        <v>1225.0729999999999</v>
      </c>
    </row>
    <row r="81" spans="1:13" ht="15" hidden="1">
      <c r="A81" s="1187">
        <v>40030</v>
      </c>
      <c r="B81" s="2132" t="s">
        <v>1235</v>
      </c>
      <c r="C81" s="2133"/>
      <c r="D81" s="2133"/>
      <c r="E81" s="2133"/>
      <c r="F81" s="2133"/>
      <c r="G81" s="2133"/>
      <c r="H81" s="2133"/>
      <c r="I81" s="2134"/>
      <c r="J81" s="1188" t="s">
        <v>73</v>
      </c>
      <c r="K81" s="1189">
        <f>'4.0 - QDM OK'!IY61</f>
        <v>0</v>
      </c>
      <c r="L81" s="1190">
        <v>12.51</v>
      </c>
      <c r="M81" s="1191">
        <f t="shared" si="6"/>
        <v>0</v>
      </c>
    </row>
    <row r="82" spans="1:13" ht="15" hidden="1">
      <c r="A82" s="1187">
        <v>40031</v>
      </c>
      <c r="B82" s="2132" t="s">
        <v>1236</v>
      </c>
      <c r="C82" s="2133"/>
      <c r="D82" s="2133"/>
      <c r="E82" s="2133"/>
      <c r="F82" s="2133"/>
      <c r="G82" s="2133"/>
      <c r="H82" s="2133"/>
      <c r="I82" s="2134"/>
      <c r="J82" s="1188" t="s">
        <v>73</v>
      </c>
      <c r="K82" s="1189">
        <f>'4.0 - QDM OK'!IY62</f>
        <v>0</v>
      </c>
      <c r="L82" s="1190">
        <v>13.72</v>
      </c>
      <c r="M82" s="1191">
        <f t="shared" si="6"/>
        <v>0</v>
      </c>
    </row>
    <row r="83" spans="1:13" ht="15" hidden="1">
      <c r="A83" s="1187">
        <v>40032</v>
      </c>
      <c r="B83" s="2132" t="s">
        <v>1237</v>
      </c>
      <c r="C83" s="2133"/>
      <c r="D83" s="2133"/>
      <c r="E83" s="2133"/>
      <c r="F83" s="2133"/>
      <c r="G83" s="2133"/>
      <c r="H83" s="2133"/>
      <c r="I83" s="2134"/>
      <c r="J83" s="1188" t="s">
        <v>73</v>
      </c>
      <c r="K83" s="1189">
        <f>'4.0 - QDM OK'!IY63</f>
        <v>0</v>
      </c>
      <c r="L83" s="1190">
        <v>14.27</v>
      </c>
      <c r="M83" s="1191">
        <f t="shared" si="6"/>
        <v>0</v>
      </c>
    </row>
    <row r="84" spans="1:13" ht="15" hidden="1">
      <c r="A84" s="1187">
        <v>40033</v>
      </c>
      <c r="B84" s="2132" t="s">
        <v>1238</v>
      </c>
      <c r="C84" s="2133"/>
      <c r="D84" s="2133"/>
      <c r="E84" s="2133"/>
      <c r="F84" s="2133"/>
      <c r="G84" s="2133"/>
      <c r="H84" s="2133"/>
      <c r="I84" s="2134"/>
      <c r="J84" s="1188" t="s">
        <v>73</v>
      </c>
      <c r="K84" s="1189">
        <f>'4.0 - QDM OK'!IY64</f>
        <v>0</v>
      </c>
      <c r="L84" s="1190">
        <v>16.09</v>
      </c>
      <c r="M84" s="1191">
        <f t="shared" si="6"/>
        <v>0</v>
      </c>
    </row>
    <row r="85" spans="1:13" ht="15" hidden="1">
      <c r="A85" s="1187">
        <v>40034</v>
      </c>
      <c r="B85" s="2132" t="s">
        <v>1239</v>
      </c>
      <c r="C85" s="2133"/>
      <c r="D85" s="2133"/>
      <c r="E85" s="2133"/>
      <c r="F85" s="2133"/>
      <c r="G85" s="2133"/>
      <c r="H85" s="2133"/>
      <c r="I85" s="2134"/>
      <c r="J85" s="1188" t="s">
        <v>73</v>
      </c>
      <c r="K85" s="1189">
        <f>'4.0 - QDM OK'!IY65</f>
        <v>0</v>
      </c>
      <c r="L85" s="1190">
        <v>16.899999999999999</v>
      </c>
      <c r="M85" s="1191">
        <f t="shared" si="6"/>
        <v>0</v>
      </c>
    </row>
    <row r="86" spans="1:13" ht="15" hidden="1">
      <c r="A86" s="1187">
        <v>40035</v>
      </c>
      <c r="B86" s="2132" t="s">
        <v>1240</v>
      </c>
      <c r="C86" s="2133"/>
      <c r="D86" s="2133"/>
      <c r="E86" s="2133"/>
      <c r="F86" s="2133"/>
      <c r="G86" s="2133"/>
      <c r="H86" s="2133"/>
      <c r="I86" s="2134"/>
      <c r="J86" s="1188" t="s">
        <v>73</v>
      </c>
      <c r="K86" s="1189">
        <f>'4.0 - QDM OK'!IY66</f>
        <v>0</v>
      </c>
      <c r="L86" s="1190">
        <v>17.649999999999999</v>
      </c>
      <c r="M86" s="1191">
        <f t="shared" si="6"/>
        <v>0</v>
      </c>
    </row>
    <row r="87" spans="1:13" ht="15" hidden="1">
      <c r="A87" s="1187">
        <v>40036</v>
      </c>
      <c r="B87" s="2132" t="s">
        <v>1241</v>
      </c>
      <c r="C87" s="2133"/>
      <c r="D87" s="2133"/>
      <c r="E87" s="2133"/>
      <c r="F87" s="2133"/>
      <c r="G87" s="2133"/>
      <c r="H87" s="2133"/>
      <c r="I87" s="2134"/>
      <c r="J87" s="1188" t="s">
        <v>73</v>
      </c>
      <c r="K87" s="1189">
        <f>'4.0 - QDM OK'!IY67</f>
        <v>0</v>
      </c>
      <c r="L87" s="1190">
        <v>19.170000000000002</v>
      </c>
      <c r="M87" s="1191">
        <f t="shared" si="6"/>
        <v>0</v>
      </c>
    </row>
    <row r="88" spans="1:13" ht="15" hidden="1">
      <c r="A88" s="1187">
        <v>40037</v>
      </c>
      <c r="B88" s="2132" t="s">
        <v>1242</v>
      </c>
      <c r="C88" s="2133"/>
      <c r="D88" s="2133"/>
      <c r="E88" s="2133"/>
      <c r="F88" s="2133"/>
      <c r="G88" s="2133"/>
      <c r="H88" s="2133"/>
      <c r="I88" s="2134"/>
      <c r="J88" s="1188" t="s">
        <v>73</v>
      </c>
      <c r="K88" s="1189">
        <f>'4.0 - QDM OK'!IY68</f>
        <v>0</v>
      </c>
      <c r="L88" s="1190">
        <v>19.73</v>
      </c>
      <c r="M88" s="1191">
        <f t="shared" si="6"/>
        <v>0</v>
      </c>
    </row>
    <row r="89" spans="1:13" ht="15" hidden="1">
      <c r="A89" s="1187">
        <v>40038</v>
      </c>
      <c r="B89" s="2132" t="s">
        <v>1243</v>
      </c>
      <c r="C89" s="2133"/>
      <c r="D89" s="2133"/>
      <c r="E89" s="2133"/>
      <c r="F89" s="2133"/>
      <c r="G89" s="2133"/>
      <c r="H89" s="2133"/>
      <c r="I89" s="2134"/>
      <c r="J89" s="1188" t="s">
        <v>73</v>
      </c>
      <c r="K89" s="1189">
        <f>'4.0 - QDM OK'!IY69</f>
        <v>0</v>
      </c>
      <c r="L89" s="1190">
        <v>20.12</v>
      </c>
      <c r="M89" s="1191">
        <f t="shared" si="6"/>
        <v>0</v>
      </c>
    </row>
    <row r="90" spans="1:13" ht="15" hidden="1">
      <c r="A90" s="1187">
        <v>40039</v>
      </c>
      <c r="B90" s="2132" t="s">
        <v>1244</v>
      </c>
      <c r="C90" s="2133"/>
      <c r="D90" s="2133"/>
      <c r="E90" s="2133"/>
      <c r="F90" s="2133"/>
      <c r="G90" s="2133"/>
      <c r="H90" s="2133"/>
      <c r="I90" s="2134"/>
      <c r="J90" s="1188" t="s">
        <v>73</v>
      </c>
      <c r="K90" s="1189">
        <f>'4.0 - QDM OK'!IY70</f>
        <v>0</v>
      </c>
      <c r="L90" s="1190">
        <v>21.98</v>
      </c>
      <c r="M90" s="1191">
        <f t="shared" si="6"/>
        <v>0</v>
      </c>
    </row>
    <row r="91" spans="1:13" ht="15" hidden="1">
      <c r="A91" s="1187">
        <v>40040</v>
      </c>
      <c r="B91" s="2132" t="s">
        <v>1245</v>
      </c>
      <c r="C91" s="2133"/>
      <c r="D91" s="2133"/>
      <c r="E91" s="2133"/>
      <c r="F91" s="2133"/>
      <c r="G91" s="2133"/>
      <c r="H91" s="2133"/>
      <c r="I91" s="2134"/>
      <c r="J91" s="1188" t="s">
        <v>73</v>
      </c>
      <c r="K91" s="1189">
        <f>'4.0 - QDM OK'!IY71</f>
        <v>0</v>
      </c>
      <c r="L91" s="1190">
        <v>24.94</v>
      </c>
      <c r="M91" s="1191">
        <f t="shared" si="6"/>
        <v>0</v>
      </c>
    </row>
    <row r="92" spans="1:13" ht="15" hidden="1">
      <c r="A92" s="1187">
        <v>40041</v>
      </c>
      <c r="B92" s="2132" t="s">
        <v>1246</v>
      </c>
      <c r="C92" s="2133"/>
      <c r="D92" s="2133"/>
      <c r="E92" s="2133"/>
      <c r="F92" s="2133"/>
      <c r="G92" s="2133"/>
      <c r="H92" s="2133"/>
      <c r="I92" s="2134"/>
      <c r="J92" s="1188" t="s">
        <v>73</v>
      </c>
      <c r="K92" s="1189">
        <f>'4.0 - QDM OK'!IY72</f>
        <v>0</v>
      </c>
      <c r="L92" s="1190">
        <v>33.020000000000003</v>
      </c>
      <c r="M92" s="1191">
        <f t="shared" si="6"/>
        <v>0</v>
      </c>
    </row>
    <row r="93" spans="1:13" ht="15" hidden="1">
      <c r="A93" s="1187">
        <v>40042</v>
      </c>
      <c r="B93" s="2132" t="s">
        <v>1247</v>
      </c>
      <c r="C93" s="2133"/>
      <c r="D93" s="2133"/>
      <c r="E93" s="2133"/>
      <c r="F93" s="2133"/>
      <c r="G93" s="2133"/>
      <c r="H93" s="2133"/>
      <c r="I93" s="2134"/>
      <c r="J93" s="1188" t="s">
        <v>73</v>
      </c>
      <c r="K93" s="1189">
        <f>'4.0 - QDM OK'!IY73</f>
        <v>0</v>
      </c>
      <c r="L93" s="1190">
        <v>45.99</v>
      </c>
      <c r="M93" s="1191">
        <f t="shared" si="6"/>
        <v>0</v>
      </c>
    </row>
    <row r="94" spans="1:13" ht="15" hidden="1">
      <c r="A94" s="1187">
        <v>40075</v>
      </c>
      <c r="B94" s="2132" t="s">
        <v>1248</v>
      </c>
      <c r="C94" s="2133"/>
      <c r="D94" s="2133"/>
      <c r="E94" s="2133"/>
      <c r="F94" s="2133"/>
      <c r="G94" s="2133"/>
      <c r="H94" s="2133"/>
      <c r="I94" s="2134"/>
      <c r="J94" s="1188" t="s">
        <v>73</v>
      </c>
      <c r="K94" s="1189">
        <f>'4.0 - QDM OK'!JN60</f>
        <v>0</v>
      </c>
      <c r="L94" s="1190">
        <v>61.48</v>
      </c>
      <c r="M94" s="1191">
        <f t="shared" si="6"/>
        <v>0</v>
      </c>
    </row>
    <row r="95" spans="1:13" ht="15" hidden="1">
      <c r="A95" s="1187">
        <v>40076</v>
      </c>
      <c r="B95" s="2132" t="s">
        <v>1249</v>
      </c>
      <c r="C95" s="2133"/>
      <c r="D95" s="2133"/>
      <c r="E95" s="2133"/>
      <c r="F95" s="2133"/>
      <c r="G95" s="2133"/>
      <c r="H95" s="2133"/>
      <c r="I95" s="2134"/>
      <c r="J95" s="1188" t="s">
        <v>73</v>
      </c>
      <c r="K95" s="1189">
        <f>'4.0 - QDM OK'!JN61</f>
        <v>0</v>
      </c>
      <c r="L95" s="1190">
        <v>62.65</v>
      </c>
      <c r="M95" s="1191">
        <f t="shared" si="6"/>
        <v>0</v>
      </c>
    </row>
    <row r="96" spans="1:13" ht="15" hidden="1">
      <c r="A96" s="1187">
        <v>40077</v>
      </c>
      <c r="B96" s="2132" t="s">
        <v>1250</v>
      </c>
      <c r="C96" s="2133"/>
      <c r="D96" s="2133"/>
      <c r="E96" s="2133"/>
      <c r="F96" s="2133"/>
      <c r="G96" s="2133"/>
      <c r="H96" s="2133"/>
      <c r="I96" s="2134"/>
      <c r="J96" s="1188" t="s">
        <v>73</v>
      </c>
      <c r="K96" s="1189">
        <f>'4.0 - QDM OK'!JN62</f>
        <v>0</v>
      </c>
      <c r="L96" s="1190">
        <v>65.150000000000006</v>
      </c>
      <c r="M96" s="1191">
        <f t="shared" si="6"/>
        <v>0</v>
      </c>
    </row>
    <row r="97" spans="1:13" ht="15" hidden="1">
      <c r="A97" s="1187">
        <v>40078</v>
      </c>
      <c r="B97" s="2132" t="s">
        <v>1251</v>
      </c>
      <c r="C97" s="2133"/>
      <c r="D97" s="2133"/>
      <c r="E97" s="2133"/>
      <c r="F97" s="2133"/>
      <c r="G97" s="2133"/>
      <c r="H97" s="2133"/>
      <c r="I97" s="2134"/>
      <c r="J97" s="1188" t="s">
        <v>73</v>
      </c>
      <c r="K97" s="1189">
        <f>'4.0 - QDM OK'!JN63</f>
        <v>0</v>
      </c>
      <c r="L97" s="1190">
        <v>66.03</v>
      </c>
      <c r="M97" s="1191">
        <f t="shared" si="6"/>
        <v>0</v>
      </c>
    </row>
    <row r="98" spans="1:13" ht="15" hidden="1">
      <c r="A98" s="1187">
        <v>40079</v>
      </c>
      <c r="B98" s="2132" t="s">
        <v>1252</v>
      </c>
      <c r="C98" s="2133"/>
      <c r="D98" s="2133"/>
      <c r="E98" s="2133"/>
      <c r="F98" s="2133"/>
      <c r="G98" s="2133"/>
      <c r="H98" s="2133"/>
      <c r="I98" s="2134"/>
      <c r="J98" s="1188" t="s">
        <v>73</v>
      </c>
      <c r="K98" s="1189">
        <f>'4.0 - QDM OK'!JN64</f>
        <v>0</v>
      </c>
      <c r="L98" s="1190">
        <v>66.91</v>
      </c>
      <c r="M98" s="1191">
        <f t="shared" si="6"/>
        <v>0</v>
      </c>
    </row>
    <row r="99" spans="1:13" ht="15" hidden="1">
      <c r="A99" s="1187">
        <v>40080</v>
      </c>
      <c r="B99" s="2132" t="s">
        <v>1253</v>
      </c>
      <c r="C99" s="2133"/>
      <c r="D99" s="2133"/>
      <c r="E99" s="2133"/>
      <c r="F99" s="2133"/>
      <c r="G99" s="2133"/>
      <c r="H99" s="2133"/>
      <c r="I99" s="2134"/>
      <c r="J99" s="1188" t="s">
        <v>73</v>
      </c>
      <c r="K99" s="1189">
        <f>'4.0 - QDM OK'!JN65</f>
        <v>0</v>
      </c>
      <c r="L99" s="1190">
        <v>67.67</v>
      </c>
      <c r="M99" s="1191">
        <f t="shared" si="6"/>
        <v>0</v>
      </c>
    </row>
    <row r="100" spans="1:13" ht="15" hidden="1">
      <c r="A100" s="1187">
        <v>40081</v>
      </c>
      <c r="B100" s="2132" t="s">
        <v>1254</v>
      </c>
      <c r="C100" s="2133"/>
      <c r="D100" s="2133"/>
      <c r="E100" s="2133"/>
      <c r="F100" s="2133"/>
      <c r="G100" s="2133"/>
      <c r="H100" s="2133"/>
      <c r="I100" s="2134"/>
      <c r="J100" s="1188" t="s">
        <v>73</v>
      </c>
      <c r="K100" s="1189">
        <f>'4.0 - QDM OK'!JN66</f>
        <v>0</v>
      </c>
      <c r="L100" s="1190">
        <v>68.42</v>
      </c>
      <c r="M100" s="1191">
        <f t="shared" si="6"/>
        <v>0</v>
      </c>
    </row>
    <row r="101" spans="1:13" ht="15" hidden="1">
      <c r="A101" s="1187">
        <v>40082</v>
      </c>
      <c r="B101" s="2132" t="s">
        <v>1255</v>
      </c>
      <c r="C101" s="2133"/>
      <c r="D101" s="2133"/>
      <c r="E101" s="2133"/>
      <c r="F101" s="2133"/>
      <c r="G101" s="2133"/>
      <c r="H101" s="2133"/>
      <c r="I101" s="2134"/>
      <c r="J101" s="1188" t="s">
        <v>73</v>
      </c>
      <c r="K101" s="1189">
        <f>'4.0 - QDM OK'!JN67</f>
        <v>0</v>
      </c>
      <c r="L101" s="1190">
        <v>69.040000000000006</v>
      </c>
      <c r="M101" s="1191">
        <f t="shared" si="6"/>
        <v>0</v>
      </c>
    </row>
    <row r="102" spans="1:13" ht="15" hidden="1">
      <c r="A102" s="1187">
        <v>40083</v>
      </c>
      <c r="B102" s="2132" t="s">
        <v>1256</v>
      </c>
      <c r="C102" s="2133"/>
      <c r="D102" s="2133"/>
      <c r="E102" s="2133"/>
      <c r="F102" s="2133"/>
      <c r="G102" s="2133"/>
      <c r="H102" s="2133"/>
      <c r="I102" s="2134"/>
      <c r="J102" s="1188" t="s">
        <v>73</v>
      </c>
      <c r="K102" s="1189">
        <f>'4.0 - QDM OK'!JN68</f>
        <v>0</v>
      </c>
      <c r="L102" s="1190">
        <v>71.349999999999994</v>
      </c>
      <c r="M102" s="1191">
        <f t="shared" si="6"/>
        <v>0</v>
      </c>
    </row>
    <row r="103" spans="1:13" ht="15" hidden="1">
      <c r="A103" s="1187">
        <v>40084</v>
      </c>
      <c r="B103" s="2132" t="s">
        <v>1257</v>
      </c>
      <c r="C103" s="2133"/>
      <c r="D103" s="2133"/>
      <c r="E103" s="2133"/>
      <c r="F103" s="2133"/>
      <c r="G103" s="2133"/>
      <c r="H103" s="2133"/>
      <c r="I103" s="2134"/>
      <c r="J103" s="1188" t="s">
        <v>73</v>
      </c>
      <c r="K103" s="1189">
        <f>'4.0 - QDM OK'!JN69</f>
        <v>0</v>
      </c>
      <c r="L103" s="1190">
        <v>72.02</v>
      </c>
      <c r="M103" s="1191">
        <f t="shared" si="6"/>
        <v>0</v>
      </c>
    </row>
    <row r="104" spans="1:13" ht="15" hidden="1">
      <c r="A104" s="1187">
        <v>40085</v>
      </c>
      <c r="B104" s="2132" t="s">
        <v>1258</v>
      </c>
      <c r="C104" s="2133"/>
      <c r="D104" s="2133"/>
      <c r="E104" s="2133"/>
      <c r="F104" s="2133"/>
      <c r="G104" s="2133"/>
      <c r="H104" s="2133"/>
      <c r="I104" s="2134"/>
      <c r="J104" s="1188" t="s">
        <v>73</v>
      </c>
      <c r="K104" s="1189">
        <f>N6+N7</f>
        <v>0</v>
      </c>
      <c r="L104" s="1190">
        <v>27.59</v>
      </c>
      <c r="M104" s="1191">
        <f t="shared" si="6"/>
        <v>0</v>
      </c>
    </row>
    <row r="105" spans="1:13" ht="15" hidden="1">
      <c r="A105" s="1187">
        <v>40086</v>
      </c>
      <c r="B105" s="2132" t="s">
        <v>1259</v>
      </c>
      <c r="C105" s="2133"/>
      <c r="D105" s="2133"/>
      <c r="E105" s="2133"/>
      <c r="F105" s="2133"/>
      <c r="G105" s="2133"/>
      <c r="H105" s="2133"/>
      <c r="I105" s="2134"/>
      <c r="J105" s="1188" t="s">
        <v>73</v>
      </c>
      <c r="K105" s="1189">
        <f>N8</f>
        <v>0</v>
      </c>
      <c r="L105" s="1190">
        <v>28.64</v>
      </c>
      <c r="M105" s="1191">
        <f t="shared" si="6"/>
        <v>0</v>
      </c>
    </row>
    <row r="106" spans="1:13" ht="15" hidden="1">
      <c r="A106" s="1187">
        <v>40087</v>
      </c>
      <c r="B106" s="2132" t="s">
        <v>1260</v>
      </c>
      <c r="C106" s="2133"/>
      <c r="D106" s="2133"/>
      <c r="E106" s="2133"/>
      <c r="F106" s="2133"/>
      <c r="G106" s="2133"/>
      <c r="H106" s="2133"/>
      <c r="I106" s="2134"/>
      <c r="J106" s="1188" t="s">
        <v>73</v>
      </c>
      <c r="K106" s="1189">
        <f>N9</f>
        <v>0</v>
      </c>
      <c r="L106" s="1190">
        <v>29.13</v>
      </c>
      <c r="M106" s="1191">
        <f t="shared" si="6"/>
        <v>0</v>
      </c>
    </row>
    <row r="107" spans="1:13" ht="15" hidden="1">
      <c r="A107" s="1187">
        <v>40088</v>
      </c>
      <c r="B107" s="2132" t="s">
        <v>1261</v>
      </c>
      <c r="C107" s="2133"/>
      <c r="D107" s="2133"/>
      <c r="E107" s="2133"/>
      <c r="F107" s="2133"/>
      <c r="G107" s="2133"/>
      <c r="H107" s="2133"/>
      <c r="I107" s="2134"/>
      <c r="J107" s="1188" t="s">
        <v>73</v>
      </c>
      <c r="K107" s="1189">
        <f>N10</f>
        <v>0</v>
      </c>
      <c r="L107" s="1190">
        <v>29.89</v>
      </c>
      <c r="M107" s="1191">
        <f t="shared" si="6"/>
        <v>0</v>
      </c>
    </row>
    <row r="108" spans="1:13" ht="15" hidden="1">
      <c r="A108" s="1187">
        <v>40089</v>
      </c>
      <c r="B108" s="2132" t="s">
        <v>1262</v>
      </c>
      <c r="C108" s="2133"/>
      <c r="D108" s="2133"/>
      <c r="E108" s="2133"/>
      <c r="F108" s="2133"/>
      <c r="G108" s="2133"/>
      <c r="H108" s="2133"/>
      <c r="I108" s="2134"/>
      <c r="J108" s="1188" t="s">
        <v>73</v>
      </c>
      <c r="K108" s="1189">
        <f>N11</f>
        <v>0</v>
      </c>
      <c r="L108" s="1190">
        <v>32.47</v>
      </c>
      <c r="M108" s="1191">
        <f t="shared" si="6"/>
        <v>0</v>
      </c>
    </row>
    <row r="109" spans="1:13" ht="15" hidden="1">
      <c r="A109" s="1187">
        <v>40092</v>
      </c>
      <c r="B109" s="2132" t="s">
        <v>1263</v>
      </c>
      <c r="C109" s="2133"/>
      <c r="D109" s="2133"/>
      <c r="E109" s="2133"/>
      <c r="F109" s="2133"/>
      <c r="G109" s="2133"/>
      <c r="H109" s="2133"/>
      <c r="I109" s="2134"/>
      <c r="J109" s="1188" t="s">
        <v>73</v>
      </c>
      <c r="K109" s="1189">
        <f>SUM(G17:G19)</f>
        <v>0</v>
      </c>
      <c r="L109" s="1190">
        <v>52.09</v>
      </c>
      <c r="M109" s="1191">
        <f t="shared" si="6"/>
        <v>0</v>
      </c>
    </row>
    <row r="110" spans="1:13" ht="15" hidden="1">
      <c r="A110" s="1187">
        <v>40100</v>
      </c>
      <c r="B110" s="2132" t="s">
        <v>1264</v>
      </c>
      <c r="C110" s="2133"/>
      <c r="D110" s="2133"/>
      <c r="E110" s="2133"/>
      <c r="F110" s="2133"/>
      <c r="G110" s="2133"/>
      <c r="H110" s="2133"/>
      <c r="I110" s="2134"/>
      <c r="J110" s="1188" t="s">
        <v>73</v>
      </c>
      <c r="K110" s="1189">
        <f>G42</f>
        <v>0</v>
      </c>
      <c r="L110" s="1190">
        <v>6.18</v>
      </c>
      <c r="M110" s="1191">
        <f t="shared" si="6"/>
        <v>0</v>
      </c>
    </row>
    <row r="111" spans="1:13">
      <c r="A111" s="1187">
        <v>40101</v>
      </c>
      <c r="B111" s="2132" t="s">
        <v>1265</v>
      </c>
      <c r="C111" s="2133"/>
      <c r="D111" s="2133"/>
      <c r="E111" s="2133"/>
      <c r="F111" s="2133"/>
      <c r="G111" s="2133"/>
      <c r="H111" s="2133"/>
      <c r="I111" s="2134"/>
      <c r="J111" s="1188" t="s">
        <v>73</v>
      </c>
      <c r="K111" s="1189">
        <f>G43</f>
        <v>12228.954615384617</v>
      </c>
    </row>
    <row r="112" spans="1:13" ht="15" hidden="1">
      <c r="A112" s="1187">
        <v>40120</v>
      </c>
      <c r="B112" s="2132" t="s">
        <v>1266</v>
      </c>
      <c r="C112" s="2133"/>
      <c r="D112" s="2133"/>
      <c r="E112" s="2133"/>
      <c r="F112" s="2133"/>
      <c r="G112" s="2133"/>
      <c r="H112" s="2133"/>
      <c r="I112" s="2134"/>
      <c r="J112" s="1188" t="s">
        <v>72</v>
      </c>
      <c r="K112" s="1189">
        <f>F30</f>
        <v>0</v>
      </c>
      <c r="L112" s="1190">
        <v>0.53</v>
      </c>
      <c r="M112" s="1191">
        <f t="shared" si="6"/>
        <v>0</v>
      </c>
    </row>
    <row r="113" spans="1:13" ht="15" hidden="1">
      <c r="A113" s="1187">
        <v>40145</v>
      </c>
      <c r="B113" s="2132" t="s">
        <v>1267</v>
      </c>
      <c r="C113" s="2133"/>
      <c r="D113" s="2133"/>
      <c r="E113" s="2133"/>
      <c r="F113" s="2133"/>
      <c r="G113" s="2133"/>
      <c r="H113" s="2133"/>
      <c r="I113" s="2134"/>
      <c r="J113" s="1188" t="s">
        <v>73</v>
      </c>
      <c r="K113" s="1189">
        <f>H35+O35+P35+Q35+W26</f>
        <v>0</v>
      </c>
      <c r="L113" s="1190">
        <v>2.58</v>
      </c>
      <c r="M113" s="1191">
        <f t="shared" si="6"/>
        <v>0</v>
      </c>
    </row>
    <row r="114" spans="1:13" ht="15" hidden="1">
      <c r="A114" s="1192">
        <v>40045</v>
      </c>
      <c r="B114" s="2132" t="s">
        <v>1268</v>
      </c>
      <c r="C114" s="2133"/>
      <c r="D114" s="2133"/>
      <c r="E114" s="2133"/>
      <c r="F114" s="2133"/>
      <c r="G114" s="2133"/>
      <c r="H114" s="2133"/>
      <c r="I114" s="2134"/>
      <c r="J114" s="1188" t="s">
        <v>73</v>
      </c>
      <c r="K114" s="1193"/>
      <c r="L114" s="1190">
        <v>14.41</v>
      </c>
      <c r="M114" s="1191">
        <f t="shared" si="6"/>
        <v>0</v>
      </c>
    </row>
    <row r="115" spans="1:13" ht="15" hidden="1">
      <c r="A115" s="1192">
        <v>40046</v>
      </c>
      <c r="B115" s="2132" t="s">
        <v>1269</v>
      </c>
      <c r="C115" s="2133"/>
      <c r="D115" s="2133"/>
      <c r="E115" s="2133"/>
      <c r="F115" s="2133"/>
      <c r="G115" s="2133"/>
      <c r="H115" s="2133"/>
      <c r="I115" s="2134"/>
      <c r="J115" s="1188" t="s">
        <v>73</v>
      </c>
      <c r="K115" s="1193"/>
      <c r="L115" s="1190">
        <v>15.29</v>
      </c>
      <c r="M115" s="1191">
        <f t="shared" si="6"/>
        <v>0</v>
      </c>
    </row>
    <row r="116" spans="1:13" ht="15" hidden="1">
      <c r="A116" s="1192">
        <v>40047</v>
      </c>
      <c r="B116" s="2132" t="s">
        <v>1270</v>
      </c>
      <c r="C116" s="2133"/>
      <c r="D116" s="2133"/>
      <c r="E116" s="2133"/>
      <c r="F116" s="2133"/>
      <c r="G116" s="2133"/>
      <c r="H116" s="2133"/>
      <c r="I116" s="2134"/>
      <c r="J116" s="1188" t="s">
        <v>73</v>
      </c>
      <c r="K116" s="1193"/>
      <c r="L116" s="1190">
        <v>16.32</v>
      </c>
      <c r="M116" s="1191">
        <f t="shared" si="6"/>
        <v>0</v>
      </c>
    </row>
    <row r="117" spans="1:13" ht="15" hidden="1">
      <c r="A117" s="1192">
        <v>40048</v>
      </c>
      <c r="B117" s="2132" t="s">
        <v>1271</v>
      </c>
      <c r="C117" s="2133"/>
      <c r="D117" s="2133"/>
      <c r="E117" s="2133"/>
      <c r="F117" s="2133"/>
      <c r="G117" s="2133"/>
      <c r="H117" s="2133"/>
      <c r="I117" s="2134"/>
      <c r="J117" s="1188" t="s">
        <v>73</v>
      </c>
      <c r="K117" s="1193"/>
      <c r="L117" s="1190">
        <v>17.12</v>
      </c>
      <c r="M117" s="1191">
        <f t="shared" si="6"/>
        <v>0</v>
      </c>
    </row>
    <row r="118" spans="1:13" ht="15" hidden="1">
      <c r="A118" s="1192">
        <v>40049</v>
      </c>
      <c r="B118" s="2132" t="s">
        <v>1272</v>
      </c>
      <c r="C118" s="2133"/>
      <c r="D118" s="2133"/>
      <c r="E118" s="2133"/>
      <c r="F118" s="2133"/>
      <c r="G118" s="2133"/>
      <c r="H118" s="2133"/>
      <c r="I118" s="2134"/>
      <c r="J118" s="1188" t="s">
        <v>73</v>
      </c>
      <c r="K118" s="1193"/>
      <c r="L118" s="1190">
        <v>18.22</v>
      </c>
      <c r="M118" s="1191">
        <f t="shared" si="6"/>
        <v>0</v>
      </c>
    </row>
    <row r="119" spans="1:13" ht="15" hidden="1">
      <c r="A119" s="1192">
        <v>40050</v>
      </c>
      <c r="B119" s="2132" t="s">
        <v>1273</v>
      </c>
      <c r="C119" s="2133"/>
      <c r="D119" s="2133"/>
      <c r="E119" s="2133"/>
      <c r="F119" s="2133"/>
      <c r="G119" s="2133"/>
      <c r="H119" s="2133"/>
      <c r="I119" s="2134"/>
      <c r="J119" s="1188" t="s">
        <v>73</v>
      </c>
      <c r="K119" s="1193"/>
      <c r="L119" s="1190">
        <v>18.86</v>
      </c>
      <c r="M119" s="1191">
        <f t="shared" si="6"/>
        <v>0</v>
      </c>
    </row>
    <row r="120" spans="1:13" ht="15" hidden="1">
      <c r="A120" s="1192">
        <v>40051</v>
      </c>
      <c r="B120" s="2132" t="s">
        <v>1274</v>
      </c>
      <c r="C120" s="2133"/>
      <c r="D120" s="2133"/>
      <c r="E120" s="2133"/>
      <c r="F120" s="2133"/>
      <c r="G120" s="2133"/>
      <c r="H120" s="2133"/>
      <c r="I120" s="2134"/>
      <c r="J120" s="1188" t="s">
        <v>73</v>
      </c>
      <c r="K120" s="1193"/>
      <c r="L120" s="1190">
        <v>19.87</v>
      </c>
      <c r="M120" s="1191">
        <f t="shared" si="6"/>
        <v>0</v>
      </c>
    </row>
    <row r="121" spans="1:13" ht="15" hidden="1">
      <c r="A121" s="1192">
        <v>40052</v>
      </c>
      <c r="B121" s="2132" t="s">
        <v>1275</v>
      </c>
      <c r="C121" s="2133"/>
      <c r="D121" s="2133"/>
      <c r="E121" s="2133"/>
      <c r="F121" s="2133"/>
      <c r="G121" s="2133"/>
      <c r="H121" s="2133"/>
      <c r="I121" s="2134"/>
      <c r="J121" s="1188" t="s">
        <v>73</v>
      </c>
      <c r="K121" s="1193"/>
      <c r="L121" s="1190">
        <v>20.34</v>
      </c>
      <c r="M121" s="1191">
        <f t="shared" si="6"/>
        <v>0</v>
      </c>
    </row>
    <row r="122" spans="1:13" ht="15" hidden="1">
      <c r="A122" s="1192">
        <v>40053</v>
      </c>
      <c r="B122" s="2132" t="s">
        <v>1276</v>
      </c>
      <c r="C122" s="2133"/>
      <c r="D122" s="2133"/>
      <c r="E122" s="2133"/>
      <c r="F122" s="2133"/>
      <c r="G122" s="2133"/>
      <c r="H122" s="2133"/>
      <c r="I122" s="2134"/>
      <c r="J122" s="1188" t="s">
        <v>73</v>
      </c>
      <c r="K122" s="1193"/>
      <c r="L122" s="1190">
        <v>20.72</v>
      </c>
      <c r="M122" s="1191">
        <f t="shared" si="6"/>
        <v>0</v>
      </c>
    </row>
    <row r="123" spans="1:13" ht="15" hidden="1">
      <c r="A123" s="1192">
        <v>40054</v>
      </c>
      <c r="B123" s="2132" t="s">
        <v>1277</v>
      </c>
      <c r="C123" s="2133"/>
      <c r="D123" s="2133"/>
      <c r="E123" s="2133"/>
      <c r="F123" s="2133"/>
      <c r="G123" s="2133"/>
      <c r="H123" s="2133"/>
      <c r="I123" s="2134"/>
      <c r="J123" s="1188" t="s">
        <v>73</v>
      </c>
      <c r="K123" s="1193"/>
      <c r="L123" s="1190">
        <v>21.95</v>
      </c>
      <c r="M123" s="1191">
        <f t="shared" si="6"/>
        <v>0</v>
      </c>
    </row>
    <row r="124" spans="1:13" ht="15" hidden="1">
      <c r="A124" s="1192">
        <v>40055</v>
      </c>
      <c r="B124" s="2132" t="s">
        <v>1278</v>
      </c>
      <c r="C124" s="2133"/>
      <c r="D124" s="2133"/>
      <c r="E124" s="2133"/>
      <c r="F124" s="2133"/>
      <c r="G124" s="2133"/>
      <c r="H124" s="2133"/>
      <c r="I124" s="2134"/>
      <c r="J124" s="1188" t="s">
        <v>73</v>
      </c>
      <c r="K124" s="1193"/>
      <c r="L124" s="1190">
        <v>24.25</v>
      </c>
      <c r="M124" s="1191">
        <f t="shared" si="6"/>
        <v>0</v>
      </c>
    </row>
    <row r="125" spans="1:13" ht="15" hidden="1">
      <c r="A125" s="1192">
        <v>40056</v>
      </c>
      <c r="B125" s="2132" t="s">
        <v>1279</v>
      </c>
      <c r="C125" s="2133"/>
      <c r="D125" s="2133"/>
      <c r="E125" s="2133"/>
      <c r="F125" s="2133"/>
      <c r="G125" s="2133"/>
      <c r="H125" s="2133"/>
      <c r="I125" s="2134"/>
      <c r="J125" s="1188" t="s">
        <v>73</v>
      </c>
      <c r="K125" s="1193"/>
      <c r="L125" s="1190">
        <v>31.42</v>
      </c>
      <c r="M125" s="1191">
        <f t="shared" si="6"/>
        <v>0</v>
      </c>
    </row>
    <row r="126" spans="1:13" ht="15" hidden="1">
      <c r="A126" s="1192">
        <v>40057</v>
      </c>
      <c r="B126" s="2132" t="s">
        <v>1280</v>
      </c>
      <c r="C126" s="2133"/>
      <c r="D126" s="2133"/>
      <c r="E126" s="2133"/>
      <c r="F126" s="2133"/>
      <c r="G126" s="2133"/>
      <c r="H126" s="2133"/>
      <c r="I126" s="2134"/>
      <c r="J126" s="1188" t="s">
        <v>73</v>
      </c>
      <c r="K126" s="1193"/>
      <c r="L126" s="1190">
        <v>41.13</v>
      </c>
      <c r="M126" s="1191">
        <f t="shared" ref="M126:M152" si="7">K126*L126</f>
        <v>0</v>
      </c>
    </row>
    <row r="127" spans="1:13" ht="15" hidden="1">
      <c r="A127" s="1192">
        <v>40060</v>
      </c>
      <c r="B127" s="2132" t="s">
        <v>1281</v>
      </c>
      <c r="C127" s="2133"/>
      <c r="D127" s="2133"/>
      <c r="E127" s="2133"/>
      <c r="F127" s="2133"/>
      <c r="G127" s="2133"/>
      <c r="H127" s="2133"/>
      <c r="I127" s="2134"/>
      <c r="J127" s="1188" t="s">
        <v>73</v>
      </c>
      <c r="K127" s="1193"/>
      <c r="L127" s="1190">
        <v>22.79</v>
      </c>
      <c r="M127" s="1191">
        <f t="shared" si="7"/>
        <v>0</v>
      </c>
    </row>
    <row r="128" spans="1:13" ht="15" hidden="1">
      <c r="A128" s="1192">
        <v>40061</v>
      </c>
      <c r="B128" s="2132" t="s">
        <v>1282</v>
      </c>
      <c r="C128" s="2133"/>
      <c r="D128" s="2133"/>
      <c r="E128" s="2133"/>
      <c r="F128" s="2133"/>
      <c r="G128" s="2133"/>
      <c r="H128" s="2133"/>
      <c r="I128" s="2134"/>
      <c r="J128" s="1188" t="s">
        <v>73</v>
      </c>
      <c r="K128" s="1193"/>
      <c r="L128" s="1190">
        <v>24.47</v>
      </c>
      <c r="M128" s="1191">
        <f t="shared" si="7"/>
        <v>0</v>
      </c>
    </row>
    <row r="129" spans="1:13" ht="15" hidden="1">
      <c r="A129" s="1192">
        <v>40062</v>
      </c>
      <c r="B129" s="2132" t="s">
        <v>1283</v>
      </c>
      <c r="C129" s="2133"/>
      <c r="D129" s="2133"/>
      <c r="E129" s="2133"/>
      <c r="F129" s="2133"/>
      <c r="G129" s="2133"/>
      <c r="H129" s="2133"/>
      <c r="I129" s="2134"/>
      <c r="J129" s="1188" t="s">
        <v>73</v>
      </c>
      <c r="K129" s="1193"/>
      <c r="L129" s="1190">
        <v>25.16</v>
      </c>
      <c r="M129" s="1191">
        <f t="shared" si="7"/>
        <v>0</v>
      </c>
    </row>
    <row r="130" spans="1:13" ht="15" hidden="1">
      <c r="A130" s="1192">
        <v>40063</v>
      </c>
      <c r="B130" s="2132" t="s">
        <v>1284</v>
      </c>
      <c r="C130" s="2133"/>
      <c r="D130" s="2133"/>
      <c r="E130" s="2133"/>
      <c r="F130" s="2133"/>
      <c r="G130" s="2133"/>
      <c r="H130" s="2133"/>
      <c r="I130" s="2134"/>
      <c r="J130" s="1188" t="s">
        <v>73</v>
      </c>
      <c r="K130" s="1193"/>
      <c r="L130" s="1190">
        <v>26.75</v>
      </c>
      <c r="M130" s="1191">
        <f t="shared" si="7"/>
        <v>0</v>
      </c>
    </row>
    <row r="131" spans="1:13" ht="15" hidden="1">
      <c r="A131" s="1192">
        <v>40064</v>
      </c>
      <c r="B131" s="2132" t="s">
        <v>1285</v>
      </c>
      <c r="C131" s="2133"/>
      <c r="D131" s="2133"/>
      <c r="E131" s="2133"/>
      <c r="F131" s="2133"/>
      <c r="G131" s="2133"/>
      <c r="H131" s="2133"/>
      <c r="I131" s="2134"/>
      <c r="J131" s="1188" t="s">
        <v>73</v>
      </c>
      <c r="K131" s="1193"/>
      <c r="L131" s="1190">
        <v>27.55</v>
      </c>
      <c r="M131" s="1191">
        <f t="shared" si="7"/>
        <v>0</v>
      </c>
    </row>
    <row r="132" spans="1:13" ht="15" hidden="1">
      <c r="A132" s="1192">
        <v>40065</v>
      </c>
      <c r="B132" s="2132" t="s">
        <v>1286</v>
      </c>
      <c r="C132" s="2133"/>
      <c r="D132" s="2133"/>
      <c r="E132" s="2133"/>
      <c r="F132" s="2133"/>
      <c r="G132" s="2133"/>
      <c r="H132" s="2133"/>
      <c r="I132" s="2134"/>
      <c r="J132" s="1188" t="s">
        <v>73</v>
      </c>
      <c r="K132" s="1193"/>
      <c r="L132" s="1190">
        <v>28.91</v>
      </c>
      <c r="M132" s="1191">
        <f t="shared" si="7"/>
        <v>0</v>
      </c>
    </row>
    <row r="133" spans="1:13" ht="15" hidden="1">
      <c r="A133" s="1192">
        <v>40066</v>
      </c>
      <c r="B133" s="2132" t="s">
        <v>1287</v>
      </c>
      <c r="C133" s="2133"/>
      <c r="D133" s="2133"/>
      <c r="E133" s="2133"/>
      <c r="F133" s="2133"/>
      <c r="G133" s="2133"/>
      <c r="H133" s="2133"/>
      <c r="I133" s="2134"/>
      <c r="J133" s="1188" t="s">
        <v>73</v>
      </c>
      <c r="K133" s="1193"/>
      <c r="L133" s="1190">
        <v>29.56</v>
      </c>
      <c r="M133" s="1191">
        <f t="shared" si="7"/>
        <v>0</v>
      </c>
    </row>
    <row r="134" spans="1:13" ht="15" hidden="1">
      <c r="A134" s="1192">
        <v>40067</v>
      </c>
      <c r="B134" s="2132" t="s">
        <v>1288</v>
      </c>
      <c r="C134" s="2133"/>
      <c r="D134" s="2133"/>
      <c r="E134" s="2133"/>
      <c r="F134" s="2133"/>
      <c r="G134" s="2133"/>
      <c r="H134" s="2133"/>
      <c r="I134" s="2134"/>
      <c r="J134" s="1188" t="s">
        <v>73</v>
      </c>
      <c r="K134" s="1193"/>
      <c r="L134" s="1190">
        <v>30.19</v>
      </c>
      <c r="M134" s="1191">
        <f t="shared" si="7"/>
        <v>0</v>
      </c>
    </row>
    <row r="135" spans="1:13" ht="15" hidden="1">
      <c r="A135" s="1192">
        <v>40068</v>
      </c>
      <c r="B135" s="2132" t="s">
        <v>1289</v>
      </c>
      <c r="C135" s="2133"/>
      <c r="D135" s="2133"/>
      <c r="E135" s="2133"/>
      <c r="F135" s="2133"/>
      <c r="G135" s="2133"/>
      <c r="H135" s="2133"/>
      <c r="I135" s="2134"/>
      <c r="J135" s="1188" t="s">
        <v>73</v>
      </c>
      <c r="K135" s="1193"/>
      <c r="L135" s="1190">
        <v>31.21</v>
      </c>
      <c r="M135" s="1191">
        <f t="shared" si="7"/>
        <v>0</v>
      </c>
    </row>
    <row r="136" spans="1:13" ht="15" hidden="1">
      <c r="A136" s="1192">
        <v>40069</v>
      </c>
      <c r="B136" s="2132" t="s">
        <v>1290</v>
      </c>
      <c r="C136" s="2133"/>
      <c r="D136" s="2133"/>
      <c r="E136" s="2133"/>
      <c r="F136" s="2133"/>
      <c r="G136" s="2133"/>
      <c r="H136" s="2133"/>
      <c r="I136" s="2134"/>
      <c r="J136" s="1188" t="s">
        <v>73</v>
      </c>
      <c r="K136" s="1193"/>
      <c r="L136" s="1190">
        <v>32.22</v>
      </c>
      <c r="M136" s="1191">
        <f t="shared" si="7"/>
        <v>0</v>
      </c>
    </row>
    <row r="137" spans="1:13" ht="15" hidden="1">
      <c r="A137" s="1192">
        <v>40070</v>
      </c>
      <c r="B137" s="2132" t="s">
        <v>1291</v>
      </c>
      <c r="C137" s="2133"/>
      <c r="D137" s="2133"/>
      <c r="E137" s="2133"/>
      <c r="F137" s="2133"/>
      <c r="G137" s="2133"/>
      <c r="H137" s="2133"/>
      <c r="I137" s="2134"/>
      <c r="J137" s="1188" t="s">
        <v>73</v>
      </c>
      <c r="K137" s="1193"/>
      <c r="L137" s="1190">
        <v>34.979999999999997</v>
      </c>
      <c r="M137" s="1191">
        <f t="shared" si="7"/>
        <v>0</v>
      </c>
    </row>
    <row r="138" spans="1:13" ht="15" hidden="1">
      <c r="A138" s="1192">
        <v>40071</v>
      </c>
      <c r="B138" s="2132" t="s">
        <v>1292</v>
      </c>
      <c r="C138" s="2133"/>
      <c r="D138" s="2133"/>
      <c r="E138" s="2133"/>
      <c r="F138" s="2133"/>
      <c r="G138" s="2133"/>
      <c r="H138" s="2133"/>
      <c r="I138" s="2134"/>
      <c r="J138" s="1188" t="s">
        <v>73</v>
      </c>
      <c r="K138" s="1193"/>
      <c r="L138" s="1190">
        <v>43.98</v>
      </c>
      <c r="M138" s="1191">
        <f t="shared" si="7"/>
        <v>0</v>
      </c>
    </row>
    <row r="139" spans="1:13" ht="15" hidden="1">
      <c r="A139" s="1192">
        <v>40072</v>
      </c>
      <c r="B139" s="2132" t="s">
        <v>1293</v>
      </c>
      <c r="C139" s="2133"/>
      <c r="D139" s="2133"/>
      <c r="E139" s="2133"/>
      <c r="F139" s="2133"/>
      <c r="G139" s="2133"/>
      <c r="H139" s="2133"/>
      <c r="I139" s="2134"/>
      <c r="J139" s="1188" t="s">
        <v>73</v>
      </c>
      <c r="K139" s="1193"/>
      <c r="L139" s="1190">
        <v>55.34</v>
      </c>
      <c r="M139" s="1191">
        <f t="shared" si="7"/>
        <v>0</v>
      </c>
    </row>
    <row r="140" spans="1:13" ht="15" hidden="1">
      <c r="A140" s="1192">
        <v>40090</v>
      </c>
      <c r="B140" s="2132" t="s">
        <v>1294</v>
      </c>
      <c r="C140" s="2133"/>
      <c r="D140" s="2133"/>
      <c r="E140" s="2133"/>
      <c r="F140" s="2133"/>
      <c r="G140" s="2133"/>
      <c r="H140" s="2133"/>
      <c r="I140" s="2134"/>
      <c r="J140" s="1188" t="s">
        <v>73</v>
      </c>
      <c r="K140" s="1189">
        <f>SUM(N12:N19)</f>
        <v>0</v>
      </c>
      <c r="L140" s="1190">
        <v>2.76</v>
      </c>
      <c r="M140" s="1191">
        <f t="shared" si="7"/>
        <v>0</v>
      </c>
    </row>
    <row r="141" spans="1:13" ht="15" hidden="1">
      <c r="A141" s="1192">
        <v>40091</v>
      </c>
      <c r="B141" s="2132" t="s">
        <v>1295</v>
      </c>
      <c r="C141" s="2133"/>
      <c r="D141" s="2133"/>
      <c r="E141" s="2133"/>
      <c r="F141" s="2133"/>
      <c r="G141" s="2133"/>
      <c r="H141" s="2133"/>
      <c r="I141" s="2134"/>
      <c r="J141" s="1188" t="s">
        <v>73</v>
      </c>
      <c r="K141" s="1193"/>
      <c r="L141" s="1190">
        <v>4.18</v>
      </c>
      <c r="M141" s="1191">
        <f t="shared" si="7"/>
        <v>0</v>
      </c>
    </row>
    <row r="142" spans="1:13" hidden="1">
      <c r="A142" s="1192">
        <v>40094</v>
      </c>
      <c r="B142" s="2132" t="s">
        <v>1296</v>
      </c>
      <c r="C142" s="2133"/>
      <c r="D142" s="2133"/>
      <c r="E142" s="2133"/>
      <c r="F142" s="2133"/>
      <c r="G142" s="2133"/>
      <c r="H142" s="2133"/>
      <c r="I142" s="2134"/>
      <c r="J142" s="1188" t="s">
        <v>74</v>
      </c>
      <c r="K142" s="1194"/>
      <c r="L142" s="1195">
        <v>5.85</v>
      </c>
      <c r="M142" s="1196">
        <f t="shared" si="7"/>
        <v>0</v>
      </c>
    </row>
    <row r="143" spans="1:13" ht="15" hidden="1">
      <c r="A143" s="1192">
        <v>40097</v>
      </c>
      <c r="B143" s="2132" t="s">
        <v>1297</v>
      </c>
      <c r="C143" s="2133"/>
      <c r="D143" s="2133"/>
      <c r="E143" s="2133"/>
      <c r="F143" s="2133"/>
      <c r="G143" s="2133"/>
      <c r="H143" s="2133"/>
      <c r="I143" s="2134"/>
      <c r="J143" s="1188" t="s">
        <v>74</v>
      </c>
      <c r="K143" s="1193"/>
      <c r="L143" s="1190">
        <v>7.93</v>
      </c>
      <c r="M143" s="1191">
        <f t="shared" si="7"/>
        <v>0</v>
      </c>
    </row>
    <row r="144" spans="1:13" ht="15" hidden="1">
      <c r="A144" s="1192">
        <v>40098</v>
      </c>
      <c r="B144" s="2132" t="s">
        <v>1298</v>
      </c>
      <c r="C144" s="2133"/>
      <c r="D144" s="2133"/>
      <c r="E144" s="2133"/>
      <c r="F144" s="2133"/>
      <c r="G144" s="2133"/>
      <c r="H144" s="2133"/>
      <c r="I144" s="2134"/>
      <c r="J144" s="1188" t="s">
        <v>74</v>
      </c>
      <c r="K144" s="1193"/>
      <c r="L144" s="1190">
        <v>2.91</v>
      </c>
      <c r="M144" s="1191">
        <f t="shared" si="7"/>
        <v>0</v>
      </c>
    </row>
    <row r="145" spans="1:13" ht="15" hidden="1">
      <c r="A145" s="1192">
        <v>40099</v>
      </c>
      <c r="B145" s="2132" t="s">
        <v>1299</v>
      </c>
      <c r="C145" s="2133"/>
      <c r="D145" s="2133"/>
      <c r="E145" s="2133"/>
      <c r="F145" s="2133"/>
      <c r="G145" s="2133"/>
      <c r="H145" s="2133"/>
      <c r="I145" s="2134"/>
      <c r="J145" s="1188" t="s">
        <v>74</v>
      </c>
      <c r="K145" s="1193"/>
      <c r="L145" s="1190">
        <v>3.51</v>
      </c>
      <c r="M145" s="1191">
        <f t="shared" si="7"/>
        <v>0</v>
      </c>
    </row>
    <row r="146" spans="1:13" ht="15" hidden="1">
      <c r="A146" s="1192">
        <v>40102</v>
      </c>
      <c r="B146" s="2132" t="s">
        <v>363</v>
      </c>
      <c r="C146" s="2133"/>
      <c r="D146" s="2133"/>
      <c r="E146" s="2133"/>
      <c r="F146" s="2133"/>
      <c r="G146" s="2133"/>
      <c r="H146" s="2133"/>
      <c r="I146" s="2134"/>
      <c r="J146" s="1188" t="s">
        <v>73</v>
      </c>
      <c r="K146" s="1193"/>
      <c r="L146" s="1190">
        <v>9.75</v>
      </c>
      <c r="M146" s="1191">
        <f t="shared" si="7"/>
        <v>0</v>
      </c>
    </row>
    <row r="147" spans="1:13" ht="15" hidden="1">
      <c r="A147" s="1192">
        <v>40105</v>
      </c>
      <c r="B147" s="2132" t="s">
        <v>1300</v>
      </c>
      <c r="C147" s="2133"/>
      <c r="D147" s="2133"/>
      <c r="E147" s="2133"/>
      <c r="F147" s="2133"/>
      <c r="G147" s="2133"/>
      <c r="H147" s="2133"/>
      <c r="I147" s="2134"/>
      <c r="J147" s="1188" t="s">
        <v>73</v>
      </c>
      <c r="K147" s="1193"/>
      <c r="L147" s="1190">
        <v>11.89</v>
      </c>
      <c r="M147" s="1191">
        <f t="shared" si="7"/>
        <v>0</v>
      </c>
    </row>
    <row r="148" spans="1:13" ht="15" hidden="1">
      <c r="A148" s="1192">
        <v>40130</v>
      </c>
      <c r="B148" s="2132" t="s">
        <v>1301</v>
      </c>
      <c r="C148" s="2133"/>
      <c r="D148" s="2133"/>
      <c r="E148" s="2133"/>
      <c r="F148" s="2133"/>
      <c r="G148" s="2133"/>
      <c r="H148" s="2133"/>
      <c r="I148" s="2134"/>
      <c r="J148" s="1188" t="s">
        <v>72</v>
      </c>
      <c r="K148" s="1193"/>
      <c r="L148" s="1190">
        <v>0.52</v>
      </c>
      <c r="M148" s="1191">
        <f t="shared" si="7"/>
        <v>0</v>
      </c>
    </row>
    <row r="149" spans="1:13" ht="15" hidden="1">
      <c r="A149" s="1192">
        <v>40131</v>
      </c>
      <c r="B149" s="2132" t="s">
        <v>1302</v>
      </c>
      <c r="C149" s="2133"/>
      <c r="D149" s="2133"/>
      <c r="E149" s="2133"/>
      <c r="F149" s="2133"/>
      <c r="G149" s="2133"/>
      <c r="H149" s="2133"/>
      <c r="I149" s="2134"/>
      <c r="J149" s="1188" t="s">
        <v>73</v>
      </c>
      <c r="K149" s="1193"/>
      <c r="L149" s="1190"/>
      <c r="M149" s="1191"/>
    </row>
    <row r="150" spans="1:13" ht="15" hidden="1">
      <c r="A150" s="1192">
        <v>40140</v>
      </c>
      <c r="B150" s="2132" t="s">
        <v>1303</v>
      </c>
      <c r="C150" s="2133"/>
      <c r="D150" s="2133"/>
      <c r="E150" s="2133"/>
      <c r="F150" s="2133"/>
      <c r="G150" s="2133"/>
      <c r="H150" s="2133"/>
      <c r="I150" s="2134"/>
      <c r="J150" s="1188" t="s">
        <v>73</v>
      </c>
      <c r="K150" s="1189"/>
      <c r="L150" s="1190">
        <v>114.48</v>
      </c>
      <c r="M150" s="1191">
        <f t="shared" si="7"/>
        <v>0</v>
      </c>
    </row>
    <row r="151" spans="1:13" ht="15" hidden="1">
      <c r="A151" s="1192">
        <v>40455</v>
      </c>
      <c r="B151" s="2132" t="s">
        <v>83</v>
      </c>
      <c r="C151" s="2133" t="s">
        <v>536</v>
      </c>
      <c r="D151" s="2133"/>
      <c r="E151" s="2133"/>
      <c r="F151" s="2133"/>
      <c r="G151" s="2133"/>
      <c r="H151" s="2133"/>
      <c r="I151" s="2134"/>
      <c r="J151" s="1188" t="s">
        <v>74</v>
      </c>
      <c r="K151" s="1189"/>
      <c r="L151" s="1190">
        <v>1.47</v>
      </c>
      <c r="M151" s="1191">
        <f t="shared" si="7"/>
        <v>0</v>
      </c>
    </row>
    <row r="152" spans="1:13" ht="15" hidden="1">
      <c r="A152" s="1192">
        <v>40445</v>
      </c>
      <c r="B152" s="2132" t="s">
        <v>79</v>
      </c>
      <c r="C152" s="2133" t="s">
        <v>536</v>
      </c>
      <c r="D152" s="2133"/>
      <c r="E152" s="2133"/>
      <c r="F152" s="2133"/>
      <c r="G152" s="2133"/>
      <c r="H152" s="2133"/>
      <c r="I152" s="2134"/>
      <c r="J152" s="1188" t="s">
        <v>74</v>
      </c>
      <c r="K152" s="1189"/>
      <c r="L152" s="1190">
        <v>2.2000000000000002</v>
      </c>
      <c r="M152" s="1191">
        <f t="shared" si="7"/>
        <v>0</v>
      </c>
    </row>
    <row r="154" spans="1:13" ht="23.25" customHeight="1"/>
  </sheetData>
  <autoFilter ref="A59:K152" xr:uid="{00000000-0009-0000-0000-000011000000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10">
      <filters>
        <filter val="1.225,07"/>
        <filter val="12.228,95"/>
        <filter val="140,76"/>
        <filter val="15,35"/>
        <filter val="7.315,47"/>
        <filter val="94,98"/>
      </filters>
    </filterColumn>
  </autoFilter>
  <mergeCells count="158">
    <mergeCell ref="G4:G5"/>
    <mergeCell ref="H4:H5"/>
    <mergeCell ref="I4:M4"/>
    <mergeCell ref="A5:C5"/>
    <mergeCell ref="A1:W1"/>
    <mergeCell ref="A2:O2"/>
    <mergeCell ref="P2:P5"/>
    <mergeCell ref="Q2:Q5"/>
    <mergeCell ref="R2:R5"/>
    <mergeCell ref="S2:W2"/>
    <mergeCell ref="A3:O3"/>
    <mergeCell ref="T3:T4"/>
    <mergeCell ref="U3:U5"/>
    <mergeCell ref="V3:W4"/>
    <mergeCell ref="A20:C20"/>
    <mergeCell ref="A21:C21"/>
    <mergeCell ref="A22:C22"/>
    <mergeCell ref="A23:C23"/>
    <mergeCell ref="A24:C24"/>
    <mergeCell ref="A25:C25"/>
    <mergeCell ref="A4:C4"/>
    <mergeCell ref="E4:E5"/>
    <mergeCell ref="F4:F5"/>
    <mergeCell ref="S31:V31"/>
    <mergeCell ref="A32:E32"/>
    <mergeCell ref="G32:P32"/>
    <mergeCell ref="S32:V32"/>
    <mergeCell ref="S33:V33"/>
    <mergeCell ref="A34:G34"/>
    <mergeCell ref="S34:V34"/>
    <mergeCell ref="A26:C26"/>
    <mergeCell ref="A27:C27"/>
    <mergeCell ref="A28:W28"/>
    <mergeCell ref="A29:E29"/>
    <mergeCell ref="S29:V29"/>
    <mergeCell ref="W29:W30"/>
    <mergeCell ref="A30:E30"/>
    <mergeCell ref="S30:V30"/>
    <mergeCell ref="A39:G39"/>
    <mergeCell ref="S39:T39"/>
    <mergeCell ref="A40:G40"/>
    <mergeCell ref="S40:T40"/>
    <mergeCell ref="S41:T41"/>
    <mergeCell ref="A42:F42"/>
    <mergeCell ref="S42:T42"/>
    <mergeCell ref="A35:G35"/>
    <mergeCell ref="S35:V35"/>
    <mergeCell ref="A36:G36"/>
    <mergeCell ref="A37:G37"/>
    <mergeCell ref="S37:T37"/>
    <mergeCell ref="S38:T38"/>
    <mergeCell ref="A50:G50"/>
    <mergeCell ref="A52:W52"/>
    <mergeCell ref="A53:O53"/>
    <mergeCell ref="A54:O54"/>
    <mergeCell ref="A55:O55"/>
    <mergeCell ref="A56:O56"/>
    <mergeCell ref="A43:F43"/>
    <mergeCell ref="A45:F45"/>
    <mergeCell ref="A46:G46"/>
    <mergeCell ref="A47:G47"/>
    <mergeCell ref="A48:G48"/>
    <mergeCell ref="A49:G49"/>
    <mergeCell ref="B64:I64"/>
    <mergeCell ref="B65:I65"/>
    <mergeCell ref="B66:I66"/>
    <mergeCell ref="B67:I67"/>
    <mergeCell ref="B68:I68"/>
    <mergeCell ref="B69:I69"/>
    <mergeCell ref="A58:M58"/>
    <mergeCell ref="B59:I59"/>
    <mergeCell ref="B60:I60"/>
    <mergeCell ref="B61:I61"/>
    <mergeCell ref="B62:I62"/>
    <mergeCell ref="B63:I63"/>
    <mergeCell ref="B76:I76"/>
    <mergeCell ref="B77:I77"/>
    <mergeCell ref="B78:I78"/>
    <mergeCell ref="B79:I79"/>
    <mergeCell ref="B80:I80"/>
    <mergeCell ref="B81:I81"/>
    <mergeCell ref="B70:I70"/>
    <mergeCell ref="B71:I71"/>
    <mergeCell ref="B72:I72"/>
    <mergeCell ref="B73:I73"/>
    <mergeCell ref="B74:I74"/>
    <mergeCell ref="B75:I75"/>
    <mergeCell ref="B88:I88"/>
    <mergeCell ref="B89:I89"/>
    <mergeCell ref="B90:I90"/>
    <mergeCell ref="B91:I91"/>
    <mergeCell ref="B92:I92"/>
    <mergeCell ref="B93:I93"/>
    <mergeCell ref="B82:I82"/>
    <mergeCell ref="B83:I83"/>
    <mergeCell ref="B84:I84"/>
    <mergeCell ref="B85:I85"/>
    <mergeCell ref="B86:I86"/>
    <mergeCell ref="B87:I87"/>
    <mergeCell ref="B100:I100"/>
    <mergeCell ref="B101:I101"/>
    <mergeCell ref="B102:I102"/>
    <mergeCell ref="B103:I103"/>
    <mergeCell ref="B104:I104"/>
    <mergeCell ref="B105:I105"/>
    <mergeCell ref="B94:I94"/>
    <mergeCell ref="B95:I95"/>
    <mergeCell ref="B96:I96"/>
    <mergeCell ref="B97:I97"/>
    <mergeCell ref="B98:I98"/>
    <mergeCell ref="B99:I99"/>
    <mergeCell ref="B112:I112"/>
    <mergeCell ref="B113:I113"/>
    <mergeCell ref="B114:I114"/>
    <mergeCell ref="B115:I115"/>
    <mergeCell ref="B116:I116"/>
    <mergeCell ref="B117:I117"/>
    <mergeCell ref="B106:I106"/>
    <mergeCell ref="B107:I107"/>
    <mergeCell ref="B108:I108"/>
    <mergeCell ref="B109:I109"/>
    <mergeCell ref="B110:I110"/>
    <mergeCell ref="B111:I111"/>
    <mergeCell ref="B124:I124"/>
    <mergeCell ref="B125:I125"/>
    <mergeCell ref="B126:I126"/>
    <mergeCell ref="B127:I127"/>
    <mergeCell ref="B128:I128"/>
    <mergeCell ref="B129:I129"/>
    <mergeCell ref="B118:I118"/>
    <mergeCell ref="B119:I119"/>
    <mergeCell ref="B120:I120"/>
    <mergeCell ref="B121:I121"/>
    <mergeCell ref="B122:I122"/>
    <mergeCell ref="B123:I123"/>
    <mergeCell ref="B136:I136"/>
    <mergeCell ref="B137:I137"/>
    <mergeCell ref="B138:I138"/>
    <mergeCell ref="B139:I139"/>
    <mergeCell ref="B140:I140"/>
    <mergeCell ref="B141:I141"/>
    <mergeCell ref="B130:I130"/>
    <mergeCell ref="B131:I131"/>
    <mergeCell ref="B132:I132"/>
    <mergeCell ref="B133:I133"/>
    <mergeCell ref="B134:I134"/>
    <mergeCell ref="B135:I135"/>
    <mergeCell ref="B148:I148"/>
    <mergeCell ref="B149:I149"/>
    <mergeCell ref="B150:I150"/>
    <mergeCell ref="B151:I151"/>
    <mergeCell ref="B152:I152"/>
    <mergeCell ref="B142:I142"/>
    <mergeCell ref="B143:I143"/>
    <mergeCell ref="B144:I144"/>
    <mergeCell ref="B145:I145"/>
    <mergeCell ref="B146:I146"/>
    <mergeCell ref="B147:I147"/>
  </mergeCells>
  <pageMargins left="0.25" right="0.25" top="0.75" bottom="0.75" header="0.3" footer="0.3"/>
  <pageSetup paperSize="8" scale="81" fitToHeight="0" orientation="landscape" r:id="rId1"/>
  <legacy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0BCEA-E73F-4DD7-BAF2-774E4FBFA826}">
  <sheetPr>
    <tabColor rgb="FFFFC000"/>
    <pageSetUpPr fitToPage="1"/>
  </sheetPr>
  <dimension ref="A1:R133"/>
  <sheetViews>
    <sheetView showGridLines="0" topLeftCell="A40" zoomScaleNormal="100" zoomScaleSheetLayoutView="100" workbookViewId="0">
      <selection activeCell="I126" sqref="I126"/>
    </sheetView>
  </sheetViews>
  <sheetFormatPr defaultColWidth="9.140625" defaultRowHeight="12.75"/>
  <cols>
    <col min="1" max="1" width="5.7109375" style="1204" customWidth="1"/>
    <col min="2" max="2" width="15.7109375" style="1238" customWidth="1"/>
    <col min="3" max="3" width="22" style="1238" bestFit="1" customWidth="1"/>
    <col min="4" max="4" width="19.7109375" style="1204" customWidth="1"/>
    <col min="5" max="5" width="15.42578125" style="1204" customWidth="1"/>
    <col min="6" max="6" width="14.140625" style="1272" customWidth="1"/>
    <col min="7" max="7" width="12.85546875" style="1238" customWidth="1"/>
    <col min="8" max="8" width="15.7109375" style="1238" customWidth="1"/>
    <col min="9" max="10" width="14.7109375" style="1204" customWidth="1"/>
    <col min="11" max="11" width="14.85546875" style="1204" bestFit="1" customWidth="1"/>
    <col min="12" max="13" width="12.7109375" style="1204" customWidth="1"/>
    <col min="14" max="14" width="39.7109375" style="1272" bestFit="1" customWidth="1"/>
    <col min="15" max="15" width="12.85546875" style="1204" customWidth="1"/>
    <col min="16" max="16" width="5.7109375" style="1204" customWidth="1"/>
    <col min="17" max="17" width="2.140625" style="1204" customWidth="1"/>
    <col min="18" max="16384" width="9.140625" style="1204"/>
  </cols>
  <sheetData>
    <row r="1" spans="1:18" ht="12.75" customHeight="1">
      <c r="A1" s="1199"/>
      <c r="B1" s="1200"/>
      <c r="C1" s="1200"/>
      <c r="D1" s="1201"/>
      <c r="E1" s="1201"/>
      <c r="F1" s="1202"/>
      <c r="G1" s="1200"/>
      <c r="H1" s="1200"/>
      <c r="I1" s="1201"/>
      <c r="J1" s="1201"/>
      <c r="K1" s="1201"/>
      <c r="L1" s="1201"/>
      <c r="M1" s="1201"/>
      <c r="N1" s="1202"/>
      <c r="O1" s="1201"/>
      <c r="P1" s="1203"/>
    </row>
    <row r="2" spans="1:18" ht="12.75" customHeight="1">
      <c r="A2" s="1205"/>
      <c r="B2" s="2211" t="s">
        <v>1307</v>
      </c>
      <c r="C2" s="2211"/>
      <c r="D2" s="2211"/>
      <c r="E2" s="2211"/>
      <c r="F2" s="2211"/>
      <c r="G2" s="2211"/>
      <c r="H2" s="2211"/>
      <c r="I2" s="2211"/>
      <c r="J2" s="2211"/>
      <c r="K2" s="2211"/>
      <c r="L2" s="2211"/>
      <c r="M2" s="2211"/>
      <c r="N2" s="2211"/>
      <c r="O2" s="2211"/>
      <c r="P2" s="1206"/>
    </row>
    <row r="3" spans="1:18" ht="12.75" customHeight="1">
      <c r="A3" s="1205"/>
      <c r="B3" s="2211"/>
      <c r="C3" s="2211"/>
      <c r="D3" s="2211"/>
      <c r="E3" s="2211"/>
      <c r="F3" s="2211"/>
      <c r="G3" s="2211"/>
      <c r="H3" s="2211"/>
      <c r="I3" s="2211"/>
      <c r="J3" s="2211"/>
      <c r="K3" s="2211"/>
      <c r="L3" s="2211"/>
      <c r="M3" s="2211"/>
      <c r="N3" s="2211"/>
      <c r="O3" s="2211"/>
      <c r="P3" s="1206"/>
    </row>
    <row r="4" spans="1:18" ht="12.75" customHeight="1">
      <c r="A4" s="1205"/>
      <c r="B4" s="2212" t="s">
        <v>272</v>
      </c>
      <c r="C4" s="2213"/>
      <c r="D4" s="1207" t="s">
        <v>276</v>
      </c>
      <c r="E4" s="2216" t="s">
        <v>1308</v>
      </c>
      <c r="F4" s="1208" t="s">
        <v>1309</v>
      </c>
      <c r="G4" s="1208" t="s">
        <v>1310</v>
      </c>
      <c r="H4" s="1208" t="s">
        <v>1311</v>
      </c>
      <c r="I4" s="1208" t="s">
        <v>1312</v>
      </c>
      <c r="J4" s="1208" t="s">
        <v>1313</v>
      </c>
      <c r="K4" s="2218" t="s">
        <v>1314</v>
      </c>
      <c r="L4" s="2218"/>
      <c r="M4" s="2218"/>
      <c r="N4" s="2216" t="s">
        <v>1315</v>
      </c>
      <c r="O4" s="1208" t="s">
        <v>1316</v>
      </c>
      <c r="P4" s="1206"/>
      <c r="R4" s="1209" t="s">
        <v>1317</v>
      </c>
    </row>
    <row r="5" spans="1:18" ht="12.75" customHeight="1">
      <c r="A5" s="1205"/>
      <c r="B5" s="2214"/>
      <c r="C5" s="2215"/>
      <c r="D5" s="1210" t="s">
        <v>1318</v>
      </c>
      <c r="E5" s="2217"/>
      <c r="F5" s="1211" t="s">
        <v>251</v>
      </c>
      <c r="G5" s="1211" t="s">
        <v>1319</v>
      </c>
      <c r="H5" s="1211" t="s">
        <v>1320</v>
      </c>
      <c r="I5" s="1210" t="s">
        <v>1321</v>
      </c>
      <c r="J5" s="1210" t="s">
        <v>388</v>
      </c>
      <c r="K5" s="1212" t="s">
        <v>1309</v>
      </c>
      <c r="L5" s="1212" t="s">
        <v>1322</v>
      </c>
      <c r="M5" s="1212" t="s">
        <v>422</v>
      </c>
      <c r="N5" s="2217"/>
      <c r="O5" s="1211" t="s">
        <v>308</v>
      </c>
      <c r="P5" s="1206"/>
      <c r="R5" s="1209" t="s">
        <v>572</v>
      </c>
    </row>
    <row r="6" spans="1:18" ht="12.75" hidden="1" customHeight="1">
      <c r="A6" s="1205"/>
      <c r="B6" s="1213" t="str">
        <f>IF('[232]Entrada dados'!A3&lt;&gt;"",'[232]Entrada dados'!A3,"")</f>
        <v>1+5,93</v>
      </c>
      <c r="C6" s="1213" t="s">
        <v>285</v>
      </c>
      <c r="D6" s="1213" t="str">
        <f>IF('[232]Entrada dados'!O3&lt;&gt;"",'[232]Entrada dados'!O3,"")</f>
        <v/>
      </c>
      <c r="E6" s="1214">
        <f>'[232]Entrada dados'!E3</f>
        <v>0</v>
      </c>
      <c r="F6" s="1213" t="str">
        <f>IF('[232]Entrada dados'!C3&lt;&gt;"",IF('[232]Entrada dados'!C3="E","LE",IF('[232]Entrada dados'!C3="D","LD","")),"")</f>
        <v>LE</v>
      </c>
      <c r="G6" s="1215" t="str">
        <f>IF('[232]Entrada dados'!D3&lt;&gt;"",'[232]Entrada dados'!D3,"")</f>
        <v/>
      </c>
      <c r="H6" s="1216" t="str">
        <f>IF('[232]Entrada dados'!F3&lt;&gt;"",'[232]Entrada dados'!F3,"")</f>
        <v/>
      </c>
      <c r="I6" s="1213">
        <f>IF('[232]Entrada dados'!G3&lt;&gt;"",'[232]Entrada dados'!G3,"")</f>
        <v>0</v>
      </c>
      <c r="J6" s="1213" t="s">
        <v>1323</v>
      </c>
      <c r="K6" s="1216" t="str">
        <f>IF('[232]Entrada dados'!Y3&lt;&gt;"",'[232]Entrada dados'!Y3,"")</f>
        <v/>
      </c>
      <c r="L6" s="1216" t="str">
        <f>IF('[232]Entrada dados'!Z3&lt;&gt;"",'[232]Entrada dados'!Z3,"")</f>
        <v/>
      </c>
      <c r="M6" s="1216" t="str">
        <f>IF('[232]Entrada dados'!AA3&lt;&gt;"",'[232]Entrada dados'!AA3,"")</f>
        <v/>
      </c>
      <c r="N6" s="1213" t="str">
        <f>IF('[232]Entrada dados'!J3=1,"Descida D'agua em Degraus à Jusante",IF('[232]Entrada dados'!J3=2,"Caixa Coletora à Montante H=2m",""))</f>
        <v/>
      </c>
      <c r="O6" s="1216" t="str">
        <f>IF('[232]Entrada dados'!N3&lt;&gt;"",'[232]Entrada dados'!N3,"")</f>
        <v/>
      </c>
      <c r="P6" s="1206"/>
      <c r="R6" s="1217"/>
    </row>
    <row r="7" spans="1:18" ht="12.75" hidden="1" customHeight="1">
      <c r="A7" s="1205"/>
      <c r="B7" s="1213" t="str">
        <f>IF('[232]Entrada dados'!A4&lt;&gt;"",'[232]Entrada dados'!A4,"")</f>
        <v>1+6,32</v>
      </c>
      <c r="C7" s="1213" t="s">
        <v>287</v>
      </c>
      <c r="D7" s="1213" t="str">
        <f>IF('[232]Entrada dados'!O4&lt;&gt;"",'[232]Entrada dados'!O4,"")</f>
        <v/>
      </c>
      <c r="E7" s="1214">
        <f>'[232]Entrada dados'!E4</f>
        <v>0</v>
      </c>
      <c r="F7" s="1213" t="str">
        <f>IF('[232]Entrada dados'!C4&lt;&gt;"",IF('[232]Entrada dados'!C4="E","LE",IF('[232]Entrada dados'!C4="D","LD","")),"")</f>
        <v>LE</v>
      </c>
      <c r="G7" s="1215" t="str">
        <f>IF('[232]Entrada dados'!D4&lt;&gt;"",'[232]Entrada dados'!D4,"")</f>
        <v/>
      </c>
      <c r="H7" s="1216" t="str">
        <f>IF('[232]Entrada dados'!F4&lt;&gt;"",'[232]Entrada dados'!F4,"")</f>
        <v/>
      </c>
      <c r="I7" s="1213">
        <f>IF('[232]Entrada dados'!G4&lt;&gt;"",'[232]Entrada dados'!G4,"")</f>
        <v>0</v>
      </c>
      <c r="J7" s="1213" t="s">
        <v>1323</v>
      </c>
      <c r="K7" s="1216" t="str">
        <f>IF('[232]Entrada dados'!Y4&lt;&gt;"",'[232]Entrada dados'!Y4,"")</f>
        <v/>
      </c>
      <c r="L7" s="1216" t="str">
        <f>IF('[232]Entrada dados'!Z4&lt;&gt;"",'[232]Entrada dados'!Z4,"")</f>
        <v/>
      </c>
      <c r="M7" s="1216" t="str">
        <f>IF('[232]Entrada dados'!AA4&lt;&gt;"",'[232]Entrada dados'!AA4,"")</f>
        <v/>
      </c>
      <c r="N7" s="1213" t="str">
        <f>IF('[232]Entrada dados'!J4=1,"Descida D'agua em Degraus à Jusante",IF('[232]Entrada dados'!J4=2,"Caixa Coletora à Montante H=2m",""))</f>
        <v/>
      </c>
      <c r="O7" s="1216" t="str">
        <f>IF('[232]Entrada dados'!N4&lt;&gt;"",'[232]Entrada dados'!N4,"")</f>
        <v/>
      </c>
      <c r="P7" s="1206"/>
      <c r="R7" s="1217"/>
    </row>
    <row r="8" spans="1:18" ht="12.75" hidden="1" customHeight="1">
      <c r="A8" s="1205"/>
      <c r="B8" s="1213" t="str">
        <f>IF('[232]Entrada dados'!A5&lt;&gt;"",'[232]Entrada dados'!A5,"")</f>
        <v>7+8,20</v>
      </c>
      <c r="C8" s="1213" t="s">
        <v>288</v>
      </c>
      <c r="D8" s="1213" t="str">
        <f>IF('[232]Entrada dados'!O5&lt;&gt;"",'[232]Entrada dados'!O5,"")</f>
        <v/>
      </c>
      <c r="E8" s="1214">
        <f>'[232]Entrada dados'!E5</f>
        <v>0</v>
      </c>
      <c r="F8" s="1213" t="str">
        <f>IF('[232]Entrada dados'!C5&lt;&gt;"",IF('[232]Entrada dados'!C5="E","LE",IF('[232]Entrada dados'!C5="D","LD","")),"")</f>
        <v>LE</v>
      </c>
      <c r="G8" s="1215" t="str">
        <f>IF('[232]Entrada dados'!D5&lt;&gt;"",'[232]Entrada dados'!D5,"")</f>
        <v/>
      </c>
      <c r="H8" s="1216" t="str">
        <f>IF('[232]Entrada dados'!F5&lt;&gt;"",'[232]Entrada dados'!F5,"")</f>
        <v/>
      </c>
      <c r="I8" s="1213">
        <f>IF('[232]Entrada dados'!G5&lt;&gt;"",'[232]Entrada dados'!G5,"")</f>
        <v>0</v>
      </c>
      <c r="J8" s="1213" t="s">
        <v>1323</v>
      </c>
      <c r="K8" s="1216" t="str">
        <f>IF('[232]Entrada dados'!Y5&lt;&gt;"",'[232]Entrada dados'!Y5,"")</f>
        <v/>
      </c>
      <c r="L8" s="1216" t="str">
        <f>IF('[232]Entrada dados'!Z5&lt;&gt;"",'[232]Entrada dados'!Z5,"")</f>
        <v/>
      </c>
      <c r="M8" s="1216" t="str">
        <f>IF('[232]Entrada dados'!AA5&lt;&gt;"",'[232]Entrada dados'!AA5,"")</f>
        <v/>
      </c>
      <c r="N8" s="1213" t="s">
        <v>1324</v>
      </c>
      <c r="O8" s="1216" t="str">
        <f>IF('[232]Entrada dados'!N5&lt;&gt;"",'[232]Entrada dados'!N5,"")</f>
        <v/>
      </c>
      <c r="P8" s="1206"/>
      <c r="R8" s="1217"/>
    </row>
    <row r="9" spans="1:18" ht="12.75" hidden="1" customHeight="1">
      <c r="A9" s="1205"/>
      <c r="B9" s="1213" t="str">
        <f>IF('[232]Entrada dados'!A6&lt;&gt;"",'[232]Entrada dados'!A6,"")</f>
        <v>61+9,43</v>
      </c>
      <c r="C9" s="1213" t="s">
        <v>289</v>
      </c>
      <c r="D9" s="1213" t="str">
        <f>IF('[232]Entrada dados'!O6&lt;&gt;"",'[232]Entrada dados'!O6,"")</f>
        <v/>
      </c>
      <c r="E9" s="1214">
        <f>'[232]Entrada dados'!E6</f>
        <v>0</v>
      </c>
      <c r="F9" s="1213" t="str">
        <f>IF('[232]Entrada dados'!C6&lt;&gt;"",IF('[232]Entrada dados'!C6="E","LE",IF('[232]Entrada dados'!C6="D","LD","")),"")</f>
        <v>LE</v>
      </c>
      <c r="G9" s="1215" t="str">
        <f>IF('[232]Entrada dados'!D6&lt;&gt;"",'[232]Entrada dados'!D6,"")</f>
        <v/>
      </c>
      <c r="H9" s="1216" t="str">
        <f>IF('[232]Entrada dados'!F6&lt;&gt;"",'[232]Entrada dados'!F6,"")</f>
        <v/>
      </c>
      <c r="I9" s="1213">
        <f>IF('[232]Entrada dados'!G6&lt;&gt;"",'[232]Entrada dados'!G6,"")</f>
        <v>0</v>
      </c>
      <c r="J9" s="1213" t="s">
        <v>1325</v>
      </c>
      <c r="K9" s="1216" t="str">
        <f>IF('[232]Entrada dados'!Y6&lt;&gt;"",'[232]Entrada dados'!Y6,"")</f>
        <v/>
      </c>
      <c r="L9" s="1216" t="str">
        <f>IF('[232]Entrada dados'!Z6&lt;&gt;"",'[232]Entrada dados'!Z6,"")</f>
        <v/>
      </c>
      <c r="M9" s="1216" t="str">
        <f>IF('[232]Entrada dados'!AA6&lt;&gt;"",'[232]Entrada dados'!AA6,"")</f>
        <v/>
      </c>
      <c r="N9" s="1213" t="s">
        <v>1326</v>
      </c>
      <c r="O9" s="1216" t="str">
        <f>IF('[232]Entrada dados'!N6&lt;&gt;"",'[232]Entrada dados'!N6,"")</f>
        <v/>
      </c>
      <c r="P9" s="1206"/>
      <c r="R9" s="1217"/>
    </row>
    <row r="10" spans="1:18" ht="12.75" hidden="1" customHeight="1">
      <c r="A10" s="1205"/>
      <c r="B10" s="1213" t="str">
        <f>IF('[232]Entrada dados'!A7&lt;&gt;"",'[232]Entrada dados'!A7,"")</f>
        <v>123+12,70</v>
      </c>
      <c r="C10" s="1213" t="s">
        <v>290</v>
      </c>
      <c r="D10" s="1213" t="str">
        <f>IF('[232]Entrada dados'!O7&lt;&gt;"",'[232]Entrada dados'!O7,"")</f>
        <v/>
      </c>
      <c r="E10" s="1214">
        <f>'[232]Entrada dados'!E7</f>
        <v>0</v>
      </c>
      <c r="F10" s="1213" t="str">
        <f>IF('[232]Entrada dados'!C7&lt;&gt;"",IF('[232]Entrada dados'!C7="E","LE",IF('[232]Entrada dados'!C7="D","LD","")),"")</f>
        <v>LE</v>
      </c>
      <c r="G10" s="1215" t="str">
        <f>IF('[232]Entrada dados'!D7&lt;&gt;"",'[232]Entrada dados'!D7,"")</f>
        <v/>
      </c>
      <c r="H10" s="1216" t="str">
        <f>IF('[232]Entrada dados'!F7&lt;&gt;"",'[232]Entrada dados'!F7,"")</f>
        <v/>
      </c>
      <c r="I10" s="1213">
        <f>IF('[232]Entrada dados'!G7&lt;&gt;"",'[232]Entrada dados'!G7,"")</f>
        <v>0</v>
      </c>
      <c r="J10" s="1213" t="s">
        <v>1323</v>
      </c>
      <c r="K10" s="1216" t="str">
        <f>IF('[232]Entrada dados'!Y7&lt;&gt;"",'[232]Entrada dados'!Y7,"")</f>
        <v/>
      </c>
      <c r="L10" s="1216" t="str">
        <f>IF('[232]Entrada dados'!Z7&lt;&gt;"",'[232]Entrada dados'!Z7,"")</f>
        <v/>
      </c>
      <c r="M10" s="1216" t="str">
        <f>IF('[232]Entrada dados'!AA7&lt;&gt;"",'[232]Entrada dados'!AA7,"")</f>
        <v/>
      </c>
      <c r="N10" s="1213" t="s">
        <v>1327</v>
      </c>
      <c r="O10" s="1216" t="str">
        <f>IF('[232]Entrada dados'!N7&lt;&gt;"",'[232]Entrada dados'!N7,"")</f>
        <v/>
      </c>
      <c r="P10" s="1206"/>
      <c r="R10" s="1217"/>
    </row>
    <row r="11" spans="1:18" ht="12.75" hidden="1" customHeight="1">
      <c r="A11" s="1205"/>
      <c r="B11" s="1213" t="str">
        <f>IF('[232]Entrada dados'!A8&lt;&gt;"",'[232]Entrada dados'!A8,"")</f>
        <v>128+6,00</v>
      </c>
      <c r="C11" s="1213" t="s">
        <v>290</v>
      </c>
      <c r="D11" s="1213" t="str">
        <f>IF('[232]Entrada dados'!O8&lt;&gt;"",'[232]Entrada dados'!O8,"")</f>
        <v/>
      </c>
      <c r="E11" s="1214">
        <f>'[232]Entrada dados'!E8</f>
        <v>0</v>
      </c>
      <c r="F11" s="1213" t="str">
        <f>IF('[232]Entrada dados'!C8&lt;&gt;"",IF('[232]Entrada dados'!C8="E","LE",IF('[232]Entrada dados'!C8="D","LD","")),"")</f>
        <v>LE</v>
      </c>
      <c r="G11" s="1215" t="str">
        <f>IF('[232]Entrada dados'!D8&lt;&gt;"",'[232]Entrada dados'!D8,"")</f>
        <v/>
      </c>
      <c r="H11" s="1216" t="str">
        <f>IF('[232]Entrada dados'!F8&lt;&gt;"",'[232]Entrada dados'!F8,"")</f>
        <v/>
      </c>
      <c r="I11" s="1213">
        <f>IF('[232]Entrada dados'!G8&lt;&gt;"",'[232]Entrada dados'!G8,"")</f>
        <v>0</v>
      </c>
      <c r="J11" s="1213" t="s">
        <v>1323</v>
      </c>
      <c r="K11" s="1216" t="str">
        <f>IF('[232]Entrada dados'!Y8&lt;&gt;"",'[232]Entrada dados'!Y8,"")</f>
        <v/>
      </c>
      <c r="L11" s="1216" t="str">
        <f>IF('[232]Entrada dados'!Z8&lt;&gt;"",'[232]Entrada dados'!Z8,"")</f>
        <v/>
      </c>
      <c r="M11" s="1216" t="str">
        <f>IF('[232]Entrada dados'!AA8&lt;&gt;"",'[232]Entrada dados'!AA8,"")</f>
        <v/>
      </c>
      <c r="N11" s="1213" t="str">
        <f>IF('[232]Entrada dados'!J8=1,"Descida D'agua em Degraus à Jusante",IF('[232]Entrada dados'!J8=2,"Caixa Coletora à Montante H=2m",""))</f>
        <v/>
      </c>
      <c r="O11" s="1216" t="str">
        <f>IF('[232]Entrada dados'!N8&lt;&gt;"",'[232]Entrada dados'!N8,"")</f>
        <v/>
      </c>
      <c r="P11" s="1206"/>
      <c r="R11" s="1217"/>
    </row>
    <row r="12" spans="1:18" ht="12.75" hidden="1" customHeight="1">
      <c r="A12" s="1205"/>
      <c r="B12" s="1213" t="str">
        <f>IF('[232]Entrada dados'!A9&lt;&gt;"",'[232]Entrada dados'!A9,"")</f>
        <v>1+6,22</v>
      </c>
      <c r="C12" s="1213" t="s">
        <v>291</v>
      </c>
      <c r="D12" s="1213" t="str">
        <f>IF('[232]Entrada dados'!O9&lt;&gt;"",'[232]Entrada dados'!O9,"")</f>
        <v/>
      </c>
      <c r="E12" s="1214">
        <f>'[232]Entrada dados'!E9</f>
        <v>0</v>
      </c>
      <c r="F12" s="1213" t="str">
        <f>IF('[232]Entrada dados'!C9&lt;&gt;"",IF('[232]Entrada dados'!C9="E","LE",IF('[232]Entrada dados'!C9="D","LD","")),"")</f>
        <v>LD</v>
      </c>
      <c r="G12" s="1215" t="str">
        <f>IF('[232]Entrada dados'!D9&lt;&gt;"",'[232]Entrada dados'!D9,"")</f>
        <v/>
      </c>
      <c r="H12" s="1216" t="str">
        <f>IF('[232]Entrada dados'!F9&lt;&gt;"",'[232]Entrada dados'!F9,"")</f>
        <v/>
      </c>
      <c r="I12" s="1213">
        <f>IF('[232]Entrada dados'!G9&lt;&gt;"",'[232]Entrada dados'!G9,"")</f>
        <v>0</v>
      </c>
      <c r="J12" s="1213" t="s">
        <v>1323</v>
      </c>
      <c r="K12" s="1216" t="str">
        <f>IF('[232]Entrada dados'!Y9&lt;&gt;"",'[232]Entrada dados'!Y9,"")</f>
        <v/>
      </c>
      <c r="L12" s="1216" t="str">
        <f>IF('[232]Entrada dados'!Z9&lt;&gt;"",'[232]Entrada dados'!Z9,"")</f>
        <v/>
      </c>
      <c r="M12" s="1216" t="str">
        <f>IF('[232]Entrada dados'!AA9&lt;&gt;"",'[232]Entrada dados'!AA9,"")</f>
        <v/>
      </c>
      <c r="N12" s="1213" t="str">
        <f>IF('[232]Entrada dados'!J9=1,"Descida D'agua em Degraus à Jusante",IF('[232]Entrada dados'!J9=2,"Caixa Coletora à Montante H=2m",""))</f>
        <v/>
      </c>
      <c r="O12" s="1216" t="str">
        <f>IF('[232]Entrada dados'!N9&lt;&gt;"",'[232]Entrada dados'!N9,"")</f>
        <v/>
      </c>
      <c r="P12" s="1206"/>
      <c r="R12" s="1217"/>
    </row>
    <row r="13" spans="1:18" s="1224" customFormat="1" ht="12.75" hidden="1" customHeight="1">
      <c r="A13" s="1218"/>
      <c r="B13" s="1219" t="str">
        <f>IF('[232]Entrada dados'!A10&lt;&gt;"",'[232]Entrada dados'!A10,"")</f>
        <v>34+5,98</v>
      </c>
      <c r="C13" s="1219" t="s">
        <v>292</v>
      </c>
      <c r="D13" s="1219" t="str">
        <f>IF('[232]Entrada dados'!O10&lt;&gt;"",'[232]Entrada dados'!O10,"")</f>
        <v>BSTC Ø 1,00</v>
      </c>
      <c r="E13" s="1220">
        <f>'[232]Entrada dados'!E10</f>
        <v>1.75</v>
      </c>
      <c r="F13" s="1219" t="str">
        <f>IF('[232]Entrada dados'!C10&lt;&gt;"",IF('[232]Entrada dados'!C10="E","LE",IF('[232]Entrada dados'!C10="D","LD","")),"")</f>
        <v>LE</v>
      </c>
      <c r="G13" s="1221">
        <f>IF('[232]Entrada dados'!D10&lt;&gt;"",'[232]Entrada dados'!D10,"")</f>
        <v>824.899</v>
      </c>
      <c r="H13" s="1222">
        <f>IF('[232]Entrada dados'!F10&lt;&gt;"",'[232]Entrada dados'!F10,"")</f>
        <v>0.73</v>
      </c>
      <c r="I13" s="1219">
        <f>IF('[232]Entrada dados'!G10&lt;&gt;"",'[232]Entrada dados'!G10,"")</f>
        <v>0</v>
      </c>
      <c r="J13" s="1219" t="s">
        <v>1323</v>
      </c>
      <c r="K13" s="1222">
        <f>IF('[232]Entrada dados'!Y10&lt;&gt;"",'[232]Entrada dados'!Y10,"")</f>
        <v>17</v>
      </c>
      <c r="L13" s="1222">
        <f>IF('[232]Entrada dados'!Z10&lt;&gt;"",'[232]Entrada dados'!Z10,"")</f>
        <v>0</v>
      </c>
      <c r="M13" s="1222">
        <f>IF('[232]Entrada dados'!AA10&lt;&gt;"",'[232]Entrada dados'!AA10,"")</f>
        <v>17</v>
      </c>
      <c r="N13" s="1219" t="s">
        <v>1328</v>
      </c>
      <c r="O13" s="1222" t="str">
        <f>IF('[232]Entrada dados'!N10&lt;&gt;"",'[232]Entrada dados'!N10,"")</f>
        <v/>
      </c>
      <c r="P13" s="1223"/>
      <c r="R13" s="1225"/>
    </row>
    <row r="14" spans="1:18" ht="12.75" hidden="1" customHeight="1">
      <c r="A14" s="1205"/>
      <c r="B14" s="1213" t="str">
        <f>IF('[232]Entrada dados'!A11&lt;&gt;"",'[232]Entrada dados'!A11,"")</f>
        <v>51+15,69</v>
      </c>
      <c r="C14" s="1213" t="s">
        <v>292</v>
      </c>
      <c r="D14" s="1213" t="str">
        <f>IF('[232]Entrada dados'!O11&lt;&gt;"",'[232]Entrada dados'!O11,"")</f>
        <v/>
      </c>
      <c r="E14" s="1214">
        <f>'[232]Entrada dados'!E11</f>
        <v>0</v>
      </c>
      <c r="F14" s="1213" t="str">
        <f>IF('[232]Entrada dados'!C11&lt;&gt;"",IF('[232]Entrada dados'!C11="E","LE",IF('[232]Entrada dados'!C11="D","LD","")),"")</f>
        <v>LE</v>
      </c>
      <c r="G14" s="1215" t="str">
        <f>IF('[232]Entrada dados'!D11&lt;&gt;"",'[232]Entrada dados'!D11,"")</f>
        <v/>
      </c>
      <c r="H14" s="1216" t="str">
        <f>IF('[232]Entrada dados'!F11&lt;&gt;"",'[232]Entrada dados'!F11,"")</f>
        <v/>
      </c>
      <c r="I14" s="1213">
        <f>IF('[232]Entrada dados'!G11&lt;&gt;"",'[232]Entrada dados'!G11,"")</f>
        <v>0</v>
      </c>
      <c r="J14" s="1213" t="s">
        <v>1323</v>
      </c>
      <c r="K14" s="1216" t="str">
        <f>IF('[232]Entrada dados'!Y11&lt;&gt;"",'[232]Entrada dados'!Y11,"")</f>
        <v/>
      </c>
      <c r="L14" s="1216" t="str">
        <f>IF('[232]Entrada dados'!Z11&lt;&gt;"",'[232]Entrada dados'!Z11,"")</f>
        <v/>
      </c>
      <c r="M14" s="1216" t="str">
        <f>IF('[232]Entrada dados'!AA11&lt;&gt;"",'[232]Entrada dados'!AA11,"")</f>
        <v/>
      </c>
      <c r="N14" s="1213"/>
      <c r="O14" s="1216" t="str">
        <f>IF('[232]Entrada dados'!N11&lt;&gt;"",'[232]Entrada dados'!N11,"")</f>
        <v/>
      </c>
      <c r="P14" s="1206"/>
      <c r="R14" s="1217"/>
    </row>
    <row r="15" spans="1:18" ht="12.75" hidden="1" customHeight="1">
      <c r="A15" s="1205"/>
      <c r="B15" s="1213" t="str">
        <f>IF('[232]Entrada dados'!A12&lt;&gt;"",'[232]Entrada dados'!A12,"")</f>
        <v>1+6,70</v>
      </c>
      <c r="C15" s="1213" t="s">
        <v>293</v>
      </c>
      <c r="D15" s="1213" t="str">
        <f>IF('[232]Entrada dados'!O12&lt;&gt;"",'[232]Entrada dados'!O12,"")</f>
        <v/>
      </c>
      <c r="E15" s="1214">
        <f>'[232]Entrada dados'!E12</f>
        <v>0</v>
      </c>
      <c r="F15" s="1213" t="str">
        <f>IF('[232]Entrada dados'!C12&lt;&gt;"",IF('[232]Entrada dados'!C12="E","LE",IF('[232]Entrada dados'!C12="D","LD","")),"")</f>
        <v>LD</v>
      </c>
      <c r="G15" s="1215" t="str">
        <f>IF('[232]Entrada dados'!D12&lt;&gt;"",'[232]Entrada dados'!D12,"")</f>
        <v/>
      </c>
      <c r="H15" s="1216" t="str">
        <f>IF('[232]Entrada dados'!F12&lt;&gt;"",'[232]Entrada dados'!F12,"")</f>
        <v/>
      </c>
      <c r="I15" s="1213">
        <f>IF('[232]Entrada dados'!G12&lt;&gt;"",'[232]Entrada dados'!G12,"")</f>
        <v>0</v>
      </c>
      <c r="J15" s="1213" t="s">
        <v>1323</v>
      </c>
      <c r="K15" s="1216" t="str">
        <f>IF('[232]Entrada dados'!Y12&lt;&gt;"",'[232]Entrada dados'!Y12,"")</f>
        <v/>
      </c>
      <c r="L15" s="1216" t="str">
        <f>IF('[232]Entrada dados'!Z12&lt;&gt;"",'[232]Entrada dados'!Z12,"")</f>
        <v/>
      </c>
      <c r="M15" s="1216" t="str">
        <f>IF('[232]Entrada dados'!AA12&lt;&gt;"",'[232]Entrada dados'!AA12,"")</f>
        <v/>
      </c>
      <c r="N15" s="1213" t="str">
        <f>IF('[232]Entrada dados'!J12=1,"Descida D'agua em Degraus à Jusante",IF('[232]Entrada dados'!J12=2,"Caixa Coletora à Montante H=2m",""))</f>
        <v/>
      </c>
      <c r="O15" s="1216" t="str">
        <f>IF('[232]Entrada dados'!N12&lt;&gt;"",'[232]Entrada dados'!N12,"")</f>
        <v/>
      </c>
      <c r="P15" s="1206"/>
      <c r="R15" s="1217"/>
    </row>
    <row r="16" spans="1:18" ht="12.75" hidden="1" customHeight="1">
      <c r="A16" s="1205"/>
      <c r="B16" s="1213" t="str">
        <f>IF('[232]Entrada dados'!A13&lt;&gt;"",'[232]Entrada dados'!A13,"")</f>
        <v>1+6,19</v>
      </c>
      <c r="C16" s="1213" t="s">
        <v>294</v>
      </c>
      <c r="D16" s="1213" t="str">
        <f>IF('[232]Entrada dados'!O13&lt;&gt;"",'[232]Entrada dados'!O13,"")</f>
        <v/>
      </c>
      <c r="E16" s="1214">
        <f>'[232]Entrada dados'!E13</f>
        <v>0</v>
      </c>
      <c r="F16" s="1213" t="str">
        <f>IF('[232]Entrada dados'!C13&lt;&gt;"",IF('[232]Entrada dados'!C13="E","LE",IF('[232]Entrada dados'!C13="D","LD","")),"")</f>
        <v>LD</v>
      </c>
      <c r="G16" s="1215" t="str">
        <f>IF('[232]Entrada dados'!D13&lt;&gt;"",'[232]Entrada dados'!D13,"")</f>
        <v/>
      </c>
      <c r="H16" s="1216" t="str">
        <f>IF('[232]Entrada dados'!F13&lt;&gt;"",'[232]Entrada dados'!F13,"")</f>
        <v/>
      </c>
      <c r="I16" s="1213">
        <f>IF('[232]Entrada dados'!G13&lt;&gt;"",'[232]Entrada dados'!G13,"")</f>
        <v>0</v>
      </c>
      <c r="J16" s="1213" t="s">
        <v>1323</v>
      </c>
      <c r="K16" s="1216" t="str">
        <f>IF('[232]Entrada dados'!Y13&lt;&gt;"",'[232]Entrada dados'!Y13,"")</f>
        <v/>
      </c>
      <c r="L16" s="1216" t="str">
        <f>IF('[232]Entrada dados'!Z13&lt;&gt;"",'[232]Entrada dados'!Z13,"")</f>
        <v/>
      </c>
      <c r="M16" s="1216" t="str">
        <f>IF('[232]Entrada dados'!AA13&lt;&gt;"",'[232]Entrada dados'!AA13,"")</f>
        <v/>
      </c>
      <c r="N16" s="1213" t="str">
        <f>IF('[232]Entrada dados'!J13=1,"Descida D'agua em Degraus à Jusante",IF('[232]Entrada dados'!J13=2,"Caixa Coletora à Montante H=2m",""))</f>
        <v/>
      </c>
      <c r="O16" s="1216" t="str">
        <f>IF('[232]Entrada dados'!N13&lt;&gt;"",'[232]Entrada dados'!N13,"")</f>
        <v/>
      </c>
      <c r="P16" s="1206"/>
      <c r="R16" s="1217"/>
    </row>
    <row r="17" spans="1:18" ht="12.75" hidden="1" customHeight="1">
      <c r="A17" s="1205"/>
      <c r="B17" s="1213" t="str">
        <f>IF('[232]Entrada dados'!A14&lt;&gt;"",'[232]Entrada dados'!A14,"")</f>
        <v>19+10,79</v>
      </c>
      <c r="C17" s="1213" t="s">
        <v>295</v>
      </c>
      <c r="D17" s="1213" t="str">
        <f>IF('[232]Entrada dados'!O14&lt;&gt;"",'[232]Entrada dados'!O14,"")</f>
        <v/>
      </c>
      <c r="E17" s="1214">
        <f>'[232]Entrada dados'!E14</f>
        <v>0</v>
      </c>
      <c r="F17" s="1213" t="str">
        <f>IF('[232]Entrada dados'!C14&lt;&gt;"",IF('[232]Entrada dados'!C14="E","LE",IF('[232]Entrada dados'!C14="D","LD","")),"")</f>
        <v>LE</v>
      </c>
      <c r="G17" s="1215" t="str">
        <f>IF('[232]Entrada dados'!D14&lt;&gt;"",'[232]Entrada dados'!D14,"")</f>
        <v/>
      </c>
      <c r="H17" s="1216" t="str">
        <f>IF('[232]Entrada dados'!F14&lt;&gt;"",'[232]Entrada dados'!F14,"")</f>
        <v/>
      </c>
      <c r="I17" s="1213">
        <f>IF('[232]Entrada dados'!G14&lt;&gt;"",'[232]Entrada dados'!G14,"")</f>
        <v>0</v>
      </c>
      <c r="J17" s="1213" t="s">
        <v>1323</v>
      </c>
      <c r="K17" s="1216" t="str">
        <f>IF('[232]Entrada dados'!Y14&lt;&gt;"",'[232]Entrada dados'!Y14,"")</f>
        <v/>
      </c>
      <c r="L17" s="1216" t="str">
        <f>IF('[232]Entrada dados'!Z14&lt;&gt;"",'[232]Entrada dados'!Z14,"")</f>
        <v/>
      </c>
      <c r="M17" s="1216" t="str">
        <f>IF('[232]Entrada dados'!AA14&lt;&gt;"",'[232]Entrada dados'!AA14,"")</f>
        <v/>
      </c>
      <c r="N17" s="1213" t="str">
        <f>IF('[232]Entrada dados'!J14=1,"Descida D'agua em Degraus à Jusante",IF('[232]Entrada dados'!J14=2,"Caixa Coletora à Montante H=2m",""))</f>
        <v/>
      </c>
      <c r="O17" s="1216" t="str">
        <f>IF('[232]Entrada dados'!N14&lt;&gt;"",'[232]Entrada dados'!N14,"")</f>
        <v/>
      </c>
      <c r="P17" s="1206"/>
      <c r="R17" s="1217"/>
    </row>
    <row r="18" spans="1:18" ht="12.75" hidden="1" customHeight="1">
      <c r="A18" s="1205"/>
      <c r="B18" s="1213" t="str">
        <f>IF('[232]Entrada dados'!A15&lt;&gt;"",'[232]Entrada dados'!A15,"")</f>
        <v>27+12,38</v>
      </c>
      <c r="C18" s="1213" t="s">
        <v>295</v>
      </c>
      <c r="D18" s="1213" t="str">
        <f>IF('[232]Entrada dados'!O15&lt;&gt;"",'[232]Entrada dados'!O15,"")</f>
        <v/>
      </c>
      <c r="E18" s="1214">
        <f>'[232]Entrada dados'!E15</f>
        <v>0</v>
      </c>
      <c r="F18" s="1213" t="str">
        <f>IF('[232]Entrada dados'!C15&lt;&gt;"",IF('[232]Entrada dados'!C15="E","LE",IF('[232]Entrada dados'!C15="D","LD","")),"")</f>
        <v>LE</v>
      </c>
      <c r="G18" s="1215" t="str">
        <f>IF('[232]Entrada dados'!D15&lt;&gt;"",'[232]Entrada dados'!D15,"")</f>
        <v/>
      </c>
      <c r="H18" s="1216" t="str">
        <f>IF('[232]Entrada dados'!F15&lt;&gt;"",'[232]Entrada dados'!F15,"")</f>
        <v/>
      </c>
      <c r="I18" s="1213">
        <f>IF('[232]Entrada dados'!G15&lt;&gt;"",'[232]Entrada dados'!G15,"")</f>
        <v>0</v>
      </c>
      <c r="J18" s="1213" t="s">
        <v>1323</v>
      </c>
      <c r="K18" s="1216" t="str">
        <f>IF('[232]Entrada dados'!Y15&lt;&gt;"",'[232]Entrada dados'!Y15,"")</f>
        <v/>
      </c>
      <c r="L18" s="1216" t="str">
        <f>IF('[232]Entrada dados'!Z15&lt;&gt;"",'[232]Entrada dados'!Z15,"")</f>
        <v/>
      </c>
      <c r="M18" s="1216" t="str">
        <f>IF('[232]Entrada dados'!AA15&lt;&gt;"",'[232]Entrada dados'!AA15,"")</f>
        <v/>
      </c>
      <c r="N18" s="1213" t="s">
        <v>1327</v>
      </c>
      <c r="O18" s="1216" t="str">
        <f>IF('[232]Entrada dados'!N15&lt;&gt;"",'[232]Entrada dados'!N15,"")</f>
        <v/>
      </c>
      <c r="P18" s="1206"/>
    </row>
    <row r="19" spans="1:18" ht="12.75" customHeight="1">
      <c r="A19" s="1205"/>
      <c r="B19" s="1213"/>
      <c r="C19" s="1213"/>
      <c r="D19" s="1213"/>
      <c r="E19" s="1213"/>
      <c r="F19" s="1213"/>
      <c r="G19" s="1215"/>
      <c r="H19" s="1216"/>
      <c r="I19" s="1213"/>
      <c r="J19" s="1213"/>
      <c r="K19" s="1216"/>
      <c r="L19" s="1216"/>
      <c r="M19" s="1216"/>
      <c r="N19" s="1213"/>
      <c r="O19" s="1216"/>
      <c r="P19" s="1206"/>
    </row>
    <row r="20" spans="1:18" s="1224" customFormat="1" ht="12.75" customHeight="1">
      <c r="A20" s="1218"/>
      <c r="B20" s="1219" t="str">
        <f>B13</f>
        <v>34+5,98</v>
      </c>
      <c r="C20" s="1219" t="s">
        <v>292</v>
      </c>
      <c r="D20" s="1219" t="str">
        <f>D13</f>
        <v>BSTC Ø 1,00</v>
      </c>
      <c r="E20" s="1220">
        <v>2</v>
      </c>
      <c r="F20" s="1219" t="s">
        <v>1329</v>
      </c>
      <c r="G20" s="1221" t="str">
        <f>IF('[232]Entrada dados'!D17&lt;&gt;"",'[232]Entrada dados'!D17,"")</f>
        <v/>
      </c>
      <c r="H20" s="1222">
        <v>0.73</v>
      </c>
      <c r="I20" s="1219">
        <v>0</v>
      </c>
      <c r="J20" s="1219" t="s">
        <v>1323</v>
      </c>
      <c r="K20" s="1222">
        <v>17</v>
      </c>
      <c r="L20" s="1222">
        <v>0</v>
      </c>
      <c r="M20" s="1222">
        <v>17</v>
      </c>
      <c r="N20" s="1219" t="s">
        <v>1328</v>
      </c>
      <c r="O20" s="1222" t="str">
        <f>IF('[232]Entrada dados'!N17&lt;&gt;"",'[232]Entrada dados'!N17,"")</f>
        <v/>
      </c>
      <c r="P20" s="1223"/>
      <c r="R20" s="1225"/>
    </row>
    <row r="21" spans="1:18" ht="12.75" customHeight="1">
      <c r="A21" s="1205"/>
      <c r="B21" s="1213"/>
      <c r="C21" s="1213"/>
      <c r="D21" s="1213"/>
      <c r="E21" s="1213"/>
      <c r="F21" s="1213"/>
      <c r="G21" s="1215"/>
      <c r="H21" s="1216"/>
      <c r="I21" s="1213"/>
      <c r="J21" s="1213"/>
      <c r="K21" s="1216"/>
      <c r="L21" s="1216"/>
      <c r="M21" s="1216"/>
      <c r="N21" s="1213"/>
      <c r="O21" s="1216"/>
      <c r="P21" s="1206"/>
    </row>
    <row r="22" spans="1:18" ht="12.75" customHeight="1">
      <c r="A22" s="1205"/>
      <c r="B22" s="1213" t="str">
        <f>IF('[232]Entrada dados'!A20&lt;&gt;"",'[232]Entrada dados'!A20,"")</f>
        <v/>
      </c>
      <c r="C22" s="1213"/>
      <c r="D22" s="1213" t="str">
        <f>IF('[232]Entrada dados'!O20&lt;&gt;"",'[232]Entrada dados'!O20,"")</f>
        <v/>
      </c>
      <c r="E22" s="1213"/>
      <c r="F22" s="1213" t="str">
        <f>IF('[232]Entrada dados'!C20&lt;&gt;"",IF('[232]Entrada dados'!C20="E","LE",IF('[232]Entrada dados'!C20="D","LD","")),"")</f>
        <v/>
      </c>
      <c r="G22" s="1215" t="str">
        <f>IF('[232]Entrada dados'!D20&lt;&gt;"",'[232]Entrada dados'!D20,"")</f>
        <v/>
      </c>
      <c r="H22" s="1216" t="str">
        <f>IF('[232]Entrada dados'!F20&lt;&gt;"",'[232]Entrada dados'!F20,"")</f>
        <v/>
      </c>
      <c r="I22" s="1213" t="str">
        <f>IF('[232]Entrada dados'!G20&lt;&gt;"",'[232]Entrada dados'!G20,"")</f>
        <v/>
      </c>
      <c r="J22" s="1213"/>
      <c r="K22" s="1216" t="str">
        <f>IF('[232]Entrada dados'!Y20&lt;&gt;"",'[232]Entrada dados'!Y20,"")</f>
        <v/>
      </c>
      <c r="L22" s="1216" t="str">
        <f>IF('[232]Entrada dados'!Z20&lt;&gt;"",'[232]Entrada dados'!Z20,"")</f>
        <v/>
      </c>
      <c r="M22" s="1216" t="str">
        <f>IF('[232]Entrada dados'!AA20&lt;&gt;"",'[232]Entrada dados'!AA20,"")</f>
        <v/>
      </c>
      <c r="N22" s="1213" t="str">
        <f>IF('[232]Entrada dados'!J20=1,"Descida D'agua em Degraus à Jusante",IF('[232]Entrada dados'!J20=2,"Caixa Coletora à Montante H=2m",""))</f>
        <v/>
      </c>
      <c r="O22" s="1216" t="str">
        <f>IF('[232]Entrada dados'!N20&lt;&gt;"",'[232]Entrada dados'!N20,"")</f>
        <v/>
      </c>
      <c r="P22" s="1206"/>
    </row>
    <row r="23" spans="1:18" ht="12.75" customHeight="1">
      <c r="A23" s="1205"/>
      <c r="B23" s="1213" t="str">
        <f>IF('[232]Entrada dados'!A21&lt;&gt;"",'[232]Entrada dados'!A21,"")</f>
        <v/>
      </c>
      <c r="C23" s="1213"/>
      <c r="D23" s="1213" t="str">
        <f>IF('[232]Entrada dados'!O21&lt;&gt;"",'[232]Entrada dados'!O21,"")</f>
        <v/>
      </c>
      <c r="E23" s="1213"/>
      <c r="F23" s="1213" t="str">
        <f>IF('[232]Entrada dados'!C21&lt;&gt;"",IF('[232]Entrada dados'!C21="E","LE",IF('[232]Entrada dados'!C21="D","LD","")),"")</f>
        <v/>
      </c>
      <c r="G23" s="1215" t="str">
        <f>IF('[232]Entrada dados'!D21&lt;&gt;"",'[232]Entrada dados'!D21,"")</f>
        <v/>
      </c>
      <c r="H23" s="1226" t="str">
        <f>IF('[232]Entrada dados'!F21&lt;&gt;"",'[232]Entrada dados'!F21,"")</f>
        <v/>
      </c>
      <c r="I23" s="1213" t="str">
        <f>IF('[232]Entrada dados'!G21&lt;&gt;"",'[232]Entrada dados'!G21,"")</f>
        <v/>
      </c>
      <c r="J23" s="1213"/>
      <c r="K23" s="1216" t="str">
        <f>IF('[232]Entrada dados'!Y21&lt;&gt;"",'[232]Entrada dados'!Y21,"")</f>
        <v/>
      </c>
      <c r="L23" s="1216" t="str">
        <f>IF('[232]Entrada dados'!Z21&lt;&gt;"",'[232]Entrada dados'!Z21,"")</f>
        <v/>
      </c>
      <c r="M23" s="1216" t="str">
        <f>IF('[232]Entrada dados'!AA21&lt;&gt;"",'[232]Entrada dados'!AA21,"")</f>
        <v/>
      </c>
      <c r="N23" s="1213" t="str">
        <f>IF('[232]Entrada dados'!J21=1,"Descida D'agua em Degraus à Jusante",IF('[232]Entrada dados'!J21=2,"Caixa Coletora à Montante H=2m",""))</f>
        <v/>
      </c>
      <c r="O23" s="1216" t="str">
        <f>IF('[232]Entrada dados'!N21&lt;&gt;"",'[232]Entrada dados'!N21,"")</f>
        <v/>
      </c>
      <c r="P23" s="1206"/>
    </row>
    <row r="24" spans="1:18" ht="12.75" customHeight="1">
      <c r="A24" s="1205"/>
      <c r="B24" s="1213" t="str">
        <f>IF('[232]Entrada dados'!A22&lt;&gt;"",'[232]Entrada dados'!A22,"")</f>
        <v/>
      </c>
      <c r="C24" s="1213"/>
      <c r="D24" s="1213" t="str">
        <f>IF('[232]Entrada dados'!O22&lt;&gt;"",'[232]Entrada dados'!O22,"")</f>
        <v/>
      </c>
      <c r="E24" s="1213"/>
      <c r="F24" s="1213" t="str">
        <f>IF('[232]Entrada dados'!C22&lt;&gt;"",IF('[232]Entrada dados'!C22="E","LE",IF('[232]Entrada dados'!C22="D","LD","")),"")</f>
        <v/>
      </c>
      <c r="G24" s="1215" t="str">
        <f>IF('[232]Entrada dados'!D22&lt;&gt;"",'[232]Entrada dados'!D22,"")</f>
        <v/>
      </c>
      <c r="H24" s="1216" t="str">
        <f>IF('[232]Entrada dados'!F22&lt;&gt;"",'[232]Entrada dados'!F22,"")</f>
        <v/>
      </c>
      <c r="I24" s="1213" t="str">
        <f>IF('[232]Entrada dados'!G22&lt;&gt;"",'[232]Entrada dados'!G22,"")</f>
        <v/>
      </c>
      <c r="J24" s="1213"/>
      <c r="K24" s="1216" t="str">
        <f>IF('[232]Entrada dados'!Y22&lt;&gt;"",'[232]Entrada dados'!Y22,"")</f>
        <v/>
      </c>
      <c r="L24" s="1216" t="str">
        <f>IF('[232]Entrada dados'!Z22&lt;&gt;"",'[232]Entrada dados'!Z22,"")</f>
        <v/>
      </c>
      <c r="M24" s="1216" t="str">
        <f>IF('[232]Entrada dados'!AA22&lt;&gt;"",'[232]Entrada dados'!AA22,"")</f>
        <v/>
      </c>
      <c r="N24" s="1213" t="str">
        <f>IF('[232]Entrada dados'!J22=1,"Descida D'agua em Degraus à Jusante",IF('[232]Entrada dados'!J22=2,"Caixa Coletora à Montante H=2m",""))</f>
        <v/>
      </c>
      <c r="O24" s="1216" t="str">
        <f>IF('[232]Entrada dados'!N22&lt;&gt;"",'[232]Entrada dados'!N22,"")</f>
        <v/>
      </c>
      <c r="P24" s="1206"/>
    </row>
    <row r="25" spans="1:18" ht="12.75" customHeight="1">
      <c r="A25" s="1205"/>
      <c r="B25" s="1213" t="str">
        <f>IF('[232]Entrada dados'!A23&lt;&gt;"",'[232]Entrada dados'!A23,"")</f>
        <v/>
      </c>
      <c r="C25" s="1213"/>
      <c r="D25" s="1213" t="str">
        <f>IF('[232]Entrada dados'!O23&lt;&gt;"",'[232]Entrada dados'!O23,"")</f>
        <v/>
      </c>
      <c r="E25" s="1213"/>
      <c r="F25" s="1213" t="str">
        <f>IF('[232]Entrada dados'!C23&lt;&gt;"",IF('[232]Entrada dados'!C23="E","LE",IF('[232]Entrada dados'!C23="D","LD","")),"")</f>
        <v/>
      </c>
      <c r="G25" s="1215" t="str">
        <f>IF('[232]Entrada dados'!D23&lt;&gt;"",'[232]Entrada dados'!D23,"")</f>
        <v/>
      </c>
      <c r="H25" s="1216" t="str">
        <f>IF('[232]Entrada dados'!F23&lt;&gt;"",'[232]Entrada dados'!F23,"")</f>
        <v/>
      </c>
      <c r="I25" s="1213" t="str">
        <f>IF('[232]Entrada dados'!G23&lt;&gt;"",'[232]Entrada dados'!G23,"")</f>
        <v/>
      </c>
      <c r="J25" s="1213"/>
      <c r="K25" s="1216" t="str">
        <f>IF('[232]Entrada dados'!Y23&lt;&gt;"",'[232]Entrada dados'!Y23,"")</f>
        <v/>
      </c>
      <c r="L25" s="1216" t="str">
        <f>IF('[232]Entrada dados'!Z23&lt;&gt;"",'[232]Entrada dados'!Z23,"")</f>
        <v/>
      </c>
      <c r="M25" s="1216" t="str">
        <f>IF('[232]Entrada dados'!AA23&lt;&gt;"",'[232]Entrada dados'!AA23,"")</f>
        <v/>
      </c>
      <c r="N25" s="1213" t="str">
        <f>IF('[232]Entrada dados'!J23=1,"Descida D'agua em Degraus à Jusante",IF('[232]Entrada dados'!J23=2,"Caixa Coletora à Montante H=2m",""))</f>
        <v/>
      </c>
      <c r="O25" s="1216" t="str">
        <f>IF('[232]Entrada dados'!N23&lt;&gt;"",'[232]Entrada dados'!N23,"")</f>
        <v/>
      </c>
      <c r="P25" s="1206"/>
    </row>
    <row r="26" spans="1:18" ht="12.75" customHeight="1">
      <c r="A26" s="1205"/>
      <c r="B26" s="1213" t="str">
        <f>IF('[232]Entrada dados'!A24&lt;&gt;"",'[232]Entrada dados'!A24,"")</f>
        <v/>
      </c>
      <c r="C26" s="1213"/>
      <c r="D26" s="1213" t="str">
        <f>IF('[232]Entrada dados'!O24&lt;&gt;"",'[232]Entrada dados'!O24,"")</f>
        <v/>
      </c>
      <c r="E26" s="1213"/>
      <c r="F26" s="1213" t="str">
        <f>IF('[232]Entrada dados'!C24&lt;&gt;"",IF('[232]Entrada dados'!C24="E","LE",IF('[232]Entrada dados'!C24="D","LD","")),"")</f>
        <v/>
      </c>
      <c r="G26" s="1215" t="str">
        <f>IF('[232]Entrada dados'!D24&lt;&gt;"",'[232]Entrada dados'!D24,"")</f>
        <v/>
      </c>
      <c r="H26" s="1216" t="str">
        <f>IF('[232]Entrada dados'!F24&lt;&gt;"",'[232]Entrada dados'!F24,"")</f>
        <v/>
      </c>
      <c r="I26" s="1213" t="str">
        <f>IF('[232]Entrada dados'!G24&lt;&gt;"",'[232]Entrada dados'!G24,"")</f>
        <v/>
      </c>
      <c r="J26" s="1213"/>
      <c r="K26" s="1216" t="str">
        <f>IF('[232]Entrada dados'!Y24&lt;&gt;"",'[232]Entrada dados'!Y24,"")</f>
        <v/>
      </c>
      <c r="L26" s="1216" t="str">
        <f>IF('[232]Entrada dados'!Z24&lt;&gt;"",'[232]Entrada dados'!Z24,"")</f>
        <v/>
      </c>
      <c r="M26" s="1216" t="str">
        <f>IF('[232]Entrada dados'!AA24&lt;&gt;"",'[232]Entrada dados'!AA24,"")</f>
        <v/>
      </c>
      <c r="N26" s="1213" t="str">
        <f>IF('[232]Entrada dados'!J24=1,"Descida D'agua em Degraus à Jusante",IF('[232]Entrada dados'!J24=2,"Caixa Coletora à Montante H=2m",""))</f>
        <v/>
      </c>
      <c r="O26" s="1216" t="str">
        <f>IF('[232]Entrada dados'!N24&lt;&gt;"",'[232]Entrada dados'!N24,"")</f>
        <v/>
      </c>
      <c r="P26" s="1206"/>
    </row>
    <row r="27" spans="1:18" ht="12.75" customHeight="1">
      <c r="A27" s="1205"/>
      <c r="B27" s="1213" t="str">
        <f>IF('[232]Entrada dados'!A25&lt;&gt;"",'[232]Entrada dados'!A25,"")</f>
        <v/>
      </c>
      <c r="C27" s="1213"/>
      <c r="D27" s="1213" t="str">
        <f>IF('[232]Entrada dados'!O25&lt;&gt;"",'[232]Entrada dados'!O25,"")</f>
        <v/>
      </c>
      <c r="E27" s="1213"/>
      <c r="F27" s="1213" t="str">
        <f>IF('[232]Entrada dados'!C25&lt;&gt;"",IF('[232]Entrada dados'!C25="E","LE",IF('[232]Entrada dados'!C25="D","LD","")),"")</f>
        <v/>
      </c>
      <c r="G27" s="1215" t="str">
        <f>IF('[232]Entrada dados'!D25&lt;&gt;"",'[232]Entrada dados'!D25,"")</f>
        <v/>
      </c>
      <c r="H27" s="1216" t="str">
        <f>IF('[232]Entrada dados'!F25&lt;&gt;"",'[232]Entrada dados'!F25,"")</f>
        <v/>
      </c>
      <c r="I27" s="1213" t="str">
        <f>IF('[232]Entrada dados'!G25&lt;&gt;"",'[232]Entrada dados'!G25,"")</f>
        <v/>
      </c>
      <c r="J27" s="1213"/>
      <c r="K27" s="1216" t="str">
        <f>IF('[232]Entrada dados'!Y25&lt;&gt;"",'[232]Entrada dados'!Y25,"")</f>
        <v/>
      </c>
      <c r="L27" s="1216" t="str">
        <f>IF('[232]Entrada dados'!Z25&lt;&gt;"",'[232]Entrada dados'!Z25,"")</f>
        <v/>
      </c>
      <c r="M27" s="1216" t="str">
        <f>IF('[232]Entrada dados'!AA25&lt;&gt;"",'[232]Entrada dados'!AA25,"")</f>
        <v/>
      </c>
      <c r="N27" s="1213" t="str">
        <f>IF('[232]Entrada dados'!J25=1,"Descida D'agua em Degraus à Jusante",IF('[232]Entrada dados'!J25=2,"Caixa Coletora à Montante H=2m",""))</f>
        <v/>
      </c>
      <c r="O27" s="1216" t="str">
        <f>IF('[232]Entrada dados'!N25&lt;&gt;"",'[232]Entrada dados'!N25,"")</f>
        <v/>
      </c>
      <c r="P27" s="1206"/>
    </row>
    <row r="28" spans="1:18" ht="12.75" customHeight="1">
      <c r="A28" s="1205"/>
      <c r="B28" s="1213" t="str">
        <f>IF('[232]Entrada dados'!A26&lt;&gt;"",'[232]Entrada dados'!A26,"")</f>
        <v/>
      </c>
      <c r="C28" s="1213"/>
      <c r="D28" s="1213" t="str">
        <f>IF('[232]Entrada dados'!O26&lt;&gt;"",'[232]Entrada dados'!O26,"")</f>
        <v/>
      </c>
      <c r="E28" s="1213"/>
      <c r="F28" s="1213" t="str">
        <f>IF('[232]Entrada dados'!C26&lt;&gt;"",IF('[232]Entrada dados'!C26="E","LE",IF('[232]Entrada dados'!C26="D","LD","")),"")</f>
        <v/>
      </c>
      <c r="G28" s="1215" t="str">
        <f>IF('[232]Entrada dados'!D26&lt;&gt;"",'[232]Entrada dados'!D26,"")</f>
        <v/>
      </c>
      <c r="H28" s="1216" t="str">
        <f>IF('[232]Entrada dados'!F26&lt;&gt;"",'[232]Entrada dados'!F26,"")</f>
        <v/>
      </c>
      <c r="I28" s="1213" t="str">
        <f>IF('[232]Entrada dados'!G26&lt;&gt;"",'[232]Entrada dados'!G26,"")</f>
        <v/>
      </c>
      <c r="J28" s="1213"/>
      <c r="K28" s="1216" t="str">
        <f>IF('[232]Entrada dados'!Y26&lt;&gt;"",'[232]Entrada dados'!Y26,"")</f>
        <v/>
      </c>
      <c r="L28" s="1216" t="str">
        <f>IF('[232]Entrada dados'!Z26&lt;&gt;"",'[232]Entrada dados'!Z26,"")</f>
        <v/>
      </c>
      <c r="M28" s="1216" t="str">
        <f>IF('[232]Entrada dados'!AA26&lt;&gt;"",'[232]Entrada dados'!AA26,"")</f>
        <v/>
      </c>
      <c r="N28" s="1213" t="str">
        <f>IF('[232]Entrada dados'!J26=1,"Descida D'agua em Degraus à Jusante",IF('[232]Entrada dados'!J26=2,"Caixa Coletora à Montante H=2m",""))</f>
        <v/>
      </c>
      <c r="O28" s="1216" t="str">
        <f>IF('[232]Entrada dados'!N26&lt;&gt;"",'[232]Entrada dados'!N26,"")</f>
        <v/>
      </c>
      <c r="P28" s="1206"/>
    </row>
    <row r="29" spans="1:18" ht="12.75" customHeight="1">
      <c r="A29" s="1205"/>
      <c r="B29" s="1213" t="str">
        <f>IF('[232]Entrada dados'!A27&lt;&gt;"",'[232]Entrada dados'!A27,"")</f>
        <v/>
      </c>
      <c r="C29" s="1213"/>
      <c r="D29" s="1213" t="str">
        <f>IF('[232]Entrada dados'!O27&lt;&gt;"",'[232]Entrada dados'!O27,"")</f>
        <v/>
      </c>
      <c r="E29" s="1213"/>
      <c r="F29" s="1213" t="str">
        <f>IF('[232]Entrada dados'!C27&lt;&gt;"",IF('[232]Entrada dados'!C27="E","LE",IF('[232]Entrada dados'!C27="D","LD","")),"")</f>
        <v/>
      </c>
      <c r="G29" s="1215" t="str">
        <f>IF('[232]Entrada dados'!D27&lt;&gt;"",'[232]Entrada dados'!D27,"")</f>
        <v/>
      </c>
      <c r="H29" s="1216" t="str">
        <f>IF('[232]Entrada dados'!F27&lt;&gt;"",'[232]Entrada dados'!F27,"")</f>
        <v/>
      </c>
      <c r="I29" s="1213" t="str">
        <f>IF('[232]Entrada dados'!G27&lt;&gt;"",'[232]Entrada dados'!G27,"")</f>
        <v/>
      </c>
      <c r="J29" s="1213"/>
      <c r="K29" s="1216" t="str">
        <f>IF('[232]Entrada dados'!Y27&lt;&gt;"",'[232]Entrada dados'!Y27,"")</f>
        <v/>
      </c>
      <c r="L29" s="1216" t="str">
        <f>IF('[232]Entrada dados'!Z27&lt;&gt;"",'[232]Entrada dados'!Z27,"")</f>
        <v/>
      </c>
      <c r="M29" s="1216" t="str">
        <f>IF('[232]Entrada dados'!AA27&lt;&gt;"",'[232]Entrada dados'!AA27,"")</f>
        <v/>
      </c>
      <c r="N29" s="1213" t="str">
        <f>IF('[232]Entrada dados'!J27=1,"Descida D'agua em Degraus à Jusante",IF('[232]Entrada dados'!J27=2,"Caixa Coletora à Montante H=2m",""))</f>
        <v/>
      </c>
      <c r="O29" s="1216" t="str">
        <f>IF('[232]Entrada dados'!N27&lt;&gt;"",'[232]Entrada dados'!N27,"")</f>
        <v/>
      </c>
      <c r="P29" s="1206"/>
    </row>
    <row r="30" spans="1:18" ht="12.75" customHeight="1">
      <c r="A30" s="1205"/>
      <c r="B30" s="1213" t="str">
        <f>IF('[232]Entrada dados'!A28&lt;&gt;"",'[232]Entrada dados'!A28,"")</f>
        <v/>
      </c>
      <c r="C30" s="1213"/>
      <c r="D30" s="1213" t="str">
        <f>IF('[232]Entrada dados'!O28&lt;&gt;"",'[232]Entrada dados'!O28,"")</f>
        <v/>
      </c>
      <c r="E30" s="1213"/>
      <c r="F30" s="1213" t="str">
        <f>IF('[232]Entrada dados'!C28&lt;&gt;"",IF('[232]Entrada dados'!C28="E","LE",IF('[232]Entrada dados'!C28="D","LD","")),"")</f>
        <v/>
      </c>
      <c r="G30" s="1215" t="str">
        <f>IF('[232]Entrada dados'!D28&lt;&gt;"",'[232]Entrada dados'!D28,"")</f>
        <v/>
      </c>
      <c r="H30" s="1216" t="str">
        <f>IF('[232]Entrada dados'!F28&lt;&gt;"",'[232]Entrada dados'!F28,"")</f>
        <v/>
      </c>
      <c r="I30" s="1213" t="str">
        <f>IF('[232]Entrada dados'!G28&lt;&gt;"",'[232]Entrada dados'!G28,"")</f>
        <v/>
      </c>
      <c r="J30" s="1213"/>
      <c r="K30" s="1216" t="str">
        <f>IF('[232]Entrada dados'!Y28&lt;&gt;"",'[232]Entrada dados'!Y28,"")</f>
        <v/>
      </c>
      <c r="L30" s="1216" t="str">
        <f>IF('[232]Entrada dados'!Z28&lt;&gt;"",'[232]Entrada dados'!Z28,"")</f>
        <v/>
      </c>
      <c r="M30" s="1216" t="str">
        <f>IF('[232]Entrada dados'!AA28&lt;&gt;"",'[232]Entrada dados'!AA28,"")</f>
        <v/>
      </c>
      <c r="N30" s="1213" t="str">
        <f>IF('[232]Entrada dados'!J28=1,"Descida D'agua em Degraus à Jusante",IF('[232]Entrada dados'!J28=2,"Caixa Coletora à Montante H=2m",""))</f>
        <v/>
      </c>
      <c r="O30" s="1216" t="str">
        <f>IF('[232]Entrada dados'!N28&lt;&gt;"",'[232]Entrada dados'!N28,"")</f>
        <v/>
      </c>
      <c r="P30" s="1206"/>
    </row>
    <row r="31" spans="1:18" ht="12.75" customHeight="1">
      <c r="A31" s="1205"/>
      <c r="B31" s="1227" t="str">
        <f>IF('[232]Entrada dados'!A29&lt;&gt;"",'[232]Entrada dados'!A29,"")</f>
        <v/>
      </c>
      <c r="C31" s="1227"/>
      <c r="D31" s="1227" t="str">
        <f>IF('[232]Entrada dados'!O29&lt;&gt;"",'[232]Entrada dados'!O29,"")</f>
        <v/>
      </c>
      <c r="E31" s="1227"/>
      <c r="F31" s="1227" t="str">
        <f>IF('[232]Entrada dados'!C29&lt;&gt;"",IF('[232]Entrada dados'!C29="E","LE",IF('[232]Entrada dados'!C29="D","LD","")),"")</f>
        <v/>
      </c>
      <c r="G31" s="1228" t="str">
        <f>IF('[232]Entrada dados'!D29&lt;&gt;"",'[232]Entrada dados'!D29,"")</f>
        <v/>
      </c>
      <c r="H31" s="1229" t="str">
        <f>IF('[232]Entrada dados'!F29&lt;&gt;"",'[232]Entrada dados'!F29,"")</f>
        <v/>
      </c>
      <c r="I31" s="1227" t="str">
        <f>IF('[232]Entrada dados'!G29&lt;&gt;"",'[232]Entrada dados'!G29,"")</f>
        <v/>
      </c>
      <c r="J31" s="1227"/>
      <c r="K31" s="1229" t="str">
        <f>IF('[232]Entrada dados'!Y29&lt;&gt;"",'[232]Entrada dados'!Y29,"")</f>
        <v/>
      </c>
      <c r="L31" s="1229" t="str">
        <f>IF('[232]Entrada dados'!Z29&lt;&gt;"",'[232]Entrada dados'!Z29,"")</f>
        <v/>
      </c>
      <c r="M31" s="1229" t="str">
        <f>IF('[232]Entrada dados'!AA29&lt;&gt;"",'[232]Entrada dados'!AA29,"")</f>
        <v/>
      </c>
      <c r="N31" s="1227" t="str">
        <f>IF('[232]Entrada dados'!J29=1,"Descida D'agua em Degraus à Jusante",IF('[232]Entrada dados'!J29=2,"Caixa Coletora à Montante H=2m",""))</f>
        <v/>
      </c>
      <c r="O31" s="1229" t="str">
        <f>IF('[232]Entrada dados'!N29&lt;&gt;"",'[232]Entrada dados'!N29,"")</f>
        <v/>
      </c>
      <c r="P31" s="1206"/>
    </row>
    <row r="32" spans="1:18" ht="12.75" customHeight="1">
      <c r="A32" s="1205"/>
      <c r="B32" s="1227"/>
      <c r="C32" s="1213"/>
      <c r="D32" s="1227"/>
      <c r="E32" s="1227"/>
      <c r="F32" s="1227" t="str">
        <f>IF('[232]Entrada dados'!C30&lt;&gt;"",IF('[232]Entrada dados'!C30="E","LE",IF('[232]Entrada dados'!C30="D","LD","")),"")</f>
        <v/>
      </c>
      <c r="G32" s="1228" t="str">
        <f>IF('[232]Entrada dados'!D30&lt;&gt;"",'[232]Entrada dados'!D30,"")</f>
        <v/>
      </c>
      <c r="H32" s="1230" t="str">
        <f>IF('[232]Entrada dados'!F30&lt;&gt;"",'[232]Entrada dados'!F30,"")</f>
        <v/>
      </c>
      <c r="I32" s="1227" t="str">
        <f>IF('[232]Entrada dados'!G30&lt;&gt;"",'[232]Entrada dados'!G30,"")</f>
        <v/>
      </c>
      <c r="J32" s="1227"/>
      <c r="K32" s="1229" t="str">
        <f>IF('[232]Entrada dados'!Y30&lt;&gt;"",'[232]Entrada dados'!Y30,"")</f>
        <v/>
      </c>
      <c r="L32" s="1229" t="str">
        <f>IF('[232]Entrada dados'!Z30&lt;&gt;"",'[232]Entrada dados'!Z30,"")</f>
        <v/>
      </c>
      <c r="M32" s="1229" t="str">
        <f>IF('[232]Entrada dados'!AA30&lt;&gt;"",'[232]Entrada dados'!AA30,"")</f>
        <v/>
      </c>
      <c r="N32" s="1227" t="str">
        <f>IF('[232]Entrada dados'!J30=1,"Descida D'agua em Degraus à Jusante",IF('[232]Entrada dados'!J30=2,"Caixa Coletora à Montante H=2m",""))</f>
        <v/>
      </c>
      <c r="O32" s="1229" t="str">
        <f>IF('[232]Entrada dados'!N30&lt;&gt;"",'[232]Entrada dados'!N30,"")</f>
        <v/>
      </c>
      <c r="P32" s="1206"/>
    </row>
    <row r="33" spans="1:16" ht="12.75" customHeight="1">
      <c r="A33" s="1205"/>
      <c r="B33" s="1227"/>
      <c r="C33" s="1213"/>
      <c r="D33" s="1227"/>
      <c r="E33" s="1227"/>
      <c r="F33" s="1227" t="str">
        <f>IF('[232]Entrada dados'!C31&lt;&gt;"",IF('[232]Entrada dados'!C31="E","LE",IF('[232]Entrada dados'!C31="D","LD","")),"")</f>
        <v/>
      </c>
      <c r="G33" s="1228" t="str">
        <f>IF('[232]Entrada dados'!D31&lt;&gt;"",'[232]Entrada dados'!D31,"")</f>
        <v/>
      </c>
      <c r="H33" s="1229" t="str">
        <f>IF('[232]Entrada dados'!F31&lt;&gt;"",'[232]Entrada dados'!F31,"")</f>
        <v/>
      </c>
      <c r="I33" s="1227" t="str">
        <f>IF('[232]Entrada dados'!G31&lt;&gt;"",'[232]Entrada dados'!G31,"")</f>
        <v/>
      </c>
      <c r="J33" s="1227"/>
      <c r="K33" s="1229" t="str">
        <f>IF('[232]Entrada dados'!Y31&lt;&gt;"",'[232]Entrada dados'!Y31,"")</f>
        <v/>
      </c>
      <c r="L33" s="1229" t="str">
        <f>IF('[232]Entrada dados'!Z31&lt;&gt;"",'[232]Entrada dados'!Z31,"")</f>
        <v/>
      </c>
      <c r="M33" s="1229" t="str">
        <f>IF('[232]Entrada dados'!AA31&lt;&gt;"",'[232]Entrada dados'!AA31,"")</f>
        <v/>
      </c>
      <c r="N33" s="1227" t="str">
        <f>IF('[232]Entrada dados'!J31=1,"Descida D'agua em Degraus à Jusante",IF('[232]Entrada dados'!J31=2,"Caixa Coletora à Montante H=2m",""))</f>
        <v/>
      </c>
      <c r="O33" s="1229" t="str">
        <f>IF('[232]Entrada dados'!N31&lt;&gt;"",'[232]Entrada dados'!N31,"")</f>
        <v/>
      </c>
      <c r="P33" s="1206"/>
    </row>
    <row r="34" spans="1:16" ht="12.75" customHeight="1">
      <c r="A34" s="1205"/>
      <c r="B34" s="1227"/>
      <c r="C34" s="1213"/>
      <c r="D34" s="1227"/>
      <c r="E34" s="1227"/>
      <c r="F34" s="1227" t="str">
        <f>IF('[232]Entrada dados'!C32&lt;&gt;"",IF('[232]Entrada dados'!C32="E","LE",IF('[232]Entrada dados'!C32="D","LD","")),"")</f>
        <v/>
      </c>
      <c r="G34" s="1228" t="str">
        <f>IF('[232]Entrada dados'!D32&lt;&gt;"",'[232]Entrada dados'!D32,"")</f>
        <v/>
      </c>
      <c r="H34" s="1229" t="str">
        <f>IF('[232]Entrada dados'!F32&lt;&gt;"",'[232]Entrada dados'!F32,"")</f>
        <v/>
      </c>
      <c r="I34" s="1227" t="str">
        <f>IF('[232]Entrada dados'!G32&lt;&gt;"",'[232]Entrada dados'!G32,"")</f>
        <v/>
      </c>
      <c r="J34" s="1227"/>
      <c r="K34" s="1229" t="str">
        <f>IF('[232]Entrada dados'!Y32&lt;&gt;"",'[232]Entrada dados'!Y32,"")</f>
        <v/>
      </c>
      <c r="L34" s="1229" t="str">
        <f>IF('[232]Entrada dados'!Z32&lt;&gt;"",'[232]Entrada dados'!Z32,"")</f>
        <v/>
      </c>
      <c r="M34" s="1229" t="str">
        <f>IF('[232]Entrada dados'!AA32&lt;&gt;"",'[232]Entrada dados'!AA32,"")</f>
        <v/>
      </c>
      <c r="N34" s="1227" t="str">
        <f>IF('[232]Entrada dados'!J32=1,"Descida D'agua em Degraus à Jusante",IF('[232]Entrada dados'!J32=2,"Caixa Coletora à Montante H=2m",""))</f>
        <v/>
      </c>
      <c r="O34" s="1229" t="str">
        <f>IF('[232]Entrada dados'!N32&lt;&gt;"",'[232]Entrada dados'!N32,"")</f>
        <v/>
      </c>
      <c r="P34" s="1206"/>
    </row>
    <row r="35" spans="1:16" ht="12.75" customHeight="1">
      <c r="A35" s="1205"/>
      <c r="B35" s="1227"/>
      <c r="C35" s="1213"/>
      <c r="D35" s="1227"/>
      <c r="E35" s="1227"/>
      <c r="F35" s="1227" t="str">
        <f>IF('[232]Entrada dados'!C33&lt;&gt;"",IF('[232]Entrada dados'!C33="E","LE",IF('[232]Entrada dados'!C33="D","LD","")),"")</f>
        <v/>
      </c>
      <c r="G35" s="1228" t="str">
        <f>IF('[232]Entrada dados'!D33&lt;&gt;"",'[232]Entrada dados'!D33,"")</f>
        <v/>
      </c>
      <c r="H35" s="1229" t="str">
        <f>IF('[232]Entrada dados'!F33&lt;&gt;"",'[232]Entrada dados'!F33,"")</f>
        <v/>
      </c>
      <c r="I35" s="1227" t="str">
        <f>IF('[232]Entrada dados'!G33&lt;&gt;"",'[232]Entrada dados'!G33,"")</f>
        <v/>
      </c>
      <c r="J35" s="1227"/>
      <c r="K35" s="1229" t="str">
        <f>IF('[232]Entrada dados'!Y33&lt;&gt;"",'[232]Entrada dados'!Y33,"")</f>
        <v/>
      </c>
      <c r="L35" s="1229" t="str">
        <f>IF('[232]Entrada dados'!Z33&lt;&gt;"",'[232]Entrada dados'!Z33,"")</f>
        <v/>
      </c>
      <c r="M35" s="1229" t="str">
        <f>IF('[232]Entrada dados'!AA33&lt;&gt;"",'[232]Entrada dados'!AA33,"")</f>
        <v/>
      </c>
      <c r="N35" s="1227" t="str">
        <f>IF('[232]Entrada dados'!J33=1,"Descida D'agua em Degraus à Jusante",IF('[232]Entrada dados'!J33=2,"Caixa Coletora à Montante H=2m",""))</f>
        <v/>
      </c>
      <c r="O35" s="1229" t="str">
        <f>IF('[232]Entrada dados'!N33&lt;&gt;"",'[232]Entrada dados'!N33,"")</f>
        <v/>
      </c>
      <c r="P35" s="1206"/>
    </row>
    <row r="36" spans="1:16" ht="12.75" customHeight="1">
      <c r="A36" s="1205"/>
      <c r="B36" s="1227"/>
      <c r="C36" s="1213"/>
      <c r="D36" s="1227"/>
      <c r="E36" s="1227"/>
      <c r="F36" s="1227" t="str">
        <f>IF('[232]Entrada dados'!C34&lt;&gt;"",IF('[232]Entrada dados'!C34="E","LE",IF('[232]Entrada dados'!C34="D","LD","")),"")</f>
        <v/>
      </c>
      <c r="G36" s="1228" t="str">
        <f>IF('[232]Entrada dados'!D34&lt;&gt;"",'[232]Entrada dados'!D34,"")</f>
        <v/>
      </c>
      <c r="H36" s="1229" t="str">
        <f>IF('[232]Entrada dados'!F34&lt;&gt;"",'[232]Entrada dados'!F34,"")</f>
        <v/>
      </c>
      <c r="I36" s="1227" t="str">
        <f>IF('[232]Entrada dados'!G34&lt;&gt;"",'[232]Entrada dados'!G34,"")</f>
        <v/>
      </c>
      <c r="J36" s="1227"/>
      <c r="K36" s="1229" t="str">
        <f>IF('[232]Entrada dados'!Y34&lt;&gt;"",'[232]Entrada dados'!Y34,"")</f>
        <v/>
      </c>
      <c r="L36" s="1229" t="str">
        <f>IF('[232]Entrada dados'!Z34&lt;&gt;"",'[232]Entrada dados'!Z34,"")</f>
        <v/>
      </c>
      <c r="M36" s="1229" t="str">
        <f>IF('[232]Entrada dados'!AA34&lt;&gt;"",'[232]Entrada dados'!AA34,"")</f>
        <v/>
      </c>
      <c r="N36" s="1227" t="str">
        <f>IF('[232]Entrada dados'!J34=1,"Descida D'agua em Degraus à Jusante",IF('[232]Entrada dados'!J34=2,"Caixa Coletora à Montante H=2m",""))</f>
        <v/>
      </c>
      <c r="O36" s="1229" t="str">
        <f>IF('[232]Entrada dados'!N34&lt;&gt;"",'[232]Entrada dados'!N34,"")</f>
        <v/>
      </c>
      <c r="P36" s="1206"/>
    </row>
    <row r="37" spans="1:16" ht="12.75" customHeight="1">
      <c r="A37" s="1205"/>
      <c r="B37" s="1227"/>
      <c r="C37" s="1213"/>
      <c r="D37" s="1227"/>
      <c r="E37" s="1227"/>
      <c r="F37" s="1227" t="str">
        <f>IF('[232]Entrada dados'!C35&lt;&gt;"",IF('[232]Entrada dados'!C35="E","LE",IF('[232]Entrada dados'!C35="D","LD","")),"")</f>
        <v/>
      </c>
      <c r="G37" s="1228" t="str">
        <f>IF('[232]Entrada dados'!D35&lt;&gt;"",'[232]Entrada dados'!D35,"")</f>
        <v/>
      </c>
      <c r="H37" s="1229" t="str">
        <f>IF('[232]Entrada dados'!F35&lt;&gt;"",'[232]Entrada dados'!F35,"")</f>
        <v/>
      </c>
      <c r="I37" s="1227" t="str">
        <f>IF('[232]Entrada dados'!G35&lt;&gt;"",'[232]Entrada dados'!G35,"")</f>
        <v/>
      </c>
      <c r="J37" s="1227"/>
      <c r="K37" s="1229" t="str">
        <f>IF('[232]Entrada dados'!Y35&lt;&gt;"",'[232]Entrada dados'!Y35,"")</f>
        <v/>
      </c>
      <c r="L37" s="1229" t="str">
        <f>IF('[232]Entrada dados'!Z35&lt;&gt;"",'[232]Entrada dados'!Z35,"")</f>
        <v/>
      </c>
      <c r="M37" s="1229" t="str">
        <f>IF('[232]Entrada dados'!AA35&lt;&gt;"",'[232]Entrada dados'!AA35,"")</f>
        <v/>
      </c>
      <c r="N37" s="1227" t="str">
        <f>IF('[232]Entrada dados'!J35=1,"Descida D'agua em Degraus à Jusante",IF('[232]Entrada dados'!J35=2,"Caixa Coletora à Montante H=2m",""))</f>
        <v/>
      </c>
      <c r="O37" s="1229" t="str">
        <f>IF('[232]Entrada dados'!N35&lt;&gt;"",'[232]Entrada dados'!N35,"")</f>
        <v/>
      </c>
      <c r="P37" s="1206"/>
    </row>
    <row r="38" spans="1:16" ht="12.75" customHeight="1">
      <c r="A38" s="1205"/>
      <c r="B38" s="1227"/>
      <c r="C38" s="1213"/>
      <c r="D38" s="1227"/>
      <c r="E38" s="1227"/>
      <c r="F38" s="1227" t="str">
        <f>IF('[232]Entrada dados'!C36&lt;&gt;"",IF('[232]Entrada dados'!C36="E","LE",IF('[232]Entrada dados'!C36="D","LD","")),"")</f>
        <v/>
      </c>
      <c r="G38" s="1228" t="str">
        <f>IF('[232]Entrada dados'!D36&lt;&gt;"",'[232]Entrada dados'!D36,"")</f>
        <v/>
      </c>
      <c r="H38" s="1229" t="str">
        <f>IF('[232]Entrada dados'!F36&lt;&gt;"",'[232]Entrada dados'!F36,"")</f>
        <v/>
      </c>
      <c r="I38" s="1227" t="str">
        <f>IF('[232]Entrada dados'!G36&lt;&gt;"",'[232]Entrada dados'!G36,"")</f>
        <v/>
      </c>
      <c r="J38" s="1227"/>
      <c r="K38" s="1229" t="str">
        <f>IF('[232]Entrada dados'!Y36&lt;&gt;"",'[232]Entrada dados'!Y36,"")</f>
        <v/>
      </c>
      <c r="L38" s="1229" t="str">
        <f>IF('[232]Entrada dados'!Z36&lt;&gt;"",'[232]Entrada dados'!Z36,"")</f>
        <v/>
      </c>
      <c r="M38" s="1229" t="str">
        <f>IF('[232]Entrada dados'!AA36&lt;&gt;"",'[232]Entrada dados'!AA36,"")</f>
        <v/>
      </c>
      <c r="N38" s="1227" t="str">
        <f>IF('[232]Entrada dados'!J36=1,"Descida D'agua em Degraus à Jusante",IF('[232]Entrada dados'!J36=2,"Caixa Coletora à Montante H=2m",""))</f>
        <v/>
      </c>
      <c r="O38" s="1229" t="str">
        <f>IF('[232]Entrada dados'!N36&lt;&gt;"",'[232]Entrada dados'!N36,"")</f>
        <v/>
      </c>
      <c r="P38" s="1206"/>
    </row>
    <row r="39" spans="1:16" ht="12.75" customHeight="1">
      <c r="A39" s="1205"/>
      <c r="B39" s="1227"/>
      <c r="C39" s="1213"/>
      <c r="D39" s="1227"/>
      <c r="E39" s="1227"/>
      <c r="F39" s="1227" t="str">
        <f>IF('[232]Entrada dados'!C37&lt;&gt;"",IF('[232]Entrada dados'!C37="E","LE",IF('[232]Entrada dados'!C37="D","LD","")),"")</f>
        <v/>
      </c>
      <c r="G39" s="1228" t="str">
        <f>IF('[232]Entrada dados'!D37&lt;&gt;"",'[232]Entrada dados'!D37,"")</f>
        <v/>
      </c>
      <c r="H39" s="1229" t="str">
        <f>IF('[232]Entrada dados'!F37&lt;&gt;"",'[232]Entrada dados'!F37,"")</f>
        <v/>
      </c>
      <c r="I39" s="1227" t="str">
        <f>IF('[232]Entrada dados'!G37&lt;&gt;"",'[232]Entrada dados'!G37,"")</f>
        <v/>
      </c>
      <c r="J39" s="1227"/>
      <c r="K39" s="1229" t="str">
        <f>IF('[232]Entrada dados'!Y37&lt;&gt;"",'[232]Entrada dados'!Y37,"")</f>
        <v/>
      </c>
      <c r="L39" s="1229" t="str">
        <f>IF('[232]Entrada dados'!Z37&lt;&gt;"",'[232]Entrada dados'!Z37,"")</f>
        <v/>
      </c>
      <c r="M39" s="1229" t="str">
        <f>IF('[232]Entrada dados'!AA37&lt;&gt;"",'[232]Entrada dados'!AA37,"")</f>
        <v/>
      </c>
      <c r="N39" s="1227" t="str">
        <f>IF('[232]Entrada dados'!J37=1,"Descida D'agua em Degraus à Jusante",IF('[232]Entrada dados'!J37=2,"Caixa Coletora à Montante H=2m",""))</f>
        <v/>
      </c>
      <c r="O39" s="1229" t="str">
        <f>IF('[232]Entrada dados'!N37&lt;&gt;"",'[232]Entrada dados'!N37,"")</f>
        <v/>
      </c>
      <c r="P39" s="1206"/>
    </row>
    <row r="40" spans="1:16" ht="12.75" customHeight="1">
      <c r="A40" s="1205"/>
      <c r="B40" s="1227"/>
      <c r="C40" s="1213"/>
      <c r="D40" s="1227"/>
      <c r="E40" s="1227"/>
      <c r="F40" s="1227" t="str">
        <f>IF('[232]Entrada dados'!C38&lt;&gt;"",IF('[232]Entrada dados'!C38="E","LE",IF('[232]Entrada dados'!C38="D","LD","")),"")</f>
        <v/>
      </c>
      <c r="G40" s="1228" t="str">
        <f>IF('[232]Entrada dados'!D38&lt;&gt;"",'[232]Entrada dados'!D38,"")</f>
        <v/>
      </c>
      <c r="H40" s="1229" t="str">
        <f>IF('[232]Entrada dados'!F38&lt;&gt;"",'[232]Entrada dados'!F38,"")</f>
        <v/>
      </c>
      <c r="I40" s="1227" t="str">
        <f>IF('[232]Entrada dados'!G38&lt;&gt;"",'[232]Entrada dados'!G38,"")</f>
        <v/>
      </c>
      <c r="J40" s="1227"/>
      <c r="K40" s="1229" t="str">
        <f>IF('[232]Entrada dados'!Y38&lt;&gt;"",'[232]Entrada dados'!Y38,"")</f>
        <v/>
      </c>
      <c r="L40" s="1229" t="str">
        <f>IF('[232]Entrada dados'!Z38&lt;&gt;"",'[232]Entrada dados'!Z38,"")</f>
        <v/>
      </c>
      <c r="M40" s="1229" t="str">
        <f>IF('[232]Entrada dados'!AA38&lt;&gt;"",'[232]Entrada dados'!AA38,"")</f>
        <v/>
      </c>
      <c r="N40" s="1227" t="str">
        <f>IF('[232]Entrada dados'!J38=1,"Descida D'agua em Degraus à Jusante",IF('[232]Entrada dados'!J38=2,"Caixa Coletora à Montante H=2m",""))</f>
        <v/>
      </c>
      <c r="O40" s="1229" t="str">
        <f>IF('[232]Entrada dados'!N38&lt;&gt;"",'[232]Entrada dados'!N38,"")</f>
        <v/>
      </c>
      <c r="P40" s="1206"/>
    </row>
    <row r="41" spans="1:16" ht="12.75" customHeight="1">
      <c r="A41" s="1205"/>
      <c r="B41" s="1227"/>
      <c r="C41" s="1213"/>
      <c r="D41" s="1227"/>
      <c r="E41" s="1227"/>
      <c r="F41" s="1227" t="str">
        <f>IF('[232]Entrada dados'!C39&lt;&gt;"",IF('[232]Entrada dados'!C39="E","LE",IF('[232]Entrada dados'!C39="D","LD","")),"")</f>
        <v/>
      </c>
      <c r="G41" s="1228" t="str">
        <f>IF('[232]Entrada dados'!D39&lt;&gt;"",'[232]Entrada dados'!D39,"")</f>
        <v/>
      </c>
      <c r="H41" s="1230" t="str">
        <f>IF('[232]Entrada dados'!F39&lt;&gt;"",'[232]Entrada dados'!F39,"")</f>
        <v/>
      </c>
      <c r="I41" s="1227" t="str">
        <f>IF('[232]Entrada dados'!G39&lt;&gt;"",'[232]Entrada dados'!G39,"")</f>
        <v/>
      </c>
      <c r="J41" s="1227"/>
      <c r="K41" s="1229" t="str">
        <f>IF('[232]Entrada dados'!Y39&lt;&gt;"",'[232]Entrada dados'!Y39,"")</f>
        <v/>
      </c>
      <c r="L41" s="1229" t="str">
        <f>IF('[232]Entrada dados'!Z39&lt;&gt;"",'[232]Entrada dados'!Z39,"")</f>
        <v/>
      </c>
      <c r="M41" s="1229" t="str">
        <f>IF('[232]Entrada dados'!AA39&lt;&gt;"",'[232]Entrada dados'!AA39,"")</f>
        <v/>
      </c>
      <c r="N41" s="1227" t="str">
        <f>IF('[232]Entrada dados'!J39=1,"Descida D'agua em Degraus à Jusante",IF('[232]Entrada dados'!J39=2,"Caixa Coletora à Montante H=2m",""))</f>
        <v/>
      </c>
      <c r="O41" s="1229" t="str">
        <f>IF('[232]Entrada dados'!N39&lt;&gt;"",'[232]Entrada dados'!N39,"")</f>
        <v/>
      </c>
      <c r="P41" s="1206"/>
    </row>
    <row r="42" spans="1:16" ht="12.75" customHeight="1">
      <c r="A42" s="1205"/>
      <c r="B42" s="1227"/>
      <c r="C42" s="1213"/>
      <c r="D42" s="1227"/>
      <c r="E42" s="1227"/>
      <c r="F42" s="1227" t="str">
        <f>IF('[232]Entrada dados'!C40&lt;&gt;"",IF('[232]Entrada dados'!C40="E","LE",IF('[232]Entrada dados'!C40="D","LD","")),"")</f>
        <v/>
      </c>
      <c r="G42" s="1228" t="str">
        <f>IF('[232]Entrada dados'!D40&lt;&gt;"",'[232]Entrada dados'!D40,"")</f>
        <v/>
      </c>
      <c r="H42" s="1229" t="str">
        <f>IF('[232]Entrada dados'!F40&lt;&gt;"",'[232]Entrada dados'!F40,"")</f>
        <v/>
      </c>
      <c r="I42" s="1227" t="str">
        <f>IF('[232]Entrada dados'!G40&lt;&gt;"",'[232]Entrada dados'!G40,"")</f>
        <v/>
      </c>
      <c r="J42" s="1227"/>
      <c r="K42" s="1229" t="str">
        <f>IF('[232]Entrada dados'!Y40&lt;&gt;"",'[232]Entrada dados'!Y40,"")</f>
        <v/>
      </c>
      <c r="L42" s="1229" t="str">
        <f>IF('[232]Entrada dados'!Z40&lt;&gt;"",'[232]Entrada dados'!Z40,"")</f>
        <v/>
      </c>
      <c r="M42" s="1229" t="str">
        <f>IF('[232]Entrada dados'!AA40&lt;&gt;"",'[232]Entrada dados'!AA40,"")</f>
        <v/>
      </c>
      <c r="N42" s="1227" t="str">
        <f>IF('[232]Entrada dados'!J40=1,"Descida D'agua em Degraus à Jusante",IF('[232]Entrada dados'!J40=2,"Caixa Coletora à Montante H=2m",""))</f>
        <v/>
      </c>
      <c r="O42" s="1229" t="str">
        <f>IF('[232]Entrada dados'!N40&lt;&gt;"",'[232]Entrada dados'!N40,"")</f>
        <v/>
      </c>
      <c r="P42" s="1206"/>
    </row>
    <row r="43" spans="1:16" ht="12.75" customHeight="1">
      <c r="A43" s="1205"/>
      <c r="B43" s="1213"/>
      <c r="C43" s="1213"/>
      <c r="D43" s="1213"/>
      <c r="E43" s="1213"/>
      <c r="F43" s="1213" t="str">
        <f>IF('[232]Entrada dados'!C41&lt;&gt;"",IF('[232]Entrada dados'!C41="E","LE",IF('[232]Entrada dados'!C41="D","LD","")),"")</f>
        <v/>
      </c>
      <c r="G43" s="1215" t="str">
        <f>IF('[232]Entrada dados'!D41&lt;&gt;"",'[232]Entrada dados'!D41,"")</f>
        <v/>
      </c>
      <c r="H43" s="1216" t="str">
        <f>IF('[232]Entrada dados'!F41&lt;&gt;"",'[232]Entrada dados'!F41,"")</f>
        <v/>
      </c>
      <c r="I43" s="1213" t="str">
        <f>IF('[232]Entrada dados'!G41&lt;&gt;"",'[232]Entrada dados'!G41,"")</f>
        <v/>
      </c>
      <c r="J43" s="1213"/>
      <c r="K43" s="1216" t="str">
        <f>IF('[232]Entrada dados'!Y41&lt;&gt;"",'[232]Entrada dados'!Y41,"")</f>
        <v/>
      </c>
      <c r="L43" s="1216" t="str">
        <f>IF('[232]Entrada dados'!Z41&lt;&gt;"",'[232]Entrada dados'!Z41,"")</f>
        <v/>
      </c>
      <c r="M43" s="1216" t="str">
        <f>IF('[232]Entrada dados'!AA41&lt;&gt;"",'[232]Entrada dados'!AA41,"")</f>
        <v/>
      </c>
      <c r="N43" s="1213" t="str">
        <f>IF('[232]Entrada dados'!J41=1,"Descida D'agua em Degraus à Jusante",IF('[232]Entrada dados'!J41=2,"Caixa Coletora à Montante H=2m",""))</f>
        <v/>
      </c>
      <c r="O43" s="1216" t="str">
        <f>IF('[232]Entrada dados'!N41&lt;&gt;"",'[232]Entrada dados'!N41,"")</f>
        <v/>
      </c>
      <c r="P43" s="1206"/>
    </row>
    <row r="44" spans="1:16" ht="12.75" customHeight="1">
      <c r="A44" s="1205"/>
      <c r="B44" s="1213" t="str">
        <f>IF('[232]Entrada dados'!A42&lt;&gt;"",'[232]Entrada dados'!A42,"")</f>
        <v/>
      </c>
      <c r="C44" s="1213"/>
      <c r="D44" s="1213" t="str">
        <f>IF('[232]Entrada dados'!O42&lt;&gt;"",'[232]Entrada dados'!O42,"")</f>
        <v/>
      </c>
      <c r="E44" s="1213"/>
      <c r="F44" s="1213" t="str">
        <f>IF('[232]Entrada dados'!C42&lt;&gt;"",IF('[232]Entrada dados'!C42="E","LE",IF('[232]Entrada dados'!C42="D","LD","")),"")</f>
        <v/>
      </c>
      <c r="G44" s="1215" t="str">
        <f>IF('[232]Entrada dados'!D42&lt;&gt;"",'[232]Entrada dados'!D42,"")</f>
        <v/>
      </c>
      <c r="H44" s="1216" t="str">
        <f>IF('[232]Entrada dados'!F42&lt;&gt;"",'[232]Entrada dados'!F42,"")</f>
        <v/>
      </c>
      <c r="I44" s="1213" t="str">
        <f>IF('[232]Entrada dados'!G42&lt;&gt;"",'[232]Entrada dados'!G42,"")</f>
        <v/>
      </c>
      <c r="J44" s="1213"/>
      <c r="K44" s="1216" t="str">
        <f>IF('[232]Entrada dados'!Y42&lt;&gt;"",'[232]Entrada dados'!Y42,"")</f>
        <v/>
      </c>
      <c r="L44" s="1216" t="str">
        <f>IF('[232]Entrada dados'!Z42&lt;&gt;"",'[232]Entrada dados'!Z42,"")</f>
        <v/>
      </c>
      <c r="M44" s="1216" t="str">
        <f>IF('[232]Entrada dados'!AA42&lt;&gt;"",'[232]Entrada dados'!AA42,"")</f>
        <v/>
      </c>
      <c r="N44" s="1213" t="str">
        <f>IF('[232]Entrada dados'!J42=1,"Descida D'agua em Degraus à Jusante",IF('[232]Entrada dados'!J42=2,"Caixa Coletora à Montante H=2m",""))</f>
        <v/>
      </c>
      <c r="O44" s="1216" t="str">
        <f>IF('[232]Entrada dados'!N42&lt;&gt;"",'[232]Entrada dados'!N42,"")</f>
        <v/>
      </c>
      <c r="P44" s="1206"/>
    </row>
    <row r="45" spans="1:16" ht="12.75" customHeight="1">
      <c r="A45" s="1205"/>
      <c r="B45" s="1213"/>
      <c r="C45" s="1213"/>
      <c r="D45" s="1213" t="str">
        <f>IF('[232]Entrada dados'!O43&lt;&gt;"",'[232]Entrada dados'!O43,"")</f>
        <v/>
      </c>
      <c r="E45" s="1213"/>
      <c r="F45" s="1213" t="str">
        <f>IF('[232]Entrada dados'!C43&lt;&gt;"",IF('[232]Entrada dados'!C43="E","LE",IF('[232]Entrada dados'!C43="D","LD","")),"")</f>
        <v/>
      </c>
      <c r="G45" s="1215" t="str">
        <f>IF('[232]Entrada dados'!D43&lt;&gt;"",'[232]Entrada dados'!D43,"")</f>
        <v/>
      </c>
      <c r="H45" s="1216" t="str">
        <f>IF('[232]Entrada dados'!F43&lt;&gt;"",'[232]Entrada dados'!F43,"")</f>
        <v/>
      </c>
      <c r="I45" s="1213" t="str">
        <f>IF('[232]Entrada dados'!G43&lt;&gt;"",'[232]Entrada dados'!G43,"")</f>
        <v/>
      </c>
      <c r="J45" s="1213"/>
      <c r="K45" s="1216" t="str">
        <f>IF('[232]Entrada dados'!Y43&lt;&gt;"",'[232]Entrada dados'!Y43,"")</f>
        <v/>
      </c>
      <c r="L45" s="1216" t="str">
        <f>IF('[232]Entrada dados'!Z43&lt;&gt;"",'[232]Entrada dados'!Z43,"")</f>
        <v/>
      </c>
      <c r="M45" s="1216" t="str">
        <f>IF('[232]Entrada dados'!AA43&lt;&gt;"",'[232]Entrada dados'!AA43,"")</f>
        <v/>
      </c>
      <c r="N45" s="1213" t="str">
        <f>IF('[232]Entrada dados'!J43=1,"Descida D'agua em Degraus à Jusante",IF('[232]Entrada dados'!J43=2,"Caixa Coletora à Montante H=2m",""))</f>
        <v/>
      </c>
      <c r="O45" s="1216" t="str">
        <f>IF('[232]Entrada dados'!N43&lt;&gt;"",'[232]Entrada dados'!N43,"")</f>
        <v/>
      </c>
      <c r="P45" s="1206"/>
    </row>
    <row r="46" spans="1:16" ht="12.75" customHeight="1">
      <c r="A46" s="1205"/>
      <c r="B46" s="1213"/>
      <c r="C46" s="1213"/>
      <c r="D46" s="1213" t="str">
        <f>IF('[232]Entrada dados'!O44&lt;&gt;"",'[232]Entrada dados'!O44,"")</f>
        <v/>
      </c>
      <c r="E46" s="1213"/>
      <c r="F46" s="1213" t="str">
        <f>IF('[232]Entrada dados'!C44&lt;&gt;"",IF('[232]Entrada dados'!C44="E","LE",IF('[232]Entrada dados'!C44="D","LD","")),"")</f>
        <v/>
      </c>
      <c r="G46" s="1215" t="str">
        <f>IF('[232]Entrada dados'!D44&lt;&gt;"",'[232]Entrada dados'!D44,"")</f>
        <v/>
      </c>
      <c r="H46" s="1216" t="str">
        <f>IF('[232]Entrada dados'!F44&lt;&gt;"",'[232]Entrada dados'!F44,"")</f>
        <v/>
      </c>
      <c r="I46" s="1213" t="str">
        <f>IF('[232]Entrada dados'!G44&lt;&gt;"",'[232]Entrada dados'!G44,"")</f>
        <v/>
      </c>
      <c r="J46" s="1213"/>
      <c r="K46" s="1216" t="str">
        <f>IF('[232]Entrada dados'!Y44&lt;&gt;"",'[232]Entrada dados'!Y44,"")</f>
        <v/>
      </c>
      <c r="L46" s="1216" t="str">
        <f>IF('[232]Entrada dados'!Z44&lt;&gt;"",'[232]Entrada dados'!Z44,"")</f>
        <v/>
      </c>
      <c r="M46" s="1216" t="str">
        <f>IF('[232]Entrada dados'!AA44&lt;&gt;"",'[232]Entrada dados'!AA44,"")</f>
        <v/>
      </c>
      <c r="N46" s="1213" t="str">
        <f>IF('[232]Entrada dados'!J44=1,"Descida D'agua em Degraus à Jusante",IF('[232]Entrada dados'!J44=2,"Caixa Coletora à Montante H=2m",""))</f>
        <v/>
      </c>
      <c r="O46" s="1216" t="str">
        <f>IF('[232]Entrada dados'!N44&lt;&gt;"",'[232]Entrada dados'!N44,"")</f>
        <v/>
      </c>
      <c r="P46" s="1206"/>
    </row>
    <row r="47" spans="1:16" ht="12.75" customHeight="1">
      <c r="A47" s="1205"/>
      <c r="B47" s="1213"/>
      <c r="C47" s="1213"/>
      <c r="D47" s="1213" t="str">
        <f>IF('[232]Entrada dados'!O45&lt;&gt;"",'[232]Entrada dados'!O45,"")</f>
        <v/>
      </c>
      <c r="E47" s="1213"/>
      <c r="F47" s="1213" t="str">
        <f>IF('[232]Entrada dados'!C45&lt;&gt;"",IF('[232]Entrada dados'!C45="E","LE",IF('[232]Entrada dados'!C45="D","LD","")),"")</f>
        <v/>
      </c>
      <c r="G47" s="1215" t="str">
        <f>IF('[232]Entrada dados'!D45&lt;&gt;"",'[232]Entrada dados'!D45,"")</f>
        <v/>
      </c>
      <c r="H47" s="1216" t="str">
        <f>IF('[232]Entrada dados'!F45&lt;&gt;"",'[232]Entrada dados'!F45,"")</f>
        <v/>
      </c>
      <c r="I47" s="1213" t="str">
        <f>IF('[232]Entrada dados'!G45&lt;&gt;"",'[232]Entrada dados'!G45,"")</f>
        <v/>
      </c>
      <c r="J47" s="1213"/>
      <c r="K47" s="1216" t="str">
        <f>IF('[232]Entrada dados'!Y45&lt;&gt;"",'[232]Entrada dados'!Y45,"")</f>
        <v/>
      </c>
      <c r="L47" s="1216" t="str">
        <f>IF('[232]Entrada dados'!Z45&lt;&gt;"",'[232]Entrada dados'!Z45,"")</f>
        <v/>
      </c>
      <c r="M47" s="1216" t="str">
        <f>IF('[232]Entrada dados'!AA45&lt;&gt;"",'[232]Entrada dados'!AA45,"")</f>
        <v/>
      </c>
      <c r="N47" s="1213" t="str">
        <f>IF('[232]Entrada dados'!J45=1,"Descida D'agua em Degraus à Jusante",IF('[232]Entrada dados'!J45=2,"Caixa Coletora à Montante H=2m",""))</f>
        <v/>
      </c>
      <c r="O47" s="1216" t="str">
        <f>IF('[232]Entrada dados'!N45&lt;&gt;"",'[232]Entrada dados'!N45,"")</f>
        <v/>
      </c>
      <c r="P47" s="1206"/>
    </row>
    <row r="48" spans="1:16" ht="12.75" customHeight="1">
      <c r="A48" s="1205"/>
      <c r="B48" s="1213"/>
      <c r="C48" s="1213"/>
      <c r="D48" s="1213" t="str">
        <f>IF('[232]Entrada dados'!O46&lt;&gt;"",'[232]Entrada dados'!O46,"")</f>
        <v/>
      </c>
      <c r="E48" s="1213"/>
      <c r="F48" s="1213" t="str">
        <f>IF('[232]Entrada dados'!C46&lt;&gt;"",IF('[232]Entrada dados'!C46="E","LE",IF('[232]Entrada dados'!C46="D","LD","")),"")</f>
        <v/>
      </c>
      <c r="G48" s="1215" t="str">
        <f>IF('[232]Entrada dados'!D46&lt;&gt;"",'[232]Entrada dados'!D46,"")</f>
        <v/>
      </c>
      <c r="H48" s="1216" t="str">
        <f>IF('[232]Entrada dados'!F46&lt;&gt;"",'[232]Entrada dados'!F46,"")</f>
        <v/>
      </c>
      <c r="I48" s="1213" t="str">
        <f>IF('[232]Entrada dados'!G46&lt;&gt;"",'[232]Entrada dados'!G46,"")</f>
        <v/>
      </c>
      <c r="J48" s="1213"/>
      <c r="K48" s="1216" t="str">
        <f>IF('[232]Entrada dados'!Y46&lt;&gt;"",'[232]Entrada dados'!Y46,"")</f>
        <v/>
      </c>
      <c r="L48" s="1216" t="str">
        <f>IF('[232]Entrada dados'!Z46&lt;&gt;"",'[232]Entrada dados'!Z46,"")</f>
        <v/>
      </c>
      <c r="M48" s="1216" t="str">
        <f>IF('[232]Entrada dados'!AA46&lt;&gt;"",'[232]Entrada dados'!AA46,"")</f>
        <v/>
      </c>
      <c r="N48" s="1213" t="str">
        <f>IF('[232]Entrada dados'!J46=1,"Descida D'agua em Degraus à Jusante",IF('[232]Entrada dados'!J46=2,"Caixa Coletora à Montante H=2m",""))</f>
        <v/>
      </c>
      <c r="O48" s="1216" t="str">
        <f>IF('[232]Entrada dados'!N46&lt;&gt;"",'[232]Entrada dados'!N46,"")</f>
        <v/>
      </c>
      <c r="P48" s="1206"/>
    </row>
    <row r="49" spans="1:16" ht="12.75" customHeight="1">
      <c r="A49" s="1205"/>
      <c r="B49" s="1213"/>
      <c r="C49" s="1213"/>
      <c r="D49" s="1213" t="str">
        <f>IF('[232]Entrada dados'!O47&lt;&gt;"",'[232]Entrada dados'!O47,"")</f>
        <v/>
      </c>
      <c r="E49" s="1213"/>
      <c r="F49" s="1213" t="str">
        <f>IF('[232]Entrada dados'!C47&lt;&gt;"",IF('[232]Entrada dados'!C47="E","LE",IF('[232]Entrada dados'!C47="D","LD","")),"")</f>
        <v/>
      </c>
      <c r="G49" s="1215" t="str">
        <f>IF('[232]Entrada dados'!D47&lt;&gt;"",'[232]Entrada dados'!D47,"")</f>
        <v/>
      </c>
      <c r="H49" s="1216" t="str">
        <f>IF('[232]Entrada dados'!F47&lt;&gt;"",'[232]Entrada dados'!F47,"")</f>
        <v/>
      </c>
      <c r="I49" s="1213" t="str">
        <f>IF('[232]Entrada dados'!G47&lt;&gt;"",'[232]Entrada dados'!G47,"")</f>
        <v/>
      </c>
      <c r="J49" s="1213"/>
      <c r="K49" s="1216" t="str">
        <f>IF('[232]Entrada dados'!Y47&lt;&gt;"",'[232]Entrada dados'!Y47,"")</f>
        <v/>
      </c>
      <c r="L49" s="1216" t="str">
        <f>IF('[232]Entrada dados'!Z47&lt;&gt;"",'[232]Entrada dados'!Z47,"")</f>
        <v/>
      </c>
      <c r="M49" s="1216" t="str">
        <f>IF('[232]Entrada dados'!AA47&lt;&gt;"",'[232]Entrada dados'!AA47,"")</f>
        <v/>
      </c>
      <c r="N49" s="1213" t="str">
        <f>IF('[232]Entrada dados'!J47=1,"Descida D'agua em Degraus à Jusante",IF('[232]Entrada dados'!J47=2,"Caixa Coletora à Montante H=2m",""))</f>
        <v/>
      </c>
      <c r="O49" s="1216" t="str">
        <f>IF('[232]Entrada dados'!N47&lt;&gt;"",'[232]Entrada dados'!N47,"")</f>
        <v/>
      </c>
      <c r="P49" s="1206"/>
    </row>
    <row r="50" spans="1:16" ht="12.75" customHeight="1">
      <c r="A50" s="1205"/>
      <c r="B50" s="1213"/>
      <c r="C50" s="1213"/>
      <c r="D50" s="1213" t="str">
        <f>IF('[232]Entrada dados'!O48&lt;&gt;"",'[232]Entrada dados'!O48,"")</f>
        <v/>
      </c>
      <c r="E50" s="1213"/>
      <c r="F50" s="1213" t="str">
        <f>IF('[232]Entrada dados'!C48&lt;&gt;"",IF('[232]Entrada dados'!C48="E","LE",IF('[232]Entrada dados'!C48="D","LD","")),"")</f>
        <v/>
      </c>
      <c r="G50" s="1215" t="str">
        <f>IF('[232]Entrada dados'!D48&lt;&gt;"",'[232]Entrada dados'!D48,"")</f>
        <v/>
      </c>
      <c r="H50" s="1216" t="str">
        <f>IF('[232]Entrada dados'!F48&lt;&gt;"",'[232]Entrada dados'!F48,"")</f>
        <v/>
      </c>
      <c r="I50" s="1213" t="str">
        <f>IF('[232]Entrada dados'!G48&lt;&gt;"",'[232]Entrada dados'!G48,"")</f>
        <v/>
      </c>
      <c r="J50" s="1213"/>
      <c r="K50" s="1216" t="str">
        <f>IF('[232]Entrada dados'!Y48&lt;&gt;"",'[232]Entrada dados'!Y48,"")</f>
        <v/>
      </c>
      <c r="L50" s="1216" t="str">
        <f>IF('[232]Entrada dados'!Z48&lt;&gt;"",'[232]Entrada dados'!Z48,"")</f>
        <v/>
      </c>
      <c r="M50" s="1216" t="str">
        <f>IF('[232]Entrada dados'!AA48&lt;&gt;"",'[232]Entrada dados'!AA48,"")</f>
        <v/>
      </c>
      <c r="N50" s="1213" t="str">
        <f>IF('[232]Entrada dados'!J48=1,"Descida D'agua em Degraus à Jusante",IF('[232]Entrada dados'!J48=2,"Caixa Coletora à Montante H=2m",""))</f>
        <v/>
      </c>
      <c r="O50" s="1216" t="str">
        <f>IF('[232]Entrada dados'!N48&lt;&gt;"",'[232]Entrada dados'!N48,"")</f>
        <v/>
      </c>
      <c r="P50" s="1206"/>
    </row>
    <row r="51" spans="1:16" ht="12.75" customHeight="1">
      <c r="A51" s="1205"/>
      <c r="B51" s="1213"/>
      <c r="C51" s="1213"/>
      <c r="D51" s="1213" t="str">
        <f>IF('[232]Entrada dados'!O49&lt;&gt;"",'[232]Entrada dados'!O49,"")</f>
        <v/>
      </c>
      <c r="E51" s="1213"/>
      <c r="F51" s="1213" t="str">
        <f>IF('[232]Entrada dados'!C49&lt;&gt;"",IF('[232]Entrada dados'!C49="E","LE",IF('[232]Entrada dados'!C49="D","LD","")),"")</f>
        <v/>
      </c>
      <c r="G51" s="1215" t="str">
        <f>IF('[232]Entrada dados'!D49&lt;&gt;"",'[232]Entrada dados'!D49,"")</f>
        <v/>
      </c>
      <c r="H51" s="1216" t="str">
        <f>IF('[232]Entrada dados'!F49&lt;&gt;"",'[232]Entrada dados'!F49,"")</f>
        <v/>
      </c>
      <c r="I51" s="1213" t="str">
        <f>IF('[232]Entrada dados'!G49&lt;&gt;"",'[232]Entrada dados'!G49,"")</f>
        <v/>
      </c>
      <c r="J51" s="1213"/>
      <c r="K51" s="1216" t="str">
        <f>IF('[232]Entrada dados'!Y49&lt;&gt;"",'[232]Entrada dados'!Y49,"")</f>
        <v/>
      </c>
      <c r="L51" s="1216" t="str">
        <f>IF('[232]Entrada dados'!Z49&lt;&gt;"",'[232]Entrada dados'!Z49,"")</f>
        <v/>
      </c>
      <c r="M51" s="1216" t="str">
        <f>IF('[232]Entrada dados'!AA49&lt;&gt;"",'[232]Entrada dados'!AA49,"")</f>
        <v/>
      </c>
      <c r="N51" s="1213" t="str">
        <f>IF('[232]Entrada dados'!J49=1,"Descida D'agua em Degraus à Jusante",IF('[232]Entrada dados'!J49=2,"Caixa Coletora à Montante H=2m",""))</f>
        <v/>
      </c>
      <c r="O51" s="1216" t="str">
        <f>IF('[232]Entrada dados'!N49&lt;&gt;"",'[232]Entrada dados'!N49,"")</f>
        <v/>
      </c>
      <c r="P51" s="1206"/>
    </row>
    <row r="52" spans="1:16" ht="12.75" customHeight="1">
      <c r="A52" s="1205"/>
      <c r="B52" s="1213"/>
      <c r="C52" s="1213"/>
      <c r="D52" s="1213" t="str">
        <f>IF('[232]Entrada dados'!O50&lt;&gt;"",'[232]Entrada dados'!O50,"")</f>
        <v/>
      </c>
      <c r="E52" s="1213"/>
      <c r="F52" s="1213" t="str">
        <f>IF('[232]Entrada dados'!C50&lt;&gt;"",IF('[232]Entrada dados'!C50="E","LE",IF('[232]Entrada dados'!C50="D","LD","")),"")</f>
        <v/>
      </c>
      <c r="G52" s="1215" t="str">
        <f>IF('[232]Entrada dados'!D50&lt;&gt;"",'[232]Entrada dados'!D50,"")</f>
        <v/>
      </c>
      <c r="H52" s="1216" t="str">
        <f>IF('[232]Entrada dados'!F50&lt;&gt;"",'[232]Entrada dados'!F50,"")</f>
        <v/>
      </c>
      <c r="I52" s="1213" t="str">
        <f>IF('[232]Entrada dados'!G50&lt;&gt;"",'[232]Entrada dados'!G50,"")</f>
        <v/>
      </c>
      <c r="J52" s="1213"/>
      <c r="K52" s="1216" t="str">
        <f>IF('[232]Entrada dados'!Y50&lt;&gt;"",'[232]Entrada dados'!Y50,"")</f>
        <v/>
      </c>
      <c r="L52" s="1216" t="str">
        <f>IF('[232]Entrada dados'!Z50&lt;&gt;"",'[232]Entrada dados'!Z50,"")</f>
        <v/>
      </c>
      <c r="M52" s="1216" t="str">
        <f>IF('[232]Entrada dados'!AA50&lt;&gt;"",'[232]Entrada dados'!AA50,"")</f>
        <v/>
      </c>
      <c r="N52" s="1213" t="str">
        <f>IF('[232]Entrada dados'!J50=1,"Descida D'agua em Degraus à Jusante",IF('[232]Entrada dados'!J50=2,"Caixa Coletora à Montante H=2m",""))</f>
        <v/>
      </c>
      <c r="O52" s="1216" t="str">
        <f>IF('[232]Entrada dados'!N50&lt;&gt;"",'[232]Entrada dados'!N50,"")</f>
        <v/>
      </c>
      <c r="P52" s="1206"/>
    </row>
    <row r="53" spans="1:16" ht="12.75" customHeight="1">
      <c r="A53" s="1205"/>
      <c r="B53" s="1213" t="str">
        <f>IF('[232]Entrada dados'!A51&lt;&gt;"",'[232]Entrada dados'!A51,"")</f>
        <v/>
      </c>
      <c r="C53" s="1213"/>
      <c r="D53" s="1213" t="str">
        <f>IF('[232]Entrada dados'!O51&lt;&gt;"",'[232]Entrada dados'!O51,"")</f>
        <v/>
      </c>
      <c r="E53" s="1213"/>
      <c r="F53" s="1213" t="str">
        <f>IF('[232]Entrada dados'!C51&lt;&gt;"",IF('[232]Entrada dados'!C51="E","LE",IF('[232]Entrada dados'!C51="D","LD","")),"")</f>
        <v/>
      </c>
      <c r="G53" s="1215" t="str">
        <f>IF('[232]Entrada dados'!D51&lt;&gt;"",'[232]Entrada dados'!D51,"")</f>
        <v/>
      </c>
      <c r="H53" s="1216" t="str">
        <f>IF('[232]Entrada dados'!F51&lt;&gt;"",'[232]Entrada dados'!F51,"")</f>
        <v/>
      </c>
      <c r="I53" s="1213" t="str">
        <f>IF('[232]Entrada dados'!G51&lt;&gt;"",'[232]Entrada dados'!G51,"")</f>
        <v/>
      </c>
      <c r="J53" s="1213"/>
      <c r="K53" s="1216" t="str">
        <f>IF('[232]Entrada dados'!Y51&lt;&gt;"",'[232]Entrada dados'!Y51,"")</f>
        <v/>
      </c>
      <c r="L53" s="1216" t="str">
        <f>IF('[232]Entrada dados'!Z51&lt;&gt;"",'[232]Entrada dados'!Z51,"")</f>
        <v/>
      </c>
      <c r="M53" s="1216" t="str">
        <f>IF('[232]Entrada dados'!AA51&lt;&gt;"",'[232]Entrada dados'!AA51,"")</f>
        <v/>
      </c>
      <c r="N53" s="1213" t="str">
        <f>IF('[232]Entrada dados'!J51=1,"Descida D'agua em Degraus à Jusante",IF('[232]Entrada dados'!J51=2,"Caixa Coletora à Montante H=2m",""))</f>
        <v/>
      </c>
      <c r="O53" s="1216" t="str">
        <f>IF('[232]Entrada dados'!N51&lt;&gt;"",'[232]Entrada dados'!N51,"")</f>
        <v/>
      </c>
      <c r="P53" s="1206"/>
    </row>
    <row r="54" spans="1:16" ht="12.75" customHeight="1">
      <c r="A54" s="1205"/>
      <c r="B54" s="1213" t="str">
        <f>IF('[232]Entrada dados'!A52&lt;&gt;"",'[232]Entrada dados'!A52,"")</f>
        <v/>
      </c>
      <c r="C54" s="1213"/>
      <c r="D54" s="1213" t="str">
        <f>IF('[232]Entrada dados'!O52&lt;&gt;"",'[232]Entrada dados'!O52,"")</f>
        <v/>
      </c>
      <c r="E54" s="1213"/>
      <c r="F54" s="1213" t="str">
        <f>IF('[232]Entrada dados'!C52&lt;&gt;"",IF('[232]Entrada dados'!C52="E","LE",IF('[232]Entrada dados'!C52="D","LD","")),"")</f>
        <v/>
      </c>
      <c r="G54" s="1215" t="str">
        <f>IF('[232]Entrada dados'!D52&lt;&gt;"",'[232]Entrada dados'!D52,"")</f>
        <v/>
      </c>
      <c r="H54" s="1216" t="str">
        <f>IF('[232]Entrada dados'!F52&lt;&gt;"",'[232]Entrada dados'!F52,"")</f>
        <v/>
      </c>
      <c r="I54" s="1213" t="str">
        <f>IF('[232]Entrada dados'!G52&lt;&gt;"",'[232]Entrada dados'!G52,"")</f>
        <v/>
      </c>
      <c r="J54" s="1213"/>
      <c r="K54" s="1216" t="str">
        <f>IF('[232]Entrada dados'!Y52&lt;&gt;"",'[232]Entrada dados'!Y52,"")</f>
        <v/>
      </c>
      <c r="L54" s="1216" t="str">
        <f>IF('[232]Entrada dados'!Z52&lt;&gt;"",'[232]Entrada dados'!Z52,"")</f>
        <v/>
      </c>
      <c r="M54" s="1216" t="str">
        <f>IF('[232]Entrada dados'!AA52&lt;&gt;"",'[232]Entrada dados'!AA52,"")</f>
        <v/>
      </c>
      <c r="N54" s="1213" t="str">
        <f>IF('[232]Entrada dados'!J52=1,"Descida D'agua em Degraus à Jusante",IF('[232]Entrada dados'!J52=2,"Caixa Coletora à Montante H=2m",""))</f>
        <v/>
      </c>
      <c r="O54" s="1216" t="str">
        <f>IF('[232]Entrada dados'!N52&lt;&gt;"",'[232]Entrada dados'!N52,"")</f>
        <v/>
      </c>
      <c r="P54" s="1206"/>
    </row>
    <row r="55" spans="1:16" ht="12.75" customHeight="1">
      <c r="A55" s="1205"/>
      <c r="B55" s="1231" t="str">
        <f>IF('[232]Entrada dados'!A53&lt;&gt;"",'[232]Entrada dados'!A53,"")</f>
        <v/>
      </c>
      <c r="C55" s="1231"/>
      <c r="D55" s="1231" t="str">
        <f>IF('[232]Entrada dados'!O53&lt;&gt;"",'[232]Entrada dados'!O53,"")</f>
        <v/>
      </c>
      <c r="E55" s="1231"/>
      <c r="F55" s="1231" t="str">
        <f>IF('[232]Entrada dados'!C53&lt;&gt;"",IF('[232]Entrada dados'!C53="E","LE",IF('[232]Entrada dados'!C53="D","LD","")),"")</f>
        <v/>
      </c>
      <c r="G55" s="1232" t="str">
        <f>IF('[232]Entrada dados'!D53&lt;&gt;"",'[232]Entrada dados'!D53,"")</f>
        <v/>
      </c>
      <c r="H55" s="1233" t="str">
        <f>IF('[232]Entrada dados'!F53&lt;&gt;"",'[232]Entrada dados'!F53,"")</f>
        <v/>
      </c>
      <c r="I55" s="1231" t="str">
        <f>IF('[232]Entrada dados'!G53&lt;&gt;"",'[232]Entrada dados'!G53,"")</f>
        <v/>
      </c>
      <c r="J55" s="1231"/>
      <c r="K55" s="1233" t="str">
        <f>IF('[232]Entrada dados'!Y53&lt;&gt;"",'[232]Entrada dados'!Y53,"")</f>
        <v/>
      </c>
      <c r="L55" s="1233" t="str">
        <f>IF('[232]Entrada dados'!Z53&lt;&gt;"",'[232]Entrada dados'!Z53,"")</f>
        <v/>
      </c>
      <c r="M55" s="1233" t="str">
        <f>IF('[232]Entrada dados'!AA53&lt;&gt;"",'[232]Entrada dados'!AA53,"")</f>
        <v/>
      </c>
      <c r="N55" s="1231" t="str">
        <f>IF('[232]Entrada dados'!J53=1,"Descida D'agua em Degraus à Jusante",IF('[232]Entrada dados'!J53=2,"Caixa Coletora à Montante H=2m",""))</f>
        <v/>
      </c>
      <c r="O55" s="1233" t="str">
        <f>IF('[232]Entrada dados'!N53&lt;&gt;"",'[232]Entrada dados'!N53,"")</f>
        <v/>
      </c>
      <c r="P55" s="1206"/>
    </row>
    <row r="56" spans="1:16" ht="12.75" customHeight="1">
      <c r="A56" s="1205"/>
      <c r="B56" s="1234" t="str">
        <f>IF('[232]Entrada dados'!A54&lt;&gt;"",'[232]Entrada dados'!A54,"")</f>
        <v/>
      </c>
      <c r="C56" s="1234"/>
      <c r="D56" s="1234" t="str">
        <f>IF('[232]Entrada dados'!O54&lt;&gt;"",'[232]Entrada dados'!O54,"")</f>
        <v/>
      </c>
      <c r="E56" s="1234"/>
      <c r="F56" s="1234" t="str">
        <f>IF('[232]Entrada dados'!C54&lt;&gt;"",IF('[232]Entrada dados'!C54="E","LE",IF('[232]Entrada dados'!C54="D","LD","")),"")</f>
        <v/>
      </c>
      <c r="G56" s="1235" t="str">
        <f>IF('[232]Entrada dados'!D54&lt;&gt;"",'[232]Entrada dados'!D54,"")</f>
        <v/>
      </c>
      <c r="H56" s="1236" t="str">
        <f>IF('[232]Entrada dados'!F54&lt;&gt;"",'[232]Entrada dados'!F54,"")</f>
        <v/>
      </c>
      <c r="I56" s="1234" t="str">
        <f>IF('[232]Entrada dados'!G54&lt;&gt;"",'[232]Entrada dados'!G54,"")</f>
        <v/>
      </c>
      <c r="J56" s="1234"/>
      <c r="K56" s="1236" t="str">
        <f>IF('[232]Entrada dados'!Y54&lt;&gt;"",'[232]Entrada dados'!Y54,"")</f>
        <v/>
      </c>
      <c r="L56" s="1236" t="str">
        <f>IF('[232]Entrada dados'!Z54&lt;&gt;"",'[232]Entrada dados'!Z54,"")</f>
        <v/>
      </c>
      <c r="M56" s="1236" t="str">
        <f>IF('[232]Entrada dados'!AA54&lt;&gt;"",'[232]Entrada dados'!AA54,"")</f>
        <v/>
      </c>
      <c r="N56" s="1236"/>
      <c r="O56" s="1236" t="str">
        <f>IF('[233]Entrada dados'!M53&lt;&gt;"",'[233]Entrada dados'!M53,"")</f>
        <v/>
      </c>
      <c r="P56" s="1206"/>
    </row>
    <row r="57" spans="1:16" ht="12.75" customHeight="1">
      <c r="A57" s="1205"/>
      <c r="B57" s="1237" t="str">
        <f t="shared" ref="B57:B63" si="0">B121</f>
        <v>Notas:</v>
      </c>
      <c r="C57" s="1237"/>
      <c r="D57" s="1238" t="str">
        <f>IF('[232]Entrada dados'!O55&lt;&gt;"",'[232]Entrada dados'!O55,"")</f>
        <v/>
      </c>
      <c r="E57" s="1238"/>
      <c r="F57" s="1238" t="str">
        <f>IF('[232]Entrada dados'!C55&lt;&gt;"",IF('[232]Entrada dados'!C55="E","LE",IF('[232]Entrada dados'!C55="D","LD","")),"")</f>
        <v/>
      </c>
      <c r="G57" s="1239" t="str">
        <f>IF('[232]Entrada dados'!D55&lt;&gt;"",'[232]Entrada dados'!D55,"")</f>
        <v/>
      </c>
      <c r="H57" s="1240" t="str">
        <f>IF('[232]Entrada dados'!F55&lt;&gt;"",'[232]Entrada dados'!F55,"")</f>
        <v/>
      </c>
      <c r="I57" s="1238" t="str">
        <f>IF('[232]Entrada dados'!G55&lt;&gt;"",'[232]Entrada dados'!G55,"")</f>
        <v/>
      </c>
      <c r="J57" s="1238"/>
      <c r="K57" s="1240" t="str">
        <f>IF('[232]Entrada dados'!Y55&lt;&gt;"",'[232]Entrada dados'!Y55,"")</f>
        <v/>
      </c>
      <c r="L57" s="1240" t="str">
        <f>IF('[232]Entrada dados'!Z55&lt;&gt;"",'[232]Entrada dados'!Z55,"")</f>
        <v/>
      </c>
      <c r="M57" s="1240" t="str">
        <f>IF('[232]Entrada dados'!AA55&lt;&gt;"",'[232]Entrada dados'!AA55,"")</f>
        <v/>
      </c>
      <c r="N57" s="1240"/>
      <c r="O57" s="1240"/>
      <c r="P57" s="1206"/>
    </row>
    <row r="58" spans="1:16" ht="12.75" customHeight="1">
      <c r="A58" s="1205"/>
      <c r="B58" s="1241" t="str">
        <f>B122</f>
        <v>1-TOTAL DE CORPO BSTC D=1,00m AC/BC/PC = 17,00 m</v>
      </c>
      <c r="C58" s="1241"/>
      <c r="D58" s="1238"/>
      <c r="E58" s="1238"/>
      <c r="F58" s="1238"/>
      <c r="G58" s="1241" t="str">
        <f>G122</f>
        <v>7-TOTAL DE DISSIPADOR DE ENERGIA - DEB 05 AC/BC/PC = 0,00 und</v>
      </c>
      <c r="H58" s="1240"/>
      <c r="I58" s="1238"/>
      <c r="J58" s="1238"/>
      <c r="K58" s="1240"/>
      <c r="L58" s="1240"/>
      <c r="M58" s="1240"/>
      <c r="N58" s="1240"/>
      <c r="O58" s="1240"/>
      <c r="P58" s="1206"/>
    </row>
    <row r="59" spans="1:16" ht="12.75" customHeight="1">
      <c r="A59" s="1205"/>
      <c r="B59" s="1241" t="str">
        <f t="shared" si="0"/>
        <v>2-TOTAL DE BOCA BSTC D=1,00m - NORMAL AC/BC/PC = 0,00 und</v>
      </c>
      <c r="C59" s="1241"/>
      <c r="D59" s="1238"/>
      <c r="E59" s="1238"/>
      <c r="F59" s="1238"/>
      <c r="G59" s="1241" t="str">
        <f>G123</f>
        <v>8-TOTAL DE DISSIPADOR DE ENERGIA - DEB 12 AC/BC/PC = 0,00 und</v>
      </c>
      <c r="H59" s="1240"/>
      <c r="I59" s="1238"/>
      <c r="J59" s="1238"/>
      <c r="K59" s="1240"/>
      <c r="L59" s="1240"/>
      <c r="M59" s="1240"/>
      <c r="N59" s="1240"/>
      <c r="O59" s="1240"/>
      <c r="P59" s="1206"/>
    </row>
    <row r="60" spans="1:16" ht="12.75" customHeight="1">
      <c r="A60" s="1205"/>
      <c r="B60" s="1241" t="str">
        <f t="shared" si="0"/>
        <v>3-TOTAL DE CORPO BTTC D=1,20m = 0,00 m</v>
      </c>
      <c r="C60" s="1241"/>
      <c r="D60" s="1238"/>
      <c r="E60" s="1238"/>
      <c r="F60" s="1238"/>
      <c r="G60" s="1241" t="str">
        <f>G124</f>
        <v>9-TOTAL DE DISSIPADOR DE ENERGIA - DEB 13 AC/BC/PC = 0,00 und</v>
      </c>
      <c r="H60" s="1240"/>
      <c r="I60" s="1238"/>
      <c r="J60" s="1238"/>
      <c r="K60" s="1240"/>
      <c r="L60" s="1240"/>
      <c r="M60" s="1240"/>
      <c r="N60" s="1240"/>
      <c r="O60" s="1240"/>
      <c r="P60" s="1206"/>
    </row>
    <row r="61" spans="1:16" ht="12.75" customHeight="1">
      <c r="A61" s="1205"/>
      <c r="B61" s="1241" t="str">
        <f t="shared" si="0"/>
        <v>4-TOTAL DE BOCA BTTC D=1,20m - NORMAL = 0,00 und</v>
      </c>
      <c r="C61" s="1241"/>
      <c r="D61" s="1238"/>
      <c r="E61" s="1238"/>
      <c r="F61" s="1238"/>
      <c r="G61" s="1241" t="str">
        <f>G125</f>
        <v>10- TOTAL DE CAIXA COLETORA TIPO CCS-03= 2,00 und</v>
      </c>
      <c r="H61" s="1240"/>
      <c r="I61" s="1238"/>
      <c r="J61" s="1238"/>
      <c r="K61" s="1240"/>
      <c r="L61" s="1240"/>
      <c r="M61" s="1240"/>
      <c r="N61" s="1240"/>
      <c r="O61" s="1240"/>
      <c r="P61" s="1206"/>
    </row>
    <row r="62" spans="1:16" ht="12.75" customHeight="1">
      <c r="A62" s="1205"/>
      <c r="B62" s="1241" t="str">
        <f t="shared" si="0"/>
        <v>5-TOTAL DE CORPO BTTC D=1,50m = 0,00 m</v>
      </c>
      <c r="C62" s="1241"/>
      <c r="D62" s="1238"/>
      <c r="E62" s="1238"/>
      <c r="F62" s="1238"/>
      <c r="G62" s="1241" t="str">
        <f>G126</f>
        <v>11- TOTAL DE CAIXA COLETORA TIPO CCS-07= 2,00 und</v>
      </c>
      <c r="H62" s="1242"/>
      <c r="I62" s="1242"/>
      <c r="J62" s="1242"/>
      <c r="K62" s="1242"/>
      <c r="L62" s="1240"/>
      <c r="M62" s="1240"/>
      <c r="N62" s="1240"/>
      <c r="O62" s="1240"/>
      <c r="P62" s="1206"/>
    </row>
    <row r="63" spans="1:16" ht="12.75" customHeight="1">
      <c r="A63" s="1205"/>
      <c r="B63" s="1241" t="str">
        <f t="shared" si="0"/>
        <v>6-TOTAL DE BOCA BTTC D=1,50m - NORMAL = 0,00 und</v>
      </c>
      <c r="C63" s="1241"/>
      <c r="D63" s="1238"/>
      <c r="E63" s="1238"/>
      <c r="F63" s="1243"/>
      <c r="G63" s="1242"/>
      <c r="H63" s="1242"/>
      <c r="I63" s="1242"/>
      <c r="J63" s="1242"/>
      <c r="K63" s="1242"/>
      <c r="L63" s="1244"/>
      <c r="M63" s="1244"/>
      <c r="N63" s="1244"/>
      <c r="O63" s="1244"/>
      <c r="P63" s="1206"/>
    </row>
    <row r="64" spans="1:16" ht="12.75" customHeight="1" thickBot="1">
      <c r="A64" s="1245"/>
      <c r="B64" s="1246"/>
      <c r="C64" s="1246"/>
      <c r="D64" s="1247"/>
      <c r="E64" s="1247"/>
      <c r="F64" s="1248"/>
      <c r="G64" s="1249"/>
      <c r="H64" s="1250"/>
      <c r="I64" s="1248"/>
      <c r="J64" s="1248"/>
      <c r="K64" s="1250"/>
      <c r="L64" s="1250"/>
      <c r="M64" s="1250"/>
      <c r="N64" s="1250"/>
      <c r="O64" s="1250"/>
      <c r="P64" s="1251"/>
    </row>
    <row r="65" spans="1:16" ht="12.75" hidden="1" customHeight="1">
      <c r="A65" s="1199"/>
      <c r="B65" s="1252"/>
      <c r="C65" s="1252"/>
      <c r="D65" s="1252"/>
      <c r="E65" s="1252"/>
      <c r="F65" s="1252"/>
      <c r="G65" s="1253"/>
      <c r="H65" s="1254"/>
      <c r="I65" s="1252"/>
      <c r="J65" s="1252"/>
      <c r="K65" s="1254"/>
      <c r="L65" s="1254"/>
      <c r="M65" s="1254"/>
      <c r="N65" s="1254"/>
      <c r="O65" s="1254"/>
      <c r="P65" s="1203"/>
    </row>
    <row r="66" spans="1:16" ht="12.75" hidden="1" customHeight="1">
      <c r="A66" s="1205"/>
      <c r="B66" s="2219" t="s">
        <v>1330</v>
      </c>
      <c r="C66" s="2219"/>
      <c r="D66" s="2219"/>
      <c r="E66" s="2219"/>
      <c r="F66" s="2219"/>
      <c r="G66" s="2219"/>
      <c r="H66" s="2219"/>
      <c r="I66" s="2219"/>
      <c r="J66" s="2219"/>
      <c r="K66" s="2219"/>
      <c r="L66" s="2219"/>
      <c r="M66" s="2219"/>
      <c r="N66" s="2219"/>
      <c r="O66" s="2219"/>
      <c r="P66" s="1206"/>
    </row>
    <row r="67" spans="1:16" ht="12.75" hidden="1" customHeight="1">
      <c r="A67" s="1205"/>
      <c r="B67" s="2220"/>
      <c r="C67" s="2220"/>
      <c r="D67" s="2220"/>
      <c r="E67" s="2220"/>
      <c r="F67" s="2220"/>
      <c r="G67" s="2220"/>
      <c r="H67" s="2220"/>
      <c r="I67" s="2220"/>
      <c r="J67" s="2220"/>
      <c r="K67" s="2220"/>
      <c r="L67" s="2220"/>
      <c r="M67" s="2220"/>
      <c r="N67" s="2220"/>
      <c r="O67" s="2220"/>
      <c r="P67" s="1206"/>
    </row>
    <row r="68" spans="1:16" ht="12.75" hidden="1" customHeight="1">
      <c r="A68" s="1205"/>
      <c r="B68" s="1255" t="s">
        <v>272</v>
      </c>
      <c r="C68" s="1255"/>
      <c r="D68" s="1256" t="s">
        <v>276</v>
      </c>
      <c r="E68" s="1256"/>
      <c r="F68" s="1257" t="s">
        <v>1309</v>
      </c>
      <c r="G68" s="1257" t="s">
        <v>1310</v>
      </c>
      <c r="H68" s="1258" t="s">
        <v>1311</v>
      </c>
      <c r="I68" s="1257" t="s">
        <v>1312</v>
      </c>
      <c r="J68" s="1259"/>
      <c r="K68" s="2208" t="s">
        <v>1314</v>
      </c>
      <c r="L68" s="2209"/>
      <c r="M68" s="2210"/>
      <c r="N68" s="1260"/>
      <c r="O68" s="1257" t="s">
        <v>1316</v>
      </c>
      <c r="P68" s="1206"/>
    </row>
    <row r="69" spans="1:16" ht="12.75" hidden="1" customHeight="1">
      <c r="A69" s="1205"/>
      <c r="B69" s="1261" t="s">
        <v>1331</v>
      </c>
      <c r="C69" s="1261"/>
      <c r="D69" s="1261" t="s">
        <v>1318</v>
      </c>
      <c r="E69" s="1261"/>
      <c r="F69" s="1262" t="s">
        <v>251</v>
      </c>
      <c r="G69" s="1263" t="s">
        <v>1319</v>
      </c>
      <c r="H69" s="1263" t="s">
        <v>1320</v>
      </c>
      <c r="I69" s="1261" t="s">
        <v>1321</v>
      </c>
      <c r="J69" s="1261"/>
      <c r="K69" s="1264" t="s">
        <v>1309</v>
      </c>
      <c r="L69" s="1264" t="s">
        <v>1322</v>
      </c>
      <c r="M69" s="1264" t="s">
        <v>422</v>
      </c>
      <c r="N69" s="1263"/>
      <c r="O69" s="1263" t="s">
        <v>308</v>
      </c>
      <c r="P69" s="1206"/>
    </row>
    <row r="70" spans="1:16" ht="12.75" hidden="1" customHeight="1">
      <c r="A70" s="1205"/>
      <c r="B70" s="1265" t="str">
        <f>IF('[232]Entrada dados'!A54&lt;&gt;"",'[232]Entrada dados'!A54,"")</f>
        <v/>
      </c>
      <c r="C70" s="1265"/>
      <c r="D70" s="1265" t="str">
        <f>IF('[232]Entrada dados'!O54&lt;&gt;"",'[232]Entrada dados'!O54,"")</f>
        <v/>
      </c>
      <c r="E70" s="1265"/>
      <c r="F70" s="1265" t="str">
        <f>IF('[232]Entrada dados'!C54&lt;&gt;"",IF('[232]Entrada dados'!C54="E","LE",IF('[232]Entrada dados'!C54="D","LD","")),"")</f>
        <v/>
      </c>
      <c r="G70" s="1266" t="str">
        <f>IF('[232]Entrada dados'!D54&lt;&gt;"",'[232]Entrada dados'!D54,"")</f>
        <v/>
      </c>
      <c r="H70" s="1267" t="str">
        <f>IF('[232]Entrada dados'!F54&lt;&gt;"",'[232]Entrada dados'!F54,"")</f>
        <v/>
      </c>
      <c r="I70" s="1265" t="str">
        <f>IF('[232]Entrada dados'!G54&lt;&gt;"",'[232]Entrada dados'!G54,"")</f>
        <v/>
      </c>
      <c r="J70" s="1265"/>
      <c r="K70" s="1267" t="str">
        <f>IF('[232]Entrada dados'!Y54&lt;&gt;"",'[232]Entrada dados'!Y54,"")</f>
        <v/>
      </c>
      <c r="L70" s="1267" t="str">
        <f>IF('[232]Entrada dados'!Z54&lt;&gt;"",'[232]Entrada dados'!Z54,"")</f>
        <v/>
      </c>
      <c r="M70" s="1267" t="str">
        <f>IF('[232]Entrada dados'!AA54&lt;&gt;"",'[232]Entrada dados'!AA54,"")</f>
        <v/>
      </c>
      <c r="N70" s="1267"/>
      <c r="O70" s="1267" t="str">
        <f>IF('[232]Entrada dados'!N54&lt;&gt;"",'[232]Entrada dados'!N54,"")</f>
        <v/>
      </c>
      <c r="P70" s="1206"/>
    </row>
    <row r="71" spans="1:16" ht="12.75" hidden="1" customHeight="1">
      <c r="A71" s="1205"/>
      <c r="B71" s="1227" t="str">
        <f>IF('[232]Entrada dados'!A57&lt;&gt;"",'[232]Entrada dados'!A57,"")</f>
        <v/>
      </c>
      <c r="C71" s="1227"/>
      <c r="D71" s="1227" t="str">
        <f>IF('[232]Entrada dados'!O57&lt;&gt;"",'[232]Entrada dados'!O57,"")</f>
        <v/>
      </c>
      <c r="E71" s="1227"/>
      <c r="F71" s="1227" t="str">
        <f>IF('[232]Entrada dados'!C57&lt;&gt;"",IF('[232]Entrada dados'!C57="E","LE",IF('[232]Entrada dados'!C57="D","LD","")),"")</f>
        <v/>
      </c>
      <c r="G71" s="1228" t="str">
        <f>IF('[232]Entrada dados'!D57&lt;&gt;"",'[232]Entrada dados'!D57,"")</f>
        <v/>
      </c>
      <c r="H71" s="1229" t="str">
        <f>IF('[232]Entrada dados'!F57&lt;&gt;"",'[232]Entrada dados'!F57,"")</f>
        <v/>
      </c>
      <c r="I71" s="1227" t="str">
        <f>IF('[232]Entrada dados'!G57&lt;&gt;"",'[232]Entrada dados'!G57,"")</f>
        <v/>
      </c>
      <c r="J71" s="1227"/>
      <c r="K71" s="1229" t="str">
        <f>IF('[232]Entrada dados'!Y57&lt;&gt;"",'[232]Entrada dados'!Y57,"")</f>
        <v/>
      </c>
      <c r="L71" s="1229" t="str">
        <f>IF('[232]Entrada dados'!Z57&lt;&gt;"",'[232]Entrada dados'!Z57,"")</f>
        <v/>
      </c>
      <c r="M71" s="1229" t="str">
        <f>IF('[232]Entrada dados'!AA57&lt;&gt;"",'[232]Entrada dados'!AA57,"")</f>
        <v/>
      </c>
      <c r="N71" s="1267"/>
      <c r="O71" s="1267" t="str">
        <f>IF('[232]Entrada dados'!N55&lt;&gt;"",'[232]Entrada dados'!N55,"")</f>
        <v/>
      </c>
      <c r="P71" s="1206"/>
    </row>
    <row r="72" spans="1:16" ht="12.75" hidden="1" customHeight="1">
      <c r="A72" s="1205"/>
      <c r="B72" s="1227" t="str">
        <f>IF('[232]Entrada dados'!A58&lt;&gt;"",'[232]Entrada dados'!A58,"")</f>
        <v/>
      </c>
      <c r="C72" s="1227"/>
      <c r="D72" s="1227" t="str">
        <f>IF('[232]Entrada dados'!O58&lt;&gt;"",'[232]Entrada dados'!O58,"")</f>
        <v/>
      </c>
      <c r="E72" s="1227"/>
      <c r="F72" s="1227" t="str">
        <f>IF('[232]Entrada dados'!C58&lt;&gt;"",IF('[232]Entrada dados'!C58="E","LE",IF('[232]Entrada dados'!C58="D","LD","")),"")</f>
        <v/>
      </c>
      <c r="G72" s="1228" t="str">
        <f>IF('[232]Entrada dados'!D58&lt;&gt;"",'[232]Entrada dados'!D58,"")</f>
        <v/>
      </c>
      <c r="H72" s="1229" t="str">
        <f>IF('[232]Entrada dados'!F58&lt;&gt;"",'[232]Entrada dados'!F58,"")</f>
        <v/>
      </c>
      <c r="I72" s="1227" t="str">
        <f>IF('[232]Entrada dados'!G58&lt;&gt;"",'[232]Entrada dados'!G58,"")</f>
        <v/>
      </c>
      <c r="J72" s="1227"/>
      <c r="K72" s="1229" t="str">
        <f>IF('[232]Entrada dados'!Y58&lt;&gt;"",'[232]Entrada dados'!Y58,"")</f>
        <v/>
      </c>
      <c r="L72" s="1229" t="str">
        <f>IF('[232]Entrada dados'!Z58&lt;&gt;"",'[232]Entrada dados'!Z58,"")</f>
        <v/>
      </c>
      <c r="M72" s="1229" t="str">
        <f>IF('[232]Entrada dados'!AA58&lt;&gt;"",'[232]Entrada dados'!AA58,"")</f>
        <v/>
      </c>
      <c r="N72" s="1267"/>
      <c r="O72" s="1267" t="str">
        <f>IF('[232]Entrada dados'!N56&lt;&gt;"",'[232]Entrada dados'!N56,"")</f>
        <v/>
      </c>
      <c r="P72" s="1206"/>
    </row>
    <row r="73" spans="1:16" ht="12.75" hidden="1" customHeight="1">
      <c r="A73" s="1205"/>
      <c r="B73" s="1227" t="str">
        <f>IF('[232]Entrada dados'!A59&lt;&gt;"",'[232]Entrada dados'!A59,"")</f>
        <v/>
      </c>
      <c r="C73" s="1227"/>
      <c r="D73" s="1227" t="str">
        <f>IF('[232]Entrada dados'!O59&lt;&gt;"",'[232]Entrada dados'!O59,"")</f>
        <v/>
      </c>
      <c r="E73" s="1227"/>
      <c r="F73" s="1227" t="str">
        <f>IF('[232]Entrada dados'!C59&lt;&gt;"",IF('[232]Entrada dados'!C59="E","LE",IF('[232]Entrada dados'!C59="D","LD","")),"")</f>
        <v/>
      </c>
      <c r="G73" s="1228" t="str">
        <f>IF('[232]Entrada dados'!D59&lt;&gt;"",'[232]Entrada dados'!D59,"")</f>
        <v/>
      </c>
      <c r="H73" s="1229" t="str">
        <f>IF('[232]Entrada dados'!F59&lt;&gt;"",'[232]Entrada dados'!F59,"")</f>
        <v/>
      </c>
      <c r="I73" s="1227" t="str">
        <f>IF('[232]Entrada dados'!G59&lt;&gt;"",'[232]Entrada dados'!G59,"")</f>
        <v/>
      </c>
      <c r="J73" s="1227"/>
      <c r="K73" s="1229" t="str">
        <f>IF('[232]Entrada dados'!Y59&lt;&gt;"",'[232]Entrada dados'!Y59,"")</f>
        <v/>
      </c>
      <c r="L73" s="1229" t="str">
        <f>IF('[232]Entrada dados'!Z59&lt;&gt;"",'[232]Entrada dados'!Z59,"")</f>
        <v/>
      </c>
      <c r="M73" s="1229" t="str">
        <f>IF('[232]Entrada dados'!AA59&lt;&gt;"",'[232]Entrada dados'!AA59,"")</f>
        <v/>
      </c>
      <c r="N73" s="1267"/>
      <c r="O73" s="1267" t="str">
        <f>IF('[232]Entrada dados'!N57&lt;&gt;"",'[232]Entrada dados'!N57,"")</f>
        <v/>
      </c>
      <c r="P73" s="1206"/>
    </row>
    <row r="74" spans="1:16" ht="12.75" hidden="1" customHeight="1">
      <c r="A74" s="1205"/>
      <c r="B74" s="1227" t="str">
        <f>IF('[232]Entrada dados'!A60&lt;&gt;"",'[232]Entrada dados'!A60,"")</f>
        <v/>
      </c>
      <c r="C74" s="1227"/>
      <c r="D74" s="1227" t="str">
        <f>IF('[232]Entrada dados'!O60&lt;&gt;"",'[232]Entrada dados'!O60,"")</f>
        <v/>
      </c>
      <c r="E74" s="1227"/>
      <c r="F74" s="1227" t="str">
        <f>IF('[232]Entrada dados'!C60&lt;&gt;"",IF('[232]Entrada dados'!C60="E","LE",IF('[232]Entrada dados'!C60="D","LD","")),"")</f>
        <v/>
      </c>
      <c r="G74" s="1228" t="str">
        <f>IF('[232]Entrada dados'!D60&lt;&gt;"",'[232]Entrada dados'!D60,"")</f>
        <v/>
      </c>
      <c r="H74" s="1229" t="str">
        <f>IF('[232]Entrada dados'!F60&lt;&gt;"",'[232]Entrada dados'!F60,"")</f>
        <v/>
      </c>
      <c r="I74" s="1227" t="str">
        <f>IF('[232]Entrada dados'!G60&lt;&gt;"",'[232]Entrada dados'!G60,"")</f>
        <v/>
      </c>
      <c r="J74" s="1227"/>
      <c r="K74" s="1229" t="str">
        <f>IF('[232]Entrada dados'!Y60&lt;&gt;"",'[232]Entrada dados'!Y60,"")</f>
        <v/>
      </c>
      <c r="L74" s="1229" t="str">
        <f>IF('[232]Entrada dados'!Z60&lt;&gt;"",'[232]Entrada dados'!Z60,"")</f>
        <v/>
      </c>
      <c r="M74" s="1229" t="str">
        <f>IF('[232]Entrada dados'!AA60&lt;&gt;"",'[232]Entrada dados'!AA60,"")</f>
        <v/>
      </c>
      <c r="N74" s="1267"/>
      <c r="O74" s="1267" t="str">
        <f>IF('[232]Entrada dados'!N58&lt;&gt;"",'[232]Entrada dados'!N58,"")</f>
        <v/>
      </c>
      <c r="P74" s="1206"/>
    </row>
    <row r="75" spans="1:16" ht="12.75" hidden="1" customHeight="1">
      <c r="A75" s="1205"/>
      <c r="B75" s="1227" t="str">
        <f>IF('[232]Entrada dados'!A61&lt;&gt;"",'[232]Entrada dados'!A61,"")</f>
        <v/>
      </c>
      <c r="C75" s="1227"/>
      <c r="D75" s="1227" t="str">
        <f>IF('[232]Entrada dados'!O61&lt;&gt;"",'[232]Entrada dados'!O61,"")</f>
        <v/>
      </c>
      <c r="E75" s="1227"/>
      <c r="F75" s="1227" t="str">
        <f>IF('[232]Entrada dados'!C61&lt;&gt;"",IF('[232]Entrada dados'!C61="E","LE",IF('[232]Entrada dados'!C61="D","LD","")),"")</f>
        <v/>
      </c>
      <c r="G75" s="1228" t="str">
        <f>IF('[232]Entrada dados'!D61&lt;&gt;"",'[232]Entrada dados'!D61,"")</f>
        <v/>
      </c>
      <c r="H75" s="1229"/>
      <c r="I75" s="1227" t="str">
        <f>IF('[232]Entrada dados'!G61&lt;&gt;"",'[232]Entrada dados'!G61,"")</f>
        <v/>
      </c>
      <c r="J75" s="1227"/>
      <c r="K75" s="1229" t="str">
        <f>IF('[232]Entrada dados'!Y61&lt;&gt;"",'[232]Entrada dados'!Y61,"")</f>
        <v/>
      </c>
      <c r="L75" s="1229" t="str">
        <f>IF('[232]Entrada dados'!Z61&lt;&gt;"",'[232]Entrada dados'!Z61,"")</f>
        <v/>
      </c>
      <c r="M75" s="1229" t="str">
        <f>IF('[232]Entrada dados'!AA61&lt;&gt;"",'[232]Entrada dados'!AA61,"")</f>
        <v/>
      </c>
      <c r="N75" s="1267"/>
      <c r="O75" s="1267" t="str">
        <f>IF('[232]Entrada dados'!N59&lt;&gt;"",'[232]Entrada dados'!N59,"")</f>
        <v/>
      </c>
      <c r="P75" s="1206"/>
    </row>
    <row r="76" spans="1:16" ht="12.75" hidden="1" customHeight="1">
      <c r="A76" s="1205"/>
      <c r="B76" s="1227" t="str">
        <f>IF('[232]Entrada dados'!A62&lt;&gt;"",'[232]Entrada dados'!A62,"")</f>
        <v/>
      </c>
      <c r="C76" s="1227"/>
      <c r="D76" s="1227" t="str">
        <f>IF('[232]Entrada dados'!O62&lt;&gt;"",'[232]Entrada dados'!O62,"")</f>
        <v/>
      </c>
      <c r="E76" s="1227"/>
      <c r="F76" s="1227" t="str">
        <f>IF('[232]Entrada dados'!C62&lt;&gt;"",IF('[232]Entrada dados'!C62="E","LE",IF('[232]Entrada dados'!C62="D","LD","")),"")</f>
        <v/>
      </c>
      <c r="G76" s="1228" t="str">
        <f>IF('[232]Entrada dados'!D62&lt;&gt;"",'[232]Entrada dados'!D62,"")</f>
        <v/>
      </c>
      <c r="H76" s="1229"/>
      <c r="I76" s="1227" t="str">
        <f>IF('[232]Entrada dados'!G62&lt;&gt;"",'[232]Entrada dados'!G62,"")</f>
        <v/>
      </c>
      <c r="J76" s="1227"/>
      <c r="K76" s="1229" t="str">
        <f>IF('[232]Entrada dados'!Y62&lt;&gt;"",'[232]Entrada dados'!Y62,"")</f>
        <v/>
      </c>
      <c r="L76" s="1229" t="str">
        <f>IF('[232]Entrada dados'!Z62&lt;&gt;"",'[232]Entrada dados'!Z62,"")</f>
        <v/>
      </c>
      <c r="M76" s="1229" t="str">
        <f>IF('[232]Entrada dados'!AA62&lt;&gt;"",'[232]Entrada dados'!AA62,"")</f>
        <v/>
      </c>
      <c r="N76" s="1267"/>
      <c r="O76" s="1267" t="str">
        <f>IF('[232]Entrada dados'!N60&lt;&gt;"",'[232]Entrada dados'!N60,"")</f>
        <v/>
      </c>
      <c r="P76" s="1206"/>
    </row>
    <row r="77" spans="1:16" ht="12.75" hidden="1" customHeight="1">
      <c r="A77" s="1205"/>
      <c r="B77" s="1227" t="str">
        <f>IF('[232]Entrada dados'!A63&lt;&gt;"",'[232]Entrada dados'!A63,"")</f>
        <v/>
      </c>
      <c r="C77" s="1227"/>
      <c r="D77" s="1227" t="str">
        <f>IF('[232]Entrada dados'!O63&lt;&gt;"",'[232]Entrada dados'!O63,"")</f>
        <v/>
      </c>
      <c r="E77" s="1227"/>
      <c r="F77" s="1227" t="str">
        <f>IF('[232]Entrada dados'!C63&lt;&gt;"",IF('[232]Entrada dados'!C63="E","LE",IF('[232]Entrada dados'!C63="D","LD","")),"")</f>
        <v/>
      </c>
      <c r="G77" s="1228" t="str">
        <f>IF('[232]Entrada dados'!D63&lt;&gt;"",'[232]Entrada dados'!D63,"")</f>
        <v/>
      </c>
      <c r="H77" s="1229"/>
      <c r="I77" s="1227" t="str">
        <f>IF('[232]Entrada dados'!G63&lt;&gt;"",'[232]Entrada dados'!G63,"")</f>
        <v/>
      </c>
      <c r="J77" s="1227"/>
      <c r="K77" s="1229" t="str">
        <f>IF('[232]Entrada dados'!Y63&lt;&gt;"",'[232]Entrada dados'!Y63,"")</f>
        <v/>
      </c>
      <c r="L77" s="1229" t="str">
        <f>IF('[232]Entrada dados'!Z63&lt;&gt;"",'[232]Entrada dados'!Z63,"")</f>
        <v/>
      </c>
      <c r="M77" s="1229" t="str">
        <f>IF('[232]Entrada dados'!AA63&lt;&gt;"",'[232]Entrada dados'!AA63,"")</f>
        <v/>
      </c>
      <c r="N77" s="1267"/>
      <c r="O77" s="1267" t="str">
        <f>IF('[232]Entrada dados'!N61&lt;&gt;"",'[232]Entrada dados'!N61,"")</f>
        <v/>
      </c>
      <c r="P77" s="1206"/>
    </row>
    <row r="78" spans="1:16" ht="12.75" hidden="1" customHeight="1">
      <c r="A78" s="1205"/>
      <c r="B78" s="1227" t="str">
        <f>IF('[232]Entrada dados'!A64&lt;&gt;"",'[232]Entrada dados'!A64,"")</f>
        <v/>
      </c>
      <c r="C78" s="1227"/>
      <c r="D78" s="1227" t="str">
        <f>IF('[232]Entrada dados'!O64&lt;&gt;"",'[232]Entrada dados'!O64,"")</f>
        <v/>
      </c>
      <c r="E78" s="1227"/>
      <c r="F78" s="1227" t="str">
        <f>IF('[232]Entrada dados'!C64&lt;&gt;"",IF('[232]Entrada dados'!C64="E","LE",IF('[232]Entrada dados'!C64="D","LD","")),"")</f>
        <v/>
      </c>
      <c r="G78" s="1228" t="str">
        <f>IF('[232]Entrada dados'!D64&lt;&gt;"",'[232]Entrada dados'!D64,"")</f>
        <v/>
      </c>
      <c r="H78" s="1229"/>
      <c r="I78" s="1227" t="str">
        <f>IF('[232]Entrada dados'!G64&lt;&gt;"",'[232]Entrada dados'!G64,"")</f>
        <v/>
      </c>
      <c r="J78" s="1227"/>
      <c r="K78" s="1229" t="str">
        <f>IF('[232]Entrada dados'!Y64&lt;&gt;"",'[232]Entrada dados'!Y64,"")</f>
        <v/>
      </c>
      <c r="L78" s="1229" t="str">
        <f>IF('[232]Entrada dados'!Z64&lt;&gt;"",'[232]Entrada dados'!Z64,"")</f>
        <v/>
      </c>
      <c r="M78" s="1229" t="str">
        <f>IF('[232]Entrada dados'!AA64&lt;&gt;"",'[232]Entrada dados'!AA64,"")</f>
        <v/>
      </c>
      <c r="N78" s="1267"/>
      <c r="O78" s="1267" t="str">
        <f>IF('[232]Entrada dados'!N62&lt;&gt;"",'[232]Entrada dados'!N62,"")</f>
        <v/>
      </c>
      <c r="P78" s="1206"/>
    </row>
    <row r="79" spans="1:16" ht="12.75" hidden="1" customHeight="1">
      <c r="A79" s="1205"/>
      <c r="B79" s="1227" t="str">
        <f>IF('[232]Entrada dados'!A65&lt;&gt;"",'[232]Entrada dados'!A65,"")</f>
        <v/>
      </c>
      <c r="C79" s="1227"/>
      <c r="D79" s="1227" t="str">
        <f>IF('[232]Entrada dados'!O65&lt;&gt;"",'[232]Entrada dados'!O65,"")</f>
        <v/>
      </c>
      <c r="E79" s="1227"/>
      <c r="F79" s="1227" t="str">
        <f>IF('[232]Entrada dados'!C65&lt;&gt;"",IF('[232]Entrada dados'!C65="E","LE",IF('[232]Entrada dados'!C65="D","LD","")),"")</f>
        <v/>
      </c>
      <c r="G79" s="1228" t="str">
        <f>IF('[232]Entrada dados'!D65&lt;&gt;"",'[232]Entrada dados'!D65,"")</f>
        <v/>
      </c>
      <c r="H79" s="1229"/>
      <c r="I79" s="1227" t="str">
        <f>IF('[232]Entrada dados'!G65&lt;&gt;"",'[232]Entrada dados'!G65,"")</f>
        <v/>
      </c>
      <c r="J79" s="1227"/>
      <c r="K79" s="1229" t="str">
        <f>IF('[232]Entrada dados'!Y65&lt;&gt;"",'[232]Entrada dados'!Y65,"")</f>
        <v/>
      </c>
      <c r="L79" s="1229" t="str">
        <f>IF('[232]Entrada dados'!Z65&lt;&gt;"",'[232]Entrada dados'!Z65,"")</f>
        <v/>
      </c>
      <c r="M79" s="1229" t="str">
        <f>IF('[232]Entrada dados'!AA65&lt;&gt;"",'[232]Entrada dados'!AA65,"")</f>
        <v/>
      </c>
      <c r="N79" s="1267"/>
      <c r="O79" s="1267" t="str">
        <f>IF('[232]Entrada dados'!N63&lt;&gt;"",'[232]Entrada dados'!N63,"")</f>
        <v/>
      </c>
      <c r="P79" s="1206"/>
    </row>
    <row r="80" spans="1:16" ht="12.75" hidden="1" customHeight="1">
      <c r="A80" s="1205"/>
      <c r="B80" s="1227" t="str">
        <f>IF('[232]Entrada dados'!A66&lt;&gt;"",'[232]Entrada dados'!A66,"")</f>
        <v/>
      </c>
      <c r="C80" s="1227"/>
      <c r="D80" s="1227" t="str">
        <f>IF('[232]Entrada dados'!O66&lt;&gt;"",'[232]Entrada dados'!O66,"")</f>
        <v/>
      </c>
      <c r="E80" s="1227"/>
      <c r="F80" s="1227" t="str">
        <f>IF('[232]Entrada dados'!C66&lt;&gt;"",IF('[232]Entrada dados'!C66="E","LE",IF('[232]Entrada dados'!C66="D","LD","")),"")</f>
        <v/>
      </c>
      <c r="G80" s="1228" t="str">
        <f>IF('[232]Entrada dados'!D66&lt;&gt;"",'[232]Entrada dados'!D66,"")</f>
        <v/>
      </c>
      <c r="H80" s="1229"/>
      <c r="I80" s="1227" t="str">
        <f>IF('[232]Entrada dados'!G66&lt;&gt;"",'[232]Entrada dados'!G66,"")</f>
        <v/>
      </c>
      <c r="J80" s="1227"/>
      <c r="K80" s="1229" t="str">
        <f>IF('[232]Entrada dados'!Y66&lt;&gt;"",'[232]Entrada dados'!Y66,"")</f>
        <v/>
      </c>
      <c r="L80" s="1229" t="str">
        <f>IF('[232]Entrada dados'!Z66&lt;&gt;"",'[232]Entrada dados'!Z66,"")</f>
        <v/>
      </c>
      <c r="M80" s="1229" t="str">
        <f>IF('[232]Entrada dados'!AA66&lt;&gt;"",'[232]Entrada dados'!AA66,"")</f>
        <v/>
      </c>
      <c r="N80" s="1267"/>
      <c r="O80" s="1267" t="str">
        <f>IF('[232]Entrada dados'!N64&lt;&gt;"",'[232]Entrada dados'!N64,"")</f>
        <v/>
      </c>
      <c r="P80" s="1206"/>
    </row>
    <row r="81" spans="1:16" ht="12.75" hidden="1" customHeight="1">
      <c r="A81" s="1205"/>
      <c r="B81" s="1227" t="str">
        <f>IF('[232]Entrada dados'!A67&lt;&gt;"",'[232]Entrada dados'!A67,"")</f>
        <v/>
      </c>
      <c r="C81" s="1227"/>
      <c r="D81" s="1227" t="str">
        <f>IF('[232]Entrada dados'!O67&lt;&gt;"",'[232]Entrada dados'!O67,"")</f>
        <v/>
      </c>
      <c r="E81" s="1227"/>
      <c r="F81" s="1227" t="str">
        <f>IF('[232]Entrada dados'!C67&lt;&gt;"",IF('[232]Entrada dados'!C67="E","LE",IF('[232]Entrada dados'!C67="D","LD","")),"")</f>
        <v/>
      </c>
      <c r="G81" s="1228" t="str">
        <f>IF('[232]Entrada dados'!D67&lt;&gt;"",'[232]Entrada dados'!D67,"")</f>
        <v/>
      </c>
      <c r="H81" s="1229"/>
      <c r="I81" s="1227" t="str">
        <f>IF('[232]Entrada dados'!G67&lt;&gt;"",'[232]Entrada dados'!G67,"")</f>
        <v/>
      </c>
      <c r="J81" s="1227"/>
      <c r="K81" s="1229" t="str">
        <f>IF('[232]Entrada dados'!Y67&lt;&gt;"",'[232]Entrada dados'!Y67,"")</f>
        <v/>
      </c>
      <c r="L81" s="1229" t="str">
        <f>IF('[232]Entrada dados'!Z67&lt;&gt;"",'[232]Entrada dados'!Z67,"")</f>
        <v/>
      </c>
      <c r="M81" s="1229" t="str">
        <f>IF('[232]Entrada dados'!AA67&lt;&gt;"",'[232]Entrada dados'!AA67,"")</f>
        <v/>
      </c>
      <c r="N81" s="1267"/>
      <c r="O81" s="1267" t="str">
        <f>IF('[232]Entrada dados'!N65&lt;&gt;"",'[232]Entrada dados'!N65,"")</f>
        <v/>
      </c>
      <c r="P81" s="1206"/>
    </row>
    <row r="82" spans="1:16" ht="12.75" hidden="1" customHeight="1">
      <c r="A82" s="1205"/>
      <c r="B82" s="1227" t="str">
        <f>IF('[232]Entrada dados'!A68&lt;&gt;"",'[232]Entrada dados'!A68,"")</f>
        <v/>
      </c>
      <c r="C82" s="1227"/>
      <c r="D82" s="1227" t="str">
        <f>IF('[232]Entrada dados'!O68&lt;&gt;"",'[232]Entrada dados'!O68,"")</f>
        <v/>
      </c>
      <c r="E82" s="1227"/>
      <c r="F82" s="1227" t="str">
        <f>IF('[232]Entrada dados'!C68&lt;&gt;"",IF('[232]Entrada dados'!C68="E","LE",IF('[232]Entrada dados'!C68="D","LD","")),"")</f>
        <v/>
      </c>
      <c r="G82" s="1228" t="str">
        <f>IF('[232]Entrada dados'!D68&lt;&gt;"",'[232]Entrada dados'!D68,"")</f>
        <v/>
      </c>
      <c r="H82" s="1229"/>
      <c r="I82" s="1227" t="str">
        <f>IF('[232]Entrada dados'!G68&lt;&gt;"",'[232]Entrada dados'!G68,"")</f>
        <v/>
      </c>
      <c r="J82" s="1227"/>
      <c r="K82" s="1229" t="str">
        <f>IF('[232]Entrada dados'!Y68&lt;&gt;"",'[232]Entrada dados'!Y68,"")</f>
        <v/>
      </c>
      <c r="L82" s="1229" t="str">
        <f>IF('[232]Entrada dados'!Z68&lt;&gt;"",'[232]Entrada dados'!Z68,"")</f>
        <v/>
      </c>
      <c r="M82" s="1229" t="str">
        <f>IF('[232]Entrada dados'!AA68&lt;&gt;"",'[232]Entrada dados'!AA68,"")</f>
        <v/>
      </c>
      <c r="N82" s="1267"/>
      <c r="O82" s="1267" t="str">
        <f>IF('[232]Entrada dados'!N66&lt;&gt;"",'[232]Entrada dados'!N66,"")</f>
        <v/>
      </c>
      <c r="P82" s="1206"/>
    </row>
    <row r="83" spans="1:16" ht="12.75" hidden="1" customHeight="1">
      <c r="A83" s="1205"/>
      <c r="B83" s="1227" t="str">
        <f>IF('[232]Entrada dados'!A69&lt;&gt;"",'[232]Entrada dados'!A69,"")</f>
        <v/>
      </c>
      <c r="C83" s="1227"/>
      <c r="D83" s="1227" t="str">
        <f>IF('[232]Entrada dados'!O69&lt;&gt;"",'[232]Entrada dados'!O69,"")</f>
        <v/>
      </c>
      <c r="E83" s="1227"/>
      <c r="F83" s="1227" t="str">
        <f>IF('[232]Entrada dados'!C69&lt;&gt;"",IF('[232]Entrada dados'!C69="E","LE",IF('[232]Entrada dados'!C69="D","LD","")),"")</f>
        <v/>
      </c>
      <c r="G83" s="1228" t="str">
        <f>IF('[232]Entrada dados'!D69&lt;&gt;"",'[232]Entrada dados'!D69,"")</f>
        <v/>
      </c>
      <c r="H83" s="1229"/>
      <c r="I83" s="1227" t="str">
        <f>IF('[232]Entrada dados'!G69&lt;&gt;"",'[232]Entrada dados'!G69,"")</f>
        <v/>
      </c>
      <c r="J83" s="1227"/>
      <c r="K83" s="1229" t="str">
        <f>IF('[232]Entrada dados'!Y69&lt;&gt;"",'[232]Entrada dados'!Y69,"")</f>
        <v/>
      </c>
      <c r="L83" s="1229" t="str">
        <f>IF('[232]Entrada dados'!Z69&lt;&gt;"",'[232]Entrada dados'!Z69,"")</f>
        <v/>
      </c>
      <c r="M83" s="1229" t="str">
        <f>IF('[232]Entrada dados'!AA69&lt;&gt;"",'[232]Entrada dados'!AA69,"")</f>
        <v/>
      </c>
      <c r="N83" s="1267"/>
      <c r="O83" s="1267" t="str">
        <f>IF('[232]Entrada dados'!N67&lt;&gt;"",'[232]Entrada dados'!N67,"")</f>
        <v/>
      </c>
      <c r="P83" s="1206"/>
    </row>
    <row r="84" spans="1:16" ht="12.75" hidden="1" customHeight="1">
      <c r="A84" s="1205"/>
      <c r="B84" s="1227" t="str">
        <f>IF('[232]Entrada dados'!A70&lt;&gt;"",'[232]Entrada dados'!A70,"")</f>
        <v/>
      </c>
      <c r="C84" s="1227"/>
      <c r="D84" s="1227" t="str">
        <f>IF('[232]Entrada dados'!O70&lt;&gt;"",'[232]Entrada dados'!O70,"")</f>
        <v/>
      </c>
      <c r="E84" s="1227"/>
      <c r="F84" s="1227" t="str">
        <f>IF('[232]Entrada dados'!C70&lt;&gt;"",IF('[232]Entrada dados'!C70="E","LE",IF('[232]Entrada dados'!C70="D","LD","")),"")</f>
        <v/>
      </c>
      <c r="G84" s="1228" t="str">
        <f>IF('[232]Entrada dados'!D70&lt;&gt;"",'[232]Entrada dados'!D70,"")</f>
        <v/>
      </c>
      <c r="H84" s="1229"/>
      <c r="I84" s="1227" t="str">
        <f>IF('[232]Entrada dados'!G70&lt;&gt;"",'[232]Entrada dados'!G70,"")</f>
        <v/>
      </c>
      <c r="J84" s="1227"/>
      <c r="K84" s="1229" t="str">
        <f>IF('[232]Entrada dados'!Y70&lt;&gt;"",'[232]Entrada dados'!Y70,"")</f>
        <v/>
      </c>
      <c r="L84" s="1229" t="str">
        <f>IF('[232]Entrada dados'!Z70&lt;&gt;"",'[232]Entrada dados'!Z70,"")</f>
        <v/>
      </c>
      <c r="M84" s="1229" t="str">
        <f>IF('[232]Entrada dados'!AA70&lt;&gt;"",'[232]Entrada dados'!AA70,"")</f>
        <v/>
      </c>
      <c r="N84" s="1267"/>
      <c r="O84" s="1267" t="str">
        <f>IF('[232]Entrada dados'!N68&lt;&gt;"",'[232]Entrada dados'!N68,"")</f>
        <v/>
      </c>
      <c r="P84" s="1206"/>
    </row>
    <row r="85" spans="1:16" ht="12.75" hidden="1" customHeight="1">
      <c r="A85" s="1205"/>
      <c r="B85" s="1227" t="str">
        <f>IF('[232]Entrada dados'!A71&lt;&gt;"",'[232]Entrada dados'!A71,"")</f>
        <v/>
      </c>
      <c r="C85" s="1227"/>
      <c r="D85" s="1227" t="str">
        <f>IF('[232]Entrada dados'!O71&lt;&gt;"",'[232]Entrada dados'!O71,"")</f>
        <v/>
      </c>
      <c r="E85" s="1227"/>
      <c r="F85" s="1227" t="str">
        <f>IF('[232]Entrada dados'!C71&lt;&gt;"",IF('[232]Entrada dados'!C71="E","LE",IF('[232]Entrada dados'!C71="D","LD","")),"")</f>
        <v/>
      </c>
      <c r="G85" s="1228" t="str">
        <f>IF('[232]Entrada dados'!D71&lt;&gt;"",'[232]Entrada dados'!D71,"")</f>
        <v/>
      </c>
      <c r="H85" s="1229"/>
      <c r="I85" s="1227" t="str">
        <f>IF('[232]Entrada dados'!G71&lt;&gt;"",'[232]Entrada dados'!G71,"")</f>
        <v/>
      </c>
      <c r="J85" s="1227"/>
      <c r="K85" s="1229" t="str">
        <f>IF('[232]Entrada dados'!Y71&lt;&gt;"",'[232]Entrada dados'!Y71,"")</f>
        <v/>
      </c>
      <c r="L85" s="1229" t="str">
        <f>IF('[232]Entrada dados'!Z71&lt;&gt;"",'[232]Entrada dados'!Z71,"")</f>
        <v/>
      </c>
      <c r="M85" s="1229" t="str">
        <f>IF('[232]Entrada dados'!AA71&lt;&gt;"",'[232]Entrada dados'!AA71,"")</f>
        <v/>
      </c>
      <c r="N85" s="1267"/>
      <c r="O85" s="1267" t="str">
        <f>IF('[232]Entrada dados'!N69&lt;&gt;"",'[232]Entrada dados'!N69,"")</f>
        <v/>
      </c>
      <c r="P85" s="1206"/>
    </row>
    <row r="86" spans="1:16" ht="12.75" hidden="1" customHeight="1">
      <c r="A86" s="1205"/>
      <c r="B86" s="1227" t="str">
        <f>IF('[232]Entrada dados'!A72&lt;&gt;"",'[232]Entrada dados'!A72,"")</f>
        <v/>
      </c>
      <c r="C86" s="1227"/>
      <c r="D86" s="1227" t="str">
        <f>IF('[232]Entrada dados'!O72&lt;&gt;"",'[232]Entrada dados'!O72,"")</f>
        <v/>
      </c>
      <c r="E86" s="1227"/>
      <c r="F86" s="1227" t="str">
        <f>IF('[232]Entrada dados'!C72&lt;&gt;"",IF('[232]Entrada dados'!C72="E","LE",IF('[232]Entrada dados'!C72="D","LD","")),"")</f>
        <v/>
      </c>
      <c r="G86" s="1228" t="str">
        <f>IF('[232]Entrada dados'!D72&lt;&gt;"",'[232]Entrada dados'!D72,"")</f>
        <v/>
      </c>
      <c r="H86" s="1229"/>
      <c r="I86" s="1227" t="str">
        <f>IF('[232]Entrada dados'!G72&lt;&gt;"",'[232]Entrada dados'!G72,"")</f>
        <v/>
      </c>
      <c r="J86" s="1227"/>
      <c r="K86" s="1229" t="str">
        <f>IF('[232]Entrada dados'!Y72&lt;&gt;"",'[232]Entrada dados'!Y72,"")</f>
        <v/>
      </c>
      <c r="L86" s="1229" t="str">
        <f>IF('[232]Entrada dados'!Z72&lt;&gt;"",'[232]Entrada dados'!Z72,"")</f>
        <v/>
      </c>
      <c r="M86" s="1229" t="str">
        <f>IF('[232]Entrada dados'!AA72&lt;&gt;"",'[232]Entrada dados'!AA72,"")</f>
        <v/>
      </c>
      <c r="N86" s="1267"/>
      <c r="O86" s="1267" t="str">
        <f>IF('[232]Entrada dados'!N70&lt;&gt;"",'[232]Entrada dados'!N70,"")</f>
        <v/>
      </c>
      <c r="P86" s="1206"/>
    </row>
    <row r="87" spans="1:16" ht="12.75" hidden="1" customHeight="1">
      <c r="A87" s="1205"/>
      <c r="B87" s="1227" t="str">
        <f>IF('[232]Entrada dados'!A73&lt;&gt;"",'[232]Entrada dados'!A73,"")</f>
        <v/>
      </c>
      <c r="C87" s="1227"/>
      <c r="D87" s="1227" t="str">
        <f>IF('[232]Entrada dados'!O73&lt;&gt;"",'[232]Entrada dados'!O73,"")</f>
        <v/>
      </c>
      <c r="E87" s="1227"/>
      <c r="F87" s="1227" t="str">
        <f>IF('[232]Entrada dados'!C73&lt;&gt;"",IF('[232]Entrada dados'!C73="E","LE",IF('[232]Entrada dados'!C73="D","LD","")),"")</f>
        <v/>
      </c>
      <c r="G87" s="1228" t="str">
        <f>IF('[232]Entrada dados'!D73&lt;&gt;"",'[232]Entrada dados'!D73,"")</f>
        <v/>
      </c>
      <c r="H87" s="1229"/>
      <c r="I87" s="1227" t="str">
        <f>IF('[232]Entrada dados'!G73&lt;&gt;"",'[232]Entrada dados'!G73,"")</f>
        <v/>
      </c>
      <c r="J87" s="1227"/>
      <c r="K87" s="1229" t="str">
        <f>IF('[232]Entrada dados'!Y73&lt;&gt;"",'[232]Entrada dados'!Y73,"")</f>
        <v/>
      </c>
      <c r="L87" s="1229" t="str">
        <f>IF('[232]Entrada dados'!Z73&lt;&gt;"",'[232]Entrada dados'!Z73,"")</f>
        <v/>
      </c>
      <c r="M87" s="1229" t="str">
        <f>IF('[232]Entrada dados'!AA73&lt;&gt;"",'[232]Entrada dados'!AA73,"")</f>
        <v/>
      </c>
      <c r="N87" s="1267"/>
      <c r="O87" s="1267" t="str">
        <f>IF('[232]Entrada dados'!N71&lt;&gt;"",'[232]Entrada dados'!N71,"")</f>
        <v/>
      </c>
      <c r="P87" s="1206"/>
    </row>
    <row r="88" spans="1:16" ht="12.75" hidden="1" customHeight="1">
      <c r="A88" s="1205"/>
      <c r="B88" s="1227" t="str">
        <f>IF('[232]Entrada dados'!A74&lt;&gt;"",'[232]Entrada dados'!A74,"")</f>
        <v/>
      </c>
      <c r="C88" s="1227"/>
      <c r="D88" s="1227" t="str">
        <f>IF('[232]Entrada dados'!O74&lt;&gt;"",'[232]Entrada dados'!O74,"")</f>
        <v/>
      </c>
      <c r="E88" s="1227"/>
      <c r="F88" s="1227" t="str">
        <f>IF('[232]Entrada dados'!C74&lt;&gt;"",IF('[232]Entrada dados'!C74="E","LE",IF('[232]Entrada dados'!C74="D","LD","")),"")</f>
        <v/>
      </c>
      <c r="G88" s="1228" t="str">
        <f>IF('[232]Entrada dados'!D74&lt;&gt;"",'[232]Entrada dados'!D74,"")</f>
        <v/>
      </c>
      <c r="H88" s="1229"/>
      <c r="I88" s="1227" t="str">
        <f>IF('[232]Entrada dados'!G74&lt;&gt;"",'[232]Entrada dados'!G74,"")</f>
        <v/>
      </c>
      <c r="J88" s="1227"/>
      <c r="K88" s="1229" t="str">
        <f>IF('[232]Entrada dados'!Y74&lt;&gt;"",'[232]Entrada dados'!Y74,"")</f>
        <v/>
      </c>
      <c r="L88" s="1229" t="str">
        <f>IF('[232]Entrada dados'!Z74&lt;&gt;"",'[232]Entrada dados'!Z74,"")</f>
        <v/>
      </c>
      <c r="M88" s="1229" t="str">
        <f>IF('[232]Entrada dados'!AA74&lt;&gt;"",'[232]Entrada dados'!AA74,"")</f>
        <v/>
      </c>
      <c r="N88" s="1267"/>
      <c r="O88" s="1267" t="str">
        <f>IF('[232]Entrada dados'!N72&lt;&gt;"",'[232]Entrada dados'!N72,"")</f>
        <v/>
      </c>
      <c r="P88" s="1206"/>
    </row>
    <row r="89" spans="1:16" ht="12.75" hidden="1" customHeight="1">
      <c r="A89" s="1205"/>
      <c r="B89" s="1227" t="str">
        <f>IF('[232]Entrada dados'!A75&lt;&gt;"",'[232]Entrada dados'!A75,"")</f>
        <v/>
      </c>
      <c r="C89" s="1227"/>
      <c r="D89" s="1227" t="str">
        <f>IF('[232]Entrada dados'!O75&lt;&gt;"",'[232]Entrada dados'!O75,"")</f>
        <v/>
      </c>
      <c r="E89" s="1227"/>
      <c r="F89" s="1227" t="str">
        <f>IF('[232]Entrada dados'!C75&lt;&gt;"",IF('[232]Entrada dados'!C75="E","LE",IF('[232]Entrada dados'!C75="D","LD","")),"")</f>
        <v/>
      </c>
      <c r="G89" s="1228" t="str">
        <f>IF('[232]Entrada dados'!D75&lt;&gt;"",'[232]Entrada dados'!D75,"")</f>
        <v/>
      </c>
      <c r="H89" s="1229"/>
      <c r="I89" s="1227" t="str">
        <f>IF('[232]Entrada dados'!G75&lt;&gt;"",'[232]Entrada dados'!G75,"")</f>
        <v/>
      </c>
      <c r="J89" s="1227"/>
      <c r="K89" s="1229" t="str">
        <f>IF('[232]Entrada dados'!Y75&lt;&gt;"",'[232]Entrada dados'!Y75,"")</f>
        <v/>
      </c>
      <c r="L89" s="1229" t="str">
        <f>IF('[232]Entrada dados'!Z75&lt;&gt;"",'[232]Entrada dados'!Z75,"")</f>
        <v/>
      </c>
      <c r="M89" s="1229" t="str">
        <f>IF('[232]Entrada dados'!AA75&lt;&gt;"",'[232]Entrada dados'!AA75,"")</f>
        <v/>
      </c>
      <c r="N89" s="1267"/>
      <c r="O89" s="1267" t="str">
        <f>IF('[232]Entrada dados'!N73&lt;&gt;"",'[232]Entrada dados'!N73,"")</f>
        <v/>
      </c>
      <c r="P89" s="1206"/>
    </row>
    <row r="90" spans="1:16" ht="12.75" hidden="1" customHeight="1">
      <c r="A90" s="1205"/>
      <c r="B90" s="1227" t="str">
        <f>IF('[232]Entrada dados'!A76&lt;&gt;"",'[232]Entrada dados'!A76,"")</f>
        <v/>
      </c>
      <c r="C90" s="1227"/>
      <c r="D90" s="1227" t="str">
        <f>IF('[232]Entrada dados'!O76&lt;&gt;"",'[232]Entrada dados'!O76,"")</f>
        <v/>
      </c>
      <c r="E90" s="1227"/>
      <c r="F90" s="1227" t="str">
        <f>IF('[232]Entrada dados'!C76&lt;&gt;"",IF('[232]Entrada dados'!C76="E","LE",IF('[232]Entrada dados'!C76="D","LD","")),"")</f>
        <v/>
      </c>
      <c r="G90" s="1228" t="str">
        <f>IF('[232]Entrada dados'!D76&lt;&gt;"",'[232]Entrada dados'!D76,"")</f>
        <v/>
      </c>
      <c r="H90" s="1229"/>
      <c r="I90" s="1227" t="str">
        <f>IF('[232]Entrada dados'!G76&lt;&gt;"",'[232]Entrada dados'!G76,"")</f>
        <v/>
      </c>
      <c r="J90" s="1227"/>
      <c r="K90" s="1229" t="str">
        <f>IF('[232]Entrada dados'!Y76&lt;&gt;"",'[232]Entrada dados'!Y76,"")</f>
        <v/>
      </c>
      <c r="L90" s="1229" t="str">
        <f>IF('[232]Entrada dados'!Z76&lt;&gt;"",'[232]Entrada dados'!Z76,"")</f>
        <v/>
      </c>
      <c r="M90" s="1229" t="str">
        <f>IF('[232]Entrada dados'!AA76&lt;&gt;"",'[232]Entrada dados'!AA76,"")</f>
        <v/>
      </c>
      <c r="N90" s="1267"/>
      <c r="O90" s="1267" t="str">
        <f>IF('[232]Entrada dados'!N74&lt;&gt;"",'[232]Entrada dados'!N74,"")</f>
        <v/>
      </c>
      <c r="P90" s="1206"/>
    </row>
    <row r="91" spans="1:16" ht="12.75" hidden="1" customHeight="1">
      <c r="A91" s="1205"/>
      <c r="B91" s="1227" t="str">
        <f>IF('[232]Entrada dados'!A77&lt;&gt;"",'[232]Entrada dados'!A77,"")</f>
        <v/>
      </c>
      <c r="C91" s="1227"/>
      <c r="D91" s="1227" t="str">
        <f>IF('[232]Entrada dados'!O77&lt;&gt;"",'[232]Entrada dados'!O77,"")</f>
        <v/>
      </c>
      <c r="E91" s="1227"/>
      <c r="F91" s="1227" t="str">
        <f>IF('[232]Entrada dados'!C77&lt;&gt;"",IF('[232]Entrada dados'!C77="E","LE",IF('[232]Entrada dados'!C77="D","LD","")),"")</f>
        <v/>
      </c>
      <c r="G91" s="1228" t="str">
        <f>IF('[232]Entrada dados'!D77&lt;&gt;"",'[232]Entrada dados'!D77,"")</f>
        <v/>
      </c>
      <c r="H91" s="1229"/>
      <c r="I91" s="1227" t="str">
        <f>IF('[232]Entrada dados'!G77&lt;&gt;"",'[232]Entrada dados'!G77,"")</f>
        <v/>
      </c>
      <c r="J91" s="1227"/>
      <c r="K91" s="1229" t="str">
        <f>IF('[232]Entrada dados'!Y77&lt;&gt;"",'[232]Entrada dados'!Y77,"")</f>
        <v/>
      </c>
      <c r="L91" s="1229" t="str">
        <f>IF('[232]Entrada dados'!Z77&lt;&gt;"",'[232]Entrada dados'!Z77,"")</f>
        <v/>
      </c>
      <c r="M91" s="1229" t="str">
        <f>IF('[232]Entrada dados'!AA77&lt;&gt;"",'[232]Entrada dados'!AA77,"")</f>
        <v/>
      </c>
      <c r="N91" s="1267"/>
      <c r="O91" s="1267" t="str">
        <f>IF('[232]Entrada dados'!N75&lt;&gt;"",'[232]Entrada dados'!N75,"")</f>
        <v/>
      </c>
      <c r="P91" s="1206"/>
    </row>
    <row r="92" spans="1:16" ht="12.75" hidden="1" customHeight="1">
      <c r="A92" s="1205"/>
      <c r="B92" s="1227" t="str">
        <f>IF('[232]Entrada dados'!A78&lt;&gt;"",'[232]Entrada dados'!A78,"")</f>
        <v/>
      </c>
      <c r="C92" s="1227"/>
      <c r="D92" s="1227" t="str">
        <f>IF('[232]Entrada dados'!O78&lt;&gt;"",'[232]Entrada dados'!O78,"")</f>
        <v/>
      </c>
      <c r="E92" s="1227"/>
      <c r="F92" s="1227" t="str">
        <f>IF('[232]Entrada dados'!C78&lt;&gt;"",IF('[232]Entrada dados'!C78="E","LE",IF('[232]Entrada dados'!C78="D","LD","")),"")</f>
        <v/>
      </c>
      <c r="G92" s="1228" t="str">
        <f>IF('[232]Entrada dados'!D78&lt;&gt;"",'[232]Entrada dados'!D78,"")</f>
        <v/>
      </c>
      <c r="H92" s="1229" t="str">
        <f>IF('[232]Entrada dados'!F78&lt;&gt;"",'[232]Entrada dados'!F78,"")</f>
        <v/>
      </c>
      <c r="I92" s="1227" t="str">
        <f>IF('[232]Entrada dados'!G78&lt;&gt;"",'[232]Entrada dados'!G78,"")</f>
        <v/>
      </c>
      <c r="J92" s="1227"/>
      <c r="K92" s="1229" t="str">
        <f>IF('[232]Entrada dados'!Y78&lt;&gt;"",'[232]Entrada dados'!Y78,"")</f>
        <v/>
      </c>
      <c r="L92" s="1229" t="str">
        <f>IF('[232]Entrada dados'!Z78&lt;&gt;"",'[232]Entrada dados'!Z78,"")</f>
        <v/>
      </c>
      <c r="M92" s="1229" t="str">
        <f>IF('[232]Entrada dados'!AA78&lt;&gt;"",'[232]Entrada dados'!AA78,"")</f>
        <v/>
      </c>
      <c r="N92" s="1267"/>
      <c r="O92" s="1267" t="str">
        <f>IF('[232]Entrada dados'!N76&lt;&gt;"",'[232]Entrada dados'!N76,"")</f>
        <v/>
      </c>
      <c r="P92" s="1206"/>
    </row>
    <row r="93" spans="1:16" ht="12.75" hidden="1" customHeight="1">
      <c r="A93" s="1205"/>
      <c r="B93" s="1227" t="str">
        <f>IF('[232]Entrada dados'!A79&lt;&gt;"",'[232]Entrada dados'!A79,"")</f>
        <v/>
      </c>
      <c r="C93" s="1227"/>
      <c r="D93" s="1227" t="str">
        <f>IF('[232]Entrada dados'!O79&lt;&gt;"",'[232]Entrada dados'!O79,"")</f>
        <v/>
      </c>
      <c r="E93" s="1227"/>
      <c r="F93" s="1227" t="str">
        <f>IF('[232]Entrada dados'!C79&lt;&gt;"",IF('[232]Entrada dados'!C79="E","LE",IF('[232]Entrada dados'!C79="D","LD","")),"")</f>
        <v/>
      </c>
      <c r="G93" s="1228" t="str">
        <f>IF('[232]Entrada dados'!D79&lt;&gt;"",'[232]Entrada dados'!D79,"")</f>
        <v/>
      </c>
      <c r="H93" s="1229" t="str">
        <f>IF('[232]Entrada dados'!F79&lt;&gt;"",'[232]Entrada dados'!F79,"")</f>
        <v/>
      </c>
      <c r="I93" s="1227" t="str">
        <f>IF('[232]Entrada dados'!G79&lt;&gt;"",'[232]Entrada dados'!G79,"")</f>
        <v/>
      </c>
      <c r="J93" s="1227"/>
      <c r="K93" s="1229" t="str">
        <f>IF('[232]Entrada dados'!Y79&lt;&gt;"",'[232]Entrada dados'!Y79,"")</f>
        <v/>
      </c>
      <c r="L93" s="1229" t="str">
        <f>IF('[232]Entrada dados'!Z79&lt;&gt;"",'[232]Entrada dados'!Z79,"")</f>
        <v/>
      </c>
      <c r="M93" s="1229" t="str">
        <f>IF('[232]Entrada dados'!AA79&lt;&gt;"",'[232]Entrada dados'!AA79,"")</f>
        <v/>
      </c>
      <c r="N93" s="1267"/>
      <c r="O93" s="1267" t="str">
        <f>IF('[232]Entrada dados'!N77&lt;&gt;"",'[232]Entrada dados'!N77,"")</f>
        <v/>
      </c>
      <c r="P93" s="1206"/>
    </row>
    <row r="94" spans="1:16" ht="12.75" hidden="1" customHeight="1">
      <c r="A94" s="1205"/>
      <c r="B94" s="1227" t="str">
        <f>IF('[232]Entrada dados'!A80&lt;&gt;"",'[232]Entrada dados'!A80,"")</f>
        <v/>
      </c>
      <c r="C94" s="1227"/>
      <c r="D94" s="1227" t="str">
        <f>IF('[232]Entrada dados'!O80&lt;&gt;"",'[232]Entrada dados'!O80,"")</f>
        <v/>
      </c>
      <c r="E94" s="1227"/>
      <c r="F94" s="1227" t="str">
        <f>IF('[232]Entrada dados'!C80&lt;&gt;"",IF('[232]Entrada dados'!C80="E","LE",IF('[232]Entrada dados'!C80="D","LD","")),"")</f>
        <v/>
      </c>
      <c r="G94" s="1228" t="str">
        <f>IF('[232]Entrada dados'!D80&lt;&gt;"",'[232]Entrada dados'!D80,"")</f>
        <v/>
      </c>
      <c r="H94" s="1229" t="str">
        <f>IF('[232]Entrada dados'!F80&lt;&gt;"",'[232]Entrada dados'!F80,"")</f>
        <v/>
      </c>
      <c r="I94" s="1227" t="str">
        <f>IF('[232]Entrada dados'!G80&lt;&gt;"",'[232]Entrada dados'!G80,"")</f>
        <v/>
      </c>
      <c r="J94" s="1227"/>
      <c r="K94" s="1229" t="str">
        <f>IF('[232]Entrada dados'!Y80&lt;&gt;"",'[232]Entrada dados'!Y80,"")</f>
        <v/>
      </c>
      <c r="L94" s="1229" t="str">
        <f>IF('[232]Entrada dados'!Z80&lt;&gt;"",'[232]Entrada dados'!Z80,"")</f>
        <v/>
      </c>
      <c r="M94" s="1229" t="str">
        <f>IF('[232]Entrada dados'!AA80&lt;&gt;"",'[232]Entrada dados'!AA80,"")</f>
        <v/>
      </c>
      <c r="N94" s="1267"/>
      <c r="O94" s="1267" t="str">
        <f>IF('[232]Entrada dados'!N78&lt;&gt;"",'[232]Entrada dados'!N78,"")</f>
        <v/>
      </c>
      <c r="P94" s="1206"/>
    </row>
    <row r="95" spans="1:16" ht="12.75" hidden="1" customHeight="1">
      <c r="A95" s="1205"/>
      <c r="B95" s="1227" t="str">
        <f>IF('[232]Entrada dados'!A81&lt;&gt;"",'[232]Entrada dados'!A81,"")</f>
        <v/>
      </c>
      <c r="C95" s="1227"/>
      <c r="D95" s="1227" t="str">
        <f>IF('[232]Entrada dados'!O81&lt;&gt;"",'[232]Entrada dados'!O81,"")</f>
        <v/>
      </c>
      <c r="E95" s="1227"/>
      <c r="F95" s="1227" t="str">
        <f>IF('[232]Entrada dados'!C81&lt;&gt;"",IF('[232]Entrada dados'!C81="E","LE",IF('[232]Entrada dados'!C81="D","LD","")),"")</f>
        <v/>
      </c>
      <c r="G95" s="1228" t="str">
        <f>IF('[232]Entrada dados'!D81&lt;&gt;"",'[232]Entrada dados'!D81,"")</f>
        <v/>
      </c>
      <c r="H95" s="1229" t="str">
        <f>IF('[232]Entrada dados'!F81&lt;&gt;"",'[232]Entrada dados'!F81,"")</f>
        <v/>
      </c>
      <c r="I95" s="1227" t="str">
        <f>IF('[232]Entrada dados'!G81&lt;&gt;"",'[232]Entrada dados'!G81,"")</f>
        <v/>
      </c>
      <c r="J95" s="1227"/>
      <c r="K95" s="1229" t="str">
        <f>IF('[232]Entrada dados'!Y81&lt;&gt;"",'[232]Entrada dados'!Y81,"")</f>
        <v/>
      </c>
      <c r="L95" s="1229" t="str">
        <f>IF('[232]Entrada dados'!Z81&lt;&gt;"",'[232]Entrada dados'!Z81,"")</f>
        <v/>
      </c>
      <c r="M95" s="1229" t="str">
        <f>IF('[232]Entrada dados'!AA81&lt;&gt;"",'[232]Entrada dados'!AA81,"")</f>
        <v/>
      </c>
      <c r="N95" s="1267"/>
      <c r="O95" s="1267" t="str">
        <f>IF('[232]Entrada dados'!N79&lt;&gt;"",'[232]Entrada dados'!N79,"")</f>
        <v/>
      </c>
      <c r="P95" s="1206"/>
    </row>
    <row r="96" spans="1:16" ht="12.75" hidden="1" customHeight="1">
      <c r="A96" s="1205"/>
      <c r="B96" s="1227" t="str">
        <f>IF('[232]Entrada dados'!A82&lt;&gt;"",'[232]Entrada dados'!A82,"")</f>
        <v/>
      </c>
      <c r="C96" s="1227"/>
      <c r="D96" s="1227" t="str">
        <f>IF('[232]Entrada dados'!O82&lt;&gt;"",'[232]Entrada dados'!O82,"")</f>
        <v/>
      </c>
      <c r="E96" s="1227"/>
      <c r="F96" s="1227" t="str">
        <f>IF('[232]Entrada dados'!C82&lt;&gt;"",IF('[232]Entrada dados'!C82="E","LE",IF('[232]Entrada dados'!C82="D","LD","")),"")</f>
        <v/>
      </c>
      <c r="G96" s="1228" t="str">
        <f>IF('[232]Entrada dados'!D82&lt;&gt;"",'[232]Entrada dados'!D82,"")</f>
        <v/>
      </c>
      <c r="H96" s="1229" t="str">
        <f>IF('[232]Entrada dados'!F82&lt;&gt;"",'[232]Entrada dados'!F82,"")</f>
        <v/>
      </c>
      <c r="I96" s="1227" t="str">
        <f>IF('[232]Entrada dados'!G82&lt;&gt;"",'[232]Entrada dados'!G82,"")</f>
        <v/>
      </c>
      <c r="J96" s="1227"/>
      <c r="K96" s="1229" t="str">
        <f>IF('[232]Entrada dados'!Y82&lt;&gt;"",'[232]Entrada dados'!Y82,"")</f>
        <v/>
      </c>
      <c r="L96" s="1229" t="str">
        <f>IF('[232]Entrada dados'!Z82&lt;&gt;"",'[232]Entrada dados'!Z82,"")</f>
        <v/>
      </c>
      <c r="M96" s="1229" t="str">
        <f>IF('[232]Entrada dados'!AA82&lt;&gt;"",'[232]Entrada dados'!AA82,"")</f>
        <v/>
      </c>
      <c r="N96" s="1267"/>
      <c r="O96" s="1267" t="str">
        <f>IF('[232]Entrada dados'!N80&lt;&gt;"",'[232]Entrada dados'!N80,"")</f>
        <v/>
      </c>
      <c r="P96" s="1206"/>
    </row>
    <row r="97" spans="1:16" ht="12.75" hidden="1" customHeight="1">
      <c r="A97" s="1205"/>
      <c r="B97" s="1227" t="str">
        <f>IF('[232]Entrada dados'!A83&lt;&gt;"",'[232]Entrada dados'!A83,"")</f>
        <v/>
      </c>
      <c r="C97" s="1227"/>
      <c r="D97" s="1227" t="str">
        <f>IF('[232]Entrada dados'!O83&lt;&gt;"",'[232]Entrada dados'!O83,"")</f>
        <v/>
      </c>
      <c r="E97" s="1227"/>
      <c r="F97" s="1227" t="str">
        <f>IF('[232]Entrada dados'!C83&lt;&gt;"",IF('[232]Entrada dados'!C83="E","LE",IF('[232]Entrada dados'!C83="D","LD","")),"")</f>
        <v/>
      </c>
      <c r="G97" s="1228" t="str">
        <f>IF('[232]Entrada dados'!D83&lt;&gt;"",'[232]Entrada dados'!D83,"")</f>
        <v/>
      </c>
      <c r="H97" s="1229" t="str">
        <f>IF('[232]Entrada dados'!F83&lt;&gt;"",'[232]Entrada dados'!F83,"")</f>
        <v/>
      </c>
      <c r="I97" s="1227" t="str">
        <f>IF('[232]Entrada dados'!G83&lt;&gt;"",'[232]Entrada dados'!G83,"")</f>
        <v/>
      </c>
      <c r="J97" s="1227"/>
      <c r="K97" s="1229" t="str">
        <f>IF('[232]Entrada dados'!Y83&lt;&gt;"",'[232]Entrada dados'!Y83,"")</f>
        <v/>
      </c>
      <c r="L97" s="1229" t="str">
        <f>IF('[232]Entrada dados'!Z83&lt;&gt;"",'[232]Entrada dados'!Z83,"")</f>
        <v/>
      </c>
      <c r="M97" s="1229" t="str">
        <f>IF('[232]Entrada dados'!AA83&lt;&gt;"",'[232]Entrada dados'!AA83,"")</f>
        <v/>
      </c>
      <c r="N97" s="1267"/>
      <c r="O97" s="1267" t="str">
        <f>IF('[232]Entrada dados'!N81&lt;&gt;"",'[232]Entrada dados'!N81,"")</f>
        <v/>
      </c>
      <c r="P97" s="1206"/>
    </row>
    <row r="98" spans="1:16" ht="12.75" hidden="1" customHeight="1">
      <c r="A98" s="1205"/>
      <c r="B98" s="1227" t="str">
        <f>IF('[232]Entrada dados'!A84&lt;&gt;"",'[232]Entrada dados'!A84,"")</f>
        <v/>
      </c>
      <c r="C98" s="1227"/>
      <c r="D98" s="1227" t="str">
        <f>IF('[232]Entrada dados'!O84&lt;&gt;"",'[232]Entrada dados'!O84,"")</f>
        <v/>
      </c>
      <c r="E98" s="1227"/>
      <c r="F98" s="1227" t="str">
        <f>IF('[232]Entrada dados'!C84&lt;&gt;"",IF('[232]Entrada dados'!C84="E","LE",IF('[232]Entrada dados'!C84="D","LD","")),"")</f>
        <v/>
      </c>
      <c r="G98" s="1228" t="str">
        <f>IF('[232]Entrada dados'!D84&lt;&gt;"",'[232]Entrada dados'!D84,"")</f>
        <v/>
      </c>
      <c r="H98" s="1229" t="str">
        <f>IF('[232]Entrada dados'!F84&lt;&gt;"",'[232]Entrada dados'!F84,"")</f>
        <v/>
      </c>
      <c r="I98" s="1227" t="str">
        <f>IF('[232]Entrada dados'!G84&lt;&gt;"",'[232]Entrada dados'!G84,"")</f>
        <v/>
      </c>
      <c r="J98" s="1227"/>
      <c r="K98" s="1229" t="str">
        <f>IF('[232]Entrada dados'!Y84&lt;&gt;"",'[232]Entrada dados'!Y84,"")</f>
        <v/>
      </c>
      <c r="L98" s="1229" t="str">
        <f>IF('[232]Entrada dados'!Z84&lt;&gt;"",'[232]Entrada dados'!Z84,"")</f>
        <v/>
      </c>
      <c r="M98" s="1229" t="str">
        <f>IF('[232]Entrada dados'!AA84&lt;&gt;"",'[232]Entrada dados'!AA84,"")</f>
        <v/>
      </c>
      <c r="N98" s="1267"/>
      <c r="O98" s="1267" t="str">
        <f>IF('[232]Entrada dados'!N82&lt;&gt;"",'[232]Entrada dados'!N82,"")</f>
        <v/>
      </c>
      <c r="P98" s="1206"/>
    </row>
    <row r="99" spans="1:16" ht="12.75" hidden="1" customHeight="1">
      <c r="A99" s="1205"/>
      <c r="B99" s="1227" t="str">
        <f>IF('[232]Entrada dados'!A85&lt;&gt;"",'[232]Entrada dados'!A85,"")</f>
        <v/>
      </c>
      <c r="C99" s="1227"/>
      <c r="D99" s="1227" t="str">
        <f>IF('[232]Entrada dados'!O85&lt;&gt;"",'[232]Entrada dados'!O85,"")</f>
        <v/>
      </c>
      <c r="E99" s="1227"/>
      <c r="F99" s="1227" t="str">
        <f>IF('[232]Entrada dados'!C85&lt;&gt;"",IF('[232]Entrada dados'!C85="E","LE",IF('[232]Entrada dados'!C85="D","LD","")),"")</f>
        <v/>
      </c>
      <c r="G99" s="1228" t="str">
        <f>IF('[232]Entrada dados'!D85&lt;&gt;"",'[232]Entrada dados'!D85,"")</f>
        <v/>
      </c>
      <c r="H99" s="1229" t="str">
        <f>IF('[232]Entrada dados'!F85&lt;&gt;"",'[232]Entrada dados'!F85,"")</f>
        <v/>
      </c>
      <c r="I99" s="1227" t="str">
        <f>IF('[232]Entrada dados'!G85&lt;&gt;"",'[232]Entrada dados'!G85,"")</f>
        <v/>
      </c>
      <c r="J99" s="1227"/>
      <c r="K99" s="1229" t="str">
        <f>IF('[232]Entrada dados'!Y85&lt;&gt;"",'[232]Entrada dados'!Y85,"")</f>
        <v/>
      </c>
      <c r="L99" s="1229" t="str">
        <f>IF('[232]Entrada dados'!Z85&lt;&gt;"",'[232]Entrada dados'!Z85,"")</f>
        <v/>
      </c>
      <c r="M99" s="1229" t="str">
        <f>IF('[232]Entrada dados'!AA85&lt;&gt;"",'[232]Entrada dados'!AA85,"")</f>
        <v/>
      </c>
      <c r="N99" s="1267"/>
      <c r="O99" s="1267" t="str">
        <f>IF('[232]Entrada dados'!N83&lt;&gt;"",'[232]Entrada dados'!N83,"")</f>
        <v/>
      </c>
      <c r="P99" s="1206"/>
    </row>
    <row r="100" spans="1:16" ht="12.75" hidden="1" customHeight="1">
      <c r="A100" s="1205"/>
      <c r="B100" s="1227" t="str">
        <f>IF('[232]Entrada dados'!A86&lt;&gt;"",'[232]Entrada dados'!A86,"")</f>
        <v/>
      </c>
      <c r="C100" s="1227"/>
      <c r="D100" s="1227" t="str">
        <f>IF('[232]Entrada dados'!O86&lt;&gt;"",'[232]Entrada dados'!O86,"")</f>
        <v/>
      </c>
      <c r="E100" s="1227"/>
      <c r="F100" s="1227" t="str">
        <f>IF('[232]Entrada dados'!C86&lt;&gt;"",IF('[232]Entrada dados'!C86="E","LE",IF('[232]Entrada dados'!C86="D","LD","")),"")</f>
        <v/>
      </c>
      <c r="G100" s="1228" t="str">
        <f>IF('[232]Entrada dados'!D86&lt;&gt;"",'[232]Entrada dados'!D86,"")</f>
        <v/>
      </c>
      <c r="H100" s="1229" t="str">
        <f>IF('[232]Entrada dados'!F86&lt;&gt;"",'[232]Entrada dados'!F86,"")</f>
        <v/>
      </c>
      <c r="I100" s="1227" t="str">
        <f>IF('[232]Entrada dados'!G86&lt;&gt;"",'[232]Entrada dados'!G86,"")</f>
        <v/>
      </c>
      <c r="J100" s="1227"/>
      <c r="K100" s="1229" t="str">
        <f>IF('[232]Entrada dados'!Y86&lt;&gt;"",'[232]Entrada dados'!Y86,"")</f>
        <v/>
      </c>
      <c r="L100" s="1229" t="str">
        <f>IF('[232]Entrada dados'!Z86&lt;&gt;"",'[232]Entrada dados'!Z86,"")</f>
        <v/>
      </c>
      <c r="M100" s="1229" t="str">
        <f>IF('[232]Entrada dados'!AA86&lt;&gt;"",'[232]Entrada dados'!AA86,"")</f>
        <v/>
      </c>
      <c r="N100" s="1267"/>
      <c r="O100" s="1267" t="str">
        <f>IF('[232]Entrada dados'!N84&lt;&gt;"",'[232]Entrada dados'!N84,"")</f>
        <v/>
      </c>
      <c r="P100" s="1206"/>
    </row>
    <row r="101" spans="1:16" ht="12.75" hidden="1" customHeight="1">
      <c r="A101" s="1205"/>
      <c r="B101" s="1227" t="str">
        <f>IF('[232]Entrada dados'!A87&lt;&gt;"",'[232]Entrada dados'!A87,"")</f>
        <v/>
      </c>
      <c r="C101" s="1227"/>
      <c r="D101" s="1227" t="str">
        <f>IF('[232]Entrada dados'!O87&lt;&gt;"",'[232]Entrada dados'!O87,"")</f>
        <v/>
      </c>
      <c r="E101" s="1227"/>
      <c r="F101" s="1227" t="str">
        <f>IF('[232]Entrada dados'!C87&lt;&gt;"",IF('[232]Entrada dados'!C87="E","LE",IF('[232]Entrada dados'!C87="D","LD","")),"")</f>
        <v/>
      </c>
      <c r="G101" s="1228" t="str">
        <f>IF('[232]Entrada dados'!D87&lt;&gt;"",'[232]Entrada dados'!D87,"")</f>
        <v/>
      </c>
      <c r="H101" s="1229" t="str">
        <f>IF('[232]Entrada dados'!F87&lt;&gt;"",'[232]Entrada dados'!F87,"")</f>
        <v/>
      </c>
      <c r="I101" s="1227" t="str">
        <f>IF('[232]Entrada dados'!G87&lt;&gt;"",'[232]Entrada dados'!G87,"")</f>
        <v/>
      </c>
      <c r="J101" s="1227"/>
      <c r="K101" s="1229" t="str">
        <f>IF('[232]Entrada dados'!Y87&lt;&gt;"",'[232]Entrada dados'!Y87,"")</f>
        <v/>
      </c>
      <c r="L101" s="1229" t="str">
        <f>IF('[232]Entrada dados'!Z87&lt;&gt;"",'[232]Entrada dados'!Z87,"")</f>
        <v/>
      </c>
      <c r="M101" s="1229" t="str">
        <f>IF('[232]Entrada dados'!AA87&lt;&gt;"",'[232]Entrada dados'!AA87,"")</f>
        <v/>
      </c>
      <c r="N101" s="1267"/>
      <c r="O101" s="1267" t="str">
        <f>IF('[232]Entrada dados'!N85&lt;&gt;"",'[232]Entrada dados'!N85,"")</f>
        <v/>
      </c>
      <c r="P101" s="1206"/>
    </row>
    <row r="102" spans="1:16" ht="12.75" hidden="1" customHeight="1">
      <c r="A102" s="1205"/>
      <c r="B102" s="1227" t="str">
        <f>IF('[232]Entrada dados'!A88&lt;&gt;"",'[232]Entrada dados'!A88,"")</f>
        <v/>
      </c>
      <c r="C102" s="1227"/>
      <c r="D102" s="1227" t="str">
        <f>IF('[232]Entrada dados'!O88&lt;&gt;"",'[232]Entrada dados'!O88,"")</f>
        <v/>
      </c>
      <c r="E102" s="1227"/>
      <c r="F102" s="1227" t="str">
        <f>IF('[232]Entrada dados'!C88&lt;&gt;"",IF('[232]Entrada dados'!C88="E","LE",IF('[232]Entrada dados'!C88="D","LD","")),"")</f>
        <v/>
      </c>
      <c r="G102" s="1228" t="str">
        <f>IF('[232]Entrada dados'!D88&lt;&gt;"",'[232]Entrada dados'!D88,"")</f>
        <v/>
      </c>
      <c r="H102" s="1229" t="str">
        <f>IF('[232]Entrada dados'!F88&lt;&gt;"",'[232]Entrada dados'!F88,"")</f>
        <v/>
      </c>
      <c r="I102" s="1227" t="str">
        <f>IF('[232]Entrada dados'!G88&lt;&gt;"",'[232]Entrada dados'!G88,"")</f>
        <v/>
      </c>
      <c r="J102" s="1227"/>
      <c r="K102" s="1229" t="str">
        <f>IF('[232]Entrada dados'!Y88&lt;&gt;"",'[232]Entrada dados'!Y88,"")</f>
        <v/>
      </c>
      <c r="L102" s="1229" t="str">
        <f>IF('[232]Entrada dados'!Z88&lt;&gt;"",'[232]Entrada dados'!Z88,"")</f>
        <v/>
      </c>
      <c r="M102" s="1229" t="str">
        <f>IF('[232]Entrada dados'!AA88&lt;&gt;"",'[232]Entrada dados'!AA88,"")</f>
        <v/>
      </c>
      <c r="N102" s="1267"/>
      <c r="O102" s="1267" t="str">
        <f>IF('[232]Entrada dados'!N86&lt;&gt;"",'[232]Entrada dados'!N86,"")</f>
        <v/>
      </c>
      <c r="P102" s="1206"/>
    </row>
    <row r="103" spans="1:16" ht="12.75" hidden="1" customHeight="1">
      <c r="A103" s="1205"/>
      <c r="B103" s="1227" t="str">
        <f>IF('[232]Entrada dados'!A89&lt;&gt;"",'[232]Entrada dados'!A89,"")</f>
        <v/>
      </c>
      <c r="C103" s="1227"/>
      <c r="D103" s="1227" t="str">
        <f>IF('[232]Entrada dados'!O89&lt;&gt;"",'[232]Entrada dados'!O89,"")</f>
        <v/>
      </c>
      <c r="E103" s="1227"/>
      <c r="F103" s="1227" t="str">
        <f>IF('[232]Entrada dados'!C89&lt;&gt;"",IF('[232]Entrada dados'!C89="E","LE",IF('[232]Entrada dados'!C89="D","LD","")),"")</f>
        <v/>
      </c>
      <c r="G103" s="1228" t="str">
        <f>IF('[232]Entrada dados'!D89&lt;&gt;"",'[232]Entrada dados'!D89,"")</f>
        <v/>
      </c>
      <c r="H103" s="1229" t="str">
        <f>IF('[232]Entrada dados'!F89&lt;&gt;"",'[232]Entrada dados'!F89,"")</f>
        <v/>
      </c>
      <c r="I103" s="1227" t="str">
        <f>IF('[232]Entrada dados'!G89&lt;&gt;"",'[232]Entrada dados'!G89,"")</f>
        <v/>
      </c>
      <c r="J103" s="1227"/>
      <c r="K103" s="1229" t="str">
        <f>IF('[232]Entrada dados'!Y89&lt;&gt;"",'[232]Entrada dados'!Y89,"")</f>
        <v/>
      </c>
      <c r="L103" s="1229" t="str">
        <f>IF('[232]Entrada dados'!Z89&lt;&gt;"",'[232]Entrada dados'!Z89,"")</f>
        <v/>
      </c>
      <c r="M103" s="1229" t="str">
        <f>IF('[232]Entrada dados'!AA89&lt;&gt;"",'[232]Entrada dados'!AA89,"")</f>
        <v/>
      </c>
      <c r="N103" s="1267"/>
      <c r="O103" s="1267" t="str">
        <f>IF('[232]Entrada dados'!N87&lt;&gt;"",'[232]Entrada dados'!N87,"")</f>
        <v/>
      </c>
      <c r="P103" s="1206"/>
    </row>
    <row r="104" spans="1:16" ht="12.75" hidden="1" customHeight="1">
      <c r="A104" s="1205"/>
      <c r="B104" s="1213"/>
      <c r="C104" s="1213"/>
      <c r="D104" s="1213"/>
      <c r="E104" s="1213"/>
      <c r="F104" s="1213"/>
      <c r="G104" s="1215"/>
      <c r="H104" s="1216"/>
      <c r="I104" s="1213"/>
      <c r="J104" s="1213"/>
      <c r="K104" s="1216"/>
      <c r="L104" s="1216"/>
      <c r="M104" s="1216"/>
      <c r="N104" s="1268"/>
      <c r="O104" s="1267" t="str">
        <f>IF('[232]Entrada dados'!N88&lt;&gt;"",'[232]Entrada dados'!N88,"")</f>
        <v/>
      </c>
      <c r="P104" s="1206"/>
    </row>
    <row r="105" spans="1:16" ht="12.75" hidden="1" customHeight="1">
      <c r="A105" s="1205"/>
      <c r="B105" s="1213"/>
      <c r="C105" s="1213"/>
      <c r="D105" s="1213"/>
      <c r="E105" s="1213"/>
      <c r="F105" s="1213"/>
      <c r="G105" s="1215"/>
      <c r="H105" s="1216"/>
      <c r="I105" s="1213"/>
      <c r="J105" s="1213"/>
      <c r="K105" s="1216"/>
      <c r="L105" s="1216"/>
      <c r="M105" s="1216"/>
      <c r="N105" s="1268"/>
      <c r="O105" s="1267" t="str">
        <f>IF('[232]Entrada dados'!N89&lt;&gt;"",'[232]Entrada dados'!N89,"")</f>
        <v/>
      </c>
      <c r="P105" s="1206"/>
    </row>
    <row r="106" spans="1:16" ht="12.75" hidden="1" customHeight="1">
      <c r="A106" s="1205"/>
      <c r="B106" s="1213"/>
      <c r="C106" s="1213"/>
      <c r="D106" s="1213"/>
      <c r="E106" s="1213"/>
      <c r="F106" s="1213"/>
      <c r="G106" s="1215"/>
      <c r="H106" s="1216"/>
      <c r="I106" s="1213"/>
      <c r="J106" s="1213"/>
      <c r="K106" s="1216"/>
      <c r="L106" s="1216"/>
      <c r="M106" s="1216"/>
      <c r="N106" s="1268"/>
      <c r="O106" s="1267" t="str">
        <f>IF('[232]Entrada dados'!N90&lt;&gt;"",'[232]Entrada dados'!N90,"")</f>
        <v/>
      </c>
      <c r="P106" s="1206"/>
    </row>
    <row r="107" spans="1:16" ht="12.75" hidden="1" customHeight="1">
      <c r="A107" s="1205"/>
      <c r="B107" s="1213"/>
      <c r="C107" s="1213"/>
      <c r="D107" s="1213"/>
      <c r="E107" s="1213"/>
      <c r="F107" s="1213"/>
      <c r="G107" s="1215"/>
      <c r="H107" s="1216"/>
      <c r="I107" s="1213"/>
      <c r="J107" s="1213"/>
      <c r="K107" s="1216"/>
      <c r="L107" s="1216"/>
      <c r="M107" s="1216"/>
      <c r="N107" s="1268"/>
      <c r="O107" s="1267" t="str">
        <f>IF('[232]Entrada dados'!N91&lt;&gt;"",'[232]Entrada dados'!N91,"")</f>
        <v/>
      </c>
      <c r="P107" s="1206"/>
    </row>
    <row r="108" spans="1:16" ht="12.75" hidden="1" customHeight="1">
      <c r="A108" s="1205"/>
      <c r="B108" s="1213"/>
      <c r="C108" s="1213"/>
      <c r="D108" s="1213"/>
      <c r="E108" s="1213"/>
      <c r="F108" s="1213"/>
      <c r="G108" s="1215"/>
      <c r="H108" s="1216"/>
      <c r="I108" s="1213"/>
      <c r="J108" s="1213"/>
      <c r="K108" s="1216"/>
      <c r="L108" s="1216"/>
      <c r="M108" s="1216"/>
      <c r="N108" s="1268"/>
      <c r="O108" s="1267" t="str">
        <f>IF('[232]Entrada dados'!N92&lt;&gt;"",'[232]Entrada dados'!N92,"")</f>
        <v/>
      </c>
      <c r="P108" s="1206"/>
    </row>
    <row r="109" spans="1:16" ht="12.75" hidden="1" customHeight="1">
      <c r="A109" s="1205"/>
      <c r="B109" s="1213"/>
      <c r="C109" s="1213"/>
      <c r="D109" s="1213"/>
      <c r="E109" s="1213"/>
      <c r="F109" s="1213"/>
      <c r="G109" s="1215"/>
      <c r="H109" s="1216"/>
      <c r="I109" s="1213"/>
      <c r="J109" s="1213"/>
      <c r="K109" s="1216"/>
      <c r="L109" s="1216"/>
      <c r="M109" s="1216"/>
      <c r="N109" s="1268"/>
      <c r="O109" s="1267" t="str">
        <f>IF('[232]Entrada dados'!N93&lt;&gt;"",'[232]Entrada dados'!N93,"")</f>
        <v/>
      </c>
      <c r="P109" s="1206"/>
    </row>
    <row r="110" spans="1:16" ht="12.75" hidden="1" customHeight="1">
      <c r="A110" s="1205"/>
      <c r="B110" s="1213"/>
      <c r="C110" s="1213"/>
      <c r="D110" s="1213"/>
      <c r="E110" s="1213"/>
      <c r="F110" s="1213"/>
      <c r="G110" s="1215"/>
      <c r="H110" s="1216"/>
      <c r="I110" s="1213"/>
      <c r="J110" s="1213"/>
      <c r="K110" s="1216"/>
      <c r="L110" s="1216"/>
      <c r="M110" s="1216"/>
      <c r="N110" s="1268"/>
      <c r="O110" s="1267" t="str">
        <f>IF('[232]Entrada dados'!N94&lt;&gt;"",'[232]Entrada dados'!N94,"")</f>
        <v/>
      </c>
      <c r="P110" s="1206"/>
    </row>
    <row r="111" spans="1:16" ht="12.75" hidden="1" customHeight="1">
      <c r="A111" s="1205"/>
      <c r="B111" s="1213"/>
      <c r="C111" s="1213"/>
      <c r="D111" s="1213"/>
      <c r="E111" s="1213"/>
      <c r="F111" s="1213"/>
      <c r="G111" s="1215"/>
      <c r="H111" s="1216"/>
      <c r="I111" s="1213"/>
      <c r="J111" s="1213"/>
      <c r="K111" s="1216"/>
      <c r="L111" s="1216"/>
      <c r="M111" s="1216"/>
      <c r="N111" s="1268"/>
      <c r="O111" s="1267" t="str">
        <f>IF('[232]Entrada dados'!N95&lt;&gt;"",'[232]Entrada dados'!N95,"")</f>
        <v/>
      </c>
      <c r="P111" s="1206"/>
    </row>
    <row r="112" spans="1:16" ht="12.75" hidden="1" customHeight="1">
      <c r="A112" s="1205"/>
      <c r="B112" s="1213"/>
      <c r="C112" s="1213"/>
      <c r="D112" s="1213"/>
      <c r="E112" s="1213"/>
      <c r="F112" s="1213"/>
      <c r="G112" s="1215"/>
      <c r="H112" s="1216"/>
      <c r="I112" s="1213"/>
      <c r="J112" s="1213"/>
      <c r="K112" s="1216"/>
      <c r="L112" s="1216"/>
      <c r="M112" s="1216"/>
      <c r="N112" s="1268"/>
      <c r="O112" s="1267" t="str">
        <f>IF('[232]Entrada dados'!N96&lt;&gt;"",'[232]Entrada dados'!N96,"")</f>
        <v/>
      </c>
      <c r="P112" s="1206"/>
    </row>
    <row r="113" spans="1:16" ht="12.75" hidden="1" customHeight="1">
      <c r="A113" s="1205"/>
      <c r="B113" s="1213"/>
      <c r="C113" s="1213"/>
      <c r="D113" s="1213"/>
      <c r="E113" s="1213"/>
      <c r="F113" s="1213"/>
      <c r="G113" s="1215"/>
      <c r="H113" s="1216"/>
      <c r="I113" s="1213"/>
      <c r="J113" s="1213"/>
      <c r="K113" s="1216"/>
      <c r="L113" s="1216"/>
      <c r="M113" s="1216"/>
      <c r="N113" s="1268"/>
      <c r="O113" s="1267" t="str">
        <f>IF('[232]Entrada dados'!N97&lt;&gt;"",'[232]Entrada dados'!N97,"")</f>
        <v/>
      </c>
      <c r="P113" s="1206"/>
    </row>
    <row r="114" spans="1:16" ht="12.75" hidden="1" customHeight="1">
      <c r="A114" s="1205"/>
      <c r="B114" s="1213"/>
      <c r="C114" s="1213"/>
      <c r="D114" s="1213"/>
      <c r="E114" s="1213"/>
      <c r="F114" s="1213"/>
      <c r="G114" s="1215"/>
      <c r="H114" s="1216"/>
      <c r="I114" s="1213"/>
      <c r="J114" s="1213"/>
      <c r="K114" s="1216"/>
      <c r="L114" s="1216"/>
      <c r="M114" s="1216"/>
      <c r="N114" s="1268"/>
      <c r="O114" s="1267" t="str">
        <f>IF('[232]Entrada dados'!N98&lt;&gt;"",'[232]Entrada dados'!N98,"")</f>
        <v/>
      </c>
      <c r="P114" s="1206"/>
    </row>
    <row r="115" spans="1:16" ht="12.75" hidden="1" customHeight="1">
      <c r="A115" s="1205"/>
      <c r="B115" s="1213"/>
      <c r="C115" s="1213"/>
      <c r="D115" s="1213"/>
      <c r="E115" s="1213"/>
      <c r="F115" s="1213"/>
      <c r="G115" s="1215"/>
      <c r="H115" s="1216"/>
      <c r="I115" s="1213"/>
      <c r="J115" s="1213"/>
      <c r="K115" s="1216"/>
      <c r="L115" s="1216"/>
      <c r="M115" s="1216"/>
      <c r="N115" s="1268"/>
      <c r="O115" s="1267" t="str">
        <f>IF('[232]Entrada dados'!N99&lt;&gt;"",'[232]Entrada dados'!N99,"")</f>
        <v/>
      </c>
      <c r="P115" s="1206"/>
    </row>
    <row r="116" spans="1:16" ht="12.75" hidden="1" customHeight="1">
      <c r="A116" s="1205"/>
      <c r="B116" s="1213"/>
      <c r="C116" s="1213"/>
      <c r="D116" s="1213"/>
      <c r="E116" s="1213"/>
      <c r="F116" s="1213"/>
      <c r="G116" s="1215"/>
      <c r="H116" s="1216"/>
      <c r="I116" s="1213"/>
      <c r="J116" s="1213"/>
      <c r="K116" s="1216"/>
      <c r="L116" s="1216"/>
      <c r="M116" s="1216"/>
      <c r="N116" s="1268"/>
      <c r="O116" s="1267" t="str">
        <f>IF('[232]Entrada dados'!N100&lt;&gt;"",'[232]Entrada dados'!N100,"")</f>
        <v/>
      </c>
      <c r="P116" s="1206"/>
    </row>
    <row r="117" spans="1:16" ht="12.75" hidden="1" customHeight="1">
      <c r="A117" s="1205"/>
      <c r="B117" s="1213"/>
      <c r="C117" s="1213"/>
      <c r="D117" s="1213"/>
      <c r="E117" s="1213"/>
      <c r="F117" s="1213"/>
      <c r="G117" s="1215"/>
      <c r="H117" s="1216"/>
      <c r="I117" s="1213"/>
      <c r="J117" s="1213"/>
      <c r="K117" s="1216"/>
      <c r="L117" s="1216"/>
      <c r="M117" s="1216"/>
      <c r="N117" s="1268"/>
      <c r="O117" s="1267" t="str">
        <f>IF('[232]Entrada dados'!N101&lt;&gt;"",'[232]Entrada dados'!N101,"")</f>
        <v/>
      </c>
      <c r="P117" s="1206"/>
    </row>
    <row r="118" spans="1:16" ht="12.75" hidden="1" customHeight="1">
      <c r="A118" s="1205"/>
      <c r="B118" s="1213" t="str">
        <f>IF('[232]Entrada dados'!A90&lt;&gt;"",'[232]Entrada dados'!A90,"")</f>
        <v/>
      </c>
      <c r="C118" s="1213"/>
      <c r="D118" s="1213" t="str">
        <f>IF('[232]Entrada dados'!O90&lt;&gt;"",'[232]Entrada dados'!O90,"")</f>
        <v/>
      </c>
      <c r="E118" s="1213"/>
      <c r="F118" s="1213" t="str">
        <f>IF('[232]Entrada dados'!C90&lt;&gt;"",IF('[232]Entrada dados'!C90="E","LE",IF('[232]Entrada dados'!C90="D","LD","")),"")</f>
        <v/>
      </c>
      <c r="G118" s="1215" t="str">
        <f>IF('[232]Entrada dados'!D90&lt;&gt;"",'[232]Entrada dados'!D90,"")</f>
        <v/>
      </c>
      <c r="H118" s="1216" t="str">
        <f>IF('[232]Entrada dados'!F90&lt;&gt;"",'[232]Entrada dados'!F90,"")</f>
        <v/>
      </c>
      <c r="I118" s="1213" t="str">
        <f>IF('[232]Entrada dados'!G90&lt;&gt;"",'[232]Entrada dados'!G90,"")</f>
        <v/>
      </c>
      <c r="J118" s="1213"/>
      <c r="K118" s="1216" t="str">
        <f>IF('[232]Entrada dados'!Y90&lt;&gt;"",'[232]Entrada dados'!Y90,"")</f>
        <v/>
      </c>
      <c r="L118" s="1216" t="str">
        <f>IF('[232]Entrada dados'!Z90&lt;&gt;"",'[232]Entrada dados'!Z90,"")</f>
        <v/>
      </c>
      <c r="M118" s="1216" t="str">
        <f>IF('[232]Entrada dados'!AA90&lt;&gt;"",'[232]Entrada dados'!AA90,"")</f>
        <v/>
      </c>
      <c r="N118" s="1268"/>
      <c r="O118" s="1267" t="str">
        <f>IF('[232]Entrada dados'!N102&lt;&gt;"",'[232]Entrada dados'!N102,"")</f>
        <v/>
      </c>
      <c r="P118" s="1206"/>
    </row>
    <row r="119" spans="1:16" ht="12.75" hidden="1" customHeight="1">
      <c r="A119" s="1205"/>
      <c r="B119" s="1269" t="str">
        <f>IF('[232]Entrada dados'!A91&lt;&gt;"",'[232]Entrada dados'!A91,"")</f>
        <v/>
      </c>
      <c r="C119" s="1269"/>
      <c r="D119" s="1269" t="str">
        <f>IF('[232]Entrada dados'!O91&lt;&gt;"",'[232]Entrada dados'!O91,"")</f>
        <v/>
      </c>
      <c r="E119" s="1269"/>
      <c r="F119" s="1269" t="str">
        <f>IF('[232]Entrada dados'!C91&lt;&gt;"",IF('[232]Entrada dados'!C91="E","LE",IF('[232]Entrada dados'!C91="D","LD","")),"")</f>
        <v/>
      </c>
      <c r="G119" s="1270" t="str">
        <f>IF('[232]Entrada dados'!D91&lt;&gt;"",'[232]Entrada dados'!D91,"")</f>
        <v/>
      </c>
      <c r="H119" s="1226" t="str">
        <f>IF('[232]Entrada dados'!F91&lt;&gt;"",'[232]Entrada dados'!F91,"")</f>
        <v/>
      </c>
      <c r="I119" s="1269" t="str">
        <f>IF('[232]Entrada dados'!G91&lt;&gt;"",'[232]Entrada dados'!G91,"")</f>
        <v/>
      </c>
      <c r="J119" s="1269"/>
      <c r="K119" s="1226" t="str">
        <f>IF('[232]Entrada dados'!Y91&lt;&gt;"",'[232]Entrada dados'!Y91,"")</f>
        <v/>
      </c>
      <c r="L119" s="1226" t="str">
        <f>IF('[232]Entrada dados'!Z91&lt;&gt;"",'[232]Entrada dados'!Z91,"")</f>
        <v/>
      </c>
      <c r="M119" s="1226" t="str">
        <f>IF('[232]Entrada dados'!AA91&lt;&gt;"",'[232]Entrada dados'!AA91,"")</f>
        <v/>
      </c>
      <c r="N119" s="1271"/>
      <c r="O119" s="1267" t="str">
        <f>IF('[232]Entrada dados'!N103&lt;&gt;"",'[232]Entrada dados'!N103,"")</f>
        <v/>
      </c>
      <c r="P119" s="1206"/>
    </row>
    <row r="120" spans="1:16" ht="12.75" customHeight="1">
      <c r="A120" s="1205"/>
      <c r="B120" s="1234" t="str">
        <f>IF('[232]Entrada dados'!A92&lt;&gt;"",'[232]Entrada dados'!A92,"")</f>
        <v/>
      </c>
      <c r="C120" s="1234"/>
      <c r="D120" s="1234" t="str">
        <f>IF('[232]Entrada dados'!O92&lt;&gt;"",'[232]Entrada dados'!O92,"")</f>
        <v/>
      </c>
      <c r="E120" s="1234"/>
      <c r="F120" s="1234" t="str">
        <f>IF('[232]Entrada dados'!C92&lt;&gt;"",IF('[232]Entrada dados'!C92="E","LE",IF('[232]Entrada dados'!C92="D","LD","")),"")</f>
        <v/>
      </c>
      <c r="G120" s="1235" t="str">
        <f>IF('[232]Entrada dados'!D92&lt;&gt;"",'[232]Entrada dados'!D92,"")</f>
        <v/>
      </c>
      <c r="H120" s="1236" t="str">
        <f>IF('[232]Entrada dados'!F92&lt;&gt;"",'[232]Entrada dados'!F92,"")</f>
        <v/>
      </c>
      <c r="I120" s="1234" t="str">
        <f>IF('[232]Entrada dados'!G92&lt;&gt;"",'[232]Entrada dados'!G92,"")</f>
        <v/>
      </c>
      <c r="J120" s="1234"/>
      <c r="K120" s="1236" t="str">
        <f>IF('[232]Entrada dados'!Y92&lt;&gt;"",'[232]Entrada dados'!Y92,"")</f>
        <v/>
      </c>
      <c r="L120" s="1236" t="str">
        <f>IF('[232]Entrada dados'!Z92&lt;&gt;"",'[232]Entrada dados'!Z92,"")</f>
        <v/>
      </c>
      <c r="M120" s="1236" t="str">
        <f>IF('[232]Entrada dados'!AA92&lt;&gt;"",'[232]Entrada dados'!AA92,"")</f>
        <v/>
      </c>
      <c r="N120" s="1236"/>
      <c r="O120" s="1236"/>
      <c r="P120" s="1206"/>
    </row>
    <row r="121" spans="1:16" ht="12.75" customHeight="1">
      <c r="A121" s="1205"/>
      <c r="B121" s="1237" t="s">
        <v>266</v>
      </c>
      <c r="C121" s="1237"/>
      <c r="D121" s="1238" t="str">
        <f>IF('[232]Entrada dados'!O93&lt;&gt;"",'[232]Entrada dados'!O93,"")</f>
        <v/>
      </c>
      <c r="E121" s="1238"/>
      <c r="F121" s="1238" t="str">
        <f>IF('[232]Entrada dados'!C93&lt;&gt;"",IF('[232]Entrada dados'!C93="E","LE",IF('[232]Entrada dados'!C93="D","LD","")),"")</f>
        <v/>
      </c>
      <c r="G121" s="1239" t="str">
        <f>IF('[232]Entrada dados'!D93&lt;&gt;"",'[232]Entrada dados'!D93,"")</f>
        <v/>
      </c>
      <c r="H121" s="1240" t="str">
        <f>IF('[232]Entrada dados'!F93&lt;&gt;"",'[232]Entrada dados'!F93,"")</f>
        <v/>
      </c>
      <c r="I121" s="1238" t="str">
        <f>IF('[232]Entrada dados'!G93&lt;&gt;"",'[232]Entrada dados'!G93,"")</f>
        <v/>
      </c>
      <c r="J121" s="1238"/>
      <c r="K121" s="1240" t="str">
        <f>IF('[232]Entrada dados'!Y93&lt;&gt;"",'[232]Entrada dados'!Y93,"")</f>
        <v/>
      </c>
      <c r="L121" s="1240" t="str">
        <f>IF('[232]Entrada dados'!Z93&lt;&gt;"",'[232]Entrada dados'!Z93,"")</f>
        <v/>
      </c>
      <c r="M121" s="1240" t="str">
        <f>IF('[232]Entrada dados'!AA93&lt;&gt;"",'[232]Entrada dados'!AA93,"")</f>
        <v/>
      </c>
      <c r="N121" s="1240"/>
      <c r="O121" s="1240"/>
      <c r="P121" s="1206"/>
    </row>
    <row r="122" spans="1:16" ht="12.75" customHeight="1">
      <c r="A122" s="1205"/>
      <c r="B122" s="1241" t="str">
        <f>[232]Orçamento!B32</f>
        <v>1-TOTAL DE CORPO BSTC D=1,00m AC/BC/PC = 17,00 m</v>
      </c>
      <c r="C122" s="1241"/>
      <c r="D122" s="1243"/>
      <c r="E122" s="1243"/>
      <c r="F122" s="1243"/>
      <c r="G122" s="1241" t="str">
        <f>[232]Orçamento!B49</f>
        <v>7-TOTAL DE DISSIPADOR DE ENERGIA - DEB 05 AC/BC/PC = 0,00 und</v>
      </c>
      <c r="H122" s="1244"/>
      <c r="I122" s="1243"/>
      <c r="J122" s="1243"/>
      <c r="K122" s="1244"/>
      <c r="L122" s="1244"/>
      <c r="M122" s="1244"/>
      <c r="N122" s="1244"/>
      <c r="O122" s="1244"/>
      <c r="P122" s="1206"/>
    </row>
    <row r="123" spans="1:16" ht="12.75" customHeight="1">
      <c r="A123" s="1205"/>
      <c r="B123" s="1241" t="str">
        <f>[232]Orçamento!B33</f>
        <v>2-TOTAL DE BOCA BSTC D=1,00m - NORMAL AC/BC/PC = 0,00 und</v>
      </c>
      <c r="C123" s="1241"/>
      <c r="D123" s="1243"/>
      <c r="E123" s="1243"/>
      <c r="F123" s="1243"/>
      <c r="G123" s="1241" t="str">
        <f>[232]Orçamento!B50</f>
        <v>8-TOTAL DE DISSIPADOR DE ENERGIA - DEB 12 AC/BC/PC = 0,00 und</v>
      </c>
      <c r="H123" s="1244"/>
      <c r="I123" s="1243"/>
      <c r="J123" s="1243"/>
      <c r="K123" s="1244"/>
      <c r="L123" s="1244"/>
      <c r="M123" s="1244"/>
      <c r="N123" s="1244"/>
      <c r="O123" s="1244"/>
      <c r="P123" s="1206"/>
    </row>
    <row r="124" spans="1:16" ht="12.75" customHeight="1">
      <c r="A124" s="1205"/>
      <c r="B124" s="1241" t="str">
        <f>[232]Orçamento!B37</f>
        <v>3-TOTAL DE CORPO BTTC D=1,20m = 0,00 m</v>
      </c>
      <c r="C124" s="1241"/>
      <c r="D124" s="1243"/>
      <c r="E124" s="1243"/>
      <c r="F124" s="1243"/>
      <c r="G124" s="1241" t="str">
        <f>[232]Orçamento!B51</f>
        <v>9-TOTAL DE DISSIPADOR DE ENERGIA - DEB 13 AC/BC/PC = 0,00 und</v>
      </c>
      <c r="H124" s="1244"/>
      <c r="I124" s="1243"/>
      <c r="J124" s="1243"/>
      <c r="K124" s="1244"/>
      <c r="L124" s="1244"/>
      <c r="M124" s="1244"/>
      <c r="N124" s="1244"/>
      <c r="O124" s="1244"/>
      <c r="P124" s="1206"/>
    </row>
    <row r="125" spans="1:16" ht="12.75" customHeight="1">
      <c r="A125" s="1205"/>
      <c r="B125" s="1241" t="str">
        <f>[232]Orçamento!B38</f>
        <v>4-TOTAL DE BOCA BTTC D=1,20m - NORMAL = 0,00 und</v>
      </c>
      <c r="C125" s="1241"/>
      <c r="D125" s="1243"/>
      <c r="E125" s="1243"/>
      <c r="F125" s="1243"/>
      <c r="G125" s="1241" t="s">
        <v>1332</v>
      </c>
      <c r="H125" s="1244"/>
      <c r="I125" s="1243"/>
      <c r="J125" s="1243"/>
      <c r="K125" s="1244"/>
      <c r="L125" s="1244"/>
      <c r="M125" s="1244"/>
      <c r="N125" s="1244"/>
      <c r="O125" s="1244"/>
      <c r="P125" s="1206"/>
    </row>
    <row r="126" spans="1:16" ht="12.75" customHeight="1">
      <c r="A126" s="1205"/>
      <c r="B126" s="1241" t="str">
        <f>[232]Orçamento!B42</f>
        <v>5-TOTAL DE CORPO BTTC D=1,50m = 0,00 m</v>
      </c>
      <c r="C126" s="1241"/>
      <c r="D126" s="1243"/>
      <c r="E126" s="1243"/>
      <c r="G126" s="1241" t="s">
        <v>1333</v>
      </c>
      <c r="H126" s="1244"/>
      <c r="I126" s="1241"/>
      <c r="J126" s="1241"/>
      <c r="K126" s="1243"/>
      <c r="L126" s="1244"/>
      <c r="M126" s="1244"/>
      <c r="N126" s="1244"/>
      <c r="O126" s="1244"/>
      <c r="P126" s="1206"/>
    </row>
    <row r="127" spans="1:16" ht="12.75" customHeight="1">
      <c r="A127" s="1205"/>
      <c r="B127" s="1241" t="str">
        <f>[232]Orçamento!B43</f>
        <v>6-TOTAL DE BOCA BTTC D=1,50m - NORMAL = 0,00 und</v>
      </c>
      <c r="C127" s="1241"/>
      <c r="D127" s="1243"/>
      <c r="E127" s="1243"/>
      <c r="F127" s="1243"/>
      <c r="G127" s="1243"/>
      <c r="H127" s="1244"/>
      <c r="I127" s="1241"/>
      <c r="J127" s="1241"/>
      <c r="K127" s="1243"/>
      <c r="L127" s="1244"/>
      <c r="M127" s="1244"/>
      <c r="N127" s="1244"/>
      <c r="O127" s="1244"/>
      <c r="P127" s="1206"/>
    </row>
    <row r="128" spans="1:16" ht="12.75" customHeight="1" thickBot="1">
      <c r="A128" s="1245"/>
      <c r="B128" s="1241"/>
      <c r="C128" s="1273"/>
      <c r="D128" s="1248"/>
      <c r="E128" s="1248"/>
      <c r="F128" s="1248"/>
      <c r="G128" s="1249"/>
      <c r="H128" s="1250"/>
      <c r="I128" s="1248"/>
      <c r="J128" s="1248"/>
      <c r="K128" s="1250"/>
      <c r="L128" s="1250"/>
      <c r="M128" s="1250"/>
      <c r="N128" s="1250"/>
      <c r="O128" s="1250"/>
      <c r="P128" s="1251"/>
    </row>
    <row r="129" spans="13:13" ht="12.75" customHeight="1"/>
    <row r="130" spans="13:13" ht="12.75" customHeight="1"/>
    <row r="131" spans="13:13" ht="12.75" customHeight="1"/>
    <row r="132" spans="13:13" ht="12.75" customHeight="1"/>
    <row r="133" spans="13:13">
      <c r="M133" s="1204">
        <f>SUBTOTAL(9,M6:M24)</f>
        <v>34</v>
      </c>
    </row>
  </sheetData>
  <mergeCells count="7">
    <mergeCell ref="K68:M68"/>
    <mergeCell ref="B2:O3"/>
    <mergeCell ref="B4:C5"/>
    <mergeCell ref="E4:E5"/>
    <mergeCell ref="K4:M4"/>
    <mergeCell ref="N4:N5"/>
    <mergeCell ref="B66:O67"/>
  </mergeCells>
  <printOptions horizontalCentered="1" verticalCentered="1"/>
  <pageMargins left="0.59055118110236227" right="0.19685039370078741" top="0" bottom="0" header="0" footer="0"/>
  <pageSetup paperSize="8" scale="82" fitToHeight="2" orientation="landscape" r:id="rId1"/>
  <headerFooter alignWithMargins="0"/>
  <rowBreaks count="1" manualBreakCount="1">
    <brk id="6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C6118-5C1B-4179-9761-AA0110C59C97}">
  <sheetPr>
    <tabColor rgb="FFFFC000"/>
    <pageSetUpPr fitToPage="1"/>
  </sheetPr>
  <dimension ref="A1:S59"/>
  <sheetViews>
    <sheetView showGridLines="0" zoomScale="85" zoomScaleNormal="85" zoomScaleSheetLayoutView="145" workbookViewId="0">
      <selection activeCell="K33" sqref="K33"/>
    </sheetView>
  </sheetViews>
  <sheetFormatPr defaultColWidth="9.140625" defaultRowHeight="12.75"/>
  <cols>
    <col min="1" max="1" width="5.7109375" style="1277" customWidth="1"/>
    <col min="2" max="5" width="10.7109375" style="1277" customWidth="1"/>
    <col min="6" max="6" width="6.7109375" style="1277" customWidth="1"/>
    <col min="7" max="7" width="16.7109375" style="1277" customWidth="1"/>
    <col min="8" max="8" width="18.5703125" style="1277" customWidth="1"/>
    <col min="9" max="9" width="9.7109375" style="1277" customWidth="1"/>
    <col min="10" max="10" width="2.7109375" style="1277" customWidth="1"/>
    <col min="11" max="14" width="10.7109375" style="1277" hidden="1" customWidth="1"/>
    <col min="15" max="15" width="6.7109375" style="1277" hidden="1" customWidth="1"/>
    <col min="16" max="16" width="16" style="1277" hidden="1" customWidth="1"/>
    <col min="17" max="17" width="15.7109375" style="1277" hidden="1" customWidth="1"/>
    <col min="18" max="18" width="9.7109375" style="1277" hidden="1" customWidth="1"/>
    <col min="19" max="19" width="3.7109375" style="1277" customWidth="1"/>
    <col min="20" max="16384" width="9.140625" style="1277"/>
  </cols>
  <sheetData>
    <row r="1" spans="1:19" ht="12.75" customHeight="1">
      <c r="A1" s="1274"/>
      <c r="B1" s="1275"/>
      <c r="C1" s="1275"/>
      <c r="D1" s="1275"/>
      <c r="E1" s="1275"/>
      <c r="F1" s="1275"/>
      <c r="G1" s="1275"/>
      <c r="H1" s="1275"/>
      <c r="I1" s="1275"/>
      <c r="J1" s="1275"/>
      <c r="K1" s="1275"/>
      <c r="L1" s="1275"/>
      <c r="M1" s="1275"/>
      <c r="N1" s="1275"/>
      <c r="O1" s="1275"/>
      <c r="P1" s="1275"/>
      <c r="Q1" s="1275"/>
      <c r="R1" s="1275"/>
      <c r="S1" s="1276"/>
    </row>
    <row r="2" spans="1:19" ht="12.75" customHeight="1">
      <c r="A2" s="1278"/>
      <c r="C2" s="1279"/>
      <c r="D2" s="1279"/>
      <c r="E2" s="1279"/>
      <c r="F2" s="1279"/>
      <c r="G2" s="1279"/>
      <c r="H2" s="1279"/>
      <c r="I2" s="1279"/>
      <c r="J2" s="1279"/>
      <c r="K2" s="1279"/>
      <c r="L2" s="1279"/>
      <c r="M2" s="1279"/>
      <c r="N2" s="1279"/>
      <c r="O2" s="1279"/>
      <c r="P2" s="1279"/>
      <c r="Q2" s="1279"/>
      <c r="R2" s="1279"/>
      <c r="S2" s="1280"/>
    </row>
    <row r="3" spans="1:19" ht="12.75" customHeight="1">
      <c r="A3" s="1278"/>
      <c r="B3" s="2228" t="s">
        <v>245</v>
      </c>
      <c r="C3" s="2228"/>
      <c r="D3" s="2228"/>
      <c r="E3" s="2228"/>
      <c r="F3" s="2228"/>
      <c r="G3" s="2228"/>
      <c r="H3" s="2228"/>
      <c r="I3" s="2228"/>
      <c r="J3" s="1279"/>
      <c r="K3" s="1279"/>
      <c r="L3" s="1279"/>
      <c r="M3" s="1279"/>
      <c r="N3" s="1279"/>
      <c r="O3" s="1279"/>
      <c r="P3" s="1279"/>
      <c r="Q3" s="1279"/>
      <c r="R3" s="1279"/>
      <c r="S3" s="1280"/>
    </row>
    <row r="4" spans="1:19" ht="12.75" customHeight="1">
      <c r="A4" s="1278"/>
      <c r="B4" s="2229"/>
      <c r="C4" s="2229"/>
      <c r="D4" s="2229"/>
      <c r="E4" s="2229"/>
      <c r="F4" s="2229"/>
      <c r="G4" s="2229"/>
      <c r="H4" s="2229"/>
      <c r="I4" s="2229"/>
      <c r="J4" s="1279"/>
      <c r="K4" s="1279"/>
      <c r="L4" s="1279"/>
      <c r="M4" s="1279"/>
      <c r="N4" s="1279"/>
      <c r="O4" s="1279"/>
      <c r="P4" s="1279"/>
      <c r="Q4" s="1279"/>
      <c r="R4" s="1279"/>
      <c r="S4" s="1280"/>
    </row>
    <row r="5" spans="1:19" ht="12.75" customHeight="1">
      <c r="A5" s="1278"/>
      <c r="B5" s="1281" t="s">
        <v>246</v>
      </c>
      <c r="C5" s="1281"/>
      <c r="D5" s="1281"/>
      <c r="E5" s="1281"/>
      <c r="F5" s="2230"/>
      <c r="G5" s="1281" t="s">
        <v>247</v>
      </c>
      <c r="H5" s="1281"/>
      <c r="I5" s="1281"/>
      <c r="K5" s="2221" t="s">
        <v>246</v>
      </c>
      <c r="L5" s="2221"/>
      <c r="M5" s="2221"/>
      <c r="N5" s="2221"/>
      <c r="O5" s="2221"/>
      <c r="P5" s="2221" t="s">
        <v>247</v>
      </c>
      <c r="Q5" s="2221"/>
      <c r="R5" s="2221"/>
      <c r="S5" s="1280"/>
    </row>
    <row r="6" spans="1:19" ht="12.75" customHeight="1">
      <c r="A6" s="1278"/>
      <c r="B6" s="1282" t="s">
        <v>248</v>
      </c>
      <c r="C6" s="1282"/>
      <c r="D6" s="1282" t="s">
        <v>249</v>
      </c>
      <c r="E6" s="1282" t="s">
        <v>250</v>
      </c>
      <c r="F6" s="2231" t="s">
        <v>251</v>
      </c>
      <c r="G6" s="1282" t="s">
        <v>248</v>
      </c>
      <c r="H6" s="1282" t="s">
        <v>252</v>
      </c>
      <c r="I6" s="1282" t="s">
        <v>249</v>
      </c>
      <c r="K6" s="2222" t="s">
        <v>248</v>
      </c>
      <c r="L6" s="2222"/>
      <c r="M6" s="2223" t="s">
        <v>249</v>
      </c>
      <c r="N6" s="2223" t="s">
        <v>250</v>
      </c>
      <c r="O6" s="2223" t="s">
        <v>251</v>
      </c>
      <c r="P6" s="1283" t="s">
        <v>248</v>
      </c>
      <c r="Q6" s="1283" t="s">
        <v>252</v>
      </c>
      <c r="R6" s="2223" t="s">
        <v>249</v>
      </c>
      <c r="S6" s="1280"/>
    </row>
    <row r="7" spans="1:19" ht="12.75" customHeight="1">
      <c r="A7" s="1278"/>
      <c r="B7" s="1284" t="s">
        <v>253</v>
      </c>
      <c r="C7" s="1284" t="s">
        <v>254</v>
      </c>
      <c r="D7" s="1284"/>
      <c r="E7" s="1284"/>
      <c r="F7" s="1284"/>
      <c r="G7" s="1284" t="s">
        <v>255</v>
      </c>
      <c r="H7" s="1284" t="s">
        <v>256</v>
      </c>
      <c r="I7" s="1284"/>
      <c r="K7" s="1285" t="s">
        <v>253</v>
      </c>
      <c r="L7" s="1285" t="s">
        <v>254</v>
      </c>
      <c r="M7" s="2224"/>
      <c r="N7" s="2224"/>
      <c r="O7" s="2224"/>
      <c r="P7" s="1286" t="s">
        <v>255</v>
      </c>
      <c r="Q7" s="1286" t="s">
        <v>256</v>
      </c>
      <c r="R7" s="2224"/>
      <c r="S7" s="1280"/>
    </row>
    <row r="8" spans="1:19" ht="12.75" customHeight="1">
      <c r="A8" s="1278"/>
      <c r="B8" s="2225" t="s">
        <v>257</v>
      </c>
      <c r="C8" s="2226"/>
      <c r="D8" s="2226"/>
      <c r="E8" s="2226"/>
      <c r="F8" s="2226"/>
      <c r="G8" s="2226"/>
      <c r="H8" s="2226"/>
      <c r="I8" s="2227"/>
      <c r="J8" s="1287"/>
      <c r="K8" s="1288"/>
      <c r="L8" s="1288"/>
      <c r="M8" s="1288"/>
      <c r="N8" s="1289"/>
      <c r="O8" s="1288"/>
      <c r="P8" s="1288"/>
      <c r="Q8" s="1290"/>
      <c r="R8" s="1288"/>
      <c r="S8" s="1280"/>
    </row>
    <row r="9" spans="1:19" ht="12.75" customHeight="1">
      <c r="A9" s="1278"/>
      <c r="B9" s="1291" t="s">
        <v>258</v>
      </c>
      <c r="C9" s="1291" t="s">
        <v>234</v>
      </c>
      <c r="D9" s="1291" t="s">
        <v>259</v>
      </c>
      <c r="E9" s="1292">
        <v>304.62</v>
      </c>
      <c r="F9" s="1291" t="s">
        <v>260</v>
      </c>
      <c r="G9" s="1291" t="s">
        <v>258</v>
      </c>
      <c r="H9" s="1293"/>
      <c r="I9" s="1291"/>
      <c r="J9" s="1287"/>
      <c r="K9" s="1294"/>
      <c r="L9" s="1294"/>
      <c r="M9" s="1294"/>
      <c r="N9" s="1295"/>
      <c r="O9" s="1294"/>
      <c r="P9" s="1294"/>
      <c r="Q9" s="1296"/>
      <c r="R9" s="1294"/>
      <c r="S9" s="1280"/>
    </row>
    <row r="10" spans="1:19" ht="12.75" customHeight="1">
      <c r="A10" s="1278"/>
      <c r="B10" s="2225" t="s">
        <v>261</v>
      </c>
      <c r="C10" s="2226"/>
      <c r="D10" s="2226"/>
      <c r="E10" s="2226"/>
      <c r="F10" s="2226"/>
      <c r="G10" s="2226"/>
      <c r="H10" s="2226"/>
      <c r="I10" s="2227"/>
      <c r="J10" s="1287"/>
      <c r="K10" s="1294"/>
      <c r="L10" s="1294"/>
      <c r="M10" s="1294"/>
      <c r="N10" s="1295"/>
      <c r="O10" s="1294"/>
      <c r="P10" s="1294"/>
      <c r="Q10" s="1296"/>
      <c r="R10" s="1294"/>
      <c r="S10" s="1280"/>
    </row>
    <row r="11" spans="1:19" ht="12.75" customHeight="1">
      <c r="A11" s="1278"/>
      <c r="B11" s="1291" t="s">
        <v>262</v>
      </c>
      <c r="C11" s="1291" t="s">
        <v>263</v>
      </c>
      <c r="D11" s="1291" t="s">
        <v>259</v>
      </c>
      <c r="E11" s="1292">
        <v>478.45000000000005</v>
      </c>
      <c r="F11" s="1291" t="s">
        <v>264</v>
      </c>
      <c r="G11" s="1291" t="s">
        <v>263</v>
      </c>
      <c r="H11" s="1293">
        <v>10</v>
      </c>
      <c r="I11" s="1291" t="s">
        <v>265</v>
      </c>
      <c r="J11" s="1287"/>
      <c r="K11" s="1294"/>
      <c r="L11" s="1294"/>
      <c r="M11" s="1294"/>
      <c r="N11" s="1295"/>
      <c r="O11" s="1294"/>
      <c r="P11" s="1294"/>
      <c r="Q11" s="1296"/>
      <c r="R11" s="1294"/>
      <c r="S11" s="1280"/>
    </row>
    <row r="12" spans="1:19" ht="12.75" customHeight="1">
      <c r="A12" s="1278"/>
      <c r="B12" s="1291"/>
      <c r="C12" s="1291"/>
      <c r="D12" s="1291"/>
      <c r="E12" s="1292"/>
      <c r="F12" s="1291"/>
      <c r="G12" s="1291"/>
      <c r="H12" s="1293"/>
      <c r="I12" s="1291"/>
      <c r="J12" s="1287"/>
      <c r="K12" s="1294"/>
      <c r="L12" s="1294"/>
      <c r="M12" s="1294"/>
      <c r="N12" s="1295"/>
      <c r="O12" s="1294"/>
      <c r="P12" s="1294"/>
      <c r="Q12" s="1296"/>
      <c r="R12" s="1294"/>
      <c r="S12" s="1280"/>
    </row>
    <row r="13" spans="1:19" ht="12.75" customHeight="1">
      <c r="A13" s="1278"/>
      <c r="B13" s="1291"/>
      <c r="C13" s="1291"/>
      <c r="D13" s="1291"/>
      <c r="E13" s="1292"/>
      <c r="F13" s="1291"/>
      <c r="G13" s="1291"/>
      <c r="H13" s="1293"/>
      <c r="I13" s="1291"/>
      <c r="J13" s="1287"/>
      <c r="K13" s="1294"/>
      <c r="L13" s="1294"/>
      <c r="M13" s="1294"/>
      <c r="N13" s="1295"/>
      <c r="O13" s="1294"/>
      <c r="P13" s="1294"/>
      <c r="Q13" s="1296"/>
      <c r="R13" s="1294"/>
      <c r="S13" s="1280"/>
    </row>
    <row r="14" spans="1:19" ht="12.75" customHeight="1">
      <c r="A14" s="1278"/>
      <c r="B14" s="1291"/>
      <c r="C14" s="1291"/>
      <c r="D14" s="1291"/>
      <c r="E14" s="1292"/>
      <c r="F14" s="1291"/>
      <c r="G14" s="1291"/>
      <c r="H14" s="1293"/>
      <c r="I14" s="1291"/>
      <c r="J14" s="1287"/>
      <c r="K14" s="1294"/>
      <c r="L14" s="1294"/>
      <c r="M14" s="1294"/>
      <c r="N14" s="1295"/>
      <c r="O14" s="1294"/>
      <c r="P14" s="1294"/>
      <c r="Q14" s="1296"/>
      <c r="R14" s="1294"/>
      <c r="S14" s="1280"/>
    </row>
    <row r="15" spans="1:19" ht="12.75" customHeight="1">
      <c r="A15" s="1278"/>
      <c r="B15" s="1291"/>
      <c r="C15" s="1291"/>
      <c r="D15" s="1291"/>
      <c r="E15" s="1292"/>
      <c r="F15" s="1291"/>
      <c r="G15" s="1291"/>
      <c r="H15" s="1293"/>
      <c r="I15" s="1291"/>
      <c r="J15" s="1287"/>
      <c r="K15" s="1294"/>
      <c r="L15" s="1294"/>
      <c r="M15" s="1294"/>
      <c r="N15" s="1295"/>
      <c r="O15" s="1294"/>
      <c r="P15" s="1294"/>
      <c r="Q15" s="1296"/>
      <c r="R15" s="1294"/>
      <c r="S15" s="1280"/>
    </row>
    <row r="16" spans="1:19" ht="12.75" customHeight="1">
      <c r="A16" s="1278"/>
      <c r="B16" s="1291"/>
      <c r="C16" s="1291"/>
      <c r="D16" s="1291"/>
      <c r="E16" s="1292"/>
      <c r="F16" s="1291"/>
      <c r="G16" s="1291"/>
      <c r="H16" s="1293"/>
      <c r="I16" s="1291"/>
      <c r="J16" s="1287"/>
      <c r="K16" s="1294"/>
      <c r="L16" s="1294"/>
      <c r="M16" s="1294"/>
      <c r="N16" s="1295"/>
      <c r="O16" s="1294"/>
      <c r="P16" s="1294"/>
      <c r="Q16" s="1296"/>
      <c r="R16" s="1294"/>
      <c r="S16" s="1280"/>
    </row>
    <row r="17" spans="1:19" ht="12.75" customHeight="1">
      <c r="A17" s="1278"/>
      <c r="B17" s="1291"/>
      <c r="C17" s="1291"/>
      <c r="D17" s="1291"/>
      <c r="E17" s="1292"/>
      <c r="F17" s="1291"/>
      <c r="G17" s="1291"/>
      <c r="H17" s="1293"/>
      <c r="I17" s="1291"/>
      <c r="J17" s="1287"/>
      <c r="K17" s="1294"/>
      <c r="L17" s="1294"/>
      <c r="M17" s="1294"/>
      <c r="N17" s="1295"/>
      <c r="O17" s="1294"/>
      <c r="P17" s="1294"/>
      <c r="Q17" s="1296"/>
      <c r="R17" s="1294"/>
      <c r="S17" s="1280"/>
    </row>
    <row r="18" spans="1:19" ht="12.75" customHeight="1">
      <c r="A18" s="1278"/>
      <c r="B18" s="1291"/>
      <c r="C18" s="1291"/>
      <c r="D18" s="1291"/>
      <c r="E18" s="1292"/>
      <c r="F18" s="1291"/>
      <c r="G18" s="1291"/>
      <c r="H18" s="1293"/>
      <c r="I18" s="1291"/>
      <c r="J18" s="1287"/>
      <c r="K18" s="1294"/>
      <c r="L18" s="1294"/>
      <c r="M18" s="1294"/>
      <c r="N18" s="1295"/>
      <c r="O18" s="1294"/>
      <c r="P18" s="1294"/>
      <c r="Q18" s="1296"/>
      <c r="R18" s="1294"/>
      <c r="S18" s="1280"/>
    </row>
    <row r="19" spans="1:19" ht="12.75" customHeight="1">
      <c r="A19" s="1278"/>
      <c r="B19" s="1291"/>
      <c r="C19" s="1291"/>
      <c r="D19" s="1291"/>
      <c r="E19" s="1292"/>
      <c r="F19" s="1291"/>
      <c r="G19" s="1291"/>
      <c r="H19" s="1293"/>
      <c r="I19" s="1291"/>
      <c r="J19" s="1287"/>
      <c r="K19" s="1294"/>
      <c r="L19" s="1294"/>
      <c r="M19" s="1294"/>
      <c r="N19" s="1295"/>
      <c r="O19" s="1294"/>
      <c r="P19" s="1294"/>
      <c r="Q19" s="1296"/>
      <c r="R19" s="1294"/>
      <c r="S19" s="1280"/>
    </row>
    <row r="20" spans="1:19" ht="12.75" customHeight="1">
      <c r="A20" s="1278"/>
      <c r="B20" s="1291"/>
      <c r="C20" s="1291"/>
      <c r="D20" s="1291"/>
      <c r="E20" s="1292"/>
      <c r="F20" s="1291"/>
      <c r="G20" s="1291"/>
      <c r="H20" s="1293"/>
      <c r="I20" s="1291"/>
      <c r="J20" s="1287"/>
      <c r="K20" s="1294"/>
      <c r="L20" s="1294"/>
      <c r="M20" s="1294"/>
      <c r="N20" s="1295"/>
      <c r="O20" s="1294"/>
      <c r="P20" s="1294"/>
      <c r="Q20" s="1296"/>
      <c r="R20" s="1294"/>
      <c r="S20" s="1280"/>
    </row>
    <row r="21" spans="1:19" ht="12.75" customHeight="1">
      <c r="A21" s="1278"/>
      <c r="B21" s="1291"/>
      <c r="C21" s="1291"/>
      <c r="D21" s="1291"/>
      <c r="E21" s="1292"/>
      <c r="F21" s="1291"/>
      <c r="G21" s="1291"/>
      <c r="H21" s="1293"/>
      <c r="I21" s="1291"/>
      <c r="J21" s="1287"/>
      <c r="K21" s="1294"/>
      <c r="L21" s="1294"/>
      <c r="M21" s="1294"/>
      <c r="N21" s="1295"/>
      <c r="O21" s="1294"/>
      <c r="P21" s="1294"/>
      <c r="Q21" s="1296"/>
      <c r="R21" s="1294"/>
      <c r="S21" s="1280"/>
    </row>
    <row r="22" spans="1:19" ht="12.75" customHeight="1">
      <c r="A22" s="1278"/>
      <c r="B22" s="1291"/>
      <c r="C22" s="1291"/>
      <c r="D22" s="1291"/>
      <c r="E22" s="1292"/>
      <c r="F22" s="1291"/>
      <c r="G22" s="1291"/>
      <c r="H22" s="1293"/>
      <c r="I22" s="1291"/>
      <c r="J22" s="1287"/>
      <c r="K22" s="1294"/>
      <c r="L22" s="1288"/>
      <c r="M22" s="1288"/>
      <c r="N22" s="1288"/>
      <c r="O22" s="1289"/>
      <c r="P22" s="1288"/>
      <c r="Q22" s="1288"/>
      <c r="R22" s="1290"/>
      <c r="S22" s="1280"/>
    </row>
    <row r="23" spans="1:19" ht="12.75" customHeight="1">
      <c r="A23" s="1278"/>
      <c r="B23" s="1291"/>
      <c r="C23" s="1291"/>
      <c r="D23" s="1291"/>
      <c r="E23" s="1292"/>
      <c r="F23" s="1291"/>
      <c r="G23" s="1291"/>
      <c r="H23" s="1293"/>
      <c r="I23" s="1291"/>
      <c r="J23" s="1287"/>
      <c r="K23" s="1288"/>
      <c r="L23" s="1289"/>
      <c r="M23" s="1288"/>
      <c r="N23" s="1288"/>
      <c r="O23" s="1290"/>
      <c r="P23" s="1288"/>
      <c r="Q23" s="1287"/>
      <c r="R23" s="1294"/>
      <c r="S23" s="1280"/>
    </row>
    <row r="24" spans="1:19" ht="12.75" customHeight="1">
      <c r="A24" s="1278"/>
      <c r="B24" s="1291"/>
      <c r="C24" s="1291"/>
      <c r="D24" s="1291"/>
      <c r="E24" s="1292"/>
      <c r="F24" s="1291"/>
      <c r="G24" s="1291"/>
      <c r="H24" s="1293"/>
      <c r="I24" s="1291"/>
      <c r="J24" s="1287"/>
      <c r="K24" s="1294"/>
      <c r="L24" s="1294"/>
      <c r="M24" s="1294"/>
      <c r="N24" s="1295"/>
      <c r="O24" s="1294"/>
      <c r="P24" s="1294"/>
      <c r="Q24" s="1296"/>
      <c r="R24" s="1294"/>
      <c r="S24" s="1280"/>
    </row>
    <row r="25" spans="1:19" ht="12.75" customHeight="1">
      <c r="A25" s="1278"/>
      <c r="B25" s="1291"/>
      <c r="C25" s="1291"/>
      <c r="D25" s="1291"/>
      <c r="E25" s="1292"/>
      <c r="F25" s="1291"/>
      <c r="G25" s="1291"/>
      <c r="H25" s="1293"/>
      <c r="I25" s="1291"/>
      <c r="J25" s="1287"/>
      <c r="K25" s="1294"/>
      <c r="L25" s="1294"/>
      <c r="M25" s="1294"/>
      <c r="N25" s="1295"/>
      <c r="O25" s="1294"/>
      <c r="P25" s="1294"/>
      <c r="Q25" s="1296"/>
      <c r="R25" s="1294"/>
      <c r="S25" s="1280"/>
    </row>
    <row r="26" spans="1:19" ht="12.75" customHeight="1">
      <c r="A26" s="1278"/>
      <c r="B26" s="1291"/>
      <c r="C26" s="1291"/>
      <c r="D26" s="1291"/>
      <c r="E26" s="1292"/>
      <c r="F26" s="1291"/>
      <c r="G26" s="1291"/>
      <c r="H26" s="1293"/>
      <c r="I26" s="1291"/>
      <c r="J26" s="1287"/>
      <c r="K26" s="1294"/>
      <c r="L26" s="1294"/>
      <c r="M26" s="1294"/>
      <c r="N26" s="1295"/>
      <c r="O26" s="1294"/>
      <c r="P26" s="1294"/>
      <c r="Q26" s="1296"/>
      <c r="R26" s="1294"/>
      <c r="S26" s="1280"/>
    </row>
    <row r="27" spans="1:19" ht="12.75" customHeight="1">
      <c r="A27" s="1278"/>
      <c r="B27" s="1291"/>
      <c r="C27" s="1291"/>
      <c r="D27" s="1291"/>
      <c r="E27" s="1292"/>
      <c r="F27" s="1291"/>
      <c r="G27" s="1291"/>
      <c r="H27" s="1293"/>
      <c r="I27" s="1291"/>
      <c r="J27" s="1287"/>
      <c r="K27" s="1294"/>
      <c r="L27" s="1294"/>
      <c r="M27" s="1294"/>
      <c r="N27" s="1295"/>
      <c r="O27" s="1294"/>
      <c r="P27" s="1294"/>
      <c r="Q27" s="1296"/>
      <c r="R27" s="1294"/>
      <c r="S27" s="1280"/>
    </row>
    <row r="28" spans="1:19" ht="12.75" customHeight="1">
      <c r="A28" s="1278"/>
      <c r="B28" s="1291"/>
      <c r="C28" s="1291"/>
      <c r="D28" s="1291"/>
      <c r="E28" s="1292"/>
      <c r="F28" s="1291"/>
      <c r="G28" s="1291"/>
      <c r="H28" s="1293"/>
      <c r="I28" s="1291"/>
      <c r="J28" s="1287"/>
      <c r="K28" s="1294"/>
      <c r="L28" s="1294"/>
      <c r="M28" s="1294"/>
      <c r="N28" s="1295"/>
      <c r="O28" s="1294"/>
      <c r="P28" s="1294"/>
      <c r="Q28" s="1296"/>
      <c r="R28" s="1294"/>
      <c r="S28" s="1280"/>
    </row>
    <row r="29" spans="1:19" ht="12.75" customHeight="1">
      <c r="A29" s="1278"/>
      <c r="B29" s="1291"/>
      <c r="C29" s="1291"/>
      <c r="D29" s="1291"/>
      <c r="E29" s="1292"/>
      <c r="F29" s="1291"/>
      <c r="G29" s="1291"/>
      <c r="H29" s="1293"/>
      <c r="I29" s="1291"/>
      <c r="J29" s="1287"/>
      <c r="K29" s="1294"/>
      <c r="L29" s="1294"/>
      <c r="M29" s="1294"/>
      <c r="N29" s="1295"/>
      <c r="O29" s="1294"/>
      <c r="P29" s="1294"/>
      <c r="Q29" s="1296"/>
      <c r="R29" s="1294"/>
      <c r="S29" s="1280"/>
    </row>
    <row r="30" spans="1:19" ht="12.75" customHeight="1">
      <c r="A30" s="1278"/>
      <c r="B30" s="1291"/>
      <c r="C30" s="1291"/>
      <c r="D30" s="1291"/>
      <c r="E30" s="1292"/>
      <c r="F30" s="1291"/>
      <c r="G30" s="1291"/>
      <c r="H30" s="1293"/>
      <c r="I30" s="1291"/>
      <c r="J30" s="1287"/>
      <c r="K30" s="1294"/>
      <c r="L30" s="1294"/>
      <c r="M30" s="1294"/>
      <c r="N30" s="1295"/>
      <c r="O30" s="1294"/>
      <c r="P30" s="1294"/>
      <c r="Q30" s="1296"/>
      <c r="R30" s="1294"/>
      <c r="S30" s="1280"/>
    </row>
    <row r="31" spans="1:19" ht="12.75" customHeight="1">
      <c r="A31" s="1278"/>
      <c r="B31" s="1291"/>
      <c r="C31" s="1291"/>
      <c r="D31" s="1291"/>
      <c r="E31" s="1292"/>
      <c r="F31" s="1291"/>
      <c r="G31" s="1291"/>
      <c r="H31" s="1293"/>
      <c r="I31" s="1291"/>
      <c r="J31" s="1287"/>
      <c r="K31" s="1294"/>
      <c r="L31" s="1294"/>
      <c r="M31" s="1294"/>
      <c r="N31" s="1295"/>
      <c r="O31" s="1294"/>
      <c r="P31" s="1294"/>
      <c r="Q31" s="1296"/>
      <c r="R31" s="1294"/>
      <c r="S31" s="1280"/>
    </row>
    <row r="32" spans="1:19" ht="12.75" customHeight="1">
      <c r="A32" s="1278"/>
      <c r="B32" s="1291"/>
      <c r="C32" s="1291"/>
      <c r="D32" s="1291"/>
      <c r="E32" s="1292"/>
      <c r="F32" s="1291"/>
      <c r="G32" s="1291"/>
      <c r="H32" s="1293"/>
      <c r="I32" s="1291"/>
      <c r="J32" s="1287"/>
      <c r="K32" s="1294"/>
      <c r="L32" s="1294"/>
      <c r="M32" s="1294"/>
      <c r="N32" s="1295"/>
      <c r="O32" s="1294"/>
      <c r="P32" s="1294"/>
      <c r="Q32" s="1296"/>
      <c r="R32" s="1294"/>
      <c r="S32" s="1280"/>
    </row>
    <row r="33" spans="1:19" ht="12.75" customHeight="1">
      <c r="A33" s="1278"/>
      <c r="B33" s="1291"/>
      <c r="C33" s="1291"/>
      <c r="D33" s="1291"/>
      <c r="E33" s="1292"/>
      <c r="F33" s="1291"/>
      <c r="G33" s="1291"/>
      <c r="H33" s="1293"/>
      <c r="I33" s="1291"/>
      <c r="J33" s="1287"/>
      <c r="K33" s="1294"/>
      <c r="L33" s="1294"/>
      <c r="M33" s="1294"/>
      <c r="N33" s="1295"/>
      <c r="O33" s="1294"/>
      <c r="P33" s="1294"/>
      <c r="Q33" s="1296"/>
      <c r="R33" s="1294"/>
      <c r="S33" s="1280"/>
    </row>
    <row r="34" spans="1:19" ht="12.75" customHeight="1">
      <c r="A34" s="1278"/>
      <c r="B34" s="1291"/>
      <c r="C34" s="1291"/>
      <c r="D34" s="1291"/>
      <c r="E34" s="1292"/>
      <c r="F34" s="1291"/>
      <c r="G34" s="1291"/>
      <c r="H34" s="1293"/>
      <c r="I34" s="1291"/>
      <c r="J34" s="1287"/>
      <c r="K34" s="1294"/>
      <c r="L34" s="1294"/>
      <c r="M34" s="1294"/>
      <c r="N34" s="1295"/>
      <c r="O34" s="1294"/>
      <c r="P34" s="1294"/>
      <c r="Q34" s="1296"/>
      <c r="R34" s="1294"/>
      <c r="S34" s="1280"/>
    </row>
    <row r="35" spans="1:19" ht="12.75" customHeight="1">
      <c r="A35" s="1278"/>
      <c r="B35" s="1291"/>
      <c r="C35" s="1291"/>
      <c r="D35" s="1291"/>
      <c r="E35" s="1292"/>
      <c r="F35" s="1291"/>
      <c r="G35" s="1291"/>
      <c r="H35" s="1293"/>
      <c r="I35" s="1291"/>
      <c r="J35" s="1287"/>
      <c r="K35" s="1294"/>
      <c r="L35" s="1294"/>
      <c r="M35" s="1294"/>
      <c r="N35" s="1295"/>
      <c r="O35" s="1294"/>
      <c r="P35" s="1294"/>
      <c r="Q35" s="1296"/>
      <c r="R35" s="1294"/>
      <c r="S35" s="1280"/>
    </row>
    <row r="36" spans="1:19" ht="12.75" customHeight="1">
      <c r="A36" s="1278"/>
      <c r="B36" s="1291"/>
      <c r="C36" s="1291"/>
      <c r="D36" s="1291"/>
      <c r="E36" s="1292"/>
      <c r="F36" s="1291"/>
      <c r="G36" s="1291"/>
      <c r="H36" s="1293"/>
      <c r="I36" s="1291"/>
      <c r="J36" s="1287"/>
      <c r="K36" s="1294"/>
      <c r="L36" s="1294"/>
      <c r="M36" s="1294"/>
      <c r="N36" s="1295"/>
      <c r="O36" s="1294"/>
      <c r="P36" s="1294"/>
      <c r="Q36" s="1296"/>
      <c r="R36" s="1294"/>
      <c r="S36" s="1280"/>
    </row>
    <row r="37" spans="1:19" ht="12.75" customHeight="1">
      <c r="A37" s="1278"/>
      <c r="B37" s="1291"/>
      <c r="C37" s="1291"/>
      <c r="D37" s="1291"/>
      <c r="E37" s="1292"/>
      <c r="F37" s="1291"/>
      <c r="G37" s="1291"/>
      <c r="H37" s="1293"/>
      <c r="I37" s="1291"/>
      <c r="J37" s="1287"/>
      <c r="K37" s="1294"/>
      <c r="L37" s="1294"/>
      <c r="M37" s="1294"/>
      <c r="N37" s="1295"/>
      <c r="O37" s="1294"/>
      <c r="P37" s="1294"/>
      <c r="Q37" s="1296"/>
      <c r="R37" s="1294"/>
      <c r="S37" s="1280"/>
    </row>
    <row r="38" spans="1:19" ht="12.75" customHeight="1">
      <c r="A38" s="1278"/>
      <c r="B38" s="1291"/>
      <c r="C38" s="1291"/>
      <c r="D38" s="1291"/>
      <c r="E38" s="1292"/>
      <c r="F38" s="1291"/>
      <c r="G38" s="1291"/>
      <c r="H38" s="1293"/>
      <c r="I38" s="1291"/>
      <c r="J38" s="1287"/>
      <c r="K38" s="1294"/>
      <c r="L38" s="1294"/>
      <c r="M38" s="1294"/>
      <c r="N38" s="1295"/>
      <c r="O38" s="1294"/>
      <c r="P38" s="1294"/>
      <c r="Q38" s="1296"/>
      <c r="R38" s="1294"/>
      <c r="S38" s="1280"/>
    </row>
    <row r="39" spans="1:19" ht="12.75" customHeight="1">
      <c r="A39" s="1278"/>
      <c r="B39" s="1291"/>
      <c r="C39" s="1291"/>
      <c r="D39" s="1291"/>
      <c r="E39" s="1292"/>
      <c r="F39" s="1291"/>
      <c r="G39" s="1291"/>
      <c r="H39" s="1293"/>
      <c r="I39" s="1291"/>
      <c r="J39" s="1287"/>
      <c r="K39" s="1294"/>
      <c r="L39" s="1294"/>
      <c r="M39" s="1294"/>
      <c r="N39" s="1295"/>
      <c r="O39" s="1294"/>
      <c r="P39" s="1294"/>
      <c r="Q39" s="1296"/>
      <c r="R39" s="1294"/>
      <c r="S39" s="1280"/>
    </row>
    <row r="40" spans="1:19" ht="12.75" customHeight="1">
      <c r="A40" s="1278"/>
      <c r="B40" s="1291"/>
      <c r="C40" s="1291"/>
      <c r="D40" s="1291"/>
      <c r="E40" s="1292"/>
      <c r="F40" s="1291"/>
      <c r="G40" s="1291"/>
      <c r="H40" s="1293"/>
      <c r="I40" s="1291"/>
      <c r="J40" s="1287"/>
      <c r="K40" s="1294"/>
      <c r="L40" s="1294"/>
      <c r="M40" s="1294"/>
      <c r="N40" s="1295"/>
      <c r="O40" s="1294"/>
      <c r="P40" s="1294"/>
      <c r="Q40" s="1296"/>
      <c r="R40" s="1294"/>
      <c r="S40" s="1280"/>
    </row>
    <row r="41" spans="1:19" ht="12.75" customHeight="1">
      <c r="A41" s="1278"/>
      <c r="B41" s="1291"/>
      <c r="C41" s="1291"/>
      <c r="D41" s="1291"/>
      <c r="E41" s="1292"/>
      <c r="F41" s="1291"/>
      <c r="G41" s="1291"/>
      <c r="H41" s="1293"/>
      <c r="I41" s="1291"/>
      <c r="J41" s="1287"/>
      <c r="K41" s="1294"/>
      <c r="L41" s="1294"/>
      <c r="M41" s="1294"/>
      <c r="N41" s="1295"/>
      <c r="O41" s="1294"/>
      <c r="P41" s="1294"/>
      <c r="Q41" s="1296"/>
      <c r="R41" s="1294"/>
      <c r="S41" s="1280"/>
    </row>
    <row r="42" spans="1:19" ht="12.75" customHeight="1">
      <c r="A42" s="1278"/>
      <c r="B42" s="1291"/>
      <c r="C42" s="1291"/>
      <c r="D42" s="1291"/>
      <c r="E42" s="1292"/>
      <c r="F42" s="1291"/>
      <c r="G42" s="1291"/>
      <c r="H42" s="1293"/>
      <c r="I42" s="1291"/>
      <c r="J42" s="1287"/>
      <c r="K42" s="1294"/>
      <c r="L42" s="1294"/>
      <c r="M42" s="1294"/>
      <c r="N42" s="1295"/>
      <c r="O42" s="1294"/>
      <c r="P42" s="1294"/>
      <c r="Q42" s="1296"/>
      <c r="R42" s="1294"/>
      <c r="S42" s="1280"/>
    </row>
    <row r="43" spans="1:19" ht="12.75" customHeight="1">
      <c r="A43" s="1278"/>
      <c r="B43" s="1291"/>
      <c r="C43" s="1291"/>
      <c r="D43" s="1291"/>
      <c r="E43" s="1292"/>
      <c r="F43" s="1291"/>
      <c r="G43" s="1291"/>
      <c r="H43" s="1293"/>
      <c r="I43" s="1291"/>
      <c r="J43" s="1287"/>
      <c r="K43" s="1294"/>
      <c r="L43" s="1294"/>
      <c r="M43" s="1294"/>
      <c r="N43" s="1295"/>
      <c r="O43" s="1294"/>
      <c r="P43" s="1294"/>
      <c r="Q43" s="1296"/>
      <c r="R43" s="1294"/>
      <c r="S43" s="1280"/>
    </row>
    <row r="44" spans="1:19" ht="12.75" customHeight="1">
      <c r="A44" s="1278"/>
      <c r="B44" s="1291"/>
      <c r="C44" s="1291"/>
      <c r="D44" s="1291"/>
      <c r="E44" s="1292"/>
      <c r="F44" s="1291"/>
      <c r="G44" s="1291"/>
      <c r="H44" s="1293"/>
      <c r="I44" s="1291"/>
      <c r="J44" s="1287"/>
      <c r="K44" s="1294"/>
      <c r="L44" s="1294"/>
      <c r="M44" s="1294"/>
      <c r="N44" s="1295"/>
      <c r="O44" s="1294"/>
      <c r="P44" s="1294"/>
      <c r="Q44" s="1296"/>
      <c r="R44" s="1294"/>
      <c r="S44" s="1280"/>
    </row>
    <row r="45" spans="1:19" ht="12.75" customHeight="1">
      <c r="A45" s="1278"/>
      <c r="B45" s="1291"/>
      <c r="C45" s="1291"/>
      <c r="D45" s="1291"/>
      <c r="E45" s="1292"/>
      <c r="F45" s="1291"/>
      <c r="G45" s="1291"/>
      <c r="H45" s="1293"/>
      <c r="I45" s="1291"/>
      <c r="J45" s="1287"/>
      <c r="K45" s="1294"/>
      <c r="L45" s="1294"/>
      <c r="M45" s="1294"/>
      <c r="N45" s="1295"/>
      <c r="O45" s="1294"/>
      <c r="P45" s="1294"/>
      <c r="Q45" s="1296"/>
      <c r="R45" s="1294"/>
      <c r="S45" s="1280"/>
    </row>
    <row r="46" spans="1:19" ht="12.75" customHeight="1">
      <c r="A46" s="1278"/>
      <c r="B46" s="1291"/>
      <c r="C46" s="1291"/>
      <c r="D46" s="1291"/>
      <c r="E46" s="1292"/>
      <c r="F46" s="1291"/>
      <c r="G46" s="1291"/>
      <c r="H46" s="1293"/>
      <c r="I46" s="1291"/>
      <c r="J46" s="1287"/>
      <c r="K46" s="1294"/>
      <c r="L46" s="1294"/>
      <c r="M46" s="1294"/>
      <c r="N46" s="1295"/>
      <c r="O46" s="1294"/>
      <c r="P46" s="1294"/>
      <c r="Q46" s="1296"/>
      <c r="R46" s="1294"/>
      <c r="S46" s="1280"/>
    </row>
    <row r="47" spans="1:19" ht="12.75" customHeight="1">
      <c r="A47" s="1278"/>
      <c r="B47" s="1291"/>
      <c r="C47" s="1291"/>
      <c r="D47" s="1291"/>
      <c r="E47" s="1292"/>
      <c r="F47" s="1291"/>
      <c r="G47" s="1291"/>
      <c r="H47" s="1293"/>
      <c r="I47" s="1291"/>
      <c r="J47" s="1287"/>
      <c r="K47" s="1294"/>
      <c r="L47" s="1294"/>
      <c r="M47" s="1294"/>
      <c r="N47" s="1295"/>
      <c r="O47" s="1294"/>
      <c r="P47" s="1294"/>
      <c r="Q47" s="1296"/>
      <c r="R47" s="1294"/>
      <c r="S47" s="1280"/>
    </row>
    <row r="48" spans="1:19" ht="12.75" customHeight="1">
      <c r="A48" s="1278"/>
      <c r="B48" s="1291"/>
      <c r="C48" s="1291"/>
      <c r="D48" s="1291"/>
      <c r="E48" s="1292"/>
      <c r="F48" s="1291"/>
      <c r="G48" s="1291"/>
      <c r="H48" s="1293"/>
      <c r="I48" s="1291"/>
      <c r="J48" s="1287"/>
      <c r="K48" s="1294"/>
      <c r="L48" s="1294"/>
      <c r="M48" s="1294"/>
      <c r="N48" s="1295"/>
      <c r="O48" s="1294"/>
      <c r="P48" s="1294"/>
      <c r="Q48" s="1296"/>
      <c r="R48" s="1294"/>
      <c r="S48" s="1280"/>
    </row>
    <row r="49" spans="1:19" ht="12.75" customHeight="1">
      <c r="A49" s="1278"/>
      <c r="B49" s="1291"/>
      <c r="C49" s="1291"/>
      <c r="D49" s="1291"/>
      <c r="E49" s="1292"/>
      <c r="F49" s="1291"/>
      <c r="G49" s="1291"/>
      <c r="H49" s="1293"/>
      <c r="I49" s="1291"/>
      <c r="J49" s="1287"/>
      <c r="K49" s="1294"/>
      <c r="L49" s="1294"/>
      <c r="M49" s="1294"/>
      <c r="N49" s="1295"/>
      <c r="O49" s="1294"/>
      <c r="P49" s="1294"/>
      <c r="Q49" s="1296"/>
      <c r="R49" s="1294"/>
      <c r="S49" s="1280"/>
    </row>
    <row r="50" spans="1:19" ht="12.75" customHeight="1">
      <c r="A50" s="1278"/>
      <c r="B50" s="1297"/>
      <c r="C50" s="1297"/>
      <c r="D50" s="1297"/>
      <c r="E50" s="1298"/>
      <c r="F50" s="1297"/>
      <c r="G50" s="1297"/>
      <c r="H50" s="1299"/>
      <c r="I50" s="1297"/>
      <c r="J50" s="1287"/>
      <c r="K50" s="1297"/>
      <c r="L50" s="1297"/>
      <c r="M50" s="1297"/>
      <c r="N50" s="1298"/>
      <c r="O50" s="1297"/>
      <c r="P50" s="1297"/>
      <c r="Q50" s="1299"/>
      <c r="R50" s="1297"/>
      <c r="S50" s="1280"/>
    </row>
    <row r="51" spans="1:19" ht="12.75" customHeight="1">
      <c r="A51" s="1278"/>
      <c r="B51" s="1300"/>
      <c r="C51" s="1300"/>
      <c r="D51" s="1300"/>
      <c r="E51" s="1301"/>
      <c r="F51" s="1300"/>
      <c r="G51" s="1300"/>
      <c r="H51" s="1300"/>
      <c r="I51" s="1300"/>
      <c r="K51" s="1300"/>
      <c r="L51" s="1300"/>
      <c r="M51" s="1300"/>
      <c r="N51" s="1301"/>
      <c r="O51" s="1300"/>
      <c r="P51" s="1300"/>
      <c r="Q51" s="1300"/>
      <c r="R51" s="1300"/>
      <c r="S51" s="1280"/>
    </row>
    <row r="52" spans="1:19" ht="12.75" customHeight="1">
      <c r="A52" s="1302"/>
      <c r="B52" s="1303" t="s">
        <v>266</v>
      </c>
      <c r="C52" s="1300"/>
      <c r="D52" s="1300"/>
      <c r="E52" s="1301"/>
      <c r="F52" s="1300"/>
      <c r="G52" s="1300"/>
      <c r="H52" s="1300"/>
      <c r="I52" s="1300"/>
      <c r="K52" s="1300"/>
      <c r="L52" s="1300"/>
      <c r="M52" s="1300"/>
      <c r="N52" s="1301"/>
      <c r="O52" s="1300"/>
      <c r="P52" s="1300"/>
      <c r="Q52" s="1300"/>
      <c r="R52" s="1300"/>
      <c r="S52" s="1280"/>
    </row>
    <row r="53" spans="1:19" ht="12.75" customHeight="1">
      <c r="A53" s="1304"/>
      <c r="B53" s="1305" t="s">
        <v>267</v>
      </c>
      <c r="C53" s="1300"/>
      <c r="D53" s="1301">
        <f>SUM(E9:E50)+H11</f>
        <v>793.07</v>
      </c>
      <c r="E53" s="1301"/>
      <c r="F53" s="1300"/>
      <c r="G53" s="1300"/>
      <c r="H53" s="1300"/>
      <c r="I53" s="1300"/>
      <c r="K53" s="1300"/>
      <c r="L53" s="1300"/>
      <c r="M53" s="1300"/>
      <c r="N53" s="1301"/>
      <c r="O53" s="1300"/>
      <c r="P53" s="1300"/>
      <c r="Q53" s="1300"/>
      <c r="R53" s="1300"/>
      <c r="S53" s="1280"/>
    </row>
    <row r="54" spans="1:19" ht="12.75" customHeight="1">
      <c r="A54" s="1304"/>
      <c r="B54" s="1305" t="s">
        <v>268</v>
      </c>
      <c r="D54" s="1301">
        <f>COUNTIF(I8:I50,"BSD-02")</f>
        <v>1</v>
      </c>
      <c r="S54" s="1280"/>
    </row>
    <row r="55" spans="1:19" ht="12.75" customHeight="1">
      <c r="A55" s="1304"/>
      <c r="B55" s="1305" t="s">
        <v>269</v>
      </c>
      <c r="D55" s="1301">
        <f>1.5*0.5*D53</f>
        <v>594.80250000000001</v>
      </c>
      <c r="S55" s="1280"/>
    </row>
    <row r="56" spans="1:19" ht="12.75" customHeight="1">
      <c r="A56" s="1306"/>
      <c r="B56" s="1305" t="s">
        <v>270</v>
      </c>
      <c r="S56" s="1280"/>
    </row>
    <row r="57" spans="1:19" ht="12.75" customHeight="1">
      <c r="A57" s="1306"/>
      <c r="B57" s="1305"/>
      <c r="S57" s="1280"/>
    </row>
    <row r="58" spans="1:19" ht="12.75" customHeight="1" thickBot="1">
      <c r="A58" s="1307"/>
      <c r="B58" s="1308"/>
      <c r="C58" s="1308"/>
      <c r="D58" s="1308"/>
      <c r="E58" s="1308"/>
      <c r="F58" s="1308"/>
      <c r="G58" s="1308"/>
      <c r="H58" s="1308"/>
      <c r="I58" s="1308"/>
      <c r="J58" s="1308"/>
      <c r="K58" s="1308"/>
      <c r="L58" s="1308"/>
      <c r="M58" s="1308"/>
      <c r="N58" s="1308"/>
      <c r="O58" s="1308"/>
      <c r="P58" s="1308"/>
      <c r="Q58" s="1308"/>
      <c r="R58" s="1308"/>
      <c r="S58" s="1309"/>
    </row>
    <row r="59" spans="1:19" ht="12.75" customHeight="1"/>
  </sheetData>
  <mergeCells count="11">
    <mergeCell ref="B8:I8"/>
    <mergeCell ref="B10:I10"/>
    <mergeCell ref="B3:I4"/>
    <mergeCell ref="F5:F6"/>
    <mergeCell ref="K5:O5"/>
    <mergeCell ref="P5:R5"/>
    <mergeCell ref="K6:L6"/>
    <mergeCell ref="M6:M7"/>
    <mergeCell ref="N6:N7"/>
    <mergeCell ref="O6:O7"/>
    <mergeCell ref="R6:R7"/>
  </mergeCells>
  <printOptions horizontalCentered="1" verticalCentered="1"/>
  <pageMargins left="0.39370078740157483" right="0.39370078740157483" top="0" bottom="0" header="0" footer="0"/>
  <pageSetup paperSize="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BA3CA-770E-4DCD-B51E-CB14B1649868}">
  <sheetPr>
    <tabColor rgb="FFFFC000"/>
    <pageSetUpPr fitToPage="1"/>
  </sheetPr>
  <dimension ref="B2:T40"/>
  <sheetViews>
    <sheetView showGridLines="0" zoomScaleNormal="100" zoomScaleSheetLayoutView="100" workbookViewId="0">
      <selection activeCell="C20" sqref="C20"/>
    </sheetView>
  </sheetViews>
  <sheetFormatPr defaultColWidth="9.140625" defaultRowHeight="12.75"/>
  <cols>
    <col min="1" max="1" width="4.42578125" style="1277" customWidth="1"/>
    <col min="2" max="2" width="18" style="1277" customWidth="1"/>
    <col min="3" max="3" width="18.5703125" style="1277" customWidth="1"/>
    <col min="4" max="4" width="21" style="1277" customWidth="1"/>
    <col min="5" max="5" width="20.7109375" style="1277" customWidth="1"/>
    <col min="6" max="8" width="12.7109375" style="1277" customWidth="1"/>
    <col min="9" max="11" width="17.7109375" style="1277" customWidth="1"/>
    <col min="12" max="12" width="19.5703125" style="1277" customWidth="1"/>
    <col min="13" max="16384" width="9.140625" style="1277"/>
  </cols>
  <sheetData>
    <row r="2" spans="2:16" ht="25.5" customHeight="1">
      <c r="B2" s="2232" t="s">
        <v>271</v>
      </c>
      <c r="C2" s="2232"/>
      <c r="D2" s="2232"/>
      <c r="E2" s="2232"/>
      <c r="F2" s="2232"/>
      <c r="G2" s="2232"/>
      <c r="H2" s="2232"/>
      <c r="I2" s="2232"/>
      <c r="J2" s="2232"/>
      <c r="K2" s="2232"/>
      <c r="L2" s="2232"/>
    </row>
    <row r="3" spans="2:16" ht="15">
      <c r="B3" s="2233" t="s">
        <v>272</v>
      </c>
      <c r="C3" s="2235" t="s">
        <v>273</v>
      </c>
      <c r="D3" s="2235" t="s">
        <v>274</v>
      </c>
      <c r="E3" s="2235" t="s">
        <v>275</v>
      </c>
      <c r="F3" s="2236" t="s">
        <v>276</v>
      </c>
      <c r="G3" s="2236"/>
      <c r="H3" s="2236"/>
      <c r="I3" s="2235" t="s">
        <v>277</v>
      </c>
      <c r="J3" s="2235" t="s">
        <v>278</v>
      </c>
      <c r="K3" s="2235" t="s">
        <v>279</v>
      </c>
      <c r="L3" s="2235" t="s">
        <v>280</v>
      </c>
      <c r="O3" s="1310" t="s">
        <v>281</v>
      </c>
    </row>
    <row r="4" spans="2:16" ht="30">
      <c r="B4" s="2234"/>
      <c r="C4" s="2235"/>
      <c r="D4" s="2235"/>
      <c r="E4" s="2235"/>
      <c r="F4" s="1311" t="s">
        <v>282</v>
      </c>
      <c r="G4" s="1311" t="s">
        <v>283</v>
      </c>
      <c r="H4" s="1311" t="s">
        <v>284</v>
      </c>
      <c r="I4" s="2235"/>
      <c r="J4" s="2235"/>
      <c r="K4" s="2235"/>
      <c r="L4" s="2235"/>
      <c r="O4" s="1312" t="str">
        <f>I3</f>
        <v>ALTURA MÉDIA DA ESCAVAÇÃO (m)</v>
      </c>
    </row>
    <row r="5" spans="2:16" s="1318" customFormat="1" ht="15" hidden="1" customHeight="1">
      <c r="B5" s="1313" t="str">
        <f>'1 OAC Impressão'!B6</f>
        <v>1+5,93</v>
      </c>
      <c r="C5" s="1314" t="s">
        <v>285</v>
      </c>
      <c r="D5" s="1314" t="str">
        <f>'1 OAC Impressão'!D6</f>
        <v/>
      </c>
      <c r="E5" s="1315" t="e">
        <f>'1 OAC Impressão'!M6+(2.05*2)+1</f>
        <v>#VALUE!</v>
      </c>
      <c r="F5" s="1314">
        <f t="shared" ref="F5:F17" si="0">IF(H5=1,3.45,IF(H5=2,4.85,7.23))</f>
        <v>7.23</v>
      </c>
      <c r="G5" s="1315">
        <v>1</v>
      </c>
      <c r="H5" s="1316">
        <f>'[232]Entrada dados'!B3</f>
        <v>0</v>
      </c>
      <c r="I5" s="1315" t="e">
        <f>93.74/'1 OAC Impressão'!M6</f>
        <v>#VALUE!</v>
      </c>
      <c r="J5" s="1315" t="e">
        <f t="shared" ref="J5:J17" si="1">ROUND(E5*F5*0.2*I5,2)</f>
        <v>#VALUE!</v>
      </c>
      <c r="K5" s="1314" t="e">
        <f t="shared" ref="K5:K17" si="2">ROUND(((I5*F5*E5)-J5),2)</f>
        <v>#VALUE!</v>
      </c>
      <c r="L5" s="1317" t="e">
        <f>ROUND('1 OAC Impressão'!M6*(G5+0.4)-(PI()*(G5/2)^2)*'1 OAC Impressão'!M6,2)</f>
        <v>#VALUE!</v>
      </c>
      <c r="N5" s="1319"/>
      <c r="O5" s="1312" t="s">
        <v>286</v>
      </c>
      <c r="P5" s="1319"/>
    </row>
    <row r="6" spans="2:16" s="1318" customFormat="1" ht="15" hidden="1" customHeight="1">
      <c r="B6" s="1313" t="str">
        <f>'1 OAC Impressão'!B7</f>
        <v>1+6,32</v>
      </c>
      <c r="C6" s="1314" t="s">
        <v>287</v>
      </c>
      <c r="D6" s="1314" t="str">
        <f>'1 OAC Impressão'!D7</f>
        <v/>
      </c>
      <c r="E6" s="1315" t="e">
        <f>'1 OAC Impressão'!M7+(2.05*2)+1</f>
        <v>#VALUE!</v>
      </c>
      <c r="F6" s="1314">
        <f t="shared" si="0"/>
        <v>7.23</v>
      </c>
      <c r="G6" s="1315">
        <v>1</v>
      </c>
      <c r="H6" s="1316">
        <f>'[232]Entrada dados'!B4</f>
        <v>0</v>
      </c>
      <c r="I6" s="1315" t="e">
        <f>113.97/'1 OAC Impressão'!M7</f>
        <v>#VALUE!</v>
      </c>
      <c r="J6" s="1315" t="e">
        <f t="shared" si="1"/>
        <v>#VALUE!</v>
      </c>
      <c r="K6" s="1314" t="e">
        <f t="shared" si="2"/>
        <v>#VALUE!</v>
      </c>
      <c r="L6" s="1317" t="e">
        <f>ROUND('1 OAC Impressão'!M7*(G6+0.4)-(PI()*(G6/2)^2)*'1 OAC Impressão'!M7,2)</f>
        <v>#VALUE!</v>
      </c>
      <c r="N6" s="1319"/>
    </row>
    <row r="7" spans="2:16" s="1318" customFormat="1" ht="15" hidden="1" customHeight="1">
      <c r="B7" s="1313" t="str">
        <f>'1 OAC Impressão'!B8</f>
        <v>7+8,20</v>
      </c>
      <c r="C7" s="1314" t="s">
        <v>288</v>
      </c>
      <c r="D7" s="1314" t="str">
        <f>'1 OAC Impressão'!D8</f>
        <v/>
      </c>
      <c r="E7" s="1315" t="e">
        <f>'1 OAC Impressão'!M8+(2.05*2)+1</f>
        <v>#VALUE!</v>
      </c>
      <c r="F7" s="1314">
        <f t="shared" si="0"/>
        <v>7.23</v>
      </c>
      <c r="G7" s="1315">
        <v>1</v>
      </c>
      <c r="H7" s="1316">
        <f>'[232]Entrada dados'!B5</f>
        <v>0</v>
      </c>
      <c r="I7" s="1315" t="e">
        <f>54.13/'1 OAC Impressão'!M8</f>
        <v>#VALUE!</v>
      </c>
      <c r="J7" s="1315" t="e">
        <f t="shared" si="1"/>
        <v>#VALUE!</v>
      </c>
      <c r="K7" s="1314" t="e">
        <f t="shared" si="2"/>
        <v>#VALUE!</v>
      </c>
      <c r="L7" s="1317" t="e">
        <f>ROUND('1 OAC Impressão'!M8*(G7+0.4)-(PI()*(G7/2)^2)*'1 OAC Impressão'!M8,2)</f>
        <v>#VALUE!</v>
      </c>
      <c r="N7" s="1319"/>
    </row>
    <row r="8" spans="2:16" s="1318" customFormat="1" ht="15" hidden="1" customHeight="1">
      <c r="B8" s="1313" t="str">
        <f>'1 OAC Impressão'!B9</f>
        <v>61+9,43</v>
      </c>
      <c r="C8" s="1314" t="s">
        <v>289</v>
      </c>
      <c r="D8" s="1314" t="str">
        <f>'1 OAC Impressão'!D9</f>
        <v/>
      </c>
      <c r="E8" s="1315" t="e">
        <f>'1 OAC Impressão'!M9+(2.05*2)+1</f>
        <v>#VALUE!</v>
      </c>
      <c r="F8" s="1314">
        <f t="shared" si="0"/>
        <v>7.23</v>
      </c>
      <c r="G8" s="1315">
        <v>1</v>
      </c>
      <c r="H8" s="1316">
        <f>'[232]Entrada dados'!B6</f>
        <v>0</v>
      </c>
      <c r="I8" s="1315" t="e">
        <f>35.74/'1 OAC Impressão'!M9</f>
        <v>#VALUE!</v>
      </c>
      <c r="J8" s="1315" t="e">
        <f t="shared" si="1"/>
        <v>#VALUE!</v>
      </c>
      <c r="K8" s="1314" t="e">
        <f t="shared" si="2"/>
        <v>#VALUE!</v>
      </c>
      <c r="L8" s="1317" t="e">
        <f>ROUND('1 OAC Impressão'!M9*(G8+0.4)-(PI()*(G8/2)^2)*'1 OAC Impressão'!M9,2)</f>
        <v>#VALUE!</v>
      </c>
      <c r="N8" s="1319"/>
    </row>
    <row r="9" spans="2:16" s="1318" customFormat="1" ht="15" hidden="1" customHeight="1">
      <c r="B9" s="1313" t="str">
        <f>'1 OAC Impressão'!B10</f>
        <v>123+12,70</v>
      </c>
      <c r="C9" s="1314" t="s">
        <v>290</v>
      </c>
      <c r="D9" s="1314" t="str">
        <f>'1 OAC Impressão'!D10</f>
        <v/>
      </c>
      <c r="E9" s="1315" t="e">
        <f>'1 OAC Impressão'!M10+(2.05*2)+1</f>
        <v>#VALUE!</v>
      </c>
      <c r="F9" s="1314">
        <f t="shared" si="0"/>
        <v>7.23</v>
      </c>
      <c r="G9" s="1315">
        <v>1</v>
      </c>
      <c r="H9" s="1316">
        <f>'[232]Entrada dados'!B7</f>
        <v>0</v>
      </c>
      <c r="I9" s="1315" t="e">
        <f>45.73/'1 OAC Impressão'!M10</f>
        <v>#VALUE!</v>
      </c>
      <c r="J9" s="1315" t="e">
        <f t="shared" si="1"/>
        <v>#VALUE!</v>
      </c>
      <c r="K9" s="1314" t="e">
        <f t="shared" si="2"/>
        <v>#VALUE!</v>
      </c>
      <c r="L9" s="1317" t="e">
        <f>ROUND('1 OAC Impressão'!M10*(G9+0.4)-(PI()*(G9/2)^2)*'1 OAC Impressão'!M10,2)</f>
        <v>#VALUE!</v>
      </c>
      <c r="N9" s="1319"/>
    </row>
    <row r="10" spans="2:16" s="1318" customFormat="1" ht="15" hidden="1" customHeight="1">
      <c r="B10" s="1313" t="str">
        <f>'1 OAC Impressão'!B11</f>
        <v>128+6,00</v>
      </c>
      <c r="C10" s="1314" t="s">
        <v>290</v>
      </c>
      <c r="D10" s="1314" t="str">
        <f>'1 OAC Impressão'!D11</f>
        <v/>
      </c>
      <c r="E10" s="1315" t="e">
        <f>'1 OAC Impressão'!M11+(2.05*2)+1</f>
        <v>#VALUE!</v>
      </c>
      <c r="F10" s="1314">
        <f t="shared" si="0"/>
        <v>7.23</v>
      </c>
      <c r="G10" s="1315">
        <v>1.5</v>
      </c>
      <c r="H10" s="1316">
        <f>'[232]Entrada dados'!B8</f>
        <v>0</v>
      </c>
      <c r="I10" s="1315" t="e">
        <f>103.4/'1 OAC Impressão'!M11</f>
        <v>#VALUE!</v>
      </c>
      <c r="J10" s="1315" t="e">
        <f t="shared" si="1"/>
        <v>#VALUE!</v>
      </c>
      <c r="K10" s="1314" t="e">
        <f t="shared" si="2"/>
        <v>#VALUE!</v>
      </c>
      <c r="L10" s="1317" t="e">
        <f>ROUND('1 OAC Impressão'!M11*(G10+0.4)-(PI()*(G10/2)^2)*'1 OAC Impressão'!M11,2)</f>
        <v>#VALUE!</v>
      </c>
      <c r="N10" s="1319"/>
    </row>
    <row r="11" spans="2:16" s="1318" customFormat="1" ht="15" hidden="1" customHeight="1">
      <c r="B11" s="1313" t="str">
        <f>'1 OAC Impressão'!B12</f>
        <v>1+6,22</v>
      </c>
      <c r="C11" s="1314" t="s">
        <v>291</v>
      </c>
      <c r="D11" s="1314" t="str">
        <f>'1 OAC Impressão'!D12</f>
        <v/>
      </c>
      <c r="E11" s="1315" t="e">
        <f>'1 OAC Impressão'!M12+(2.05*2)+1</f>
        <v>#VALUE!</v>
      </c>
      <c r="F11" s="1314">
        <f t="shared" si="0"/>
        <v>7.23</v>
      </c>
      <c r="G11" s="1315">
        <v>1</v>
      </c>
      <c r="H11" s="1316">
        <f>'[232]Entrada dados'!B9</f>
        <v>0</v>
      </c>
      <c r="I11" s="1315" t="e">
        <f>64.86/'1 OAC Impressão'!M12</f>
        <v>#VALUE!</v>
      </c>
      <c r="J11" s="1315" t="e">
        <f t="shared" si="1"/>
        <v>#VALUE!</v>
      </c>
      <c r="K11" s="1314" t="e">
        <f t="shared" si="2"/>
        <v>#VALUE!</v>
      </c>
      <c r="L11" s="1317" t="e">
        <f>ROUND('1 OAC Impressão'!M12*(G11+0.4)-(PI()*(G11/2)^2)*'1 OAC Impressão'!M12,2)</f>
        <v>#VALUE!</v>
      </c>
      <c r="N11" s="1319"/>
    </row>
    <row r="12" spans="2:16" s="1325" customFormat="1" ht="15" hidden="1" customHeight="1">
      <c r="B12" s="1320" t="str">
        <f>'1 OAC Impressão'!B13</f>
        <v>34+5,98</v>
      </c>
      <c r="C12" s="1321" t="s">
        <v>292</v>
      </c>
      <c r="D12" s="1321" t="str">
        <f>'1 OAC Impressão'!D13</f>
        <v>BSTC Ø 1,00</v>
      </c>
      <c r="E12" s="1322">
        <f>'1 OAC Impressão'!M13+(2.05*2)+1</f>
        <v>22.1</v>
      </c>
      <c r="F12" s="1321">
        <f t="shared" si="0"/>
        <v>3.45</v>
      </c>
      <c r="G12" s="1322">
        <v>1</v>
      </c>
      <c r="H12" s="1323">
        <f>'[232]Entrada dados'!B10</f>
        <v>1</v>
      </c>
      <c r="I12" s="1322">
        <f>85.87/'1 OAC Impressão'!M13</f>
        <v>5.0511764705882358</v>
      </c>
      <c r="J12" s="1322">
        <f t="shared" si="1"/>
        <v>77.03</v>
      </c>
      <c r="K12" s="1321">
        <f t="shared" si="2"/>
        <v>308.10000000000002</v>
      </c>
      <c r="L12" s="1324">
        <f>ROUND('1 OAC Impressão'!M13*(G12+0.4)-(PI()*(G12/2)^2)*'1 OAC Impressão'!M13,2)</f>
        <v>10.45</v>
      </c>
      <c r="N12" s="1326"/>
    </row>
    <row r="13" spans="2:16" s="1318" customFormat="1" ht="15" hidden="1" customHeight="1">
      <c r="B13" s="1313" t="str">
        <f>'1 OAC Impressão'!B14</f>
        <v>51+15,69</v>
      </c>
      <c r="C13" s="1314" t="s">
        <v>292</v>
      </c>
      <c r="D13" s="1314" t="str">
        <f>'1 OAC Impressão'!D14</f>
        <v/>
      </c>
      <c r="E13" s="1315" t="e">
        <f>'1 OAC Impressão'!M14+(2.05*2)+1</f>
        <v>#VALUE!</v>
      </c>
      <c r="F13" s="1314">
        <f t="shared" si="0"/>
        <v>7.23</v>
      </c>
      <c r="G13" s="1315">
        <v>1.2</v>
      </c>
      <c r="H13" s="1316">
        <f>'[232]Entrada dados'!B11</f>
        <v>0</v>
      </c>
      <c r="I13" s="1315" t="e">
        <f>84.88/'1 OAC Impressão'!M14</f>
        <v>#VALUE!</v>
      </c>
      <c r="J13" s="1315" t="e">
        <f t="shared" si="1"/>
        <v>#VALUE!</v>
      </c>
      <c r="K13" s="1314" t="e">
        <f t="shared" si="2"/>
        <v>#VALUE!</v>
      </c>
      <c r="L13" s="1317" t="e">
        <f>ROUND('1 OAC Impressão'!M14*(G13+0.4)-(PI()*(G13/2)^2)*'1 OAC Impressão'!M14,2)</f>
        <v>#VALUE!</v>
      </c>
      <c r="N13" s="1319"/>
    </row>
    <row r="14" spans="2:16" s="1318" customFormat="1" ht="15" hidden="1" customHeight="1">
      <c r="B14" s="1313" t="str">
        <f>'1 OAC Impressão'!B15</f>
        <v>1+6,70</v>
      </c>
      <c r="C14" s="1314" t="s">
        <v>293</v>
      </c>
      <c r="D14" s="1314" t="str">
        <f>'1 OAC Impressão'!D15</f>
        <v/>
      </c>
      <c r="E14" s="1315" t="e">
        <f>'1 OAC Impressão'!M15+(2.05*2)+1</f>
        <v>#VALUE!</v>
      </c>
      <c r="F14" s="1314">
        <f t="shared" si="0"/>
        <v>7.23</v>
      </c>
      <c r="G14" s="1315">
        <v>1</v>
      </c>
      <c r="H14" s="1316">
        <f>'[232]Entrada dados'!B12</f>
        <v>0</v>
      </c>
      <c r="I14" s="1315" t="e">
        <f>78.81/'1 OAC Impressão'!M15</f>
        <v>#VALUE!</v>
      </c>
      <c r="J14" s="1315" t="e">
        <f t="shared" si="1"/>
        <v>#VALUE!</v>
      </c>
      <c r="K14" s="1314" t="e">
        <f t="shared" si="2"/>
        <v>#VALUE!</v>
      </c>
      <c r="L14" s="1317" t="e">
        <f>ROUND('1 OAC Impressão'!M15*(G14+0.4)-(PI()*(G14/2)^2)*'1 OAC Impressão'!M15,2)</f>
        <v>#VALUE!</v>
      </c>
      <c r="N14" s="1319"/>
    </row>
    <row r="15" spans="2:16" s="1318" customFormat="1" ht="15" hidden="1" customHeight="1">
      <c r="B15" s="1313" t="str">
        <f>'1 OAC Impressão'!B16</f>
        <v>1+6,19</v>
      </c>
      <c r="C15" s="1314" t="s">
        <v>294</v>
      </c>
      <c r="D15" s="1314" t="str">
        <f>'1 OAC Impressão'!D16</f>
        <v/>
      </c>
      <c r="E15" s="1315" t="e">
        <f>'1 OAC Impressão'!M16+(2.05*2)+1</f>
        <v>#VALUE!</v>
      </c>
      <c r="F15" s="1314">
        <f t="shared" si="0"/>
        <v>7.23</v>
      </c>
      <c r="G15" s="1315">
        <v>1</v>
      </c>
      <c r="H15" s="1316">
        <f>'[232]Entrada dados'!B13</f>
        <v>0</v>
      </c>
      <c r="I15" s="1315" t="e">
        <f>139.14/'1 OAC Impressão'!M16</f>
        <v>#VALUE!</v>
      </c>
      <c r="J15" s="1315" t="e">
        <f t="shared" si="1"/>
        <v>#VALUE!</v>
      </c>
      <c r="K15" s="1314" t="e">
        <f t="shared" si="2"/>
        <v>#VALUE!</v>
      </c>
      <c r="L15" s="1317" t="e">
        <f>ROUND('1 OAC Impressão'!M16*(G15+0.4)-(PI()*(G15/2)^2)*'1 OAC Impressão'!M16,2)</f>
        <v>#VALUE!</v>
      </c>
      <c r="N15" s="1319"/>
    </row>
    <row r="16" spans="2:16" s="1318" customFormat="1" ht="15" hidden="1" customHeight="1">
      <c r="B16" s="1313" t="str">
        <f>'1 OAC Impressão'!B17</f>
        <v>19+10,79</v>
      </c>
      <c r="C16" s="1314" t="s">
        <v>295</v>
      </c>
      <c r="D16" s="1314" t="str">
        <f>'1 OAC Impressão'!D17</f>
        <v/>
      </c>
      <c r="E16" s="1315" t="e">
        <f>'1 OAC Impressão'!M17+(2.05*2)+1</f>
        <v>#VALUE!</v>
      </c>
      <c r="F16" s="1314">
        <f t="shared" si="0"/>
        <v>7.23</v>
      </c>
      <c r="G16" s="1315">
        <v>1</v>
      </c>
      <c r="H16" s="1316">
        <f>'[232]Entrada dados'!B14</f>
        <v>0</v>
      </c>
      <c r="I16" s="1315" t="e">
        <f>173.12/'1 OAC Impressão'!M17</f>
        <v>#VALUE!</v>
      </c>
      <c r="J16" s="1315" t="e">
        <f t="shared" si="1"/>
        <v>#VALUE!</v>
      </c>
      <c r="K16" s="1314" t="e">
        <f t="shared" si="2"/>
        <v>#VALUE!</v>
      </c>
      <c r="L16" s="1317" t="e">
        <f>ROUND('1 OAC Impressão'!M17*(G16+0.4)-(PI()*(G16/2)^2)*'1 OAC Impressão'!M17,2)</f>
        <v>#VALUE!</v>
      </c>
      <c r="N16" s="1319"/>
    </row>
    <row r="17" spans="2:20" s="1318" customFormat="1" ht="15" hidden="1" customHeight="1">
      <c r="B17" s="1313" t="str">
        <f>'1 OAC Impressão'!B18</f>
        <v>27+12,38</v>
      </c>
      <c r="C17" s="1314" t="s">
        <v>295</v>
      </c>
      <c r="D17" s="1314" t="str">
        <f>'1 OAC Impressão'!D18</f>
        <v/>
      </c>
      <c r="E17" s="1315" t="e">
        <f>'1 OAC Impressão'!M18+(2.05*2)+1</f>
        <v>#VALUE!</v>
      </c>
      <c r="F17" s="1314">
        <f t="shared" si="0"/>
        <v>7.23</v>
      </c>
      <c r="G17" s="1315">
        <v>1</v>
      </c>
      <c r="H17" s="1316">
        <f>'[232]Entrada dados'!B15</f>
        <v>0</v>
      </c>
      <c r="I17" s="1315" t="e">
        <f>56.7/'1 OAC Impressão'!M18</f>
        <v>#VALUE!</v>
      </c>
      <c r="J17" s="1315" t="e">
        <f t="shared" si="1"/>
        <v>#VALUE!</v>
      </c>
      <c r="K17" s="1314" t="e">
        <f t="shared" si="2"/>
        <v>#VALUE!</v>
      </c>
      <c r="L17" s="1317" t="e">
        <f>ROUND('1 OAC Impressão'!M18*(G17+0.4)-(PI()*(G17/2)^2)*'1 OAC Impressão'!M18,2)</f>
        <v>#VALUE!</v>
      </c>
      <c r="N17" s="1319"/>
    </row>
    <row r="18" spans="2:20" s="1318" customFormat="1" ht="15" customHeight="1">
      <c r="B18" s="1313"/>
      <c r="C18" s="1314"/>
      <c r="D18" s="1314"/>
      <c r="E18" s="1315"/>
      <c r="F18" s="1314"/>
      <c r="G18" s="1315"/>
      <c r="H18" s="1316"/>
      <c r="I18" s="1327"/>
      <c r="J18" s="1315"/>
      <c r="K18" s="1314"/>
      <c r="L18" s="1317"/>
      <c r="N18" s="1319"/>
    </row>
    <row r="19" spans="2:20" s="1318" customFormat="1" ht="15" customHeight="1">
      <c r="B19" s="1328" t="str">
        <f>B12</f>
        <v>34+5,98</v>
      </c>
      <c r="C19" s="1329" t="s">
        <v>292</v>
      </c>
      <c r="D19" s="1329" t="str">
        <f>D12</f>
        <v>BSTC Ø 1,00</v>
      </c>
      <c r="E19" s="1330">
        <v>17</v>
      </c>
      <c r="F19" s="1329">
        <f>IF(H19=1,3.45,IF(H19=2,4.85,7.23))</f>
        <v>3.45</v>
      </c>
      <c r="G19" s="1329">
        <v>1</v>
      </c>
      <c r="H19" s="1329">
        <f>H12</f>
        <v>1</v>
      </c>
      <c r="I19" s="1330">
        <f>2+0.25</f>
        <v>2.25</v>
      </c>
      <c r="J19" s="1330">
        <f>ROUND(E19*F19*0.2*I19,2)</f>
        <v>26.39</v>
      </c>
      <c r="K19" s="1329">
        <f>ROUND(((I19*F19*E19)-J19),2)</f>
        <v>105.57</v>
      </c>
      <c r="L19" s="1331">
        <f>ROUND(E19*(G19+0.4)-(PI()*(G19/2)^2)*E19,2)</f>
        <v>10.45</v>
      </c>
      <c r="N19" s="1319"/>
    </row>
    <row r="20" spans="2:20" ht="15" customHeight="1">
      <c r="B20" s="1313" t="s">
        <v>296</v>
      </c>
      <c r="C20" s="1314" t="s">
        <v>297</v>
      </c>
      <c r="D20" s="1329" t="s">
        <v>298</v>
      </c>
      <c r="E20" s="1315">
        <v>11</v>
      </c>
      <c r="F20" s="1329">
        <f>IF(H20=1,3.45,IF(H20=2,4.85,7.23))</f>
        <v>3.45</v>
      </c>
      <c r="G20" s="1315">
        <v>1</v>
      </c>
      <c r="H20" s="1316">
        <v>1</v>
      </c>
      <c r="I20" s="1330">
        <v>2</v>
      </c>
      <c r="J20" s="1330">
        <f>ROUND(E20*F20*0.2*I20,2)</f>
        <v>15.18</v>
      </c>
      <c r="K20" s="1329">
        <f>ROUND(((I20*F20*E20)-J20),2)</f>
        <v>60.72</v>
      </c>
      <c r="L20" s="1331">
        <f>ROUND(E20*(G20+0.4)-(PI()*(G20/2)^2)*E20,2)</f>
        <v>6.76</v>
      </c>
      <c r="N20" s="1277" t="s">
        <v>299</v>
      </c>
    </row>
    <row r="21" spans="2:20" ht="15" customHeight="1">
      <c r="B21" s="1313"/>
      <c r="C21" s="1314"/>
      <c r="D21" s="1314"/>
      <c r="E21" s="1315"/>
      <c r="F21" s="1314"/>
      <c r="G21" s="1315"/>
      <c r="H21" s="1316"/>
      <c r="I21" s="1327"/>
      <c r="J21" s="1315"/>
      <c r="K21" s="1314"/>
      <c r="L21" s="1317"/>
    </row>
    <row r="22" spans="2:20" ht="15" customHeight="1">
      <c r="B22" s="1313"/>
      <c r="C22" s="1314"/>
      <c r="D22" s="1314"/>
      <c r="E22" s="1315"/>
      <c r="F22" s="1314"/>
      <c r="G22" s="1315"/>
      <c r="H22" s="1316"/>
      <c r="I22" s="1327"/>
      <c r="J22" s="1315"/>
      <c r="K22" s="1314"/>
      <c r="L22" s="1317"/>
    </row>
    <row r="23" spans="2:20" ht="15" customHeight="1">
      <c r="B23" s="1313"/>
      <c r="C23" s="1314"/>
      <c r="D23" s="1314"/>
      <c r="E23" s="1315"/>
      <c r="F23" s="1314"/>
      <c r="G23" s="1315"/>
      <c r="H23" s="1316"/>
      <c r="I23" s="1327"/>
      <c r="J23" s="1315"/>
      <c r="K23" s="1314"/>
      <c r="L23" s="1317"/>
    </row>
    <row r="24" spans="2:20" ht="15" customHeight="1">
      <c r="B24" s="1313"/>
      <c r="C24" s="1314"/>
      <c r="D24" s="1314"/>
      <c r="E24" s="1315"/>
      <c r="F24" s="1314"/>
      <c r="G24" s="1315"/>
      <c r="H24" s="1316"/>
      <c r="I24" s="1327"/>
      <c r="J24" s="1315"/>
      <c r="K24" s="1314"/>
      <c r="L24" s="1317"/>
    </row>
    <row r="25" spans="2:20" ht="15" customHeight="1">
      <c r="B25" s="1313"/>
      <c r="C25" s="1314"/>
      <c r="D25" s="1314"/>
      <c r="E25" s="1315"/>
      <c r="F25" s="1314"/>
      <c r="G25" s="1315"/>
      <c r="H25" s="1316"/>
      <c r="I25" s="1327"/>
      <c r="J25" s="1315"/>
      <c r="K25" s="1314"/>
      <c r="L25" s="1317"/>
    </row>
    <row r="26" spans="2:20" ht="15" customHeight="1">
      <c r="B26" s="1313"/>
      <c r="C26" s="1314"/>
      <c r="D26" s="1314"/>
      <c r="E26" s="1315"/>
      <c r="F26" s="1314"/>
      <c r="G26" s="1315"/>
      <c r="H26" s="1316"/>
      <c r="I26" s="1327"/>
      <c r="J26" s="1315"/>
      <c r="K26" s="1314"/>
      <c r="L26" s="1317"/>
    </row>
    <row r="27" spans="2:20" ht="15" customHeight="1">
      <c r="B27" s="1313"/>
      <c r="C27" s="1314"/>
      <c r="D27" s="1314"/>
      <c r="E27" s="1315"/>
      <c r="F27" s="1314"/>
      <c r="G27" s="1315"/>
      <c r="H27" s="1316"/>
      <c r="I27" s="1327"/>
      <c r="J27" s="1315"/>
      <c r="K27" s="1314"/>
      <c r="L27" s="1317"/>
    </row>
    <row r="28" spans="2:20" ht="15" customHeight="1">
      <c r="B28" s="1313"/>
      <c r="C28" s="1314"/>
      <c r="D28" s="1314"/>
      <c r="E28" s="1315"/>
      <c r="F28" s="1314"/>
      <c r="G28" s="1315"/>
      <c r="H28" s="1316"/>
      <c r="I28" s="1327"/>
      <c r="J28" s="1315"/>
      <c r="K28" s="1314"/>
      <c r="L28" s="1317"/>
      <c r="M28" s="1204"/>
      <c r="N28" s="1204"/>
      <c r="O28" s="1204"/>
      <c r="P28" s="1204"/>
      <c r="Q28" s="1204"/>
      <c r="R28" s="1204"/>
      <c r="S28" s="1204"/>
      <c r="T28" s="1204"/>
    </row>
    <row r="29" spans="2:20" ht="15" customHeight="1">
      <c r="B29" s="1313"/>
      <c r="C29" s="1314"/>
      <c r="D29" s="1314"/>
      <c r="E29" s="1315"/>
      <c r="F29" s="1314"/>
      <c r="G29" s="1315"/>
      <c r="H29" s="1316"/>
      <c r="I29" s="1327"/>
      <c r="J29" s="1315"/>
      <c r="K29" s="1314"/>
      <c r="L29" s="1317"/>
      <c r="M29" s="1204"/>
      <c r="N29" s="1204"/>
      <c r="O29" s="1204"/>
      <c r="P29" s="1204"/>
      <c r="Q29" s="1204"/>
      <c r="R29" s="1204"/>
      <c r="S29" s="1204"/>
      <c r="T29" s="1204"/>
    </row>
    <row r="30" spans="2:20" ht="15" customHeight="1">
      <c r="B30" s="1313"/>
      <c r="C30" s="1314"/>
      <c r="D30" s="1314"/>
      <c r="E30" s="1315"/>
      <c r="F30" s="1314"/>
      <c r="G30" s="1315"/>
      <c r="H30" s="1316"/>
      <c r="I30" s="1327"/>
      <c r="J30" s="1315"/>
      <c r="K30" s="1314"/>
      <c r="L30" s="1317"/>
      <c r="M30" s="1204"/>
      <c r="N30" s="1204"/>
      <c r="O30" s="1204"/>
      <c r="P30" s="1204"/>
      <c r="Q30" s="1204"/>
      <c r="R30" s="1204"/>
      <c r="S30" s="1204"/>
      <c r="T30" s="1204"/>
    </row>
    <row r="31" spans="2:20" ht="15" customHeight="1">
      <c r="B31" s="1313"/>
      <c r="C31" s="1314"/>
      <c r="D31" s="1314"/>
      <c r="E31" s="1315"/>
      <c r="F31" s="1314"/>
      <c r="G31" s="1315"/>
      <c r="H31" s="1316"/>
      <c r="I31" s="1327"/>
      <c r="J31" s="1315"/>
      <c r="K31" s="1314"/>
      <c r="L31" s="1317"/>
      <c r="M31" s="1204"/>
      <c r="N31" s="1204"/>
      <c r="O31" s="1204"/>
      <c r="P31" s="1204"/>
      <c r="Q31" s="1204"/>
      <c r="R31" s="1204"/>
      <c r="S31" s="1204"/>
      <c r="T31" s="1204"/>
    </row>
    <row r="32" spans="2:20" ht="15" customHeight="1">
      <c r="B32" s="1313"/>
      <c r="C32" s="1314"/>
      <c r="D32" s="1314"/>
      <c r="E32" s="1315"/>
      <c r="F32" s="1314"/>
      <c r="G32" s="1315"/>
      <c r="H32" s="1316"/>
      <c r="I32" s="1327"/>
      <c r="J32" s="1315"/>
      <c r="K32" s="1314"/>
      <c r="L32" s="1317"/>
      <c r="M32" s="1204"/>
      <c r="N32" s="1204"/>
      <c r="O32" s="1204"/>
      <c r="P32" s="1204"/>
      <c r="Q32" s="1204"/>
      <c r="R32" s="1204"/>
      <c r="S32" s="1204"/>
      <c r="T32" s="1204"/>
    </row>
    <row r="33" spans="2:20" ht="15" customHeight="1">
      <c r="B33" s="1332"/>
      <c r="C33" s="1333"/>
      <c r="D33" s="1333"/>
      <c r="E33" s="1334"/>
      <c r="F33" s="1333"/>
      <c r="G33" s="1334"/>
      <c r="H33" s="1335"/>
      <c r="I33" s="1336"/>
      <c r="J33" s="1334"/>
      <c r="K33" s="1333"/>
      <c r="L33" s="1337"/>
      <c r="M33" s="1204"/>
      <c r="N33" s="1204"/>
      <c r="O33" s="1204"/>
      <c r="P33" s="1204"/>
      <c r="Q33" s="1204"/>
      <c r="R33" s="1204"/>
      <c r="S33" s="1204"/>
      <c r="T33" s="1204"/>
    </row>
    <row r="34" spans="2:20">
      <c r="B34" s="1338"/>
      <c r="C34" s="1338"/>
      <c r="D34" s="1338"/>
      <c r="E34" s="1338"/>
      <c r="F34" s="1338"/>
      <c r="G34" s="1338"/>
      <c r="H34" s="1338"/>
      <c r="I34" s="1338"/>
      <c r="J34" s="1338"/>
      <c r="K34" s="1338"/>
      <c r="L34" s="1338"/>
      <c r="M34" s="1204"/>
      <c r="N34" s="1204"/>
      <c r="O34" s="1204"/>
      <c r="P34" s="1204"/>
      <c r="Q34" s="1204"/>
      <c r="R34" s="1204"/>
      <c r="S34" s="1204"/>
      <c r="T34" s="1204"/>
    </row>
    <row r="35" spans="2:20">
      <c r="B35" s="1339" t="s">
        <v>266</v>
      </c>
      <c r="C35" s="1338"/>
      <c r="D35" s="1338"/>
      <c r="E35" s="1338"/>
      <c r="F35" s="1338"/>
      <c r="G35" s="1340" t="s">
        <v>300</v>
      </c>
      <c r="H35" s="1338"/>
      <c r="I35" s="1338"/>
      <c r="J35" s="1338"/>
      <c r="K35" s="1340" t="s">
        <v>301</v>
      </c>
      <c r="L35" s="1338"/>
    </row>
    <row r="36" spans="2:20">
      <c r="B36" s="1338"/>
      <c r="C36" s="1338" t="str">
        <f>CONCATENATE("1 - ESCAVAÇÃO MANUAL (m³) = "," ",TEXT(SUM(J18:J33),"###.0,00"))</f>
        <v>1 - ESCAVAÇÃO MANUAL (m³) =  41,57</v>
      </c>
      <c r="D36" s="1338"/>
      <c r="E36" s="1338"/>
      <c r="F36" s="1338"/>
      <c r="H36" s="1338" t="s">
        <v>302</v>
      </c>
      <c r="I36" s="1338"/>
      <c r="K36" s="1338"/>
      <c r="L36" s="1338"/>
    </row>
    <row r="37" spans="2:20">
      <c r="B37" s="1338"/>
      <c r="C37" s="1338" t="str">
        <f>CONCATENATE("2 - ESCAVAÇÃO MECÂNICA (m³) = ",TEXT(SUM(K19:K33),"###.0,00"))</f>
        <v>2 - ESCAVAÇÃO MECÂNICA (m³) = 166,29</v>
      </c>
      <c r="D37" s="1338"/>
      <c r="E37" s="1338"/>
      <c r="F37" s="1338"/>
      <c r="H37" s="1338" t="s">
        <v>303</v>
      </c>
      <c r="I37" s="1338"/>
      <c r="K37" s="1338" t="s">
        <v>304</v>
      </c>
      <c r="L37" s="1338"/>
    </row>
    <row r="38" spans="2:20">
      <c r="B38" s="1338"/>
      <c r="C38" s="1338" t="str">
        <f>CONCATENATE("3 - REATERRO E COMPACTAÇÃO MANUAL (m³) = ",TEXT(SUM(L19:L33),"###.0,00"))</f>
        <v>3 - REATERRO E COMPACTAÇÃO MANUAL (m³) = 17,21</v>
      </c>
      <c r="D38" s="1338"/>
      <c r="E38" s="1338"/>
      <c r="F38" s="1338"/>
      <c r="H38" s="1338" t="s">
        <v>305</v>
      </c>
      <c r="I38" s="1338"/>
      <c r="K38" s="1338"/>
      <c r="L38" s="1338"/>
    </row>
    <row r="39" spans="2:20">
      <c r="B39" s="1338"/>
      <c r="C39" s="1338"/>
      <c r="D39" s="1338"/>
      <c r="E39" s="1338"/>
      <c r="F39" s="1338"/>
      <c r="G39" s="1338"/>
      <c r="H39" s="1338"/>
      <c r="I39" s="1338"/>
      <c r="J39" s="1338"/>
      <c r="K39" s="1338"/>
      <c r="L39" s="1338"/>
    </row>
    <row r="40" spans="2:20">
      <c r="B40" s="1338"/>
      <c r="C40" s="1338"/>
      <c r="D40" s="1338"/>
      <c r="E40" s="1338"/>
      <c r="F40" s="1338"/>
      <c r="G40" s="1338"/>
      <c r="H40" s="1338"/>
      <c r="I40" s="1338"/>
      <c r="J40" s="1338"/>
      <c r="K40" s="1338"/>
      <c r="L40" s="1338"/>
    </row>
  </sheetData>
  <mergeCells count="10">
    <mergeCell ref="B2:L2"/>
    <mergeCell ref="B3:B4"/>
    <mergeCell ref="C3:C4"/>
    <mergeCell ref="D3:D4"/>
    <mergeCell ref="E3:E4"/>
    <mergeCell ref="F3:H3"/>
    <mergeCell ref="I3:I4"/>
    <mergeCell ref="J3:J4"/>
    <mergeCell ref="K3:K4"/>
    <mergeCell ref="L3:L4"/>
  </mergeCells>
  <pageMargins left="0.51181102362204722" right="0.51181102362204722" top="0.78740157480314965" bottom="0.78740157480314965" header="0.31496062992125984" footer="0.31496062992125984"/>
  <pageSetup paperSize="9" scale="6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203C-7967-4FC8-A6F5-E38A6A331491}">
  <sheetPr>
    <tabColor rgb="FFFFC000"/>
  </sheetPr>
  <dimension ref="A1:W51"/>
  <sheetViews>
    <sheetView showGridLines="0" workbookViewId="0">
      <selection activeCell="B47" sqref="B47:D47"/>
    </sheetView>
  </sheetViews>
  <sheetFormatPr defaultColWidth="9.140625" defaultRowHeight="12.75"/>
  <cols>
    <col min="1" max="1" width="5.7109375" style="1204" customWidth="1"/>
    <col min="2" max="2" width="12.85546875" style="1204" customWidth="1"/>
    <col min="3" max="3" width="13.42578125" style="1204" customWidth="1"/>
    <col min="4" max="4" width="8.7109375" style="1204" customWidth="1"/>
    <col min="5" max="5" width="12.7109375" style="1204" customWidth="1"/>
    <col min="6" max="6" width="8.7109375" style="1204" customWidth="1"/>
    <col min="7" max="8" width="10.7109375" style="1204" customWidth="1"/>
    <col min="9" max="9" width="11.28515625" style="1204" customWidth="1"/>
    <col min="10" max="11" width="10.7109375" style="1204" hidden="1" customWidth="1"/>
    <col min="12" max="12" width="8.7109375" style="1204" hidden="1" customWidth="1"/>
    <col min="13" max="13" width="12.5703125" style="1204" hidden="1" customWidth="1"/>
    <col min="14" max="14" width="8.7109375" style="1204" hidden="1" customWidth="1"/>
    <col min="15" max="15" width="10.7109375" style="1204" hidden="1" customWidth="1"/>
    <col min="16" max="16" width="4.7109375" style="1204" hidden="1" customWidth="1"/>
    <col min="17" max="18" width="10.7109375" style="1204" hidden="1" customWidth="1"/>
    <col min="19" max="19" width="8.7109375" style="1204" hidden="1" customWidth="1"/>
    <col min="20" max="20" width="12.7109375" style="1204" hidden="1" customWidth="1"/>
    <col min="21" max="21" width="8.7109375" style="1204" hidden="1" customWidth="1"/>
    <col min="22" max="22" width="10.7109375" style="1204" hidden="1" customWidth="1"/>
    <col min="23" max="23" width="5.7109375" style="1204" customWidth="1"/>
    <col min="24" max="16384" width="9.140625" style="1204"/>
  </cols>
  <sheetData>
    <row r="1" spans="1:23" ht="12.75" customHeight="1">
      <c r="A1" s="1199"/>
      <c r="B1" s="1252"/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1252"/>
      <c r="O1" s="1252"/>
      <c r="P1" s="1252"/>
      <c r="Q1" s="1252"/>
      <c r="R1" s="1252"/>
      <c r="S1" s="1252"/>
      <c r="T1" s="1252"/>
      <c r="U1" s="1252"/>
      <c r="V1" s="1252"/>
      <c r="W1" s="1203"/>
    </row>
    <row r="2" spans="1:23" ht="12.75" customHeight="1">
      <c r="A2" s="1205"/>
      <c r="B2" s="2241" t="s">
        <v>306</v>
      </c>
      <c r="C2" s="2241"/>
      <c r="D2" s="2241"/>
      <c r="E2" s="2241"/>
      <c r="F2" s="2241"/>
      <c r="G2" s="2241"/>
      <c r="H2" s="1658"/>
      <c r="I2" s="1341"/>
      <c r="J2" s="1341"/>
      <c r="K2" s="1341"/>
      <c r="L2" s="1341"/>
      <c r="M2" s="1341"/>
      <c r="N2" s="1341"/>
      <c r="O2" s="1341"/>
      <c r="P2" s="1341"/>
      <c r="Q2" s="1341"/>
      <c r="R2" s="1341"/>
      <c r="S2" s="1341"/>
      <c r="T2" s="1341"/>
      <c r="U2" s="1341"/>
      <c r="V2" s="1341"/>
      <c r="W2" s="1206"/>
    </row>
    <row r="3" spans="1:23" ht="12.75" customHeight="1">
      <c r="A3" s="1205"/>
      <c r="B3" s="2241"/>
      <c r="C3" s="2241"/>
      <c r="D3" s="2241"/>
      <c r="E3" s="2241"/>
      <c r="F3" s="2241"/>
      <c r="G3" s="2241"/>
      <c r="H3" s="1658"/>
      <c r="I3" s="1341"/>
      <c r="J3" s="1341"/>
      <c r="K3" s="1341"/>
      <c r="L3" s="1341"/>
      <c r="M3" s="1341"/>
      <c r="N3" s="1341"/>
      <c r="O3" s="1341"/>
      <c r="P3" s="1341"/>
      <c r="Q3" s="1341"/>
      <c r="R3" s="1341"/>
      <c r="S3" s="1341"/>
      <c r="T3" s="1341"/>
      <c r="U3" s="1341"/>
      <c r="V3" s="1341"/>
      <c r="W3" s="1206"/>
    </row>
    <row r="4" spans="1:23" ht="12.75" customHeight="1">
      <c r="A4" s="1205"/>
      <c r="B4" s="1341"/>
      <c r="C4" s="1341"/>
      <c r="D4" s="1341"/>
      <c r="E4" s="1341"/>
      <c r="F4" s="1341"/>
      <c r="G4" s="1341"/>
      <c r="H4" s="1341"/>
      <c r="I4" s="1341"/>
      <c r="J4" s="1341"/>
      <c r="K4" s="1341"/>
      <c r="L4" s="1341"/>
      <c r="M4" s="1341"/>
      <c r="N4" s="1341"/>
      <c r="O4" s="1341"/>
      <c r="P4" s="1341"/>
      <c r="Q4" s="1341"/>
      <c r="R4" s="1341"/>
      <c r="S4" s="1341"/>
      <c r="T4" s="1341"/>
      <c r="U4" s="1341"/>
      <c r="V4" s="1341"/>
      <c r="W4" s="1206"/>
    </row>
    <row r="5" spans="1:23" ht="12.75" customHeight="1">
      <c r="A5" s="1205"/>
      <c r="B5" s="2242" t="s">
        <v>248</v>
      </c>
      <c r="C5" s="2242"/>
      <c r="D5" s="2243" t="s">
        <v>249</v>
      </c>
      <c r="E5" s="2244" t="s">
        <v>250</v>
      </c>
      <c r="F5" s="2244" t="s">
        <v>251</v>
      </c>
      <c r="G5" s="1693" t="s">
        <v>307</v>
      </c>
      <c r="H5" s="2250" t="s">
        <v>1523</v>
      </c>
      <c r="I5" s="2251"/>
      <c r="J5" s="2249" t="s">
        <v>248</v>
      </c>
      <c r="K5" s="2249"/>
      <c r="L5" s="2248" t="s">
        <v>249</v>
      </c>
      <c r="M5" s="2246" t="s">
        <v>250</v>
      </c>
      <c r="N5" s="2246" t="s">
        <v>251</v>
      </c>
      <c r="O5" s="1342" t="s">
        <v>307</v>
      </c>
      <c r="Q5" s="2249" t="s">
        <v>248</v>
      </c>
      <c r="R5" s="2249"/>
      <c r="S5" s="2248" t="s">
        <v>249</v>
      </c>
      <c r="T5" s="2246" t="s">
        <v>250</v>
      </c>
      <c r="U5" s="2246" t="s">
        <v>251</v>
      </c>
      <c r="V5" s="1342" t="s">
        <v>307</v>
      </c>
      <c r="W5" s="1206"/>
    </row>
    <row r="6" spans="1:23" ht="33.75" customHeight="1">
      <c r="A6" s="1205"/>
      <c r="B6" s="1695" t="s">
        <v>1536</v>
      </c>
      <c r="C6" s="1695" t="s">
        <v>1537</v>
      </c>
      <c r="D6" s="2243"/>
      <c r="E6" s="2245"/>
      <c r="F6" s="2245"/>
      <c r="G6" s="1694" t="s">
        <v>308</v>
      </c>
      <c r="H6" s="2252"/>
      <c r="I6" s="2253"/>
      <c r="J6" s="1343" t="s">
        <v>253</v>
      </c>
      <c r="K6" s="1343" t="s">
        <v>254</v>
      </c>
      <c r="L6" s="2248"/>
      <c r="M6" s="2247"/>
      <c r="N6" s="2247"/>
      <c r="O6" s="1344" t="s">
        <v>308</v>
      </c>
      <c r="Q6" s="1343" t="s">
        <v>253</v>
      </c>
      <c r="R6" s="1343" t="s">
        <v>254</v>
      </c>
      <c r="S6" s="2248"/>
      <c r="T6" s="2247"/>
      <c r="U6" s="2247"/>
      <c r="V6" s="1344" t="s">
        <v>308</v>
      </c>
      <c r="W6" s="1206"/>
    </row>
    <row r="7" spans="1:23" ht="12.75" customHeight="1">
      <c r="A7" s="1205"/>
      <c r="B7" s="2238" t="s">
        <v>309</v>
      </c>
      <c r="C7" s="2239"/>
      <c r="D7" s="2239"/>
      <c r="E7" s="2239"/>
      <c r="F7" s="2239"/>
      <c r="G7" s="2239"/>
      <c r="H7" s="2239"/>
      <c r="I7" s="2240"/>
      <c r="J7" s="1345"/>
      <c r="K7" s="1345"/>
      <c r="L7" s="1345"/>
      <c r="M7" s="1346"/>
      <c r="N7" s="1345"/>
      <c r="O7" s="1345"/>
      <c r="Q7" s="1345"/>
      <c r="R7" s="1345"/>
      <c r="S7" s="1345"/>
      <c r="T7" s="1346"/>
      <c r="U7" s="1345"/>
      <c r="V7" s="1345"/>
      <c r="W7" s="1206"/>
    </row>
    <row r="8" spans="1:23" ht="12.75" customHeight="1">
      <c r="A8" s="1205"/>
      <c r="B8" s="1347" t="s">
        <v>310</v>
      </c>
      <c r="C8" s="1347" t="s">
        <v>311</v>
      </c>
      <c r="D8" s="1347" t="s">
        <v>312</v>
      </c>
      <c r="E8" s="1348">
        <v>248</v>
      </c>
      <c r="F8" s="1347" t="s">
        <v>260</v>
      </c>
      <c r="G8" s="1347"/>
      <c r="H8" s="1347" t="s">
        <v>1524</v>
      </c>
      <c r="I8" s="1347">
        <v>1</v>
      </c>
      <c r="J8" s="1345"/>
      <c r="K8" s="1345"/>
      <c r="L8" s="1345"/>
      <c r="M8" s="1346"/>
      <c r="N8" s="1345"/>
      <c r="O8" s="1345"/>
      <c r="Q8" s="1345"/>
      <c r="R8" s="1345"/>
      <c r="S8" s="1345"/>
      <c r="T8" s="1346"/>
      <c r="U8" s="1345"/>
      <c r="V8" s="1345"/>
      <c r="W8" s="1206"/>
    </row>
    <row r="9" spans="1:23" ht="12.75" customHeight="1">
      <c r="A9" s="1205"/>
      <c r="B9" s="1347"/>
      <c r="C9" s="1347"/>
      <c r="D9" s="1347"/>
      <c r="E9" s="1348"/>
      <c r="F9" s="1347"/>
      <c r="G9" s="1347"/>
      <c r="H9" s="1347"/>
      <c r="I9" s="1347"/>
      <c r="J9" s="1347"/>
      <c r="K9" s="1347"/>
      <c r="L9" s="1347"/>
      <c r="M9" s="1347"/>
      <c r="N9" s="1347"/>
      <c r="O9" s="1347"/>
      <c r="P9" s="1347"/>
      <c r="Q9" s="1347"/>
      <c r="R9" s="1347"/>
      <c r="S9" s="1347"/>
      <c r="T9" s="1347"/>
      <c r="U9" s="1347"/>
      <c r="V9" s="1347"/>
      <c r="W9" s="1206"/>
    </row>
    <row r="10" spans="1:23" ht="12.75" customHeight="1">
      <c r="A10" s="1205"/>
      <c r="B10" s="1347"/>
      <c r="C10" s="1347"/>
      <c r="D10" s="1347"/>
      <c r="E10" s="1348"/>
      <c r="F10" s="1347"/>
      <c r="G10" s="1347"/>
      <c r="H10" s="1347"/>
      <c r="I10" s="1347"/>
      <c r="J10" s="1347"/>
      <c r="K10" s="1347"/>
      <c r="L10" s="1347"/>
      <c r="M10" s="1347"/>
      <c r="N10" s="1347"/>
      <c r="O10" s="1347"/>
      <c r="P10" s="1347"/>
      <c r="Q10" s="1347"/>
      <c r="R10" s="1347"/>
      <c r="S10" s="1347"/>
      <c r="T10" s="1347"/>
      <c r="U10" s="1347"/>
      <c r="V10" s="1347"/>
      <c r="W10" s="1206"/>
    </row>
    <row r="11" spans="1:23" ht="12.75" customHeight="1">
      <c r="A11" s="1205"/>
      <c r="B11" s="1347"/>
      <c r="C11" s="1347"/>
      <c r="D11" s="1347"/>
      <c r="E11" s="1348"/>
      <c r="F11" s="1347"/>
      <c r="G11" s="1347"/>
      <c r="H11" s="1347"/>
      <c r="I11" s="1347"/>
      <c r="J11" s="1347"/>
      <c r="K11" s="1347"/>
      <c r="L11" s="1347"/>
      <c r="M11" s="1347"/>
      <c r="N11" s="1347"/>
      <c r="O11" s="1347"/>
      <c r="P11" s="1347"/>
      <c r="Q11" s="1347"/>
      <c r="R11" s="1347"/>
      <c r="S11" s="1347"/>
      <c r="T11" s="1347"/>
      <c r="U11" s="1347"/>
      <c r="V11" s="1347"/>
      <c r="W11" s="1206"/>
    </row>
    <row r="12" spans="1:23" ht="12.75" customHeight="1">
      <c r="A12" s="1205"/>
      <c r="B12" s="1347"/>
      <c r="C12" s="1347"/>
      <c r="D12" s="1347"/>
      <c r="E12" s="1348"/>
      <c r="F12" s="1347"/>
      <c r="G12" s="1347"/>
      <c r="H12" s="1347"/>
      <c r="I12" s="1347"/>
      <c r="J12" s="1347"/>
      <c r="K12" s="1347"/>
      <c r="L12" s="1347"/>
      <c r="M12" s="1347"/>
      <c r="N12" s="1347"/>
      <c r="O12" s="1347"/>
      <c r="P12" s="1347"/>
      <c r="Q12" s="1347"/>
      <c r="R12" s="1347"/>
      <c r="S12" s="1347"/>
      <c r="T12" s="1347"/>
      <c r="U12" s="1347"/>
      <c r="V12" s="1347"/>
      <c r="W12" s="1206"/>
    </row>
    <row r="13" spans="1:23" ht="12.75" customHeight="1">
      <c r="A13" s="1205"/>
      <c r="B13" s="1347"/>
      <c r="C13" s="1347"/>
      <c r="D13" s="1347"/>
      <c r="E13" s="1348"/>
      <c r="F13" s="1347"/>
      <c r="G13" s="1347"/>
      <c r="H13" s="1347"/>
      <c r="I13" s="1347"/>
      <c r="J13" s="1347"/>
      <c r="K13" s="1347"/>
      <c r="L13" s="1347"/>
      <c r="M13" s="1347"/>
      <c r="N13" s="1347"/>
      <c r="O13" s="1347"/>
      <c r="P13" s="1347"/>
      <c r="Q13" s="1347"/>
      <c r="R13" s="1347"/>
      <c r="S13" s="1347"/>
      <c r="T13" s="1347"/>
      <c r="U13" s="1347"/>
      <c r="V13" s="1347"/>
      <c r="W13" s="1206"/>
    </row>
    <row r="14" spans="1:23" ht="12.75" customHeight="1">
      <c r="A14" s="1205"/>
      <c r="B14" s="1347"/>
      <c r="C14" s="1347"/>
      <c r="D14" s="1347"/>
      <c r="E14" s="1348"/>
      <c r="F14" s="1347"/>
      <c r="G14" s="1347"/>
      <c r="H14" s="1347"/>
      <c r="I14" s="1347"/>
      <c r="J14" s="1347"/>
      <c r="K14" s="1347"/>
      <c r="L14" s="1347"/>
      <c r="M14" s="1347"/>
      <c r="N14" s="1347"/>
      <c r="O14" s="1347"/>
      <c r="P14" s="1347"/>
      <c r="Q14" s="1347"/>
      <c r="R14" s="1347"/>
      <c r="S14" s="1347"/>
      <c r="T14" s="1347"/>
      <c r="U14" s="1347"/>
      <c r="V14" s="1347"/>
      <c r="W14" s="1206"/>
    </row>
    <row r="15" spans="1:23" ht="12.75" hidden="1" customHeight="1">
      <c r="A15" s="1205"/>
      <c r="B15" s="1347"/>
      <c r="C15" s="1347"/>
      <c r="D15" s="1347"/>
      <c r="E15" s="1348"/>
      <c r="F15" s="1347"/>
      <c r="G15" s="1347"/>
      <c r="H15" s="1347"/>
      <c r="I15" s="1347"/>
      <c r="J15" s="1347"/>
      <c r="K15" s="1347"/>
      <c r="L15" s="1347"/>
      <c r="M15" s="1347"/>
      <c r="N15" s="1347"/>
      <c r="O15" s="1347"/>
      <c r="P15" s="1347"/>
      <c r="Q15" s="1347"/>
      <c r="R15" s="1347"/>
      <c r="S15" s="1347"/>
      <c r="T15" s="1347"/>
      <c r="U15" s="1347"/>
      <c r="V15" s="1347"/>
      <c r="W15" s="1206"/>
    </row>
    <row r="16" spans="1:23" ht="6" hidden="1" customHeight="1">
      <c r="A16" s="1205"/>
      <c r="B16" s="1347"/>
      <c r="C16" s="1347"/>
      <c r="D16" s="1347"/>
      <c r="E16" s="1348"/>
      <c r="F16" s="1347"/>
      <c r="G16" s="1347"/>
      <c r="H16" s="1347"/>
      <c r="I16" s="1347"/>
      <c r="J16" s="1347"/>
      <c r="K16" s="1347"/>
      <c r="L16" s="1347"/>
      <c r="M16" s="1347"/>
      <c r="N16" s="1347"/>
      <c r="O16" s="1347"/>
      <c r="P16" s="1347"/>
      <c r="Q16" s="1347"/>
      <c r="R16" s="1347"/>
      <c r="S16" s="1347"/>
      <c r="T16" s="1347"/>
      <c r="U16" s="1347"/>
      <c r="V16" s="1347"/>
      <c r="W16" s="1206"/>
    </row>
    <row r="17" spans="1:23" ht="12.75" hidden="1" customHeight="1">
      <c r="A17" s="1205"/>
      <c r="B17" s="1347"/>
      <c r="C17" s="1347"/>
      <c r="D17" s="1347"/>
      <c r="E17" s="1348"/>
      <c r="F17" s="1347"/>
      <c r="G17" s="1347"/>
      <c r="H17" s="1347"/>
      <c r="I17" s="1347"/>
      <c r="J17" s="1347"/>
      <c r="K17" s="1347"/>
      <c r="L17" s="1347"/>
      <c r="M17" s="1347"/>
      <c r="N17" s="1347"/>
      <c r="O17" s="1347"/>
      <c r="P17" s="1347"/>
      <c r="Q17" s="1347"/>
      <c r="R17" s="1347"/>
      <c r="S17" s="1347"/>
      <c r="T17" s="1347"/>
      <c r="U17" s="1347"/>
      <c r="V17" s="1347"/>
      <c r="W17" s="1206"/>
    </row>
    <row r="18" spans="1:23" ht="12.75" hidden="1" customHeight="1">
      <c r="A18" s="1205"/>
      <c r="B18" s="1347"/>
      <c r="C18" s="1347"/>
      <c r="D18" s="1347"/>
      <c r="E18" s="1348"/>
      <c r="F18" s="1347"/>
      <c r="G18" s="1347"/>
      <c r="H18" s="1347"/>
      <c r="I18" s="1347"/>
      <c r="J18" s="1347"/>
      <c r="K18" s="1347"/>
      <c r="L18" s="1347"/>
      <c r="M18" s="1347"/>
      <c r="N18" s="1347"/>
      <c r="O18" s="1347"/>
      <c r="P18" s="1347"/>
      <c r="Q18" s="1347"/>
      <c r="R18" s="1347"/>
      <c r="S18" s="1347"/>
      <c r="T18" s="1347"/>
      <c r="U18" s="1347"/>
      <c r="V18" s="1347"/>
      <c r="W18" s="1206"/>
    </row>
    <row r="19" spans="1:23" ht="12.75" hidden="1" customHeight="1">
      <c r="A19" s="1205"/>
      <c r="B19" s="1347" t="s">
        <v>67</v>
      </c>
      <c r="C19" s="1347" t="s">
        <v>67</v>
      </c>
      <c r="D19" s="1347" t="s">
        <v>67</v>
      </c>
      <c r="E19" s="1348" t="s">
        <v>67</v>
      </c>
      <c r="F19" s="1347" t="s">
        <v>67</v>
      </c>
      <c r="G19" s="1347" t="s">
        <v>67</v>
      </c>
      <c r="H19" s="1347" t="s">
        <v>67</v>
      </c>
      <c r="I19" s="1347" t="s">
        <v>67</v>
      </c>
      <c r="J19" s="1347" t="s">
        <v>67</v>
      </c>
      <c r="K19" s="1347" t="s">
        <v>67</v>
      </c>
      <c r="L19" s="1347" t="s">
        <v>67</v>
      </c>
      <c r="M19" s="1347" t="s">
        <v>67</v>
      </c>
      <c r="N19" s="1347" t="s">
        <v>67</v>
      </c>
      <c r="O19" s="1347" t="s">
        <v>67</v>
      </c>
      <c r="P19" s="1347" t="s">
        <v>67</v>
      </c>
      <c r="Q19" s="1347" t="s">
        <v>67</v>
      </c>
      <c r="R19" s="1347" t="s">
        <v>67</v>
      </c>
      <c r="S19" s="1347" t="s">
        <v>67</v>
      </c>
      <c r="T19" s="1347" t="s">
        <v>67</v>
      </c>
      <c r="U19" s="1347" t="s">
        <v>67</v>
      </c>
      <c r="V19" s="1347" t="s">
        <v>67</v>
      </c>
      <c r="W19" s="1206"/>
    </row>
    <row r="20" spans="1:23" ht="12.75" hidden="1" customHeight="1">
      <c r="A20" s="1205"/>
      <c r="B20" s="1347" t="s">
        <v>67</v>
      </c>
      <c r="C20" s="1347" t="s">
        <v>67</v>
      </c>
      <c r="D20" s="1347" t="s">
        <v>67</v>
      </c>
      <c r="E20" s="1348" t="s">
        <v>67</v>
      </c>
      <c r="F20" s="1347" t="s">
        <v>67</v>
      </c>
      <c r="G20" s="1347" t="s">
        <v>67</v>
      </c>
      <c r="H20" s="1347" t="s">
        <v>67</v>
      </c>
      <c r="I20" s="1347" t="s">
        <v>67</v>
      </c>
      <c r="J20" s="1347" t="s">
        <v>67</v>
      </c>
      <c r="K20" s="1347" t="s">
        <v>67</v>
      </c>
      <c r="L20" s="1347" t="s">
        <v>67</v>
      </c>
      <c r="M20" s="1347" t="s">
        <v>67</v>
      </c>
      <c r="N20" s="1347" t="s">
        <v>67</v>
      </c>
      <c r="O20" s="1347" t="s">
        <v>67</v>
      </c>
      <c r="P20" s="1347" t="s">
        <v>67</v>
      </c>
      <c r="Q20" s="1347" t="s">
        <v>67</v>
      </c>
      <c r="R20" s="1347" t="s">
        <v>67</v>
      </c>
      <c r="S20" s="1347" t="s">
        <v>67</v>
      </c>
      <c r="T20" s="1347" t="s">
        <v>67</v>
      </c>
      <c r="U20" s="1347" t="s">
        <v>67</v>
      </c>
      <c r="V20" s="1347" t="s">
        <v>67</v>
      </c>
      <c r="W20" s="1206"/>
    </row>
    <row r="21" spans="1:23" ht="12.75" hidden="1" customHeight="1">
      <c r="A21" s="1205"/>
      <c r="B21" s="1347" t="s">
        <v>67</v>
      </c>
      <c r="C21" s="1347" t="s">
        <v>67</v>
      </c>
      <c r="D21" s="1347" t="s">
        <v>67</v>
      </c>
      <c r="E21" s="1348" t="s">
        <v>67</v>
      </c>
      <c r="F21" s="1347" t="s">
        <v>67</v>
      </c>
      <c r="G21" s="1347" t="s">
        <v>67</v>
      </c>
      <c r="H21" s="1347" t="s">
        <v>67</v>
      </c>
      <c r="I21" s="1347" t="s">
        <v>67</v>
      </c>
      <c r="J21" s="1347" t="s">
        <v>67</v>
      </c>
      <c r="K21" s="1347" t="s">
        <v>67</v>
      </c>
      <c r="L21" s="1347" t="s">
        <v>67</v>
      </c>
      <c r="M21" s="1347" t="s">
        <v>67</v>
      </c>
      <c r="N21" s="1347" t="s">
        <v>67</v>
      </c>
      <c r="O21" s="1347" t="s">
        <v>67</v>
      </c>
      <c r="P21" s="1347" t="s">
        <v>67</v>
      </c>
      <c r="Q21" s="1347" t="s">
        <v>67</v>
      </c>
      <c r="R21" s="1347" t="s">
        <v>67</v>
      </c>
      <c r="S21" s="1347" t="s">
        <v>67</v>
      </c>
      <c r="T21" s="1347" t="s">
        <v>67</v>
      </c>
      <c r="U21" s="1347" t="s">
        <v>67</v>
      </c>
      <c r="V21" s="1347" t="s">
        <v>67</v>
      </c>
      <c r="W21" s="1206"/>
    </row>
    <row r="22" spans="1:23" ht="12.75" hidden="1" customHeight="1">
      <c r="A22" s="1205"/>
      <c r="B22" s="1347" t="s">
        <v>67</v>
      </c>
      <c r="C22" s="1347" t="s">
        <v>67</v>
      </c>
      <c r="D22" s="1347" t="s">
        <v>67</v>
      </c>
      <c r="E22" s="1348" t="s">
        <v>67</v>
      </c>
      <c r="F22" s="1347" t="s">
        <v>67</v>
      </c>
      <c r="G22" s="1347" t="s">
        <v>67</v>
      </c>
      <c r="H22" s="1347" t="s">
        <v>67</v>
      </c>
      <c r="I22" s="1347" t="s">
        <v>67</v>
      </c>
      <c r="J22" s="1347" t="s">
        <v>67</v>
      </c>
      <c r="K22" s="1347" t="s">
        <v>67</v>
      </c>
      <c r="L22" s="1347" t="s">
        <v>67</v>
      </c>
      <c r="M22" s="1347" t="s">
        <v>67</v>
      </c>
      <c r="N22" s="1347" t="s">
        <v>67</v>
      </c>
      <c r="O22" s="1347" t="s">
        <v>67</v>
      </c>
      <c r="P22" s="1347" t="s">
        <v>67</v>
      </c>
      <c r="Q22" s="1347" t="s">
        <v>67</v>
      </c>
      <c r="R22" s="1347" t="s">
        <v>67</v>
      </c>
      <c r="S22" s="1347" t="s">
        <v>67</v>
      </c>
      <c r="T22" s="1347" t="s">
        <v>67</v>
      </c>
      <c r="U22" s="1347" t="s">
        <v>67</v>
      </c>
      <c r="V22" s="1347" t="s">
        <v>67</v>
      </c>
      <c r="W22" s="1206"/>
    </row>
    <row r="23" spans="1:23" ht="12.75" hidden="1" customHeight="1">
      <c r="A23" s="1205"/>
      <c r="B23" s="1347" t="s">
        <v>67</v>
      </c>
      <c r="C23" s="1347" t="s">
        <v>67</v>
      </c>
      <c r="D23" s="1347" t="s">
        <v>67</v>
      </c>
      <c r="E23" s="1348" t="s">
        <v>67</v>
      </c>
      <c r="F23" s="1347" t="s">
        <v>67</v>
      </c>
      <c r="G23" s="1347" t="s">
        <v>67</v>
      </c>
      <c r="H23" s="1347" t="s">
        <v>67</v>
      </c>
      <c r="I23" s="1347" t="s">
        <v>67</v>
      </c>
      <c r="J23" s="1347" t="s">
        <v>67</v>
      </c>
      <c r="K23" s="1347" t="s">
        <v>67</v>
      </c>
      <c r="L23" s="1347" t="s">
        <v>67</v>
      </c>
      <c r="M23" s="1347" t="s">
        <v>67</v>
      </c>
      <c r="N23" s="1347" t="s">
        <v>67</v>
      </c>
      <c r="O23" s="1347" t="s">
        <v>67</v>
      </c>
      <c r="P23" s="1347" t="s">
        <v>67</v>
      </c>
      <c r="Q23" s="1347" t="s">
        <v>67</v>
      </c>
      <c r="R23" s="1347" t="s">
        <v>67</v>
      </c>
      <c r="S23" s="1347" t="s">
        <v>67</v>
      </c>
      <c r="T23" s="1347" t="s">
        <v>67</v>
      </c>
      <c r="U23" s="1347" t="s">
        <v>67</v>
      </c>
      <c r="V23" s="1347" t="s">
        <v>67</v>
      </c>
      <c r="W23" s="1206"/>
    </row>
    <row r="24" spans="1:23" ht="12.75" hidden="1" customHeight="1">
      <c r="A24" s="1205"/>
      <c r="B24" s="1347" t="s">
        <v>67</v>
      </c>
      <c r="C24" s="1347" t="s">
        <v>67</v>
      </c>
      <c r="D24" s="1347" t="s">
        <v>67</v>
      </c>
      <c r="E24" s="1348" t="s">
        <v>67</v>
      </c>
      <c r="F24" s="1347" t="s">
        <v>67</v>
      </c>
      <c r="G24" s="1347" t="s">
        <v>67</v>
      </c>
      <c r="H24" s="1347" t="s">
        <v>67</v>
      </c>
      <c r="I24" s="1347" t="s">
        <v>67</v>
      </c>
      <c r="J24" s="1347" t="s">
        <v>67</v>
      </c>
      <c r="K24" s="1347" t="s">
        <v>67</v>
      </c>
      <c r="L24" s="1347" t="s">
        <v>67</v>
      </c>
      <c r="M24" s="1347" t="s">
        <v>67</v>
      </c>
      <c r="N24" s="1347" t="s">
        <v>67</v>
      </c>
      <c r="O24" s="1347" t="s">
        <v>67</v>
      </c>
      <c r="P24" s="1347" t="s">
        <v>67</v>
      </c>
      <c r="Q24" s="1347" t="s">
        <v>67</v>
      </c>
      <c r="R24" s="1347" t="s">
        <v>67</v>
      </c>
      <c r="S24" s="1347" t="s">
        <v>67</v>
      </c>
      <c r="T24" s="1347" t="s">
        <v>67</v>
      </c>
      <c r="U24" s="1347" t="s">
        <v>67</v>
      </c>
      <c r="V24" s="1347" t="s">
        <v>67</v>
      </c>
      <c r="W24" s="1206"/>
    </row>
    <row r="25" spans="1:23" ht="12.75" hidden="1" customHeight="1">
      <c r="A25" s="1205"/>
      <c r="B25" s="1347" t="s">
        <v>67</v>
      </c>
      <c r="C25" s="1347" t="s">
        <v>67</v>
      </c>
      <c r="D25" s="1347" t="s">
        <v>67</v>
      </c>
      <c r="E25" s="1348" t="s">
        <v>67</v>
      </c>
      <c r="F25" s="1347" t="s">
        <v>67</v>
      </c>
      <c r="G25" s="1347" t="s">
        <v>67</v>
      </c>
      <c r="H25" s="1347" t="s">
        <v>67</v>
      </c>
      <c r="I25" s="1347" t="s">
        <v>67</v>
      </c>
      <c r="J25" s="1347" t="s">
        <v>67</v>
      </c>
      <c r="K25" s="1347" t="s">
        <v>67</v>
      </c>
      <c r="L25" s="1347" t="s">
        <v>67</v>
      </c>
      <c r="M25" s="1347" t="s">
        <v>67</v>
      </c>
      <c r="N25" s="1347" t="s">
        <v>67</v>
      </c>
      <c r="O25" s="1347" t="s">
        <v>67</v>
      </c>
      <c r="P25" s="1347" t="s">
        <v>67</v>
      </c>
      <c r="Q25" s="1347" t="s">
        <v>67</v>
      </c>
      <c r="R25" s="1347" t="s">
        <v>67</v>
      </c>
      <c r="S25" s="1347" t="s">
        <v>67</v>
      </c>
      <c r="T25" s="1347" t="s">
        <v>67</v>
      </c>
      <c r="U25" s="1347" t="s">
        <v>67</v>
      </c>
      <c r="V25" s="1347" t="s">
        <v>67</v>
      </c>
      <c r="W25" s="1206"/>
    </row>
    <row r="26" spans="1:23" ht="12.75" customHeight="1">
      <c r="A26" s="1205"/>
      <c r="B26" s="1347" t="s">
        <v>67</v>
      </c>
      <c r="C26" s="1347" t="s">
        <v>67</v>
      </c>
      <c r="D26" s="1347" t="s">
        <v>67</v>
      </c>
      <c r="E26" s="1348" t="s">
        <v>67</v>
      </c>
      <c r="F26" s="1347" t="s">
        <v>67</v>
      </c>
      <c r="G26" s="1347" t="s">
        <v>67</v>
      </c>
      <c r="H26" s="1347" t="s">
        <v>67</v>
      </c>
      <c r="I26" s="1347" t="s">
        <v>67</v>
      </c>
      <c r="J26" s="1347" t="s">
        <v>67</v>
      </c>
      <c r="K26" s="1347" t="s">
        <v>67</v>
      </c>
      <c r="L26" s="1347" t="s">
        <v>67</v>
      </c>
      <c r="M26" s="1347" t="s">
        <v>67</v>
      </c>
      <c r="N26" s="1347" t="s">
        <v>67</v>
      </c>
      <c r="O26" s="1347" t="s">
        <v>67</v>
      </c>
      <c r="P26" s="1347" t="s">
        <v>67</v>
      </c>
      <c r="Q26" s="1347" t="s">
        <v>67</v>
      </c>
      <c r="R26" s="1347" t="s">
        <v>67</v>
      </c>
      <c r="S26" s="1347" t="s">
        <v>67</v>
      </c>
      <c r="T26" s="1347" t="s">
        <v>67</v>
      </c>
      <c r="U26" s="1347" t="s">
        <v>67</v>
      </c>
      <c r="V26" s="1347" t="s">
        <v>67</v>
      </c>
      <c r="W26" s="1206"/>
    </row>
    <row r="27" spans="1:23" ht="12.75" customHeight="1">
      <c r="A27" s="1205"/>
      <c r="B27" s="1347" t="s">
        <v>67</v>
      </c>
      <c r="C27" s="1347" t="s">
        <v>67</v>
      </c>
      <c r="D27" s="1347" t="s">
        <v>67</v>
      </c>
      <c r="E27" s="1348" t="s">
        <v>67</v>
      </c>
      <c r="F27" s="1347" t="s">
        <v>67</v>
      </c>
      <c r="G27" s="1347" t="s">
        <v>67</v>
      </c>
      <c r="H27" s="1347" t="s">
        <v>67</v>
      </c>
      <c r="I27" s="1347" t="s">
        <v>67</v>
      </c>
      <c r="J27" s="1347" t="s">
        <v>67</v>
      </c>
      <c r="K27" s="1347" t="s">
        <v>67</v>
      </c>
      <c r="L27" s="1347" t="s">
        <v>67</v>
      </c>
      <c r="M27" s="1347" t="s">
        <v>67</v>
      </c>
      <c r="N27" s="1347" t="s">
        <v>67</v>
      </c>
      <c r="O27" s="1347" t="s">
        <v>67</v>
      </c>
      <c r="P27" s="1347" t="s">
        <v>67</v>
      </c>
      <c r="Q27" s="1347" t="s">
        <v>67</v>
      </c>
      <c r="R27" s="1347" t="s">
        <v>67</v>
      </c>
      <c r="S27" s="1347" t="s">
        <v>67</v>
      </c>
      <c r="T27" s="1347" t="s">
        <v>67</v>
      </c>
      <c r="U27" s="1347" t="s">
        <v>67</v>
      </c>
      <c r="V27" s="1347" t="s">
        <v>67</v>
      </c>
      <c r="W27" s="1206"/>
    </row>
    <row r="28" spans="1:23" ht="12.75" customHeight="1">
      <c r="A28" s="1205"/>
      <c r="B28" s="1347" t="s">
        <v>67</v>
      </c>
      <c r="C28" s="1347" t="s">
        <v>67</v>
      </c>
      <c r="D28" s="1347" t="s">
        <v>67</v>
      </c>
      <c r="E28" s="1348" t="s">
        <v>67</v>
      </c>
      <c r="F28" s="1347" t="s">
        <v>67</v>
      </c>
      <c r="G28" s="1347" t="s">
        <v>67</v>
      </c>
      <c r="H28" s="1347" t="s">
        <v>67</v>
      </c>
      <c r="I28" s="1347" t="s">
        <v>67</v>
      </c>
      <c r="J28" s="1347" t="s">
        <v>67</v>
      </c>
      <c r="K28" s="1347" t="s">
        <v>67</v>
      </c>
      <c r="L28" s="1347" t="s">
        <v>67</v>
      </c>
      <c r="M28" s="1347" t="s">
        <v>67</v>
      </c>
      <c r="N28" s="1347" t="s">
        <v>67</v>
      </c>
      <c r="O28" s="1347" t="s">
        <v>67</v>
      </c>
      <c r="P28" s="1347" t="s">
        <v>67</v>
      </c>
      <c r="Q28" s="1347" t="s">
        <v>67</v>
      </c>
      <c r="R28" s="1347" t="s">
        <v>67</v>
      </c>
      <c r="S28" s="1347" t="s">
        <v>67</v>
      </c>
      <c r="T28" s="1347" t="s">
        <v>67</v>
      </c>
      <c r="U28" s="1347" t="s">
        <v>67</v>
      </c>
      <c r="V28" s="1347" t="s">
        <v>67</v>
      </c>
      <c r="W28" s="1206"/>
    </row>
    <row r="29" spans="1:23" ht="12.75" customHeight="1">
      <c r="A29" s="1205"/>
      <c r="B29" s="1347" t="s">
        <v>67</v>
      </c>
      <c r="C29" s="1347" t="s">
        <v>67</v>
      </c>
      <c r="D29" s="1347" t="s">
        <v>67</v>
      </c>
      <c r="E29" s="1348" t="s">
        <v>67</v>
      </c>
      <c r="F29" s="1347" t="s">
        <v>67</v>
      </c>
      <c r="G29" s="1347" t="s">
        <v>67</v>
      </c>
      <c r="H29" s="1347" t="s">
        <v>67</v>
      </c>
      <c r="I29" s="1347" t="s">
        <v>67</v>
      </c>
      <c r="J29" s="1347" t="s">
        <v>67</v>
      </c>
      <c r="K29" s="1347" t="s">
        <v>67</v>
      </c>
      <c r="L29" s="1347" t="s">
        <v>67</v>
      </c>
      <c r="M29" s="1347" t="s">
        <v>67</v>
      </c>
      <c r="N29" s="1347" t="s">
        <v>67</v>
      </c>
      <c r="O29" s="1347" t="s">
        <v>67</v>
      </c>
      <c r="P29" s="1347" t="s">
        <v>67</v>
      </c>
      <c r="Q29" s="1347" t="s">
        <v>67</v>
      </c>
      <c r="R29" s="1347" t="s">
        <v>67</v>
      </c>
      <c r="S29" s="1347" t="s">
        <v>67</v>
      </c>
      <c r="T29" s="1347" t="s">
        <v>67</v>
      </c>
      <c r="U29" s="1347" t="s">
        <v>67</v>
      </c>
      <c r="V29" s="1347" t="s">
        <v>67</v>
      </c>
      <c r="W29" s="1206"/>
    </row>
    <row r="30" spans="1:23" ht="12.75" customHeight="1">
      <c r="A30" s="1205"/>
      <c r="B30" s="1347" t="s">
        <v>67</v>
      </c>
      <c r="C30" s="1347" t="s">
        <v>67</v>
      </c>
      <c r="D30" s="1347" t="s">
        <v>67</v>
      </c>
      <c r="E30" s="1348" t="s">
        <v>67</v>
      </c>
      <c r="F30" s="1347" t="s">
        <v>67</v>
      </c>
      <c r="G30" s="1347" t="s">
        <v>67</v>
      </c>
      <c r="H30" s="1347" t="s">
        <v>67</v>
      </c>
      <c r="I30" s="1347" t="s">
        <v>67</v>
      </c>
      <c r="J30" s="1347" t="s">
        <v>67</v>
      </c>
      <c r="K30" s="1347" t="s">
        <v>67</v>
      </c>
      <c r="L30" s="1347" t="s">
        <v>67</v>
      </c>
      <c r="M30" s="1347" t="s">
        <v>67</v>
      </c>
      <c r="N30" s="1347" t="s">
        <v>67</v>
      </c>
      <c r="O30" s="1347" t="s">
        <v>67</v>
      </c>
      <c r="P30" s="1347" t="s">
        <v>67</v>
      </c>
      <c r="Q30" s="1347" t="s">
        <v>67</v>
      </c>
      <c r="R30" s="1347" t="s">
        <v>67</v>
      </c>
      <c r="S30" s="1347" t="s">
        <v>67</v>
      </c>
      <c r="T30" s="1347" t="s">
        <v>67</v>
      </c>
      <c r="U30" s="1347" t="s">
        <v>67</v>
      </c>
      <c r="V30" s="1347" t="s">
        <v>67</v>
      </c>
      <c r="W30" s="1206"/>
    </row>
    <row r="31" spans="1:23" ht="12.75" customHeight="1">
      <c r="A31" s="1205"/>
      <c r="B31" s="1347" t="s">
        <v>67</v>
      </c>
      <c r="C31" s="1347" t="s">
        <v>67</v>
      </c>
      <c r="D31" s="1347" t="s">
        <v>67</v>
      </c>
      <c r="E31" s="1348" t="s">
        <v>67</v>
      </c>
      <c r="F31" s="1347" t="s">
        <v>67</v>
      </c>
      <c r="G31" s="1347" t="s">
        <v>67</v>
      </c>
      <c r="H31" s="1347" t="s">
        <v>67</v>
      </c>
      <c r="I31" s="1347" t="s">
        <v>67</v>
      </c>
      <c r="J31" s="1347" t="s">
        <v>67</v>
      </c>
      <c r="K31" s="1347" t="s">
        <v>67</v>
      </c>
      <c r="L31" s="1347" t="s">
        <v>67</v>
      </c>
      <c r="M31" s="1347" t="s">
        <v>67</v>
      </c>
      <c r="N31" s="1347" t="s">
        <v>67</v>
      </c>
      <c r="O31" s="1347" t="s">
        <v>67</v>
      </c>
      <c r="P31" s="1347" t="s">
        <v>67</v>
      </c>
      <c r="Q31" s="1347" t="s">
        <v>67</v>
      </c>
      <c r="R31" s="1347" t="s">
        <v>67</v>
      </c>
      <c r="S31" s="1347" t="s">
        <v>67</v>
      </c>
      <c r="T31" s="1347" t="s">
        <v>67</v>
      </c>
      <c r="U31" s="1347" t="s">
        <v>67</v>
      </c>
      <c r="V31" s="1347" t="s">
        <v>67</v>
      </c>
      <c r="W31" s="1206"/>
    </row>
    <row r="32" spans="1:23" ht="12.75" customHeight="1">
      <c r="A32" s="1205"/>
      <c r="B32" s="1347" t="s">
        <v>67</v>
      </c>
      <c r="C32" s="1347" t="s">
        <v>67</v>
      </c>
      <c r="D32" s="1347" t="s">
        <v>67</v>
      </c>
      <c r="E32" s="1348" t="s">
        <v>67</v>
      </c>
      <c r="F32" s="1347" t="s">
        <v>67</v>
      </c>
      <c r="G32" s="1347" t="s">
        <v>67</v>
      </c>
      <c r="H32" s="1347" t="s">
        <v>67</v>
      </c>
      <c r="I32" s="1347" t="s">
        <v>67</v>
      </c>
      <c r="J32" s="1347" t="s">
        <v>67</v>
      </c>
      <c r="K32" s="1347" t="s">
        <v>67</v>
      </c>
      <c r="L32" s="1347" t="s">
        <v>67</v>
      </c>
      <c r="M32" s="1347" t="s">
        <v>67</v>
      </c>
      <c r="N32" s="1347" t="s">
        <v>67</v>
      </c>
      <c r="O32" s="1347" t="s">
        <v>67</v>
      </c>
      <c r="P32" s="1347" t="s">
        <v>67</v>
      </c>
      <c r="Q32" s="1347" t="s">
        <v>67</v>
      </c>
      <c r="R32" s="1347" t="s">
        <v>67</v>
      </c>
      <c r="S32" s="1347" t="s">
        <v>67</v>
      </c>
      <c r="T32" s="1347" t="s">
        <v>67</v>
      </c>
      <c r="U32" s="1347" t="s">
        <v>67</v>
      </c>
      <c r="V32" s="1347" t="s">
        <v>67</v>
      </c>
      <c r="W32" s="1206"/>
    </row>
    <row r="33" spans="1:23" ht="12.75" customHeight="1">
      <c r="A33" s="1205"/>
      <c r="B33" s="1347" t="s">
        <v>67</v>
      </c>
      <c r="C33" s="1347" t="s">
        <v>67</v>
      </c>
      <c r="D33" s="1347" t="s">
        <v>67</v>
      </c>
      <c r="E33" s="1348" t="s">
        <v>67</v>
      </c>
      <c r="F33" s="1347" t="s">
        <v>67</v>
      </c>
      <c r="G33" s="1347" t="s">
        <v>67</v>
      </c>
      <c r="H33" s="1347" t="s">
        <v>67</v>
      </c>
      <c r="I33" s="1347" t="s">
        <v>67</v>
      </c>
      <c r="J33" s="1347" t="s">
        <v>67</v>
      </c>
      <c r="K33" s="1347" t="s">
        <v>67</v>
      </c>
      <c r="L33" s="1347" t="s">
        <v>67</v>
      </c>
      <c r="M33" s="1347" t="s">
        <v>67</v>
      </c>
      <c r="N33" s="1347" t="s">
        <v>67</v>
      </c>
      <c r="O33" s="1347" t="s">
        <v>67</v>
      </c>
      <c r="P33" s="1347" t="s">
        <v>67</v>
      </c>
      <c r="Q33" s="1347" t="s">
        <v>67</v>
      </c>
      <c r="R33" s="1347" t="s">
        <v>67</v>
      </c>
      <c r="S33" s="1347" t="s">
        <v>67</v>
      </c>
      <c r="T33" s="1347" t="s">
        <v>67</v>
      </c>
      <c r="U33" s="1347" t="s">
        <v>67</v>
      </c>
      <c r="V33" s="1347" t="s">
        <v>67</v>
      </c>
      <c r="W33" s="1206"/>
    </row>
    <row r="34" spans="1:23" ht="12.75" customHeight="1">
      <c r="A34" s="1205"/>
      <c r="B34" s="1347" t="s">
        <v>67</v>
      </c>
      <c r="C34" s="1347" t="s">
        <v>67</v>
      </c>
      <c r="D34" s="1347" t="s">
        <v>67</v>
      </c>
      <c r="E34" s="1348" t="s">
        <v>67</v>
      </c>
      <c r="F34" s="1347" t="s">
        <v>67</v>
      </c>
      <c r="G34" s="1347" t="s">
        <v>67</v>
      </c>
      <c r="H34" s="1347" t="s">
        <v>67</v>
      </c>
      <c r="I34" s="1347" t="s">
        <v>67</v>
      </c>
      <c r="J34" s="1347" t="s">
        <v>67</v>
      </c>
      <c r="K34" s="1347" t="s">
        <v>67</v>
      </c>
      <c r="L34" s="1347" t="s">
        <v>67</v>
      </c>
      <c r="M34" s="1347" t="s">
        <v>67</v>
      </c>
      <c r="N34" s="1347" t="s">
        <v>67</v>
      </c>
      <c r="O34" s="1347" t="s">
        <v>67</v>
      </c>
      <c r="P34" s="1347" t="s">
        <v>67</v>
      </c>
      <c r="Q34" s="1347" t="s">
        <v>67</v>
      </c>
      <c r="R34" s="1347" t="s">
        <v>67</v>
      </c>
      <c r="S34" s="1347" t="s">
        <v>67</v>
      </c>
      <c r="T34" s="1347" t="s">
        <v>67</v>
      </c>
      <c r="U34" s="1347" t="s">
        <v>67</v>
      </c>
      <c r="V34" s="1347" t="s">
        <v>67</v>
      </c>
      <c r="W34" s="1206"/>
    </row>
    <row r="35" spans="1:23" ht="12.75" customHeight="1">
      <c r="A35" s="1205"/>
      <c r="B35" s="1347" t="s">
        <v>67</v>
      </c>
      <c r="C35" s="1347" t="s">
        <v>67</v>
      </c>
      <c r="D35" s="1347" t="s">
        <v>67</v>
      </c>
      <c r="E35" s="1348" t="s">
        <v>67</v>
      </c>
      <c r="F35" s="1347" t="s">
        <v>67</v>
      </c>
      <c r="G35" s="1347" t="s">
        <v>67</v>
      </c>
      <c r="H35" s="1347" t="s">
        <v>67</v>
      </c>
      <c r="I35" s="1347" t="s">
        <v>67</v>
      </c>
      <c r="J35" s="1347" t="s">
        <v>67</v>
      </c>
      <c r="K35" s="1347" t="s">
        <v>67</v>
      </c>
      <c r="L35" s="1347" t="s">
        <v>67</v>
      </c>
      <c r="M35" s="1347" t="s">
        <v>67</v>
      </c>
      <c r="N35" s="1347" t="s">
        <v>67</v>
      </c>
      <c r="O35" s="1347" t="s">
        <v>67</v>
      </c>
      <c r="P35" s="1347" t="s">
        <v>67</v>
      </c>
      <c r="Q35" s="1347" t="s">
        <v>67</v>
      </c>
      <c r="R35" s="1347" t="s">
        <v>67</v>
      </c>
      <c r="S35" s="1347" t="s">
        <v>67</v>
      </c>
      <c r="T35" s="1347" t="s">
        <v>67</v>
      </c>
      <c r="U35" s="1347" t="s">
        <v>67</v>
      </c>
      <c r="V35" s="1347" t="s">
        <v>67</v>
      </c>
      <c r="W35" s="1206"/>
    </row>
    <row r="36" spans="1:23" ht="12.75" customHeight="1">
      <c r="A36" s="1205"/>
      <c r="B36" s="1347" t="s">
        <v>67</v>
      </c>
      <c r="C36" s="1347" t="s">
        <v>67</v>
      </c>
      <c r="D36" s="1347" t="s">
        <v>67</v>
      </c>
      <c r="E36" s="1348" t="s">
        <v>67</v>
      </c>
      <c r="F36" s="1347" t="s">
        <v>67</v>
      </c>
      <c r="G36" s="1347" t="s">
        <v>67</v>
      </c>
      <c r="H36" s="1347" t="s">
        <v>67</v>
      </c>
      <c r="I36" s="1347" t="s">
        <v>67</v>
      </c>
      <c r="J36" s="1347" t="s">
        <v>67</v>
      </c>
      <c r="K36" s="1347" t="s">
        <v>67</v>
      </c>
      <c r="L36" s="1347" t="s">
        <v>67</v>
      </c>
      <c r="M36" s="1347" t="s">
        <v>67</v>
      </c>
      <c r="N36" s="1347" t="s">
        <v>67</v>
      </c>
      <c r="O36" s="1347" t="s">
        <v>67</v>
      </c>
      <c r="P36" s="1347" t="s">
        <v>67</v>
      </c>
      <c r="Q36" s="1347" t="s">
        <v>67</v>
      </c>
      <c r="R36" s="1347" t="s">
        <v>67</v>
      </c>
      <c r="S36" s="1347" t="s">
        <v>67</v>
      </c>
      <c r="T36" s="1347" t="s">
        <v>67</v>
      </c>
      <c r="U36" s="1347" t="s">
        <v>67</v>
      </c>
      <c r="V36" s="1347" t="s">
        <v>67</v>
      </c>
      <c r="W36" s="1206"/>
    </row>
    <row r="37" spans="1:23" ht="12.75" customHeight="1">
      <c r="A37" s="1205"/>
      <c r="B37" s="1347" t="s">
        <v>67</v>
      </c>
      <c r="C37" s="1347" t="s">
        <v>67</v>
      </c>
      <c r="D37" s="1347" t="s">
        <v>67</v>
      </c>
      <c r="E37" s="1348" t="s">
        <v>67</v>
      </c>
      <c r="F37" s="1347" t="s">
        <v>67</v>
      </c>
      <c r="G37" s="1347" t="s">
        <v>67</v>
      </c>
      <c r="H37" s="1347" t="s">
        <v>67</v>
      </c>
      <c r="I37" s="1347" t="s">
        <v>67</v>
      </c>
      <c r="J37" s="1347" t="s">
        <v>67</v>
      </c>
      <c r="K37" s="1347" t="s">
        <v>67</v>
      </c>
      <c r="L37" s="1347" t="s">
        <v>67</v>
      </c>
      <c r="M37" s="1347" t="s">
        <v>67</v>
      </c>
      <c r="N37" s="1347" t="s">
        <v>67</v>
      </c>
      <c r="O37" s="1347" t="s">
        <v>67</v>
      </c>
      <c r="P37" s="1347" t="s">
        <v>67</v>
      </c>
      <c r="Q37" s="1347" t="s">
        <v>67</v>
      </c>
      <c r="R37" s="1347" t="s">
        <v>67</v>
      </c>
      <c r="S37" s="1347" t="s">
        <v>67</v>
      </c>
      <c r="T37" s="1347" t="s">
        <v>67</v>
      </c>
      <c r="U37" s="1347" t="s">
        <v>67</v>
      </c>
      <c r="V37" s="1347" t="s">
        <v>67</v>
      </c>
      <c r="W37" s="1206"/>
    </row>
    <row r="38" spans="1:23" ht="12.75" customHeight="1">
      <c r="A38" s="1205"/>
      <c r="B38" s="1347" t="s">
        <v>67</v>
      </c>
      <c r="C38" s="1347" t="s">
        <v>67</v>
      </c>
      <c r="D38" s="1347" t="s">
        <v>67</v>
      </c>
      <c r="E38" s="1348" t="s">
        <v>67</v>
      </c>
      <c r="F38" s="1347" t="s">
        <v>67</v>
      </c>
      <c r="G38" s="1347" t="s">
        <v>67</v>
      </c>
      <c r="H38" s="1347" t="s">
        <v>67</v>
      </c>
      <c r="I38" s="1347" t="s">
        <v>67</v>
      </c>
      <c r="J38" s="1347" t="s">
        <v>67</v>
      </c>
      <c r="K38" s="1347" t="s">
        <v>67</v>
      </c>
      <c r="L38" s="1347" t="s">
        <v>67</v>
      </c>
      <c r="M38" s="1347" t="s">
        <v>67</v>
      </c>
      <c r="N38" s="1347" t="s">
        <v>67</v>
      </c>
      <c r="O38" s="1347" t="s">
        <v>67</v>
      </c>
      <c r="P38" s="1347" t="s">
        <v>67</v>
      </c>
      <c r="Q38" s="1347" t="s">
        <v>67</v>
      </c>
      <c r="R38" s="1347" t="s">
        <v>67</v>
      </c>
      <c r="S38" s="1347" t="s">
        <v>67</v>
      </c>
      <c r="T38" s="1347" t="s">
        <v>67</v>
      </c>
      <c r="U38" s="1347" t="s">
        <v>67</v>
      </c>
      <c r="V38" s="1347" t="s">
        <v>67</v>
      </c>
      <c r="W38" s="1206"/>
    </row>
    <row r="39" spans="1:23" ht="12.75" customHeight="1">
      <c r="A39" s="1205"/>
      <c r="B39" s="1347" t="s">
        <v>67</v>
      </c>
      <c r="C39" s="1347" t="s">
        <v>67</v>
      </c>
      <c r="D39" s="1347" t="s">
        <v>67</v>
      </c>
      <c r="E39" s="1348" t="s">
        <v>67</v>
      </c>
      <c r="F39" s="1347" t="s">
        <v>67</v>
      </c>
      <c r="G39" s="1347" t="s">
        <v>67</v>
      </c>
      <c r="H39" s="1347" t="s">
        <v>67</v>
      </c>
      <c r="I39" s="1347" t="s">
        <v>67</v>
      </c>
      <c r="J39" s="1347" t="s">
        <v>67</v>
      </c>
      <c r="K39" s="1347" t="s">
        <v>67</v>
      </c>
      <c r="L39" s="1347" t="s">
        <v>67</v>
      </c>
      <c r="M39" s="1347" t="s">
        <v>67</v>
      </c>
      <c r="N39" s="1347" t="s">
        <v>67</v>
      </c>
      <c r="O39" s="1347" t="s">
        <v>67</v>
      </c>
      <c r="P39" s="1347" t="s">
        <v>67</v>
      </c>
      <c r="Q39" s="1347" t="s">
        <v>67</v>
      </c>
      <c r="R39" s="1347" t="s">
        <v>67</v>
      </c>
      <c r="S39" s="1347" t="s">
        <v>67</v>
      </c>
      <c r="T39" s="1347" t="s">
        <v>67</v>
      </c>
      <c r="U39" s="1347" t="s">
        <v>67</v>
      </c>
      <c r="V39" s="1347" t="s">
        <v>67</v>
      </c>
      <c r="W39" s="1206"/>
    </row>
    <row r="40" spans="1:23" ht="12.75" customHeight="1">
      <c r="A40" s="1205"/>
      <c r="B40" s="1347" t="s">
        <v>67</v>
      </c>
      <c r="C40" s="1347" t="s">
        <v>67</v>
      </c>
      <c r="D40" s="1347" t="s">
        <v>67</v>
      </c>
      <c r="E40" s="1348" t="s">
        <v>67</v>
      </c>
      <c r="F40" s="1347" t="s">
        <v>67</v>
      </c>
      <c r="G40" s="1347" t="s">
        <v>67</v>
      </c>
      <c r="H40" s="1347" t="s">
        <v>67</v>
      </c>
      <c r="I40" s="1347" t="s">
        <v>67</v>
      </c>
      <c r="J40" s="1347" t="s">
        <v>67</v>
      </c>
      <c r="K40" s="1347" t="s">
        <v>67</v>
      </c>
      <c r="L40" s="1347" t="s">
        <v>67</v>
      </c>
      <c r="M40" s="1347" t="s">
        <v>67</v>
      </c>
      <c r="N40" s="1347" t="s">
        <v>67</v>
      </c>
      <c r="O40" s="1347" t="s">
        <v>67</v>
      </c>
      <c r="P40" s="1347" t="s">
        <v>67</v>
      </c>
      <c r="Q40" s="1347" t="s">
        <v>67</v>
      </c>
      <c r="R40" s="1347" t="s">
        <v>67</v>
      </c>
      <c r="S40" s="1347" t="s">
        <v>67</v>
      </c>
      <c r="T40" s="1347" t="s">
        <v>67</v>
      </c>
      <c r="U40" s="1347" t="s">
        <v>67</v>
      </c>
      <c r="V40" s="1347" t="s">
        <v>67</v>
      </c>
      <c r="W40" s="1206"/>
    </row>
    <row r="41" spans="1:23" ht="12.75" customHeight="1">
      <c r="A41" s="1205"/>
      <c r="B41" s="1347" t="s">
        <v>67</v>
      </c>
      <c r="C41" s="1347" t="s">
        <v>67</v>
      </c>
      <c r="D41" s="1347" t="s">
        <v>67</v>
      </c>
      <c r="E41" s="1348" t="s">
        <v>67</v>
      </c>
      <c r="F41" s="1347" t="s">
        <v>67</v>
      </c>
      <c r="G41" s="1347" t="s">
        <v>67</v>
      </c>
      <c r="H41" s="1347" t="s">
        <v>67</v>
      </c>
      <c r="I41" s="1347" t="s">
        <v>67</v>
      </c>
      <c r="J41" s="1347" t="s">
        <v>67</v>
      </c>
      <c r="K41" s="1347" t="s">
        <v>67</v>
      </c>
      <c r="L41" s="1347" t="s">
        <v>67</v>
      </c>
      <c r="M41" s="1347" t="s">
        <v>67</v>
      </c>
      <c r="N41" s="1347" t="s">
        <v>67</v>
      </c>
      <c r="O41" s="1347" t="s">
        <v>67</v>
      </c>
      <c r="P41" s="1347" t="s">
        <v>67</v>
      </c>
      <c r="Q41" s="1347" t="s">
        <v>67</v>
      </c>
      <c r="R41" s="1347" t="s">
        <v>67</v>
      </c>
      <c r="S41" s="1347" t="s">
        <v>67</v>
      </c>
      <c r="T41" s="1347" t="s">
        <v>67</v>
      </c>
      <c r="U41" s="1347" t="s">
        <v>67</v>
      </c>
      <c r="V41" s="1347" t="s">
        <v>67</v>
      </c>
      <c r="W41" s="1206"/>
    </row>
    <row r="42" spans="1:23" ht="12.75" customHeight="1">
      <c r="A42" s="1205"/>
      <c r="B42" s="1347" t="s">
        <v>67</v>
      </c>
      <c r="C42" s="1347" t="s">
        <v>67</v>
      </c>
      <c r="D42" s="1347" t="s">
        <v>67</v>
      </c>
      <c r="E42" s="1348" t="s">
        <v>67</v>
      </c>
      <c r="F42" s="1347" t="s">
        <v>67</v>
      </c>
      <c r="G42" s="1347" t="s">
        <v>67</v>
      </c>
      <c r="H42" s="1347" t="s">
        <v>67</v>
      </c>
      <c r="I42" s="1347" t="s">
        <v>67</v>
      </c>
      <c r="J42" s="1347" t="s">
        <v>67</v>
      </c>
      <c r="K42" s="1347" t="s">
        <v>67</v>
      </c>
      <c r="L42" s="1347" t="s">
        <v>67</v>
      </c>
      <c r="M42" s="1347" t="s">
        <v>67</v>
      </c>
      <c r="N42" s="1347" t="s">
        <v>67</v>
      </c>
      <c r="O42" s="1347" t="s">
        <v>67</v>
      </c>
      <c r="P42" s="1347" t="s">
        <v>67</v>
      </c>
      <c r="Q42" s="1347" t="s">
        <v>67</v>
      </c>
      <c r="R42" s="1347" t="s">
        <v>67</v>
      </c>
      <c r="S42" s="1347" t="s">
        <v>67</v>
      </c>
      <c r="T42" s="1347" t="s">
        <v>67</v>
      </c>
      <c r="U42" s="1347" t="s">
        <v>67</v>
      </c>
      <c r="V42" s="1347" t="s">
        <v>67</v>
      </c>
      <c r="W42" s="1206"/>
    </row>
    <row r="43" spans="1:23" ht="12.75" customHeight="1">
      <c r="A43" s="1205"/>
      <c r="B43" s="1351" t="s">
        <v>67</v>
      </c>
      <c r="C43" s="1351" t="s">
        <v>67</v>
      </c>
      <c r="D43" s="1351" t="s">
        <v>67</v>
      </c>
      <c r="E43" s="1352"/>
      <c r="F43" s="1351" t="s">
        <v>67</v>
      </c>
      <c r="G43" s="1347" t="s">
        <v>67</v>
      </c>
      <c r="H43" s="1347" t="s">
        <v>67</v>
      </c>
      <c r="I43" s="1347" t="s">
        <v>67</v>
      </c>
      <c r="J43" s="1351" t="s">
        <v>67</v>
      </c>
      <c r="K43" s="1351" t="s">
        <v>67</v>
      </c>
      <c r="L43" s="1351" t="s">
        <v>67</v>
      </c>
      <c r="M43" s="1351" t="s">
        <v>67</v>
      </c>
      <c r="N43" s="1351" t="s">
        <v>67</v>
      </c>
      <c r="O43" s="1351" t="s">
        <v>67</v>
      </c>
      <c r="P43" s="1351" t="s">
        <v>67</v>
      </c>
      <c r="Q43" s="1351" t="s">
        <v>67</v>
      </c>
      <c r="R43" s="1351" t="s">
        <v>67</v>
      </c>
      <c r="S43" s="1351" t="s">
        <v>67</v>
      </c>
      <c r="T43" s="1351" t="s">
        <v>67</v>
      </c>
      <c r="U43" s="1351" t="s">
        <v>67</v>
      </c>
      <c r="V43" s="1351" t="s">
        <v>67</v>
      </c>
      <c r="W43" s="1206"/>
    </row>
    <row r="44" spans="1:23" ht="12.75" customHeight="1">
      <c r="A44" s="1205"/>
      <c r="W44" s="1206"/>
    </row>
    <row r="45" spans="1:23" ht="12.75" customHeight="1">
      <c r="A45" s="1205"/>
      <c r="B45" s="1355" t="s">
        <v>266</v>
      </c>
      <c r="C45" s="1356"/>
      <c r="D45" s="1356"/>
      <c r="E45" s="1356"/>
      <c r="F45" s="1356"/>
      <c r="G45" s="1356"/>
      <c r="H45" s="1356"/>
      <c r="I45" s="1356"/>
      <c r="J45" s="1356"/>
      <c r="K45" s="1356"/>
      <c r="L45" s="1356"/>
      <c r="W45" s="1206"/>
    </row>
    <row r="46" spans="1:23" ht="12.75" customHeight="1">
      <c r="A46" s="1205"/>
      <c r="B46" s="2237" t="s">
        <v>313</v>
      </c>
      <c r="C46" s="2237"/>
      <c r="D46" s="2237"/>
      <c r="E46" s="1357">
        <f>E8</f>
        <v>248</v>
      </c>
      <c r="F46" s="1356"/>
      <c r="G46" s="1356"/>
      <c r="H46" s="1356"/>
      <c r="I46" s="1358"/>
      <c r="W46" s="1206"/>
    </row>
    <row r="47" spans="1:23" ht="12.75" customHeight="1">
      <c r="A47" s="1359"/>
      <c r="B47" s="2237" t="s">
        <v>1525</v>
      </c>
      <c r="C47" s="2237"/>
      <c r="D47" s="2237"/>
      <c r="E47" s="1357">
        <f>I8</f>
        <v>1</v>
      </c>
      <c r="W47" s="1206"/>
    </row>
    <row r="48" spans="1:23" ht="12.75" customHeight="1">
      <c r="A48" s="1361"/>
      <c r="B48" s="1369" t="s">
        <v>1542</v>
      </c>
      <c r="W48" s="1206"/>
    </row>
    <row r="49" spans="1:23" ht="12.75" customHeight="1">
      <c r="A49" s="1361"/>
      <c r="B49" s="1369" t="s">
        <v>1543</v>
      </c>
      <c r="C49" s="1369"/>
      <c r="D49" s="1369"/>
      <c r="E49" s="1362"/>
      <c r="F49" s="1356"/>
      <c r="G49" s="1356"/>
      <c r="H49" s="1356"/>
      <c r="I49" s="1358"/>
      <c r="J49" s="1356"/>
      <c r="K49" s="1356"/>
      <c r="L49" s="1360"/>
      <c r="M49" s="1357"/>
      <c r="W49" s="1206"/>
    </row>
    <row r="50" spans="1:23" ht="12.75" customHeight="1">
      <c r="A50" s="1363"/>
      <c r="B50" s="1369" t="s">
        <v>1544</v>
      </c>
      <c r="C50" s="1355"/>
      <c r="D50" s="1360"/>
      <c r="E50" s="1356"/>
      <c r="F50" s="1356"/>
      <c r="G50" s="1356"/>
      <c r="H50" s="1356"/>
      <c r="I50" s="1356"/>
      <c r="J50" s="1356"/>
      <c r="K50" s="1356"/>
      <c r="L50" s="1356"/>
      <c r="W50" s="1206"/>
    </row>
    <row r="51" spans="1:23" ht="12.75" customHeight="1" thickBot="1">
      <c r="A51" s="1364"/>
      <c r="B51" s="1365"/>
      <c r="C51" s="1366"/>
      <c r="D51" s="1367"/>
      <c r="E51" s="1365"/>
      <c r="F51" s="1365"/>
      <c r="G51" s="1365"/>
      <c r="H51" s="1365"/>
      <c r="I51" s="1365"/>
      <c r="J51" s="1365"/>
      <c r="K51" s="1365"/>
      <c r="L51" s="1365"/>
      <c r="M51" s="1246"/>
      <c r="N51" s="1246"/>
      <c r="O51" s="1246"/>
      <c r="P51" s="1246"/>
      <c r="Q51" s="1246"/>
      <c r="R51" s="1246"/>
      <c r="S51" s="1246"/>
      <c r="T51" s="1246"/>
      <c r="U51" s="1246"/>
      <c r="V51" s="1246"/>
      <c r="W51" s="1251"/>
    </row>
  </sheetData>
  <mergeCells count="17">
    <mergeCell ref="U5:U6"/>
    <mergeCell ref="B46:D46"/>
    <mergeCell ref="L5:L6"/>
    <mergeCell ref="M5:M6"/>
    <mergeCell ref="N5:N6"/>
    <mergeCell ref="Q5:R5"/>
    <mergeCell ref="S5:S6"/>
    <mergeCell ref="T5:T6"/>
    <mergeCell ref="J5:K5"/>
    <mergeCell ref="H5:I6"/>
    <mergeCell ref="B47:D47"/>
    <mergeCell ref="B7:I7"/>
    <mergeCell ref="B2:G3"/>
    <mergeCell ref="B5:C5"/>
    <mergeCell ref="D5:D6"/>
    <mergeCell ref="E5:E6"/>
    <mergeCell ref="F5:F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44DB-CED0-4D7A-B56F-BA41C68F4E19}">
  <sheetPr>
    <tabColor rgb="FFFFC000"/>
    <pageSetUpPr fitToPage="1"/>
  </sheetPr>
  <dimension ref="B2:U32"/>
  <sheetViews>
    <sheetView showGridLines="0" zoomScaleNormal="100" zoomScaleSheetLayoutView="85" workbookViewId="0">
      <selection activeCell="C24" sqref="C24"/>
    </sheetView>
  </sheetViews>
  <sheetFormatPr defaultColWidth="9.140625" defaultRowHeight="12.75"/>
  <cols>
    <col min="1" max="1" width="9.140625" style="1204"/>
    <col min="2" max="2" width="15.7109375" style="1204" customWidth="1"/>
    <col min="3" max="3" width="18.140625" style="1204" customWidth="1"/>
    <col min="4" max="4" width="21" style="1204" customWidth="1"/>
    <col min="5" max="6" width="20.5703125" style="1204" customWidth="1"/>
    <col min="7" max="8" width="17.7109375" style="1204" customWidth="1"/>
    <col min="9" max="11" width="9.140625" style="1204"/>
    <col min="12" max="12" width="12" style="1204" bestFit="1" customWidth="1"/>
    <col min="13" max="19" width="9.140625" style="1204"/>
    <col min="20" max="20" width="13.28515625" style="1204" customWidth="1"/>
    <col min="21" max="16384" width="9.140625" style="1204"/>
  </cols>
  <sheetData>
    <row r="2" spans="2:21" ht="25.5" customHeight="1">
      <c r="B2" s="2260" t="s">
        <v>314</v>
      </c>
      <c r="C2" s="2260"/>
      <c r="D2" s="2260"/>
      <c r="E2" s="2260"/>
      <c r="F2" s="2260"/>
      <c r="G2" s="2260"/>
      <c r="H2" s="2260"/>
    </row>
    <row r="3" spans="2:21" ht="21" customHeight="1">
      <c r="B3" s="2261" t="s">
        <v>272</v>
      </c>
      <c r="C3" s="2263" t="s">
        <v>273</v>
      </c>
      <c r="D3" s="2263" t="s">
        <v>315</v>
      </c>
      <c r="E3" s="2263" t="s">
        <v>316</v>
      </c>
      <c r="F3" s="2264" t="s">
        <v>317</v>
      </c>
      <c r="G3" s="2263" t="s">
        <v>318</v>
      </c>
      <c r="H3" s="2263" t="s">
        <v>319</v>
      </c>
      <c r="T3" s="1368" t="s">
        <v>298</v>
      </c>
      <c r="U3" s="1204">
        <v>1.153</v>
      </c>
    </row>
    <row r="4" spans="2:21" ht="21" customHeight="1">
      <c r="B4" s="2262"/>
      <c r="C4" s="2263"/>
      <c r="D4" s="2263"/>
      <c r="E4" s="2263"/>
      <c r="F4" s="2265"/>
      <c r="G4" s="2263"/>
      <c r="H4" s="2263"/>
      <c r="L4" s="1369" t="s">
        <v>320</v>
      </c>
      <c r="M4" s="1204">
        <v>41800</v>
      </c>
      <c r="T4" s="1370" t="s">
        <v>321</v>
      </c>
      <c r="U4" s="1204">
        <v>3.5670000000000002</v>
      </c>
    </row>
    <row r="5" spans="2:21" s="1375" customFormat="1" ht="15.75" hidden="1" customHeight="1">
      <c r="B5" s="1371" t="s">
        <v>322</v>
      </c>
      <c r="C5" s="1368" t="s">
        <v>323</v>
      </c>
      <c r="D5" s="1368" t="s">
        <v>321</v>
      </c>
      <c r="E5" s="1372">
        <v>15</v>
      </c>
      <c r="F5" s="1372">
        <v>2</v>
      </c>
      <c r="G5" s="1373">
        <v>15</v>
      </c>
      <c r="H5" s="1374">
        <v>7.1340000000000003</v>
      </c>
      <c r="J5" s="1376"/>
      <c r="L5" s="1377" t="s">
        <v>324</v>
      </c>
      <c r="M5" s="1375">
        <v>42820</v>
      </c>
      <c r="T5" s="1368" t="s">
        <v>325</v>
      </c>
      <c r="U5" s="1375">
        <v>5.1059999999999999</v>
      </c>
    </row>
    <row r="6" spans="2:21" s="1375" customFormat="1" ht="15.75" hidden="1" customHeight="1">
      <c r="B6" s="1371" t="s">
        <v>326</v>
      </c>
      <c r="C6" s="1368" t="s">
        <v>323</v>
      </c>
      <c r="D6" s="1368" t="s">
        <v>321</v>
      </c>
      <c r="E6" s="1372">
        <v>15</v>
      </c>
      <c r="F6" s="1372">
        <v>1</v>
      </c>
      <c r="G6" s="1372">
        <v>15</v>
      </c>
      <c r="H6" s="1374">
        <v>3.5670000000000002</v>
      </c>
      <c r="J6" s="1376"/>
      <c r="T6" s="1368" t="s">
        <v>327</v>
      </c>
      <c r="U6" s="1375">
        <v>15.138</v>
      </c>
    </row>
    <row r="7" spans="2:21" s="1375" customFormat="1" ht="15.75" hidden="1" customHeight="1">
      <c r="B7" s="1371" t="s">
        <v>328</v>
      </c>
      <c r="C7" s="1368" t="s">
        <v>323</v>
      </c>
      <c r="D7" s="1368" t="s">
        <v>321</v>
      </c>
      <c r="E7" s="1372">
        <v>17</v>
      </c>
      <c r="F7" s="1372">
        <v>2</v>
      </c>
      <c r="G7" s="1372">
        <v>17</v>
      </c>
      <c r="H7" s="1374">
        <v>7.1340000000000003</v>
      </c>
      <c r="J7" s="1376"/>
    </row>
    <row r="8" spans="2:21" s="1375" customFormat="1" ht="15.75" hidden="1" customHeight="1">
      <c r="B8" s="1371" t="s">
        <v>329</v>
      </c>
      <c r="C8" s="1368" t="s">
        <v>323</v>
      </c>
      <c r="D8" s="1368" t="s">
        <v>321</v>
      </c>
      <c r="E8" s="1372">
        <v>18</v>
      </c>
      <c r="F8" s="1372">
        <v>2</v>
      </c>
      <c r="G8" s="1372">
        <v>18</v>
      </c>
      <c r="H8" s="1374">
        <v>7.1340000000000003</v>
      </c>
      <c r="J8" s="1376"/>
    </row>
    <row r="9" spans="2:21" s="1375" customFormat="1" ht="15.75" hidden="1" customHeight="1">
      <c r="B9" s="2254" t="s">
        <v>292</v>
      </c>
      <c r="C9" s="2255"/>
      <c r="D9" s="2255"/>
      <c r="E9" s="2255"/>
      <c r="F9" s="2255"/>
      <c r="G9" s="2255"/>
      <c r="H9" s="2256"/>
      <c r="J9" s="1376"/>
    </row>
    <row r="10" spans="2:21" s="1375" customFormat="1" ht="25.5" hidden="1">
      <c r="B10" s="1371" t="s">
        <v>330</v>
      </c>
      <c r="C10" s="1378" t="s">
        <v>331</v>
      </c>
      <c r="D10" s="1368" t="s">
        <v>325</v>
      </c>
      <c r="E10" s="1379">
        <v>148</v>
      </c>
      <c r="F10" s="1379">
        <v>0</v>
      </c>
      <c r="G10" s="1379">
        <v>296</v>
      </c>
      <c r="H10" s="1380">
        <v>0</v>
      </c>
      <c r="J10" s="1376"/>
    </row>
    <row r="11" spans="2:21" s="1375" customFormat="1" ht="25.5" hidden="1">
      <c r="B11" s="1371" t="s">
        <v>332</v>
      </c>
      <c r="C11" s="1378" t="s">
        <v>333</v>
      </c>
      <c r="D11" s="1368" t="s">
        <v>321</v>
      </c>
      <c r="E11" s="1379">
        <v>12</v>
      </c>
      <c r="F11" s="1379">
        <v>0</v>
      </c>
      <c r="G11" s="1379">
        <f t="shared" ref="G11:G16" si="0">E11</f>
        <v>12</v>
      </c>
      <c r="H11" s="1380">
        <v>0</v>
      </c>
      <c r="J11" s="1376"/>
    </row>
    <row r="12" spans="2:21" s="1375" customFormat="1" ht="25.5" hidden="1">
      <c r="B12" s="1371" t="s">
        <v>334</v>
      </c>
      <c r="C12" s="1378" t="s">
        <v>333</v>
      </c>
      <c r="D12" s="1368" t="s">
        <v>335</v>
      </c>
      <c r="E12" s="1379">
        <v>12</v>
      </c>
      <c r="F12" s="1379">
        <v>0</v>
      </c>
      <c r="G12" s="1379">
        <f t="shared" si="0"/>
        <v>12</v>
      </c>
      <c r="H12" s="1380">
        <v>0</v>
      </c>
      <c r="J12" s="1376"/>
    </row>
    <row r="13" spans="2:21" s="1375" customFormat="1" ht="25.5" hidden="1">
      <c r="B13" s="1371" t="s">
        <v>336</v>
      </c>
      <c r="C13" s="1378" t="s">
        <v>331</v>
      </c>
      <c r="D13" s="1368" t="s">
        <v>321</v>
      </c>
      <c r="E13" s="1379">
        <v>13</v>
      </c>
      <c r="F13" s="1379">
        <v>0</v>
      </c>
      <c r="G13" s="1379">
        <f t="shared" si="0"/>
        <v>13</v>
      </c>
      <c r="H13" s="1380">
        <v>0</v>
      </c>
      <c r="J13" s="1376"/>
    </row>
    <row r="14" spans="2:21" s="1375" customFormat="1" ht="25.5" hidden="1">
      <c r="B14" s="1371" t="s">
        <v>337</v>
      </c>
      <c r="C14" s="1378" t="s">
        <v>333</v>
      </c>
      <c r="D14" s="1368" t="s">
        <v>321</v>
      </c>
      <c r="E14" s="1379">
        <v>8</v>
      </c>
      <c r="F14" s="1379">
        <v>0</v>
      </c>
      <c r="G14" s="1379">
        <f t="shared" si="0"/>
        <v>8</v>
      </c>
      <c r="H14" s="1380">
        <v>0</v>
      </c>
      <c r="J14" s="1376"/>
    </row>
    <row r="15" spans="2:21" s="1375" customFormat="1" ht="25.5" hidden="1">
      <c r="B15" s="1371" t="s">
        <v>338</v>
      </c>
      <c r="C15" s="1378" t="s">
        <v>331</v>
      </c>
      <c r="D15" s="1368" t="s">
        <v>321</v>
      </c>
      <c r="E15" s="1379">
        <v>79</v>
      </c>
      <c r="F15" s="1379">
        <v>0</v>
      </c>
      <c r="G15" s="1379">
        <f t="shared" si="0"/>
        <v>79</v>
      </c>
      <c r="H15" s="1380">
        <v>0</v>
      </c>
      <c r="J15" s="1376"/>
    </row>
    <row r="16" spans="2:21" ht="25.5" hidden="1">
      <c r="B16" s="1371" t="s">
        <v>339</v>
      </c>
      <c r="C16" s="1378" t="s">
        <v>331</v>
      </c>
      <c r="D16" s="1368" t="s">
        <v>298</v>
      </c>
      <c r="E16" s="1379">
        <v>48</v>
      </c>
      <c r="F16" s="1379">
        <v>0</v>
      </c>
      <c r="G16" s="1379">
        <f t="shared" si="0"/>
        <v>48</v>
      </c>
      <c r="H16" s="1380">
        <v>0</v>
      </c>
    </row>
    <row r="17" spans="2:8">
      <c r="B17" s="1381" t="s">
        <v>67</v>
      </c>
      <c r="C17" s="1370"/>
      <c r="D17" s="1370"/>
      <c r="E17" s="1379"/>
      <c r="F17" s="1379"/>
      <c r="G17" s="1379"/>
      <c r="H17" s="1382"/>
    </row>
    <row r="18" spans="2:8" ht="15.75" customHeight="1">
      <c r="B18" s="1381" t="s">
        <v>67</v>
      </c>
      <c r="C18" s="1370"/>
      <c r="D18" s="1370"/>
      <c r="E18" s="1379"/>
      <c r="F18" s="1379"/>
      <c r="G18" s="1379"/>
      <c r="H18" s="1382"/>
    </row>
    <row r="19" spans="2:8" ht="15.75" customHeight="1">
      <c r="B19" s="1383" t="str">
        <f>'2 OAC ESCAV. E REATERRO'!B19</f>
        <v>34+5,98</v>
      </c>
      <c r="C19" s="1384" t="str">
        <f>'2 OAC ESCAV. E REATERRO'!C19</f>
        <v>RETORNO 02</v>
      </c>
      <c r="D19" s="1384" t="str">
        <f>'2 OAC ESCAV. E REATERRO'!D19</f>
        <v>BSTC Ø 1,00</v>
      </c>
      <c r="E19" s="1385">
        <v>17</v>
      </c>
      <c r="F19" s="1385">
        <v>0</v>
      </c>
      <c r="G19" s="1385">
        <v>17</v>
      </c>
      <c r="H19" s="1386">
        <v>0</v>
      </c>
    </row>
    <row r="20" spans="2:8" ht="15.75" customHeight="1">
      <c r="B20" s="1381"/>
      <c r="C20" s="1370"/>
      <c r="D20" s="1370"/>
      <c r="E20" s="1379"/>
      <c r="F20" s="1379"/>
      <c r="G20" s="1379"/>
      <c r="H20" s="1382"/>
    </row>
    <row r="21" spans="2:8" ht="15.75" customHeight="1">
      <c r="B21" s="1381"/>
      <c r="C21" s="1370"/>
      <c r="D21" s="1370"/>
      <c r="E21" s="1379"/>
      <c r="F21" s="1379"/>
      <c r="G21" s="1379"/>
      <c r="H21" s="1382"/>
    </row>
    <row r="22" spans="2:8" ht="15.75" customHeight="1">
      <c r="B22" s="1381"/>
      <c r="C22" s="1370"/>
      <c r="D22" s="1370"/>
      <c r="E22" s="1379"/>
      <c r="F22" s="1379"/>
      <c r="G22" s="1379"/>
      <c r="H22" s="1382"/>
    </row>
    <row r="23" spans="2:8" ht="15.75" customHeight="1">
      <c r="B23" s="1381"/>
      <c r="C23" s="1370"/>
      <c r="D23" s="1370"/>
      <c r="E23" s="1379"/>
      <c r="F23" s="1379"/>
      <c r="G23" s="1379"/>
      <c r="H23" s="1382"/>
    </row>
    <row r="24" spans="2:8" ht="15.75" customHeight="1">
      <c r="B24" s="1381"/>
      <c r="C24" s="1370"/>
      <c r="D24" s="1370"/>
      <c r="E24" s="1379"/>
      <c r="F24" s="1379"/>
      <c r="G24" s="1379"/>
      <c r="H24" s="1382"/>
    </row>
    <row r="25" spans="2:8" ht="15.75" customHeight="1">
      <c r="B25" s="1387"/>
      <c r="C25" s="1388"/>
      <c r="D25" s="1388"/>
      <c r="E25" s="1389"/>
      <c r="F25" s="1389"/>
      <c r="G25" s="1389"/>
      <c r="H25" s="1390"/>
    </row>
    <row r="26" spans="2:8" ht="15.75" customHeight="1">
      <c r="B26" s="1391" t="s">
        <v>266</v>
      </c>
      <c r="C26" s="1392"/>
      <c r="D26" s="1392"/>
      <c r="E26" s="1392"/>
      <c r="F26" s="1392"/>
      <c r="G26" s="1392"/>
      <c r="H26" s="1392"/>
    </row>
    <row r="27" spans="2:8" ht="15.75" customHeight="1">
      <c r="B27" s="1393" t="s">
        <v>340</v>
      </c>
      <c r="D27" s="1392"/>
      <c r="E27" s="1392"/>
      <c r="F27" s="1392"/>
      <c r="G27" s="1392"/>
      <c r="H27" s="1392"/>
    </row>
    <row r="28" spans="2:8" ht="15.75" customHeight="1">
      <c r="B28" s="1393" t="s">
        <v>341</v>
      </c>
      <c r="D28" s="1392"/>
      <c r="E28" s="1392"/>
      <c r="F28" s="1392"/>
      <c r="G28" s="1392"/>
      <c r="H28" s="1392"/>
    </row>
    <row r="29" spans="2:8" ht="15.75" customHeight="1">
      <c r="B29" s="1392"/>
      <c r="C29" s="1394"/>
      <c r="D29" s="1392"/>
      <c r="E29" s="1392"/>
      <c r="F29" s="1392"/>
      <c r="G29" s="1392"/>
      <c r="H29" s="1392"/>
    </row>
    <row r="30" spans="2:8" ht="55.5" customHeight="1">
      <c r="B30" s="1392"/>
      <c r="C30" s="1392"/>
      <c r="D30" s="1392"/>
      <c r="E30" s="2257" t="s">
        <v>1334</v>
      </c>
      <c r="F30" s="2257"/>
      <c r="G30" s="2257"/>
      <c r="H30" s="1392"/>
    </row>
    <row r="31" spans="2:8" ht="15.75" customHeight="1">
      <c r="B31" s="1392"/>
      <c r="C31" s="1392"/>
      <c r="D31" s="1392"/>
      <c r="E31" s="2258">
        <f>(187-167)*20/1000</f>
        <v>0.4</v>
      </c>
      <c r="F31" s="2258"/>
      <c r="G31" s="2258"/>
      <c r="H31" s="1392"/>
    </row>
    <row r="32" spans="2:8">
      <c r="E32" s="2259" t="s">
        <v>342</v>
      </c>
      <c r="F32" s="2259"/>
      <c r="G32" s="2259"/>
    </row>
  </sheetData>
  <mergeCells count="12">
    <mergeCell ref="B9:H9"/>
    <mergeCell ref="E30:G30"/>
    <mergeCell ref="E31:G31"/>
    <mergeCell ref="E32:G32"/>
    <mergeCell ref="B2:H2"/>
    <mergeCell ref="B3:B4"/>
    <mergeCell ref="C3:C4"/>
    <mergeCell ref="D3:D4"/>
    <mergeCell ref="E3:E4"/>
    <mergeCell ref="F3:F4"/>
    <mergeCell ref="G3:G4"/>
    <mergeCell ref="H3:H4"/>
  </mergeCells>
  <pageMargins left="0.511811024" right="0.511811024" top="0.78740157499999996" bottom="0.78740157499999996" header="0.31496062000000002" footer="0.31496062000000002"/>
  <pageSetup paperSize="9" scale="92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B071C-74FE-41AC-9CA3-9C0E7E1120F3}">
  <sheetPr>
    <tabColor rgb="FFFFC000"/>
  </sheetPr>
  <dimension ref="A1:V61"/>
  <sheetViews>
    <sheetView workbookViewId="0">
      <selection activeCell="N58" sqref="N58"/>
    </sheetView>
  </sheetViews>
  <sheetFormatPr defaultColWidth="9.140625" defaultRowHeight="12.75"/>
  <cols>
    <col min="1" max="1" width="5.7109375" style="1204" customWidth="1"/>
    <col min="2" max="3" width="10.7109375" style="1204" customWidth="1"/>
    <col min="4" max="4" width="8.7109375" style="1204" customWidth="1"/>
    <col min="5" max="5" width="12.7109375" style="1204" customWidth="1"/>
    <col min="6" max="6" width="8.7109375" style="1204" customWidth="1"/>
    <col min="7" max="7" width="10.7109375" style="1204" customWidth="1"/>
    <col min="8" max="8" width="4.7109375" style="1204" customWidth="1"/>
    <col min="9" max="10" width="10.7109375" style="1204" customWidth="1"/>
    <col min="11" max="11" width="8.7109375" style="1204" customWidth="1"/>
    <col min="12" max="12" width="12.5703125" style="1204" customWidth="1"/>
    <col min="13" max="13" width="8.7109375" style="1204" customWidth="1"/>
    <col min="14" max="14" width="10.7109375" style="1204" customWidth="1"/>
    <col min="15" max="15" width="4.7109375" style="1204" customWidth="1"/>
    <col min="16" max="17" width="10.7109375" style="1204" customWidth="1"/>
    <col min="18" max="18" width="8.7109375" style="1204" customWidth="1"/>
    <col min="19" max="19" width="12.7109375" style="1204" customWidth="1"/>
    <col min="20" max="20" width="8.7109375" style="1204" customWidth="1"/>
    <col min="21" max="21" width="10.7109375" style="1204" customWidth="1"/>
    <col min="22" max="22" width="5.7109375" style="1204" customWidth="1"/>
    <col min="23" max="16384" width="9.140625" style="1204"/>
  </cols>
  <sheetData>
    <row r="1" spans="1:22" ht="12.75" customHeight="1">
      <c r="A1" s="1199"/>
      <c r="B1" s="1252"/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1252"/>
      <c r="O1" s="1252"/>
      <c r="P1" s="1252"/>
      <c r="Q1" s="1252"/>
      <c r="R1" s="1252"/>
      <c r="S1" s="1252"/>
      <c r="T1" s="1252"/>
      <c r="U1" s="1252"/>
      <c r="V1" s="1203"/>
    </row>
    <row r="2" spans="1:22" ht="12.75" customHeight="1">
      <c r="A2" s="1205"/>
      <c r="B2" s="2241" t="s">
        <v>306</v>
      </c>
      <c r="C2" s="2241"/>
      <c r="D2" s="2241"/>
      <c r="E2" s="2241"/>
      <c r="F2" s="2241"/>
      <c r="G2" s="2241"/>
      <c r="H2" s="1341"/>
      <c r="I2" s="1341"/>
      <c r="J2" s="1341"/>
      <c r="K2" s="1341"/>
      <c r="L2" s="1341"/>
      <c r="M2" s="1341"/>
      <c r="N2" s="1341"/>
      <c r="O2" s="1341"/>
      <c r="P2" s="1341"/>
      <c r="Q2" s="1341"/>
      <c r="R2" s="1341"/>
      <c r="S2" s="1341"/>
      <c r="T2" s="1341"/>
      <c r="U2" s="1341"/>
      <c r="V2" s="1206"/>
    </row>
    <row r="3" spans="1:22" ht="12.75" customHeight="1">
      <c r="A3" s="1205"/>
      <c r="B3" s="2241"/>
      <c r="C3" s="2241"/>
      <c r="D3" s="2241"/>
      <c r="E3" s="2241"/>
      <c r="F3" s="2241"/>
      <c r="G3" s="2241"/>
      <c r="H3" s="1341"/>
      <c r="I3" s="1341"/>
      <c r="J3" s="1341"/>
      <c r="K3" s="1341"/>
      <c r="L3" s="1341"/>
      <c r="M3" s="1341"/>
      <c r="N3" s="1341"/>
      <c r="O3" s="1341"/>
      <c r="P3" s="1341"/>
      <c r="Q3" s="1341"/>
      <c r="R3" s="1341"/>
      <c r="S3" s="1341"/>
      <c r="T3" s="1341"/>
      <c r="U3" s="1341"/>
      <c r="V3" s="1206"/>
    </row>
    <row r="4" spans="1:22" ht="12.75" customHeight="1">
      <c r="A4" s="1205"/>
      <c r="B4" s="1341"/>
      <c r="C4" s="1341"/>
      <c r="D4" s="1341"/>
      <c r="E4" s="1341"/>
      <c r="F4" s="1341"/>
      <c r="G4" s="1341"/>
      <c r="H4" s="1341"/>
      <c r="I4" s="1341"/>
      <c r="J4" s="1341"/>
      <c r="K4" s="1341"/>
      <c r="L4" s="1341"/>
      <c r="M4" s="1341"/>
      <c r="N4" s="1341"/>
      <c r="O4" s="1341"/>
      <c r="P4" s="1341"/>
      <c r="Q4" s="1341"/>
      <c r="R4" s="1341"/>
      <c r="S4" s="1341"/>
      <c r="T4" s="1341"/>
      <c r="U4" s="1341"/>
      <c r="V4" s="1206"/>
    </row>
    <row r="5" spans="1:22" ht="12.75" customHeight="1">
      <c r="A5" s="1205"/>
      <c r="B5" s="2249" t="s">
        <v>248</v>
      </c>
      <c r="C5" s="2249"/>
      <c r="D5" s="2248" t="s">
        <v>249</v>
      </c>
      <c r="E5" s="2246" t="s">
        <v>250</v>
      </c>
      <c r="F5" s="2246" t="s">
        <v>251</v>
      </c>
      <c r="G5" s="1342" t="s">
        <v>307</v>
      </c>
      <c r="I5" s="2249" t="s">
        <v>248</v>
      </c>
      <c r="J5" s="2249"/>
      <c r="K5" s="2248" t="s">
        <v>249</v>
      </c>
      <c r="L5" s="2246" t="s">
        <v>250</v>
      </c>
      <c r="M5" s="2246" t="s">
        <v>251</v>
      </c>
      <c r="N5" s="1342" t="s">
        <v>307</v>
      </c>
      <c r="P5" s="2249" t="s">
        <v>248</v>
      </c>
      <c r="Q5" s="2249"/>
      <c r="R5" s="2248" t="s">
        <v>249</v>
      </c>
      <c r="S5" s="2246" t="s">
        <v>250</v>
      </c>
      <c r="T5" s="2246" t="s">
        <v>251</v>
      </c>
      <c r="U5" s="1342" t="s">
        <v>307</v>
      </c>
      <c r="V5" s="1206"/>
    </row>
    <row r="6" spans="1:22" ht="12.75" customHeight="1">
      <c r="A6" s="1205"/>
      <c r="B6" s="1343" t="s">
        <v>253</v>
      </c>
      <c r="C6" s="1343" t="s">
        <v>254</v>
      </c>
      <c r="D6" s="2248"/>
      <c r="E6" s="2247"/>
      <c r="F6" s="2247"/>
      <c r="G6" s="1344" t="s">
        <v>308</v>
      </c>
      <c r="I6" s="1343" t="s">
        <v>253</v>
      </c>
      <c r="J6" s="1343" t="s">
        <v>254</v>
      </c>
      <c r="K6" s="2248"/>
      <c r="L6" s="2247"/>
      <c r="M6" s="2247"/>
      <c r="N6" s="1344" t="s">
        <v>308</v>
      </c>
      <c r="P6" s="1343" t="s">
        <v>253</v>
      </c>
      <c r="Q6" s="1343" t="s">
        <v>254</v>
      </c>
      <c r="R6" s="2248"/>
      <c r="S6" s="2247"/>
      <c r="T6" s="2247"/>
      <c r="U6" s="1344" t="s">
        <v>308</v>
      </c>
      <c r="V6" s="1206"/>
    </row>
    <row r="7" spans="1:22" ht="12.75" customHeight="1">
      <c r="A7" s="1205"/>
      <c r="B7" s="2266" t="s">
        <v>261</v>
      </c>
      <c r="C7" s="2267"/>
      <c r="D7" s="2267"/>
      <c r="E7" s="2267"/>
      <c r="F7" s="2267"/>
      <c r="G7" s="2268"/>
      <c r="I7" s="1626">
        <v>128</v>
      </c>
      <c r="J7" s="1626">
        <v>9.42</v>
      </c>
      <c r="K7" s="1626"/>
      <c r="L7" s="1627">
        <v>132</v>
      </c>
      <c r="M7" s="1626">
        <v>12.12</v>
      </c>
      <c r="N7" s="1345"/>
      <c r="P7" s="1345"/>
      <c r="Q7" s="1345"/>
      <c r="R7" s="1345"/>
      <c r="S7" s="1346"/>
      <c r="T7" s="1345"/>
      <c r="U7" s="1345"/>
      <c r="V7" s="1206"/>
    </row>
    <row r="8" spans="1:22" ht="12.75" customHeight="1">
      <c r="A8" s="1205"/>
      <c r="B8" s="1347" t="s">
        <v>1426</v>
      </c>
      <c r="C8" s="1347" t="s">
        <v>1427</v>
      </c>
      <c r="D8" s="1347" t="s">
        <v>312</v>
      </c>
      <c r="E8" s="1348">
        <f>(L7-I7)*20+(M7-J7)</f>
        <v>82.7</v>
      </c>
      <c r="F8" s="1347" t="s">
        <v>260</v>
      </c>
      <c r="G8" s="1347"/>
      <c r="I8" s="1626"/>
      <c r="J8" s="1626"/>
      <c r="K8" s="1626"/>
      <c r="L8" s="1627"/>
      <c r="M8" s="1626"/>
      <c r="N8" s="1345"/>
      <c r="P8" s="1345"/>
      <c r="Q8" s="1345"/>
      <c r="R8" s="1345"/>
      <c r="S8" s="1346"/>
      <c r="T8" s="1345"/>
      <c r="U8" s="1345"/>
      <c r="V8" s="1206"/>
    </row>
    <row r="9" spans="1:22" ht="12.75" customHeight="1">
      <c r="A9" s="1205"/>
      <c r="B9" s="1347"/>
      <c r="C9" s="1347"/>
      <c r="D9" s="1347"/>
      <c r="E9" s="1348"/>
      <c r="F9" s="1347"/>
      <c r="G9" s="1347"/>
      <c r="I9" s="1626"/>
      <c r="J9" s="1626"/>
      <c r="K9" s="1626"/>
      <c r="L9" s="1627"/>
      <c r="M9" s="1626"/>
      <c r="N9" s="1345"/>
      <c r="P9" s="1345"/>
      <c r="Q9" s="1345"/>
      <c r="R9" s="1345"/>
      <c r="S9" s="1346"/>
      <c r="T9" s="1345"/>
      <c r="U9" s="1345"/>
      <c r="V9" s="1206"/>
    </row>
    <row r="10" spans="1:22" ht="12.75" customHeight="1">
      <c r="A10" s="1205"/>
      <c r="B10" s="2266" t="s">
        <v>1428</v>
      </c>
      <c r="C10" s="2267"/>
      <c r="D10" s="2267"/>
      <c r="E10" s="2267"/>
      <c r="F10" s="2267"/>
      <c r="G10" s="2268"/>
      <c r="I10" s="1626"/>
      <c r="J10" s="1626"/>
      <c r="K10" s="1626"/>
      <c r="L10" s="1627"/>
      <c r="M10" s="1626"/>
      <c r="N10" s="1345"/>
      <c r="P10" s="1345"/>
      <c r="Q10" s="1345"/>
      <c r="R10" s="1345"/>
      <c r="S10" s="1346"/>
      <c r="T10" s="1345"/>
      <c r="U10" s="1345"/>
      <c r="V10" s="1206"/>
    </row>
    <row r="11" spans="1:22" ht="12.75" customHeight="1">
      <c r="A11" s="1205"/>
      <c r="B11" s="1347" t="s">
        <v>330</v>
      </c>
      <c r="C11" s="1347" t="s">
        <v>1429</v>
      </c>
      <c r="D11" s="1347" t="s">
        <v>312</v>
      </c>
      <c r="E11" s="1348">
        <f>(L11-I11)*20+(M11-J11)</f>
        <v>449</v>
      </c>
      <c r="F11" s="1347" t="s">
        <v>260</v>
      </c>
      <c r="G11" s="1347"/>
      <c r="I11" s="1626">
        <v>15</v>
      </c>
      <c r="J11" s="1626">
        <v>0</v>
      </c>
      <c r="K11" s="1626"/>
      <c r="L11" s="1627">
        <v>37</v>
      </c>
      <c r="M11" s="1626">
        <v>9</v>
      </c>
      <c r="N11" s="1345"/>
      <c r="P11" s="1345" t="s">
        <v>67</v>
      </c>
      <c r="Q11" s="1345" t="s">
        <v>67</v>
      </c>
      <c r="R11" s="1345" t="s">
        <v>67</v>
      </c>
      <c r="S11" s="1346" t="s">
        <v>67</v>
      </c>
      <c r="T11" s="1345" t="s">
        <v>67</v>
      </c>
      <c r="U11" s="1345" t="s">
        <v>67</v>
      </c>
      <c r="V11" s="1206"/>
    </row>
    <row r="12" spans="1:22" ht="12.75" customHeight="1">
      <c r="A12" s="1205"/>
      <c r="B12" s="1347" t="s">
        <v>1430</v>
      </c>
      <c r="C12" s="1347" t="s">
        <v>1431</v>
      </c>
      <c r="D12" s="1347" t="s">
        <v>312</v>
      </c>
      <c r="E12" s="1348">
        <f>(L12-I12)*20+(M12-J12)</f>
        <v>460</v>
      </c>
      <c r="F12" s="1347" t="s">
        <v>260</v>
      </c>
      <c r="G12" s="1347"/>
      <c r="I12" s="1626">
        <v>52</v>
      </c>
      <c r="J12" s="1626">
        <v>0</v>
      </c>
      <c r="K12" s="1626"/>
      <c r="L12" s="1627">
        <v>75</v>
      </c>
      <c r="M12" s="1626">
        <v>0</v>
      </c>
      <c r="N12" s="1345"/>
      <c r="P12" s="1345" t="s">
        <v>67</v>
      </c>
      <c r="Q12" s="1345" t="s">
        <v>67</v>
      </c>
      <c r="R12" s="1345" t="s">
        <v>67</v>
      </c>
      <c r="S12" s="1346" t="s">
        <v>67</v>
      </c>
      <c r="T12" s="1345" t="s">
        <v>67</v>
      </c>
      <c r="U12" s="1345" t="s">
        <v>67</v>
      </c>
      <c r="V12" s="1206"/>
    </row>
    <row r="13" spans="1:22" ht="12.75" customHeight="1">
      <c r="A13" s="1205"/>
      <c r="B13" s="1347"/>
      <c r="C13" s="1347"/>
      <c r="D13" s="1347"/>
      <c r="E13" s="1348"/>
      <c r="F13" s="1347"/>
      <c r="G13" s="1347"/>
      <c r="I13" s="1345"/>
      <c r="J13" s="1345"/>
      <c r="K13" s="1345"/>
      <c r="L13" s="1346"/>
      <c r="M13" s="1345"/>
      <c r="N13" s="1345"/>
      <c r="P13" s="1345" t="s">
        <v>67</v>
      </c>
      <c r="Q13" s="1345" t="s">
        <v>67</v>
      </c>
      <c r="R13" s="1345" t="s">
        <v>67</v>
      </c>
      <c r="S13" s="1346" t="s">
        <v>67</v>
      </c>
      <c r="T13" s="1345" t="s">
        <v>67</v>
      </c>
      <c r="U13" s="1345" t="s">
        <v>67</v>
      </c>
      <c r="V13" s="1206"/>
    </row>
    <row r="14" spans="1:22" ht="12.75" customHeight="1">
      <c r="A14" s="1205"/>
      <c r="B14" s="1347"/>
      <c r="C14" s="1347"/>
      <c r="D14" s="1347"/>
      <c r="E14" s="1348"/>
      <c r="F14" s="1347"/>
      <c r="G14" s="1347"/>
      <c r="I14" s="1345"/>
      <c r="J14" s="1345"/>
      <c r="K14" s="1345"/>
      <c r="L14" s="1346"/>
      <c r="M14" s="1345"/>
      <c r="N14" s="1345"/>
      <c r="P14" s="1345" t="s">
        <v>67</v>
      </c>
      <c r="Q14" s="1345" t="s">
        <v>67</v>
      </c>
      <c r="R14" s="1345" t="s">
        <v>67</v>
      </c>
      <c r="S14" s="1346" t="s">
        <v>67</v>
      </c>
      <c r="T14" s="1345" t="s">
        <v>67</v>
      </c>
      <c r="U14" s="1345" t="s">
        <v>67</v>
      </c>
      <c r="V14" s="1206"/>
    </row>
    <row r="15" spans="1:22" ht="12.75" customHeight="1">
      <c r="A15" s="1205"/>
      <c r="B15" s="1347"/>
      <c r="C15" s="1347"/>
      <c r="D15" s="1347"/>
      <c r="E15" s="1348"/>
      <c r="F15" s="1347"/>
      <c r="G15" s="1347"/>
      <c r="I15" s="1345"/>
      <c r="J15" s="1345"/>
      <c r="K15" s="1345"/>
      <c r="L15" s="1346"/>
      <c r="M15" s="1345"/>
      <c r="N15" s="1345"/>
      <c r="P15" s="1345" t="s">
        <v>67</v>
      </c>
      <c r="Q15" s="1345" t="s">
        <v>67</v>
      </c>
      <c r="R15" s="1345" t="s">
        <v>67</v>
      </c>
      <c r="S15" s="1346" t="s">
        <v>67</v>
      </c>
      <c r="T15" s="1345" t="s">
        <v>67</v>
      </c>
      <c r="U15" s="1345" t="s">
        <v>67</v>
      </c>
      <c r="V15" s="1206"/>
    </row>
    <row r="16" spans="1:22" ht="12.75" customHeight="1">
      <c r="A16" s="1205"/>
      <c r="B16" s="1347"/>
      <c r="C16" s="1347"/>
      <c r="D16" s="1347"/>
      <c r="E16" s="1348"/>
      <c r="F16" s="1347"/>
      <c r="G16" s="1347"/>
      <c r="I16" s="1349"/>
      <c r="J16" s="1349"/>
      <c r="K16" s="1349"/>
      <c r="L16" s="1350"/>
      <c r="M16" s="1349"/>
      <c r="N16" s="1349"/>
      <c r="P16" s="1345" t="s">
        <v>67</v>
      </c>
      <c r="Q16" s="1345" t="s">
        <v>67</v>
      </c>
      <c r="R16" s="1345" t="s">
        <v>67</v>
      </c>
      <c r="S16" s="1346" t="s">
        <v>67</v>
      </c>
      <c r="T16" s="1345" t="s">
        <v>67</v>
      </c>
      <c r="U16" s="1345" t="s">
        <v>67</v>
      </c>
      <c r="V16" s="1206"/>
    </row>
    <row r="17" spans="1:22" ht="12.75" customHeight="1">
      <c r="A17" s="1205"/>
      <c r="B17" s="1347"/>
      <c r="C17" s="1347"/>
      <c r="D17" s="1347"/>
      <c r="E17" s="1348"/>
      <c r="F17" s="1347"/>
      <c r="G17" s="1347"/>
      <c r="I17" s="1349"/>
      <c r="J17" s="1349"/>
      <c r="K17" s="1349"/>
      <c r="L17" s="1350"/>
      <c r="M17" s="1349"/>
      <c r="N17" s="1349"/>
      <c r="P17" s="1345" t="s">
        <v>67</v>
      </c>
      <c r="Q17" s="1345" t="s">
        <v>67</v>
      </c>
      <c r="R17" s="1345" t="s">
        <v>67</v>
      </c>
      <c r="S17" s="1346" t="s">
        <v>67</v>
      </c>
      <c r="T17" s="1345" t="s">
        <v>67</v>
      </c>
      <c r="U17" s="1345" t="s">
        <v>67</v>
      </c>
      <c r="V17" s="1206"/>
    </row>
    <row r="18" spans="1:22" ht="12.75" customHeight="1">
      <c r="A18" s="1205"/>
      <c r="B18" s="1347"/>
      <c r="C18" s="1347"/>
      <c r="D18" s="1347"/>
      <c r="E18" s="1348"/>
      <c r="F18" s="1347"/>
      <c r="G18" s="1347"/>
      <c r="I18" s="1349"/>
      <c r="J18" s="1349"/>
      <c r="K18" s="1349"/>
      <c r="L18" s="1350"/>
      <c r="M18" s="1349"/>
      <c r="N18" s="1349"/>
      <c r="P18" s="1345" t="s">
        <v>67</v>
      </c>
      <c r="Q18" s="1345" t="s">
        <v>67</v>
      </c>
      <c r="R18" s="1345" t="s">
        <v>67</v>
      </c>
      <c r="S18" s="1346" t="s">
        <v>67</v>
      </c>
      <c r="T18" s="1345" t="s">
        <v>67</v>
      </c>
      <c r="U18" s="1345" t="s">
        <v>67</v>
      </c>
      <c r="V18" s="1206"/>
    </row>
    <row r="19" spans="1:22" ht="12.75" customHeight="1">
      <c r="A19" s="1205"/>
      <c r="B19" s="1347"/>
      <c r="C19" s="1347"/>
      <c r="D19" s="1347"/>
      <c r="E19" s="1348"/>
      <c r="F19" s="1347"/>
      <c r="G19" s="1347"/>
      <c r="I19" s="1349"/>
      <c r="J19" s="1349"/>
      <c r="K19" s="1349"/>
      <c r="L19" s="1350"/>
      <c r="M19" s="1349"/>
      <c r="N19" s="1349"/>
      <c r="P19" s="1345" t="s">
        <v>67</v>
      </c>
      <c r="Q19" s="1345" t="s">
        <v>67</v>
      </c>
      <c r="R19" s="1345" t="s">
        <v>67</v>
      </c>
      <c r="S19" s="1346" t="s">
        <v>67</v>
      </c>
      <c r="T19" s="1345" t="s">
        <v>67</v>
      </c>
      <c r="U19" s="1345" t="s">
        <v>67</v>
      </c>
      <c r="V19" s="1206"/>
    </row>
    <row r="20" spans="1:22" ht="12.75" customHeight="1">
      <c r="A20" s="1205"/>
      <c r="B20" s="1347"/>
      <c r="C20" s="1347"/>
      <c r="D20" s="1347"/>
      <c r="E20" s="1348"/>
      <c r="F20" s="1347"/>
      <c r="G20" s="1347"/>
      <c r="I20" s="1349"/>
      <c r="J20" s="1349"/>
      <c r="K20" s="1349"/>
      <c r="L20" s="1350"/>
      <c r="M20" s="1349"/>
      <c r="N20" s="1349"/>
      <c r="P20" s="1347"/>
      <c r="Q20" s="1347"/>
      <c r="R20" s="1347"/>
      <c r="S20" s="1348"/>
      <c r="T20" s="1347"/>
      <c r="U20" s="1345" t="s">
        <v>67</v>
      </c>
      <c r="V20" s="1206"/>
    </row>
    <row r="21" spans="1:22" ht="12.75" customHeight="1">
      <c r="A21" s="1205"/>
      <c r="B21" s="1347" t="s">
        <v>67</v>
      </c>
      <c r="C21" s="1347" t="s">
        <v>67</v>
      </c>
      <c r="D21" s="1347" t="s">
        <v>67</v>
      </c>
      <c r="E21" s="1348" t="s">
        <v>67</v>
      </c>
      <c r="F21" s="1347" t="s">
        <v>67</v>
      </c>
      <c r="G21" s="1347" t="s">
        <v>67</v>
      </c>
      <c r="I21" s="1349"/>
      <c r="J21" s="1349"/>
      <c r="K21" s="1349"/>
      <c r="L21" s="1350"/>
      <c r="M21" s="1349"/>
      <c r="N21" s="1349"/>
      <c r="P21" s="1347"/>
      <c r="Q21" s="1347"/>
      <c r="R21" s="1347"/>
      <c r="S21" s="1348"/>
      <c r="T21" s="1347"/>
      <c r="U21" s="1345" t="s">
        <v>67</v>
      </c>
      <c r="V21" s="1206"/>
    </row>
    <row r="22" spans="1:22" ht="12.75" customHeight="1">
      <c r="A22" s="1205"/>
      <c r="B22" s="1347" t="s">
        <v>67</v>
      </c>
      <c r="C22" s="1347" t="s">
        <v>67</v>
      </c>
      <c r="D22" s="1347" t="s">
        <v>67</v>
      </c>
      <c r="E22" s="1348" t="s">
        <v>67</v>
      </c>
      <c r="F22" s="1347" t="s">
        <v>67</v>
      </c>
      <c r="G22" s="1347" t="s">
        <v>67</v>
      </c>
      <c r="I22" s="1349"/>
      <c r="J22" s="1349"/>
      <c r="K22" s="1349"/>
      <c r="L22" s="1350"/>
      <c r="M22" s="1349"/>
      <c r="N22" s="1349"/>
      <c r="P22" s="1347"/>
      <c r="Q22" s="1347"/>
      <c r="R22" s="1347"/>
      <c r="S22" s="1348"/>
      <c r="T22" s="1347"/>
      <c r="U22" s="1345" t="s">
        <v>67</v>
      </c>
      <c r="V22" s="1206"/>
    </row>
    <row r="23" spans="1:22" ht="12.75" customHeight="1">
      <c r="A23" s="1205"/>
      <c r="B23" s="1347" t="s">
        <v>67</v>
      </c>
      <c r="C23" s="1347" t="s">
        <v>67</v>
      </c>
      <c r="D23" s="1347" t="s">
        <v>67</v>
      </c>
      <c r="E23" s="1348" t="s">
        <v>67</v>
      </c>
      <c r="F23" s="1347" t="s">
        <v>67</v>
      </c>
      <c r="G23" s="1347" t="s">
        <v>67</v>
      </c>
      <c r="I23" s="1349"/>
      <c r="J23" s="1349"/>
      <c r="K23" s="1349"/>
      <c r="L23" s="1350"/>
      <c r="M23" s="1349"/>
      <c r="N23" s="1349"/>
      <c r="P23" s="1347"/>
      <c r="Q23" s="1347"/>
      <c r="R23" s="1347"/>
      <c r="S23" s="1348"/>
      <c r="T23" s="1347"/>
      <c r="U23" s="1345" t="s">
        <v>67</v>
      </c>
      <c r="V23" s="1206"/>
    </row>
    <row r="24" spans="1:22" ht="12.75" customHeight="1">
      <c r="A24" s="1205"/>
      <c r="B24" s="1347" t="s">
        <v>67</v>
      </c>
      <c r="C24" s="1347" t="s">
        <v>67</v>
      </c>
      <c r="D24" s="1347" t="s">
        <v>67</v>
      </c>
      <c r="E24" s="1348" t="s">
        <v>67</v>
      </c>
      <c r="F24" s="1347" t="s">
        <v>67</v>
      </c>
      <c r="G24" s="1347" t="s">
        <v>67</v>
      </c>
      <c r="I24" s="1349"/>
      <c r="J24" s="1349"/>
      <c r="K24" s="1349"/>
      <c r="L24" s="1350"/>
      <c r="M24" s="1349"/>
      <c r="N24" s="1349"/>
      <c r="P24" s="1347"/>
      <c r="Q24" s="1347"/>
      <c r="R24" s="1347"/>
      <c r="S24" s="1348"/>
      <c r="T24" s="1347"/>
      <c r="U24" s="1345" t="s">
        <v>67</v>
      </c>
      <c r="V24" s="1206"/>
    </row>
    <row r="25" spans="1:22" ht="12.75" customHeight="1">
      <c r="A25" s="1205"/>
      <c r="B25" s="1347" t="s">
        <v>67</v>
      </c>
      <c r="C25" s="1347" t="s">
        <v>67</v>
      </c>
      <c r="D25" s="1347" t="s">
        <v>67</v>
      </c>
      <c r="E25" s="1348" t="s">
        <v>67</v>
      </c>
      <c r="F25" s="1347" t="s">
        <v>67</v>
      </c>
      <c r="G25" s="1347" t="s">
        <v>67</v>
      </c>
      <c r="I25" s="1349"/>
      <c r="J25" s="1349"/>
      <c r="K25" s="1349"/>
      <c r="L25" s="1350"/>
      <c r="M25" s="1349"/>
      <c r="N25" s="1349"/>
      <c r="P25" s="1347"/>
      <c r="Q25" s="1347"/>
      <c r="R25" s="1347"/>
      <c r="S25" s="1348"/>
      <c r="T25" s="1347"/>
      <c r="U25" s="1345" t="s">
        <v>67</v>
      </c>
      <c r="V25" s="1206"/>
    </row>
    <row r="26" spans="1:22" ht="12.75" customHeight="1">
      <c r="A26" s="1205"/>
      <c r="B26" s="1347" t="s">
        <v>67</v>
      </c>
      <c r="C26" s="1347" t="s">
        <v>67</v>
      </c>
      <c r="D26" s="1347" t="s">
        <v>67</v>
      </c>
      <c r="E26" s="1348" t="s">
        <v>67</v>
      </c>
      <c r="F26" s="1347" t="s">
        <v>67</v>
      </c>
      <c r="G26" s="1347" t="s">
        <v>67</v>
      </c>
      <c r="I26" s="1349"/>
      <c r="J26" s="1349"/>
      <c r="K26" s="1349"/>
      <c r="L26" s="1350"/>
      <c r="M26" s="1349"/>
      <c r="N26" s="1349"/>
      <c r="P26" s="1347"/>
      <c r="Q26" s="1347"/>
      <c r="R26" s="1347"/>
      <c r="S26" s="1348"/>
      <c r="T26" s="1347"/>
      <c r="U26" s="1345" t="s">
        <v>67</v>
      </c>
      <c r="V26" s="1206"/>
    </row>
    <row r="27" spans="1:22" ht="12.75" customHeight="1">
      <c r="A27" s="1205"/>
      <c r="B27" s="1347" t="s">
        <v>67</v>
      </c>
      <c r="C27" s="1347" t="s">
        <v>67</v>
      </c>
      <c r="D27" s="1347" t="s">
        <v>67</v>
      </c>
      <c r="E27" s="1348" t="s">
        <v>67</v>
      </c>
      <c r="F27" s="1347" t="s">
        <v>67</v>
      </c>
      <c r="G27" s="1347" t="s">
        <v>67</v>
      </c>
      <c r="I27" s="1345"/>
      <c r="J27" s="1345"/>
      <c r="K27" s="1345"/>
      <c r="L27" s="1346"/>
      <c r="M27" s="1345"/>
      <c r="N27" s="1345"/>
      <c r="P27" s="1347"/>
      <c r="Q27" s="1347"/>
      <c r="R27" s="1347"/>
      <c r="S27" s="1348"/>
      <c r="T27" s="1347"/>
      <c r="U27" s="1345" t="s">
        <v>67</v>
      </c>
      <c r="V27" s="1206"/>
    </row>
    <row r="28" spans="1:22" ht="12.75" customHeight="1">
      <c r="A28" s="1205"/>
      <c r="B28" s="1347" t="s">
        <v>67</v>
      </c>
      <c r="C28" s="1347" t="s">
        <v>67</v>
      </c>
      <c r="D28" s="1347" t="s">
        <v>67</v>
      </c>
      <c r="E28" s="1348" t="s">
        <v>67</v>
      </c>
      <c r="F28" s="1347" t="s">
        <v>67</v>
      </c>
      <c r="G28" s="1347" t="s">
        <v>67</v>
      </c>
      <c r="I28" s="1345"/>
      <c r="J28" s="1345"/>
      <c r="K28" s="1345"/>
      <c r="L28" s="1346"/>
      <c r="M28" s="1345"/>
      <c r="N28" s="1345"/>
      <c r="P28" s="1347"/>
      <c r="Q28" s="1347"/>
      <c r="R28" s="1347"/>
      <c r="S28" s="1348"/>
      <c r="T28" s="1347"/>
      <c r="U28" s="1345" t="s">
        <v>67</v>
      </c>
      <c r="V28" s="1206"/>
    </row>
    <row r="29" spans="1:22" ht="12.75" customHeight="1">
      <c r="A29" s="1205"/>
      <c r="B29" s="1347" t="s">
        <v>67</v>
      </c>
      <c r="C29" s="1347" t="s">
        <v>67</v>
      </c>
      <c r="D29" s="1347" t="s">
        <v>67</v>
      </c>
      <c r="E29" s="1348" t="s">
        <v>67</v>
      </c>
      <c r="F29" s="1347" t="s">
        <v>67</v>
      </c>
      <c r="G29" s="1347" t="s">
        <v>67</v>
      </c>
      <c r="I29" s="1345"/>
      <c r="J29" s="1345"/>
      <c r="K29" s="1345"/>
      <c r="L29" s="1346"/>
      <c r="M29" s="1345"/>
      <c r="N29" s="1345"/>
      <c r="P29" s="1347"/>
      <c r="Q29" s="1347"/>
      <c r="R29" s="1347"/>
      <c r="S29" s="1348"/>
      <c r="T29" s="1347"/>
      <c r="U29" s="1345" t="s">
        <v>67</v>
      </c>
      <c r="V29" s="1206"/>
    </row>
    <row r="30" spans="1:22" ht="12.75" customHeight="1">
      <c r="A30" s="1205"/>
      <c r="B30" s="1347" t="s">
        <v>67</v>
      </c>
      <c r="C30" s="1347" t="s">
        <v>67</v>
      </c>
      <c r="D30" s="1347" t="s">
        <v>67</v>
      </c>
      <c r="E30" s="1348" t="s">
        <v>67</v>
      </c>
      <c r="F30" s="1347" t="s">
        <v>67</v>
      </c>
      <c r="G30" s="1347" t="s">
        <v>67</v>
      </c>
      <c r="I30" s="1345"/>
      <c r="J30" s="1345"/>
      <c r="K30" s="1345"/>
      <c r="L30" s="1346"/>
      <c r="M30" s="1345"/>
      <c r="N30" s="1345"/>
      <c r="P30" s="1347"/>
      <c r="Q30" s="1347"/>
      <c r="R30" s="1347"/>
      <c r="S30" s="1348"/>
      <c r="T30" s="1347"/>
      <c r="U30" s="1345" t="s">
        <v>67</v>
      </c>
      <c r="V30" s="1206"/>
    </row>
    <row r="31" spans="1:22" ht="12.75" customHeight="1">
      <c r="A31" s="1205"/>
      <c r="B31" s="1347" t="s">
        <v>67</v>
      </c>
      <c r="C31" s="1347" t="s">
        <v>67</v>
      </c>
      <c r="D31" s="1347" t="s">
        <v>67</v>
      </c>
      <c r="E31" s="1348" t="s">
        <v>67</v>
      </c>
      <c r="F31" s="1347" t="s">
        <v>67</v>
      </c>
      <c r="G31" s="1347" t="s">
        <v>67</v>
      </c>
      <c r="I31" s="1345"/>
      <c r="J31" s="1345"/>
      <c r="K31" s="1345"/>
      <c r="L31" s="1346"/>
      <c r="M31" s="1345"/>
      <c r="N31" s="1345"/>
      <c r="P31" s="1347"/>
      <c r="Q31" s="1347"/>
      <c r="R31" s="1347"/>
      <c r="S31" s="1348"/>
      <c r="T31" s="1347"/>
      <c r="U31" s="1345" t="s">
        <v>67</v>
      </c>
      <c r="V31" s="1206"/>
    </row>
    <row r="32" spans="1:22" ht="12.75" customHeight="1">
      <c r="A32" s="1205"/>
      <c r="B32" s="1347" t="s">
        <v>67</v>
      </c>
      <c r="C32" s="1347" t="s">
        <v>67</v>
      </c>
      <c r="D32" s="1347" t="s">
        <v>67</v>
      </c>
      <c r="E32" s="1348" t="s">
        <v>67</v>
      </c>
      <c r="F32" s="1347" t="s">
        <v>67</v>
      </c>
      <c r="G32" s="1347" t="s">
        <v>67</v>
      </c>
      <c r="I32" s="1345"/>
      <c r="J32" s="1345"/>
      <c r="K32" s="1345"/>
      <c r="L32" s="1346"/>
      <c r="M32" s="1345"/>
      <c r="N32" s="1345"/>
      <c r="P32" s="1347"/>
      <c r="Q32" s="1347"/>
      <c r="R32" s="1347"/>
      <c r="S32" s="1348"/>
      <c r="T32" s="1347"/>
      <c r="U32" s="1345" t="s">
        <v>67</v>
      </c>
      <c r="V32" s="1206"/>
    </row>
    <row r="33" spans="1:22" ht="12.75" customHeight="1">
      <c r="A33" s="1205"/>
      <c r="B33" s="1347" t="s">
        <v>67</v>
      </c>
      <c r="C33" s="1347" t="s">
        <v>67</v>
      </c>
      <c r="D33" s="1347" t="s">
        <v>67</v>
      </c>
      <c r="E33" s="1348" t="s">
        <v>67</v>
      </c>
      <c r="F33" s="1347" t="s">
        <v>67</v>
      </c>
      <c r="G33" s="1347" t="s">
        <v>67</v>
      </c>
      <c r="I33" s="1345"/>
      <c r="J33" s="1345"/>
      <c r="K33" s="1345"/>
      <c r="L33" s="1346"/>
      <c r="M33" s="1345"/>
      <c r="N33" s="1345"/>
      <c r="P33" s="1347"/>
      <c r="Q33" s="1347"/>
      <c r="R33" s="1347"/>
      <c r="S33" s="1348"/>
      <c r="T33" s="1347"/>
      <c r="U33" s="1345" t="s">
        <v>67</v>
      </c>
      <c r="V33" s="1206"/>
    </row>
    <row r="34" spans="1:22" ht="12.75" customHeight="1">
      <c r="A34" s="1205"/>
      <c r="B34" s="1347" t="s">
        <v>67</v>
      </c>
      <c r="C34" s="1347" t="s">
        <v>67</v>
      </c>
      <c r="D34" s="1347" t="s">
        <v>67</v>
      </c>
      <c r="E34" s="1348" t="s">
        <v>67</v>
      </c>
      <c r="F34" s="1347" t="s">
        <v>67</v>
      </c>
      <c r="G34" s="1347" t="s">
        <v>67</v>
      </c>
      <c r="I34" s="1345"/>
      <c r="J34" s="1345"/>
      <c r="K34" s="1345"/>
      <c r="L34" s="1346"/>
      <c r="M34" s="1345"/>
      <c r="N34" s="1345"/>
      <c r="P34" s="1347"/>
      <c r="Q34" s="1347"/>
      <c r="R34" s="1347"/>
      <c r="S34" s="1348"/>
      <c r="T34" s="1347"/>
      <c r="U34" s="1345" t="s">
        <v>67</v>
      </c>
      <c r="V34" s="1206"/>
    </row>
    <row r="35" spans="1:22" ht="12.75" customHeight="1">
      <c r="A35" s="1205"/>
      <c r="B35" s="1347" t="s">
        <v>67</v>
      </c>
      <c r="C35" s="1347" t="s">
        <v>67</v>
      </c>
      <c r="D35" s="1347" t="s">
        <v>67</v>
      </c>
      <c r="E35" s="1348" t="s">
        <v>67</v>
      </c>
      <c r="F35" s="1347" t="s">
        <v>67</v>
      </c>
      <c r="G35" s="1347" t="s">
        <v>67</v>
      </c>
      <c r="I35" s="1345"/>
      <c r="J35" s="1345"/>
      <c r="K35" s="1345"/>
      <c r="L35" s="1346"/>
      <c r="M35" s="1345"/>
      <c r="N35" s="1345"/>
      <c r="P35" s="1347"/>
      <c r="Q35" s="1347"/>
      <c r="R35" s="1347"/>
      <c r="S35" s="1348"/>
      <c r="T35" s="1347"/>
      <c r="U35" s="1345" t="s">
        <v>67</v>
      </c>
      <c r="V35" s="1206"/>
    </row>
    <row r="36" spans="1:22" ht="12.75" customHeight="1">
      <c r="A36" s="1205"/>
      <c r="B36" s="1347" t="s">
        <v>67</v>
      </c>
      <c r="C36" s="1347" t="s">
        <v>67</v>
      </c>
      <c r="D36" s="1347" t="s">
        <v>67</v>
      </c>
      <c r="E36" s="1348" t="s">
        <v>67</v>
      </c>
      <c r="F36" s="1347" t="s">
        <v>67</v>
      </c>
      <c r="G36" s="1347" t="s">
        <v>67</v>
      </c>
      <c r="I36" s="1345"/>
      <c r="J36" s="1345"/>
      <c r="K36" s="1345"/>
      <c r="L36" s="1346"/>
      <c r="M36" s="1345"/>
      <c r="N36" s="1345"/>
      <c r="P36" s="1347"/>
      <c r="Q36" s="1347"/>
      <c r="R36" s="1347"/>
      <c r="S36" s="1348"/>
      <c r="T36" s="1347"/>
      <c r="U36" s="1345" t="s">
        <v>67</v>
      </c>
      <c r="V36" s="1206"/>
    </row>
    <row r="37" spans="1:22" ht="12.75" customHeight="1">
      <c r="A37" s="1205"/>
      <c r="B37" s="1347" t="s">
        <v>67</v>
      </c>
      <c r="C37" s="1347" t="s">
        <v>67</v>
      </c>
      <c r="D37" s="1347" t="s">
        <v>67</v>
      </c>
      <c r="E37" s="1348" t="s">
        <v>67</v>
      </c>
      <c r="F37" s="1347" t="s">
        <v>67</v>
      </c>
      <c r="G37" s="1347" t="s">
        <v>67</v>
      </c>
      <c r="I37" s="1345"/>
      <c r="J37" s="1345"/>
      <c r="K37" s="1345"/>
      <c r="L37" s="1346"/>
      <c r="M37" s="1345"/>
      <c r="N37" s="1345"/>
      <c r="P37" s="1347"/>
      <c r="Q37" s="1347"/>
      <c r="R37" s="1347"/>
      <c r="S37" s="1348"/>
      <c r="T37" s="1347"/>
      <c r="U37" s="1345" t="s">
        <v>67</v>
      </c>
      <c r="V37" s="1206"/>
    </row>
    <row r="38" spans="1:22" ht="12.75" customHeight="1">
      <c r="A38" s="1205"/>
      <c r="B38" s="1347" t="s">
        <v>67</v>
      </c>
      <c r="C38" s="1347" t="s">
        <v>67</v>
      </c>
      <c r="D38" s="1347" t="s">
        <v>67</v>
      </c>
      <c r="E38" s="1348" t="s">
        <v>67</v>
      </c>
      <c r="F38" s="1347" t="s">
        <v>67</v>
      </c>
      <c r="G38" s="1347" t="s">
        <v>67</v>
      </c>
      <c r="I38" s="1345"/>
      <c r="J38" s="1345"/>
      <c r="K38" s="1345"/>
      <c r="L38" s="1346"/>
      <c r="M38" s="1345"/>
      <c r="N38" s="1345"/>
      <c r="P38" s="1347"/>
      <c r="Q38" s="1347"/>
      <c r="R38" s="1347"/>
      <c r="S38" s="1348"/>
      <c r="T38" s="1347"/>
      <c r="U38" s="1345" t="s">
        <v>67</v>
      </c>
      <c r="V38" s="1206"/>
    </row>
    <row r="39" spans="1:22" ht="12.75" customHeight="1">
      <c r="A39" s="1205"/>
      <c r="B39" s="1347" t="s">
        <v>67</v>
      </c>
      <c r="C39" s="1347" t="s">
        <v>67</v>
      </c>
      <c r="D39" s="1347" t="s">
        <v>67</v>
      </c>
      <c r="E39" s="1348" t="s">
        <v>67</v>
      </c>
      <c r="F39" s="1347" t="s">
        <v>67</v>
      </c>
      <c r="G39" s="1347" t="s">
        <v>67</v>
      </c>
      <c r="I39" s="1345"/>
      <c r="J39" s="1345"/>
      <c r="K39" s="1345"/>
      <c r="L39" s="1346"/>
      <c r="M39" s="1345"/>
      <c r="N39" s="1345"/>
      <c r="P39" s="1347"/>
      <c r="Q39" s="1347"/>
      <c r="R39" s="1347"/>
      <c r="S39" s="1348"/>
      <c r="T39" s="1347"/>
      <c r="U39" s="1345" t="s">
        <v>67</v>
      </c>
      <c r="V39" s="1206"/>
    </row>
    <row r="40" spans="1:22" ht="12.75" customHeight="1">
      <c r="A40" s="1205"/>
      <c r="B40" s="1347" t="s">
        <v>67</v>
      </c>
      <c r="C40" s="1347" t="s">
        <v>67</v>
      </c>
      <c r="D40" s="1347" t="s">
        <v>67</v>
      </c>
      <c r="E40" s="1348" t="s">
        <v>67</v>
      </c>
      <c r="F40" s="1347" t="s">
        <v>67</v>
      </c>
      <c r="G40" s="1347" t="s">
        <v>67</v>
      </c>
      <c r="I40" s="1345" t="s">
        <v>67</v>
      </c>
      <c r="J40" s="1345" t="s">
        <v>67</v>
      </c>
      <c r="K40" s="1345" t="s">
        <v>67</v>
      </c>
      <c r="L40" s="1346" t="s">
        <v>67</v>
      </c>
      <c r="M40" s="1345" t="s">
        <v>67</v>
      </c>
      <c r="N40" s="1345" t="s">
        <v>67</v>
      </c>
      <c r="P40" s="1347"/>
      <c r="Q40" s="1347"/>
      <c r="R40" s="1347"/>
      <c r="S40" s="1348"/>
      <c r="T40" s="1347"/>
      <c r="U40" s="1345" t="s">
        <v>67</v>
      </c>
      <c r="V40" s="1206"/>
    </row>
    <row r="41" spans="1:22" ht="12.75" customHeight="1">
      <c r="A41" s="1205"/>
      <c r="B41" s="1347" t="s">
        <v>67</v>
      </c>
      <c r="C41" s="1347" t="s">
        <v>67</v>
      </c>
      <c r="D41" s="1347" t="s">
        <v>67</v>
      </c>
      <c r="E41" s="1348" t="s">
        <v>67</v>
      </c>
      <c r="F41" s="1347" t="s">
        <v>67</v>
      </c>
      <c r="G41" s="1347" t="s">
        <v>67</v>
      </c>
      <c r="I41" s="1345" t="s">
        <v>67</v>
      </c>
      <c r="J41" s="1345" t="s">
        <v>67</v>
      </c>
      <c r="K41" s="1345" t="s">
        <v>67</v>
      </c>
      <c r="L41" s="1346" t="s">
        <v>67</v>
      </c>
      <c r="M41" s="1345" t="s">
        <v>67</v>
      </c>
      <c r="N41" s="1345" t="s">
        <v>67</v>
      </c>
      <c r="P41" s="1347"/>
      <c r="Q41" s="1347"/>
      <c r="R41" s="1347"/>
      <c r="S41" s="1348"/>
      <c r="T41" s="1347"/>
      <c r="U41" s="1345" t="s">
        <v>67</v>
      </c>
      <c r="V41" s="1206"/>
    </row>
    <row r="42" spans="1:22" ht="12.75" customHeight="1">
      <c r="A42" s="1205"/>
      <c r="B42" s="1347" t="s">
        <v>67</v>
      </c>
      <c r="C42" s="1347" t="s">
        <v>67</v>
      </c>
      <c r="D42" s="1347" t="s">
        <v>67</v>
      </c>
      <c r="E42" s="1348" t="s">
        <v>67</v>
      </c>
      <c r="F42" s="1347" t="s">
        <v>67</v>
      </c>
      <c r="G42" s="1347" t="s">
        <v>67</v>
      </c>
      <c r="I42" s="1345" t="s">
        <v>67</v>
      </c>
      <c r="J42" s="1345" t="s">
        <v>67</v>
      </c>
      <c r="K42" s="1345" t="s">
        <v>67</v>
      </c>
      <c r="L42" s="1346" t="s">
        <v>67</v>
      </c>
      <c r="M42" s="1345" t="s">
        <v>67</v>
      </c>
      <c r="N42" s="1345" t="s">
        <v>67</v>
      </c>
      <c r="P42" s="1347"/>
      <c r="Q42" s="1347"/>
      <c r="R42" s="1347"/>
      <c r="S42" s="1348"/>
      <c r="T42" s="1347"/>
      <c r="U42" s="1345" t="s">
        <v>67</v>
      </c>
      <c r="V42" s="1206"/>
    </row>
    <row r="43" spans="1:22" ht="12.75" customHeight="1">
      <c r="A43" s="1205"/>
      <c r="B43" s="1347" t="s">
        <v>67</v>
      </c>
      <c r="C43" s="1347" t="s">
        <v>67</v>
      </c>
      <c r="D43" s="1347" t="s">
        <v>67</v>
      </c>
      <c r="E43" s="1348" t="s">
        <v>67</v>
      </c>
      <c r="F43" s="1347" t="s">
        <v>67</v>
      </c>
      <c r="G43" s="1347" t="s">
        <v>67</v>
      </c>
      <c r="I43" s="1345" t="s">
        <v>67</v>
      </c>
      <c r="J43" s="1345" t="s">
        <v>67</v>
      </c>
      <c r="K43" s="1345" t="s">
        <v>67</v>
      </c>
      <c r="L43" s="1346" t="s">
        <v>67</v>
      </c>
      <c r="M43" s="1345" t="s">
        <v>67</v>
      </c>
      <c r="N43" s="1345" t="s">
        <v>67</v>
      </c>
      <c r="P43" s="1347"/>
      <c r="Q43" s="1347"/>
      <c r="R43" s="1347"/>
      <c r="S43" s="1348"/>
      <c r="T43" s="1347"/>
      <c r="U43" s="1345" t="s">
        <v>67</v>
      </c>
      <c r="V43" s="1206"/>
    </row>
    <row r="44" spans="1:22" ht="12.75" customHeight="1">
      <c r="A44" s="1205"/>
      <c r="B44" s="1347" t="s">
        <v>67</v>
      </c>
      <c r="C44" s="1347" t="s">
        <v>67</v>
      </c>
      <c r="D44" s="1347" t="s">
        <v>67</v>
      </c>
      <c r="E44" s="1348" t="s">
        <v>67</v>
      </c>
      <c r="F44" s="1347" t="s">
        <v>67</v>
      </c>
      <c r="G44" s="1347" t="s">
        <v>67</v>
      </c>
      <c r="I44" s="1345" t="s">
        <v>67</v>
      </c>
      <c r="J44" s="1345" t="s">
        <v>67</v>
      </c>
      <c r="K44" s="1345" t="s">
        <v>67</v>
      </c>
      <c r="L44" s="1346" t="s">
        <v>67</v>
      </c>
      <c r="M44" s="1345" t="s">
        <v>67</v>
      </c>
      <c r="N44" s="1345" t="s">
        <v>67</v>
      </c>
      <c r="P44" s="1347"/>
      <c r="Q44" s="1347"/>
      <c r="R44" s="1347"/>
      <c r="S44" s="1348"/>
      <c r="T44" s="1347"/>
      <c r="U44" s="1345" t="s">
        <v>67</v>
      </c>
      <c r="V44" s="1206"/>
    </row>
    <row r="45" spans="1:22" ht="12.75" customHeight="1">
      <c r="A45" s="1205"/>
      <c r="B45" s="1351" t="s">
        <v>67</v>
      </c>
      <c r="C45" s="1351" t="s">
        <v>67</v>
      </c>
      <c r="D45" s="1351" t="s">
        <v>67</v>
      </c>
      <c r="E45" s="1352"/>
      <c r="F45" s="1351" t="s">
        <v>67</v>
      </c>
      <c r="G45" s="1351" t="s">
        <v>67</v>
      </c>
      <c r="I45" s="1345" t="s">
        <v>67</v>
      </c>
      <c r="J45" s="1345" t="s">
        <v>67</v>
      </c>
      <c r="K45" s="1345" t="s">
        <v>67</v>
      </c>
      <c r="L45" s="1346" t="s">
        <v>67</v>
      </c>
      <c r="M45" s="1345" t="s">
        <v>67</v>
      </c>
      <c r="N45" s="1345" t="s">
        <v>67</v>
      </c>
      <c r="P45" s="1351"/>
      <c r="Q45" s="1351"/>
      <c r="R45" s="1351"/>
      <c r="S45" s="1353"/>
      <c r="T45" s="1351"/>
      <c r="U45" s="1354" t="s">
        <v>67</v>
      </c>
      <c r="V45" s="1206"/>
    </row>
    <row r="46" spans="1:22" ht="12.75" customHeight="1">
      <c r="A46" s="1205"/>
      <c r="V46" s="1206"/>
    </row>
    <row r="47" spans="1:22" ht="12.75" customHeight="1">
      <c r="A47" s="1205"/>
      <c r="B47" s="1355" t="s">
        <v>266</v>
      </c>
      <c r="C47" s="1356"/>
      <c r="D47" s="1356"/>
      <c r="E47" s="1356"/>
      <c r="F47" s="1356"/>
      <c r="G47" s="1356"/>
      <c r="H47" s="1356"/>
      <c r="I47" s="1356"/>
      <c r="J47" s="1356"/>
      <c r="K47" s="1356"/>
      <c r="V47" s="1206"/>
    </row>
    <row r="48" spans="1:22" ht="12.75" customHeight="1">
      <c r="A48" s="1205"/>
      <c r="B48" s="2237" t="s">
        <v>313</v>
      </c>
      <c r="C48" s="2237"/>
      <c r="D48" s="2237"/>
      <c r="E48" s="1357">
        <f>E8+E11+E12</f>
        <v>991.7</v>
      </c>
      <c r="F48" s="1356"/>
      <c r="G48" s="1356"/>
      <c r="H48" s="1358"/>
      <c r="V48" s="1206"/>
    </row>
    <row r="49" spans="1:22" ht="12.75" customHeight="1">
      <c r="A49" s="1359"/>
      <c r="B49" s="1356"/>
      <c r="C49" s="1356"/>
      <c r="D49" s="1360"/>
      <c r="E49" s="1357"/>
      <c r="V49" s="1206"/>
    </row>
    <row r="50" spans="1:22" ht="12.75" customHeight="1">
      <c r="A50" s="1361"/>
      <c r="V50" s="1206"/>
    </row>
    <row r="51" spans="1:22" ht="12.75" customHeight="1">
      <c r="A51" s="1361"/>
      <c r="B51" s="2237"/>
      <c r="C51" s="2237"/>
      <c r="D51" s="2237"/>
      <c r="E51" s="1362"/>
      <c r="F51" s="1356"/>
      <c r="G51" s="1356"/>
      <c r="H51" s="1358"/>
      <c r="I51" s="1356"/>
      <c r="J51" s="1356"/>
      <c r="K51" s="1360"/>
      <c r="L51" s="1357"/>
      <c r="V51" s="1206"/>
    </row>
    <row r="52" spans="1:22" ht="12.75" customHeight="1">
      <c r="A52" s="1363"/>
      <c r="B52" s="1356"/>
      <c r="C52" s="1355"/>
      <c r="D52" s="1360"/>
      <c r="E52" s="1356"/>
      <c r="F52" s="1356"/>
      <c r="G52" s="1356"/>
      <c r="H52" s="1356"/>
      <c r="I52" s="1356"/>
      <c r="J52" s="1356"/>
      <c r="K52" s="1356"/>
      <c r="V52" s="1206"/>
    </row>
    <row r="53" spans="1:22" ht="12.75" customHeight="1" thickBot="1">
      <c r="A53" s="1364"/>
      <c r="B53" s="1365"/>
      <c r="C53" s="1366"/>
      <c r="D53" s="1367"/>
      <c r="E53" s="1365"/>
      <c r="F53" s="1365"/>
      <c r="G53" s="1365"/>
      <c r="H53" s="1365"/>
      <c r="I53" s="1365"/>
      <c r="J53" s="1365"/>
      <c r="K53" s="1365"/>
      <c r="L53" s="1246"/>
      <c r="M53" s="1246"/>
      <c r="N53" s="1246"/>
      <c r="O53" s="1246"/>
      <c r="P53" s="1246"/>
      <c r="Q53" s="1246"/>
      <c r="R53" s="1246"/>
      <c r="S53" s="1246"/>
      <c r="T53" s="1246"/>
      <c r="U53" s="1246"/>
      <c r="V53" s="1251"/>
    </row>
    <row r="61" spans="1:22">
      <c r="C61" s="1657"/>
    </row>
  </sheetData>
  <mergeCells count="17">
    <mergeCell ref="T5:T6"/>
    <mergeCell ref="B7:G7"/>
    <mergeCell ref="B10:G10"/>
    <mergeCell ref="B48:D48"/>
    <mergeCell ref="B51:D51"/>
    <mergeCell ref="K5:K6"/>
    <mergeCell ref="L5:L6"/>
    <mergeCell ref="M5:M6"/>
    <mergeCell ref="P5:Q5"/>
    <mergeCell ref="R5:R6"/>
    <mergeCell ref="S5:S6"/>
    <mergeCell ref="I5:J5"/>
    <mergeCell ref="B2:G3"/>
    <mergeCell ref="B5:C5"/>
    <mergeCell ref="D5:D6"/>
    <mergeCell ref="E5:E6"/>
    <mergeCell ref="F5:F6"/>
  </mergeCells>
  <pageMargins left="0.511811024" right="0.511811024" top="0.78740157499999996" bottom="0.78740157499999996" header="0.31496062000000002" footer="0.3149606200000000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C6455-08E1-4183-BC03-3FC27780F3FB}">
  <sheetPr>
    <tabColor rgb="FFFFC000"/>
  </sheetPr>
  <dimension ref="A1:T65"/>
  <sheetViews>
    <sheetView workbookViewId="0">
      <selection activeCell="I10" sqref="I10"/>
    </sheetView>
  </sheetViews>
  <sheetFormatPr defaultColWidth="9.140625" defaultRowHeight="12.75"/>
  <cols>
    <col min="1" max="15" width="9.140625" style="1204"/>
    <col min="16" max="19" width="0" style="1204" hidden="1" customWidth="1"/>
    <col min="20" max="16384" width="9.140625" style="1204"/>
  </cols>
  <sheetData>
    <row r="1" spans="1:20">
      <c r="A1" s="1628"/>
      <c r="B1" s="1629"/>
      <c r="C1" s="1629"/>
      <c r="D1" s="1629"/>
      <c r="E1" s="1630"/>
      <c r="F1" s="1629"/>
      <c r="G1" s="1629"/>
      <c r="H1" s="1629"/>
      <c r="I1" s="1629"/>
      <c r="J1" s="1630"/>
      <c r="K1" s="1629"/>
      <c r="L1" s="1629"/>
      <c r="M1" s="1630"/>
      <c r="N1" s="1629"/>
      <c r="O1" s="1629"/>
      <c r="P1" s="1629"/>
      <c r="Q1" s="1629"/>
      <c r="R1" s="1629"/>
      <c r="S1" s="1630"/>
      <c r="T1" s="1631"/>
    </row>
    <row r="2" spans="1:20">
      <c r="A2" s="1306"/>
      <c r="B2" s="2274" t="s">
        <v>1432</v>
      </c>
      <c r="C2" s="2274"/>
      <c r="D2" s="2274"/>
      <c r="E2" s="2274"/>
      <c r="F2" s="2274"/>
      <c r="G2" s="2274"/>
      <c r="H2" s="2274"/>
      <c r="I2" s="2274"/>
      <c r="J2" s="2274"/>
      <c r="K2" s="2274"/>
      <c r="L2" s="2274"/>
      <c r="M2" s="2274"/>
      <c r="N2" s="2274"/>
      <c r="O2" s="2274"/>
      <c r="P2" s="2274"/>
      <c r="Q2" s="2274"/>
      <c r="R2" s="2274"/>
      <c r="S2" s="2274"/>
      <c r="T2" s="1632"/>
    </row>
    <row r="3" spans="1:20">
      <c r="A3" s="1306"/>
      <c r="B3" s="2274"/>
      <c r="C3" s="2274"/>
      <c r="D3" s="2274"/>
      <c r="E3" s="2274"/>
      <c r="F3" s="2274"/>
      <c r="G3" s="2274"/>
      <c r="H3" s="2274"/>
      <c r="I3" s="2274"/>
      <c r="J3" s="2274"/>
      <c r="K3" s="2274"/>
      <c r="L3" s="2274"/>
      <c r="M3" s="2274"/>
      <c r="N3" s="2274"/>
      <c r="O3" s="2274"/>
      <c r="P3" s="2274"/>
      <c r="Q3" s="2274"/>
      <c r="R3" s="2274"/>
      <c r="S3" s="2274"/>
      <c r="T3" s="1632"/>
    </row>
    <row r="4" spans="1:20">
      <c r="A4" s="1306"/>
      <c r="B4" s="2275" t="s">
        <v>1433</v>
      </c>
      <c r="C4" s="2275"/>
      <c r="D4" s="2275"/>
      <c r="E4" s="2275"/>
      <c r="F4" s="2275"/>
      <c r="G4" s="2276" t="s">
        <v>1434</v>
      </c>
      <c r="H4" s="2277"/>
      <c r="I4" s="2277"/>
      <c r="J4" s="2278"/>
      <c r="K4" s="2275" t="s">
        <v>1435</v>
      </c>
      <c r="L4" s="2275"/>
      <c r="M4" s="2275"/>
      <c r="N4" s="1633" t="s">
        <v>1436</v>
      </c>
      <c r="P4" s="2275" t="s">
        <v>1437</v>
      </c>
      <c r="Q4" s="2275"/>
      <c r="R4" s="2275"/>
      <c r="S4" s="2275"/>
      <c r="T4" s="1632"/>
    </row>
    <row r="5" spans="1:20">
      <c r="A5" s="1306"/>
      <c r="B5" s="2269" t="s">
        <v>248</v>
      </c>
      <c r="C5" s="2269"/>
      <c r="D5" s="2270" t="s">
        <v>249</v>
      </c>
      <c r="E5" s="2272" t="s">
        <v>250</v>
      </c>
      <c r="F5" s="2270" t="s">
        <v>251</v>
      </c>
      <c r="G5" s="2269" t="s">
        <v>248</v>
      </c>
      <c r="H5" s="2269"/>
      <c r="I5" s="2270" t="s">
        <v>249</v>
      </c>
      <c r="J5" s="2272" t="s">
        <v>250</v>
      </c>
      <c r="K5" s="2270" t="s">
        <v>551</v>
      </c>
      <c r="L5" s="2270" t="s">
        <v>249</v>
      </c>
      <c r="M5" s="2272" t="s">
        <v>250</v>
      </c>
      <c r="N5" s="1634" t="s">
        <v>308</v>
      </c>
      <c r="P5" s="2269" t="s">
        <v>248</v>
      </c>
      <c r="Q5" s="2269"/>
      <c r="R5" s="2270" t="s">
        <v>249</v>
      </c>
      <c r="S5" s="2272" t="s">
        <v>250</v>
      </c>
      <c r="T5" s="1632"/>
    </row>
    <row r="6" spans="1:20" ht="24" customHeight="1">
      <c r="A6" s="1306"/>
      <c r="B6" s="1635" t="s">
        <v>253</v>
      </c>
      <c r="C6" s="1635" t="s">
        <v>254</v>
      </c>
      <c r="D6" s="2271"/>
      <c r="E6" s="2273"/>
      <c r="F6" s="2271"/>
      <c r="G6" s="1635" t="s">
        <v>253</v>
      </c>
      <c r="H6" s="1635" t="s">
        <v>254</v>
      </c>
      <c r="I6" s="2271"/>
      <c r="J6" s="2273"/>
      <c r="K6" s="2271"/>
      <c r="L6" s="2271"/>
      <c r="M6" s="2273"/>
      <c r="N6" s="1636" t="s">
        <v>249</v>
      </c>
      <c r="P6" s="1635" t="s">
        <v>253</v>
      </c>
      <c r="Q6" s="1635" t="s">
        <v>254</v>
      </c>
      <c r="R6" s="2271"/>
      <c r="S6" s="2273"/>
      <c r="T6" s="1632"/>
    </row>
    <row r="7" spans="1:20">
      <c r="A7" s="1306"/>
      <c r="B7" s="2279" t="s">
        <v>261</v>
      </c>
      <c r="C7" s="2280"/>
      <c r="D7" s="2280"/>
      <c r="E7" s="2280"/>
      <c r="F7" s="2280"/>
      <c r="G7" s="2280"/>
      <c r="H7" s="2280"/>
      <c r="I7" s="2280"/>
      <c r="J7" s="2280"/>
      <c r="K7" s="2280"/>
      <c r="L7" s="2280"/>
      <c r="M7" s="2280"/>
      <c r="N7" s="2281"/>
      <c r="P7" s="2282" t="s">
        <v>257</v>
      </c>
      <c r="Q7" s="2283" t="s">
        <v>67</v>
      </c>
      <c r="R7" s="2283" t="s">
        <v>67</v>
      </c>
      <c r="S7" s="2284" t="s">
        <v>67</v>
      </c>
      <c r="T7" s="1632"/>
    </row>
    <row r="8" spans="1:20">
      <c r="A8" s="1306"/>
      <c r="B8" s="2285" t="s">
        <v>1438</v>
      </c>
      <c r="C8" s="2285" t="s">
        <v>263</v>
      </c>
      <c r="D8" s="2285" t="s">
        <v>1439</v>
      </c>
      <c r="E8" s="2285">
        <f>(116-92)*20+(1.59)</f>
        <v>481.59</v>
      </c>
      <c r="F8" s="2285" t="s">
        <v>264</v>
      </c>
      <c r="G8" s="1637" t="s">
        <v>1440</v>
      </c>
      <c r="H8" s="1637" t="s">
        <v>1441</v>
      </c>
      <c r="I8" s="1638" t="s">
        <v>1442</v>
      </c>
      <c r="J8" s="1639">
        <v>15</v>
      </c>
      <c r="K8" s="2285" t="s">
        <v>263</v>
      </c>
      <c r="L8" s="2285" t="s">
        <v>1439</v>
      </c>
      <c r="M8" s="2285">
        <v>10</v>
      </c>
      <c r="N8" s="2285" t="s">
        <v>1443</v>
      </c>
      <c r="P8" s="1347"/>
      <c r="Q8" s="1347"/>
      <c r="R8" s="1347"/>
      <c r="S8" s="1348"/>
      <c r="T8" s="1632"/>
    </row>
    <row r="9" spans="1:20">
      <c r="A9" s="1306"/>
      <c r="B9" s="2286"/>
      <c r="C9" s="2286"/>
      <c r="D9" s="2286"/>
      <c r="E9" s="2286"/>
      <c r="F9" s="2286"/>
      <c r="G9" s="1637" t="s">
        <v>1444</v>
      </c>
      <c r="H9" s="1637" t="s">
        <v>1445</v>
      </c>
      <c r="I9" s="1638" t="s">
        <v>1442</v>
      </c>
      <c r="J9" s="1639">
        <v>13</v>
      </c>
      <c r="K9" s="2286"/>
      <c r="L9" s="2286"/>
      <c r="M9" s="2286"/>
      <c r="N9" s="2286"/>
      <c r="P9" s="1347"/>
      <c r="Q9" s="1347"/>
      <c r="R9" s="1347"/>
      <c r="S9" s="1348"/>
      <c r="T9" s="1632"/>
    </row>
    <row r="10" spans="1:20">
      <c r="A10" s="1306"/>
      <c r="B10" s="2287"/>
      <c r="C10" s="2287"/>
      <c r="D10" s="2287"/>
      <c r="E10" s="2287"/>
      <c r="F10" s="2287"/>
      <c r="G10" s="1637" t="s">
        <v>1446</v>
      </c>
      <c r="H10" s="1637" t="s">
        <v>1447</v>
      </c>
      <c r="I10" s="1638" t="s">
        <v>1442</v>
      </c>
      <c r="J10" s="1639">
        <v>10</v>
      </c>
      <c r="K10" s="2287"/>
      <c r="L10" s="2287"/>
      <c r="M10" s="2287"/>
      <c r="N10" s="2287"/>
      <c r="P10" s="1640"/>
      <c r="Q10" s="1640"/>
      <c r="R10" s="1640"/>
      <c r="S10" s="1641"/>
      <c r="T10" s="1632"/>
    </row>
    <row r="11" spans="1:20">
      <c r="A11" s="1306"/>
      <c r="B11" s="1637"/>
      <c r="C11" s="1637"/>
      <c r="D11" s="1637"/>
      <c r="E11" s="1639"/>
      <c r="F11" s="1637"/>
      <c r="G11" s="1637"/>
      <c r="H11" s="1637"/>
      <c r="I11" s="1638"/>
      <c r="J11" s="1639"/>
      <c r="K11" s="1637"/>
      <c r="L11" s="1637"/>
      <c r="M11" s="1639"/>
      <c r="N11" s="1637"/>
      <c r="P11" s="2282" t="s">
        <v>261</v>
      </c>
      <c r="Q11" s="2283" t="s">
        <v>67</v>
      </c>
      <c r="R11" s="2283" t="s">
        <v>67</v>
      </c>
      <c r="S11" s="2284" t="s">
        <v>67</v>
      </c>
      <c r="T11" s="1632"/>
    </row>
    <row r="12" spans="1:20">
      <c r="A12" s="1306"/>
      <c r="B12" s="1637"/>
      <c r="C12" s="1637"/>
      <c r="D12" s="1637"/>
      <c r="E12" s="1639"/>
      <c r="F12" s="1637"/>
      <c r="G12" s="1637"/>
      <c r="H12" s="1637"/>
      <c r="I12" s="1638"/>
      <c r="J12" s="1639"/>
      <c r="K12" s="1637"/>
      <c r="L12" s="1637"/>
      <c r="M12" s="1639"/>
      <c r="N12" s="1637"/>
      <c r="P12" s="1347"/>
      <c r="Q12" s="1347"/>
      <c r="R12" s="1347"/>
      <c r="S12" s="1348"/>
      <c r="T12" s="1632"/>
    </row>
    <row r="13" spans="1:20">
      <c r="A13" s="1306"/>
      <c r="B13" s="1637"/>
      <c r="C13" s="1637"/>
      <c r="D13" s="1637"/>
      <c r="E13" s="1639"/>
      <c r="F13" s="1637"/>
      <c r="G13" s="1637"/>
      <c r="H13" s="1637"/>
      <c r="I13" s="1638"/>
      <c r="J13" s="1639"/>
      <c r="K13" s="1637"/>
      <c r="L13" s="1637"/>
      <c r="M13" s="1639"/>
      <c r="N13" s="1637"/>
      <c r="P13" s="1347"/>
      <c r="Q13" s="1347"/>
      <c r="R13" s="1347"/>
      <c r="S13" s="1348"/>
      <c r="T13" s="1632"/>
    </row>
    <row r="14" spans="1:20">
      <c r="A14" s="1306"/>
      <c r="B14" s="1637"/>
      <c r="C14" s="1637"/>
      <c r="D14" s="1637"/>
      <c r="E14" s="1639"/>
      <c r="F14" s="1637"/>
      <c r="G14" s="1637"/>
      <c r="H14" s="1637"/>
      <c r="I14" s="1638"/>
      <c r="J14" s="1639"/>
      <c r="K14" s="1637"/>
      <c r="L14" s="1637"/>
      <c r="M14" s="1639"/>
      <c r="N14" s="1637"/>
      <c r="P14" s="1347"/>
      <c r="Q14" s="1347"/>
      <c r="R14" s="1347"/>
      <c r="S14" s="1348"/>
      <c r="T14" s="1632"/>
    </row>
    <row r="15" spans="1:20">
      <c r="A15" s="1306"/>
      <c r="B15" s="1637"/>
      <c r="C15" s="1637"/>
      <c r="D15" s="1637"/>
      <c r="E15" s="1639"/>
      <c r="F15" s="1637"/>
      <c r="G15" s="1637"/>
      <c r="H15" s="1637"/>
      <c r="I15" s="1638"/>
      <c r="J15" s="1639"/>
      <c r="K15" s="1637"/>
      <c r="L15" s="1637"/>
      <c r="M15" s="1639"/>
      <c r="N15" s="1637"/>
      <c r="P15" s="1640"/>
      <c r="Q15" s="1640"/>
      <c r="R15" s="1640"/>
      <c r="S15" s="1641"/>
      <c r="T15" s="1632"/>
    </row>
    <row r="16" spans="1:20">
      <c r="A16" s="1306"/>
      <c r="B16" s="1637"/>
      <c r="C16" s="1637"/>
      <c r="D16" s="1637"/>
      <c r="E16" s="1639"/>
      <c r="F16" s="1637"/>
      <c r="G16" s="1637"/>
      <c r="H16" s="1637"/>
      <c r="I16" s="1638"/>
      <c r="J16" s="1639"/>
      <c r="K16" s="1637"/>
      <c r="L16" s="1637"/>
      <c r="M16" s="1639"/>
      <c r="N16" s="1637"/>
      <c r="P16" s="2282" t="s">
        <v>1428</v>
      </c>
      <c r="Q16" s="2283" t="s">
        <v>67</v>
      </c>
      <c r="R16" s="2283" t="s">
        <v>67</v>
      </c>
      <c r="S16" s="2284" t="s">
        <v>67</v>
      </c>
      <c r="T16" s="1632"/>
    </row>
    <row r="17" spans="1:20">
      <c r="A17" s="1306"/>
      <c r="B17" s="1637"/>
      <c r="C17" s="1637"/>
      <c r="D17" s="1637"/>
      <c r="E17" s="1639"/>
      <c r="F17" s="1637"/>
      <c r="G17" s="1637"/>
      <c r="H17" s="1637"/>
      <c r="I17" s="1638"/>
      <c r="J17" s="1639"/>
      <c r="K17" s="1637"/>
      <c r="L17" s="1637"/>
      <c r="M17" s="1639"/>
      <c r="N17" s="1637"/>
      <c r="P17" s="1347"/>
      <c r="Q17" s="1347"/>
      <c r="R17" s="1347"/>
      <c r="S17" s="1348"/>
      <c r="T17" s="1632"/>
    </row>
    <row r="18" spans="1:20">
      <c r="A18" s="1306"/>
      <c r="B18" s="1637"/>
      <c r="C18" s="1637"/>
      <c r="D18" s="1637"/>
      <c r="E18" s="1639"/>
      <c r="F18" s="1637"/>
      <c r="G18" s="1637"/>
      <c r="H18" s="1637"/>
      <c r="I18" s="1638"/>
      <c r="J18" s="1639"/>
      <c r="K18" s="1637"/>
      <c r="L18" s="1637"/>
      <c r="M18" s="1639"/>
      <c r="N18" s="1637"/>
      <c r="P18" s="1640"/>
      <c r="Q18" s="1640"/>
      <c r="R18" s="1640"/>
      <c r="S18" s="1641"/>
      <c r="T18" s="1632"/>
    </row>
    <row r="19" spans="1:20">
      <c r="A19" s="1306"/>
      <c r="B19" s="1637"/>
      <c r="C19" s="1637"/>
      <c r="D19" s="1637"/>
      <c r="E19" s="1639"/>
      <c r="F19" s="1637"/>
      <c r="G19" s="1637"/>
      <c r="H19" s="1637"/>
      <c r="I19" s="1638"/>
      <c r="J19" s="1639"/>
      <c r="K19" s="1637"/>
      <c r="L19" s="1637"/>
      <c r="M19" s="1639"/>
      <c r="N19" s="1637"/>
      <c r="P19" s="2282" t="s">
        <v>1448</v>
      </c>
      <c r="Q19" s="2283" t="s">
        <v>67</v>
      </c>
      <c r="R19" s="2283" t="s">
        <v>67</v>
      </c>
      <c r="S19" s="2284" t="s">
        <v>67</v>
      </c>
      <c r="T19" s="1632"/>
    </row>
    <row r="20" spans="1:20">
      <c r="A20" s="1306"/>
      <c r="B20" s="1637"/>
      <c r="C20" s="1637"/>
      <c r="D20" s="1637"/>
      <c r="E20" s="1639"/>
      <c r="F20" s="1637"/>
      <c r="G20" s="1637"/>
      <c r="H20" s="1637"/>
      <c r="I20" s="1638"/>
      <c r="J20" s="1639"/>
      <c r="K20" s="1637"/>
      <c r="L20" s="1637"/>
      <c r="M20" s="1639"/>
      <c r="N20" s="1637"/>
      <c r="P20" s="1347"/>
      <c r="Q20" s="1347"/>
      <c r="R20" s="1347"/>
      <c r="S20" s="1348"/>
      <c r="T20" s="1632"/>
    </row>
    <row r="21" spans="1:20">
      <c r="A21" s="1306"/>
      <c r="B21" s="1637"/>
      <c r="C21" s="1637"/>
      <c r="D21" s="1637"/>
      <c r="E21" s="1639"/>
      <c r="F21" s="1637"/>
      <c r="G21" s="1637"/>
      <c r="H21" s="1637"/>
      <c r="I21" s="1638"/>
      <c r="J21" s="1639"/>
      <c r="K21" s="1637"/>
      <c r="L21" s="1637"/>
      <c r="M21" s="1639"/>
      <c r="N21" s="1637"/>
      <c r="P21" s="1640"/>
      <c r="Q21" s="1640"/>
      <c r="R21" s="1640"/>
      <c r="S21" s="1641"/>
      <c r="T21" s="1632"/>
    </row>
    <row r="22" spans="1:20">
      <c r="A22" s="1306"/>
      <c r="B22" s="1637"/>
      <c r="C22" s="1637"/>
      <c r="D22" s="1637"/>
      <c r="E22" s="1639"/>
      <c r="F22" s="1637"/>
      <c r="G22" s="1637"/>
      <c r="H22" s="1637"/>
      <c r="I22" s="1638"/>
      <c r="J22" s="1639"/>
      <c r="K22" s="1637"/>
      <c r="L22" s="1637"/>
      <c r="M22" s="1639"/>
      <c r="N22" s="1637"/>
      <c r="P22" s="2282" t="s">
        <v>1449</v>
      </c>
      <c r="Q22" s="2283" t="s">
        <v>67</v>
      </c>
      <c r="R22" s="2283" t="s">
        <v>67</v>
      </c>
      <c r="S22" s="2284" t="s">
        <v>67</v>
      </c>
      <c r="T22" s="1632"/>
    </row>
    <row r="23" spans="1:20">
      <c r="A23" s="1306"/>
      <c r="B23" s="1637"/>
      <c r="C23" s="1637"/>
      <c r="D23" s="1637"/>
      <c r="E23" s="1639"/>
      <c r="F23" s="1637"/>
      <c r="G23" s="1637"/>
      <c r="H23" s="1637"/>
      <c r="I23" s="1638"/>
      <c r="J23" s="1639"/>
      <c r="K23" s="1637"/>
      <c r="L23" s="1637"/>
      <c r="M23" s="1639"/>
      <c r="N23" s="1637"/>
      <c r="P23" s="1347"/>
      <c r="Q23" s="1347"/>
      <c r="R23" s="1347"/>
      <c r="S23" s="1348"/>
      <c r="T23" s="1632"/>
    </row>
    <row r="24" spans="1:20">
      <c r="A24" s="1306"/>
      <c r="B24" s="1637"/>
      <c r="C24" s="1637"/>
      <c r="D24" s="1637"/>
      <c r="E24" s="1639"/>
      <c r="F24" s="1637"/>
      <c r="G24" s="1637"/>
      <c r="H24" s="1637"/>
      <c r="I24" s="1638"/>
      <c r="J24" s="1639"/>
      <c r="K24" s="1637"/>
      <c r="L24" s="1637"/>
      <c r="M24" s="1639"/>
      <c r="N24" s="1637"/>
      <c r="P24" s="1347"/>
      <c r="Q24" s="1347"/>
      <c r="R24" s="1347"/>
      <c r="S24" s="1348"/>
      <c r="T24" s="1632"/>
    </row>
    <row r="25" spans="1:20">
      <c r="A25" s="1306"/>
      <c r="B25" s="1637"/>
      <c r="C25" s="1637"/>
      <c r="D25" s="1637"/>
      <c r="E25" s="1639"/>
      <c r="F25" s="1637"/>
      <c r="G25" s="1637"/>
      <c r="H25" s="1637"/>
      <c r="I25" s="1638"/>
      <c r="J25" s="1639"/>
      <c r="K25" s="1637"/>
      <c r="L25" s="1637"/>
      <c r="M25" s="1639"/>
      <c r="N25" s="1637"/>
      <c r="P25" s="1637"/>
      <c r="Q25" s="1637"/>
      <c r="R25" s="1637"/>
      <c r="S25" s="1639"/>
      <c r="T25" s="1632"/>
    </row>
    <row r="26" spans="1:20">
      <c r="A26" s="1306"/>
      <c r="B26" s="1637"/>
      <c r="C26" s="1637"/>
      <c r="D26" s="1637"/>
      <c r="E26" s="1639"/>
      <c r="F26" s="1637"/>
      <c r="G26" s="1637"/>
      <c r="H26" s="1637"/>
      <c r="I26" s="1638"/>
      <c r="J26" s="1639"/>
      <c r="K26" s="1637"/>
      <c r="L26" s="1637"/>
      <c r="M26" s="1639"/>
      <c r="N26" s="1637"/>
      <c r="P26" s="1637"/>
      <c r="Q26" s="1637"/>
      <c r="R26" s="1637"/>
      <c r="S26" s="1639"/>
      <c r="T26" s="1632"/>
    </row>
    <row r="27" spans="1:20">
      <c r="A27" s="1306"/>
      <c r="B27" s="1637"/>
      <c r="C27" s="1637"/>
      <c r="D27" s="1637"/>
      <c r="E27" s="1639"/>
      <c r="F27" s="1637"/>
      <c r="G27" s="1637"/>
      <c r="H27" s="1637"/>
      <c r="I27" s="1638"/>
      <c r="J27" s="1639"/>
      <c r="K27" s="1637"/>
      <c r="L27" s="1637"/>
      <c r="M27" s="1639"/>
      <c r="N27" s="1637"/>
      <c r="P27" s="1637"/>
      <c r="Q27" s="1637"/>
      <c r="R27" s="1637"/>
      <c r="S27" s="1639"/>
      <c r="T27" s="1632"/>
    </row>
    <row r="28" spans="1:20">
      <c r="A28" s="1306"/>
      <c r="B28" s="1637"/>
      <c r="C28" s="1637"/>
      <c r="D28" s="1637"/>
      <c r="E28" s="1639"/>
      <c r="F28" s="1637"/>
      <c r="G28" s="1637"/>
      <c r="H28" s="1637"/>
      <c r="I28" s="1638"/>
      <c r="J28" s="1639"/>
      <c r="K28" s="1637"/>
      <c r="L28" s="1637"/>
      <c r="M28" s="1639"/>
      <c r="N28" s="1637"/>
      <c r="P28" s="1637"/>
      <c r="Q28" s="1637"/>
      <c r="R28" s="1637"/>
      <c r="S28" s="1639"/>
      <c r="T28" s="1632"/>
    </row>
    <row r="29" spans="1:20">
      <c r="A29" s="1306"/>
      <c r="B29" s="1637"/>
      <c r="C29" s="1637"/>
      <c r="D29" s="1637"/>
      <c r="E29" s="1639"/>
      <c r="F29" s="1637"/>
      <c r="G29" s="1637"/>
      <c r="H29" s="1637"/>
      <c r="I29" s="1638"/>
      <c r="J29" s="1639"/>
      <c r="K29" s="1637"/>
      <c r="L29" s="1637"/>
      <c r="M29" s="1639"/>
      <c r="N29" s="1637"/>
      <c r="P29" s="1637"/>
      <c r="Q29" s="1637"/>
      <c r="R29" s="1637"/>
      <c r="S29" s="1639"/>
      <c r="T29" s="1632"/>
    </row>
    <row r="30" spans="1:20">
      <c r="A30" s="1306"/>
      <c r="B30" s="1637"/>
      <c r="C30" s="1637"/>
      <c r="D30" s="1637"/>
      <c r="E30" s="1639"/>
      <c r="F30" s="1637"/>
      <c r="G30" s="1637"/>
      <c r="H30" s="1637"/>
      <c r="I30" s="1638"/>
      <c r="J30" s="1639"/>
      <c r="K30" s="1637"/>
      <c r="L30" s="1637"/>
      <c r="M30" s="1639"/>
      <c r="N30" s="1637"/>
      <c r="P30" s="1637"/>
      <c r="Q30" s="1637"/>
      <c r="R30" s="1637"/>
      <c r="S30" s="1639"/>
      <c r="T30" s="1632"/>
    </row>
    <row r="31" spans="1:20">
      <c r="A31" s="1306"/>
      <c r="B31" s="1637"/>
      <c r="C31" s="1637"/>
      <c r="D31" s="1637"/>
      <c r="E31" s="1639"/>
      <c r="F31" s="1637"/>
      <c r="G31" s="1637"/>
      <c r="H31" s="1637"/>
      <c r="I31" s="1638"/>
      <c r="J31" s="1639"/>
      <c r="K31" s="1637"/>
      <c r="L31" s="1637"/>
      <c r="M31" s="1639"/>
      <c r="N31" s="1637"/>
      <c r="P31" s="1637"/>
      <c r="Q31" s="1637"/>
      <c r="R31" s="1637"/>
      <c r="S31" s="1639"/>
      <c r="T31" s="1632"/>
    </row>
    <row r="32" spans="1:20">
      <c r="A32" s="1306"/>
      <c r="B32" s="1637"/>
      <c r="C32" s="1637"/>
      <c r="D32" s="1637"/>
      <c r="E32" s="1639"/>
      <c r="F32" s="1637"/>
      <c r="G32" s="1637"/>
      <c r="H32" s="1637"/>
      <c r="I32" s="1638"/>
      <c r="J32" s="1639"/>
      <c r="K32" s="1637"/>
      <c r="L32" s="1637"/>
      <c r="M32" s="1639"/>
      <c r="N32" s="1637"/>
      <c r="P32" s="1637"/>
      <c r="Q32" s="1637"/>
      <c r="R32" s="1637"/>
      <c r="S32" s="1639"/>
      <c r="T32" s="1632"/>
    </row>
    <row r="33" spans="1:20">
      <c r="A33" s="1306"/>
      <c r="B33" s="1637"/>
      <c r="C33" s="1637"/>
      <c r="D33" s="1637"/>
      <c r="E33" s="1639"/>
      <c r="F33" s="1637"/>
      <c r="G33" s="1637"/>
      <c r="H33" s="1637"/>
      <c r="I33" s="1638"/>
      <c r="J33" s="1639"/>
      <c r="K33" s="1637"/>
      <c r="L33" s="1637"/>
      <c r="M33" s="1639"/>
      <c r="N33" s="1637"/>
      <c r="P33" s="1637"/>
      <c r="Q33" s="1637"/>
      <c r="R33" s="1637"/>
      <c r="S33" s="1639"/>
      <c r="T33" s="1632"/>
    </row>
    <row r="34" spans="1:20">
      <c r="A34" s="1306"/>
      <c r="B34" s="1637"/>
      <c r="C34" s="1637"/>
      <c r="D34" s="1637"/>
      <c r="E34" s="1639"/>
      <c r="F34" s="1637"/>
      <c r="G34" s="1637"/>
      <c r="H34" s="1637"/>
      <c r="I34" s="1638"/>
      <c r="J34" s="1639"/>
      <c r="K34" s="1637"/>
      <c r="L34" s="1637"/>
      <c r="M34" s="1639"/>
      <c r="N34" s="1637"/>
      <c r="P34" s="1637"/>
      <c r="Q34" s="1637"/>
      <c r="R34" s="1637"/>
      <c r="S34" s="1639"/>
      <c r="T34" s="1632"/>
    </row>
    <row r="35" spans="1:20">
      <c r="A35" s="1306"/>
      <c r="B35" s="1637"/>
      <c r="C35" s="1637"/>
      <c r="D35" s="1637"/>
      <c r="E35" s="1639"/>
      <c r="F35" s="1637"/>
      <c r="G35" s="1637"/>
      <c r="H35" s="1637"/>
      <c r="I35" s="1638"/>
      <c r="J35" s="1639"/>
      <c r="K35" s="1637"/>
      <c r="L35" s="1637"/>
      <c r="M35" s="1639"/>
      <c r="N35" s="1637"/>
      <c r="P35" s="1637"/>
      <c r="Q35" s="1637"/>
      <c r="R35" s="1637"/>
      <c r="S35" s="1639"/>
      <c r="T35" s="1632"/>
    </row>
    <row r="36" spans="1:20" hidden="1">
      <c r="A36" s="1306"/>
      <c r="B36" s="1637"/>
      <c r="C36" s="1637"/>
      <c r="D36" s="1637"/>
      <c r="E36" s="1639"/>
      <c r="F36" s="1637"/>
      <c r="G36" s="1637"/>
      <c r="H36" s="1637"/>
      <c r="I36" s="1638"/>
      <c r="J36" s="1639"/>
      <c r="K36" s="1637"/>
      <c r="L36" s="1637"/>
      <c r="M36" s="1639"/>
      <c r="N36" s="1637"/>
      <c r="P36" s="1637"/>
      <c r="Q36" s="1637"/>
      <c r="R36" s="1637"/>
      <c r="S36" s="1639"/>
      <c r="T36" s="1632"/>
    </row>
    <row r="37" spans="1:20" hidden="1">
      <c r="A37" s="1306"/>
      <c r="B37" s="1637"/>
      <c r="C37" s="1637"/>
      <c r="D37" s="1637"/>
      <c r="E37" s="1639"/>
      <c r="F37" s="1637"/>
      <c r="G37" s="1637"/>
      <c r="H37" s="1637"/>
      <c r="I37" s="1638"/>
      <c r="J37" s="1639"/>
      <c r="K37" s="1637"/>
      <c r="L37" s="1637"/>
      <c r="M37" s="1639"/>
      <c r="N37" s="1637"/>
      <c r="P37" s="1637"/>
      <c r="Q37" s="1637"/>
      <c r="R37" s="1637"/>
      <c r="S37" s="1639"/>
      <c r="T37" s="1632"/>
    </row>
    <row r="38" spans="1:20" hidden="1">
      <c r="A38" s="1306"/>
      <c r="B38" s="1637"/>
      <c r="C38" s="1637"/>
      <c r="D38" s="1637"/>
      <c r="E38" s="1639"/>
      <c r="F38" s="1637"/>
      <c r="G38" s="1637"/>
      <c r="H38" s="1637"/>
      <c r="I38" s="1638"/>
      <c r="J38" s="1639"/>
      <c r="K38" s="1637"/>
      <c r="L38" s="1637"/>
      <c r="M38" s="1639"/>
      <c r="N38" s="1637"/>
      <c r="P38" s="1637"/>
      <c r="Q38" s="1637"/>
      <c r="R38" s="1637"/>
      <c r="S38" s="1639"/>
      <c r="T38" s="1632"/>
    </row>
    <row r="39" spans="1:20" hidden="1">
      <c r="A39" s="1306"/>
      <c r="B39" s="1637"/>
      <c r="C39" s="1637"/>
      <c r="D39" s="1637"/>
      <c r="E39" s="1639"/>
      <c r="F39" s="1637"/>
      <c r="G39" s="1637"/>
      <c r="H39" s="1637"/>
      <c r="I39" s="1638"/>
      <c r="J39" s="1639"/>
      <c r="K39" s="1637"/>
      <c r="L39" s="1637"/>
      <c r="M39" s="1639"/>
      <c r="N39" s="1637"/>
      <c r="P39" s="1637"/>
      <c r="Q39" s="1637"/>
      <c r="R39" s="1637"/>
      <c r="S39" s="1639"/>
      <c r="T39" s="1632"/>
    </row>
    <row r="40" spans="1:20" hidden="1">
      <c r="A40" s="1306"/>
      <c r="B40" s="1637"/>
      <c r="C40" s="1637"/>
      <c r="D40" s="1637"/>
      <c r="E40" s="1639"/>
      <c r="F40" s="1637"/>
      <c r="G40" s="1637"/>
      <c r="H40" s="1637"/>
      <c r="I40" s="1638"/>
      <c r="J40" s="1639"/>
      <c r="K40" s="1637"/>
      <c r="L40" s="1637"/>
      <c r="M40" s="1639"/>
      <c r="N40" s="1637"/>
      <c r="P40" s="1637"/>
      <c r="Q40" s="1637"/>
      <c r="R40" s="1637"/>
      <c r="S40" s="1639"/>
      <c r="T40" s="1632"/>
    </row>
    <row r="41" spans="1:20" hidden="1">
      <c r="A41" s="1306"/>
      <c r="B41" s="1637"/>
      <c r="C41" s="1637"/>
      <c r="D41" s="1637"/>
      <c r="E41" s="1639"/>
      <c r="F41" s="1637"/>
      <c r="G41" s="1637"/>
      <c r="H41" s="1637"/>
      <c r="I41" s="1638"/>
      <c r="J41" s="1639"/>
      <c r="K41" s="1637"/>
      <c r="L41" s="1637"/>
      <c r="M41" s="1639"/>
      <c r="N41" s="1637"/>
      <c r="P41" s="1637"/>
      <c r="Q41" s="1637"/>
      <c r="R41" s="1637"/>
      <c r="S41" s="1639"/>
      <c r="T41" s="1632"/>
    </row>
    <row r="42" spans="1:20" hidden="1">
      <c r="A42" s="1306"/>
      <c r="B42" s="1637"/>
      <c r="C42" s="1637"/>
      <c r="D42" s="1637"/>
      <c r="E42" s="1639"/>
      <c r="F42" s="1637"/>
      <c r="G42" s="1637"/>
      <c r="H42" s="1637"/>
      <c r="I42" s="1638"/>
      <c r="J42" s="1639"/>
      <c r="K42" s="1637"/>
      <c r="L42" s="1637"/>
      <c r="M42" s="1639"/>
      <c r="N42" s="1637"/>
      <c r="P42" s="1637"/>
      <c r="Q42" s="1637"/>
      <c r="R42" s="1637"/>
      <c r="S42" s="1639"/>
      <c r="T42" s="1632"/>
    </row>
    <row r="43" spans="1:20" hidden="1">
      <c r="A43" s="1306"/>
      <c r="B43" s="1637"/>
      <c r="C43" s="1637"/>
      <c r="D43" s="1637"/>
      <c r="E43" s="1639"/>
      <c r="F43" s="1637"/>
      <c r="G43" s="1637"/>
      <c r="H43" s="1637"/>
      <c r="I43" s="1638"/>
      <c r="J43" s="1639"/>
      <c r="K43" s="1637"/>
      <c r="L43" s="1637"/>
      <c r="M43" s="1639"/>
      <c r="N43" s="1637"/>
      <c r="P43" s="1637"/>
      <c r="Q43" s="1637"/>
      <c r="R43" s="1637"/>
      <c r="S43" s="1639"/>
      <c r="T43" s="1632"/>
    </row>
    <row r="44" spans="1:20" hidden="1">
      <c r="A44" s="1306"/>
      <c r="B44" s="1637"/>
      <c r="C44" s="1637"/>
      <c r="D44" s="1637"/>
      <c r="E44" s="1639"/>
      <c r="F44" s="1637"/>
      <c r="G44" s="1637"/>
      <c r="H44" s="1637"/>
      <c r="I44" s="1638"/>
      <c r="J44" s="1639"/>
      <c r="K44" s="1637"/>
      <c r="L44" s="1637"/>
      <c r="M44" s="1639"/>
      <c r="N44" s="1637"/>
      <c r="P44" s="1637"/>
      <c r="Q44" s="1637"/>
      <c r="R44" s="1637"/>
      <c r="S44" s="1639"/>
      <c r="T44" s="1632"/>
    </row>
    <row r="45" spans="1:20" hidden="1">
      <c r="A45" s="1306"/>
      <c r="B45" s="1637"/>
      <c r="C45" s="1637"/>
      <c r="D45" s="1637"/>
      <c r="E45" s="1639"/>
      <c r="F45" s="1637"/>
      <c r="G45" s="1637"/>
      <c r="H45" s="1637"/>
      <c r="I45" s="1638"/>
      <c r="J45" s="1639"/>
      <c r="K45" s="1637"/>
      <c r="L45" s="1637"/>
      <c r="M45" s="1639"/>
      <c r="N45" s="1637"/>
      <c r="P45" s="1637"/>
      <c r="Q45" s="1637"/>
      <c r="R45" s="1637"/>
      <c r="S45" s="1639"/>
      <c r="T45" s="1632"/>
    </row>
    <row r="46" spans="1:20" hidden="1">
      <c r="A46" s="1306"/>
      <c r="B46" s="1637"/>
      <c r="C46" s="1637"/>
      <c r="D46" s="1637"/>
      <c r="E46" s="1639"/>
      <c r="F46" s="1637"/>
      <c r="G46" s="1637"/>
      <c r="H46" s="1637"/>
      <c r="I46" s="1638"/>
      <c r="J46" s="1639"/>
      <c r="K46" s="1637"/>
      <c r="L46" s="1637"/>
      <c r="M46" s="1639"/>
      <c r="N46" s="1637"/>
      <c r="P46" s="1637"/>
      <c r="Q46" s="1637"/>
      <c r="R46" s="1637"/>
      <c r="S46" s="1639"/>
      <c r="T46" s="1632"/>
    </row>
    <row r="47" spans="1:20" hidden="1">
      <c r="A47" s="1306"/>
      <c r="B47" s="1637"/>
      <c r="C47" s="1637"/>
      <c r="D47" s="1637"/>
      <c r="E47" s="1639"/>
      <c r="F47" s="1637"/>
      <c r="G47" s="1637"/>
      <c r="H47" s="1637"/>
      <c r="I47" s="1638"/>
      <c r="J47" s="1639"/>
      <c r="K47" s="1637"/>
      <c r="L47" s="1637"/>
      <c r="M47" s="1639"/>
      <c r="N47" s="1637"/>
      <c r="P47" s="1637"/>
      <c r="Q47" s="1637"/>
      <c r="R47" s="1637"/>
      <c r="S47" s="1639"/>
      <c r="T47" s="1632"/>
    </row>
    <row r="48" spans="1:20" hidden="1">
      <c r="A48" s="1306"/>
      <c r="B48" s="1637"/>
      <c r="C48" s="1637"/>
      <c r="D48" s="1637"/>
      <c r="E48" s="1639"/>
      <c r="F48" s="1637"/>
      <c r="G48" s="1637"/>
      <c r="H48" s="1637"/>
      <c r="I48" s="1638"/>
      <c r="J48" s="1639"/>
      <c r="K48" s="1637"/>
      <c r="L48" s="1637"/>
      <c r="M48" s="1639"/>
      <c r="N48" s="1637"/>
      <c r="P48" s="1637"/>
      <c r="Q48" s="1637"/>
      <c r="R48" s="1637"/>
      <c r="S48" s="1639"/>
      <c r="T48" s="1632"/>
    </row>
    <row r="49" spans="1:20" hidden="1">
      <c r="A49" s="1306"/>
      <c r="B49" s="1637"/>
      <c r="C49" s="1637"/>
      <c r="D49" s="1637"/>
      <c r="E49" s="1639"/>
      <c r="F49" s="1637"/>
      <c r="G49" s="1637"/>
      <c r="H49" s="1637"/>
      <c r="I49" s="1638"/>
      <c r="J49" s="1639"/>
      <c r="K49" s="1637"/>
      <c r="L49" s="1637"/>
      <c r="M49" s="1639"/>
      <c r="N49" s="1637"/>
      <c r="P49" s="1637"/>
      <c r="Q49" s="1637"/>
      <c r="R49" s="1637"/>
      <c r="S49" s="1639"/>
      <c r="T49" s="1632"/>
    </row>
    <row r="50" spans="1:20" hidden="1">
      <c r="A50" s="1306"/>
      <c r="B50" s="1637"/>
      <c r="C50" s="1637"/>
      <c r="D50" s="1637"/>
      <c r="E50" s="1639"/>
      <c r="F50" s="1637"/>
      <c r="G50" s="1637"/>
      <c r="H50" s="1637"/>
      <c r="I50" s="1638"/>
      <c r="J50" s="1639"/>
      <c r="K50" s="1637"/>
      <c r="L50" s="1637"/>
      <c r="M50" s="1639"/>
      <c r="N50" s="1637"/>
      <c r="P50" s="1637"/>
      <c r="Q50" s="1637"/>
      <c r="R50" s="1637"/>
      <c r="S50" s="1639"/>
      <c r="T50" s="1632"/>
    </row>
    <row r="51" spans="1:20">
      <c r="A51" s="1306"/>
      <c r="B51" s="1637"/>
      <c r="C51" s="1637"/>
      <c r="D51" s="1637"/>
      <c r="E51" s="1639"/>
      <c r="F51" s="1637"/>
      <c r="G51" s="1637"/>
      <c r="H51" s="1637"/>
      <c r="I51" s="1638"/>
      <c r="J51" s="1639"/>
      <c r="K51" s="1637"/>
      <c r="L51" s="1637"/>
      <c r="M51" s="1639"/>
      <c r="N51" s="1637"/>
      <c r="P51" s="1637"/>
      <c r="Q51" s="1637"/>
      <c r="R51" s="1637"/>
      <c r="S51" s="1639"/>
      <c r="T51" s="1632"/>
    </row>
    <row r="52" spans="1:20">
      <c r="A52" s="1306"/>
      <c r="B52" s="1637"/>
      <c r="C52" s="1637"/>
      <c r="D52" s="1637"/>
      <c r="E52" s="1639"/>
      <c r="F52" s="1637"/>
      <c r="G52" s="1637"/>
      <c r="H52" s="1637"/>
      <c r="I52" s="1638"/>
      <c r="J52" s="1639"/>
      <c r="K52" s="1637"/>
      <c r="L52" s="1637"/>
      <c r="M52" s="1639"/>
      <c r="N52" s="1637"/>
      <c r="P52" s="1637"/>
      <c r="Q52" s="1637"/>
      <c r="R52" s="1637"/>
      <c r="S52" s="1639"/>
      <c r="T52" s="1632"/>
    </row>
    <row r="53" spans="1:20">
      <c r="A53" s="1306"/>
      <c r="B53" s="1637"/>
      <c r="C53" s="1637"/>
      <c r="D53" s="1637"/>
      <c r="E53" s="1639"/>
      <c r="F53" s="1637"/>
      <c r="G53" s="1637"/>
      <c r="H53" s="1637"/>
      <c r="I53" s="1638"/>
      <c r="J53" s="1639"/>
      <c r="K53" s="1637"/>
      <c r="L53" s="1637"/>
      <c r="M53" s="1639"/>
      <c r="N53" s="1637"/>
      <c r="P53" s="1637"/>
      <c r="Q53" s="1637"/>
      <c r="R53" s="1637"/>
      <c r="S53" s="1639"/>
      <c r="T53" s="1632"/>
    </row>
    <row r="54" spans="1:20">
      <c r="A54" s="1306"/>
      <c r="B54" s="1637"/>
      <c r="C54" s="1637"/>
      <c r="D54" s="1637"/>
      <c r="E54" s="1639"/>
      <c r="F54" s="1637"/>
      <c r="G54" s="1637"/>
      <c r="H54" s="1637"/>
      <c r="I54" s="1638"/>
      <c r="J54" s="1639"/>
      <c r="K54" s="1637"/>
      <c r="L54" s="1637"/>
      <c r="M54" s="1639"/>
      <c r="N54" s="1637"/>
      <c r="P54" s="1637"/>
      <c r="Q54" s="1637"/>
      <c r="R54" s="1637"/>
      <c r="S54" s="1639"/>
      <c r="T54" s="1632"/>
    </row>
    <row r="55" spans="1:20">
      <c r="A55" s="1306"/>
      <c r="B55" s="1637"/>
      <c r="C55" s="1637"/>
      <c r="D55" s="1637"/>
      <c r="E55" s="1639"/>
      <c r="F55" s="1637"/>
      <c r="G55" s="1637"/>
      <c r="H55" s="1637"/>
      <c r="I55" s="1638"/>
      <c r="J55" s="1639"/>
      <c r="K55" s="1637"/>
      <c r="L55" s="1637"/>
      <c r="M55" s="1639"/>
      <c r="N55" s="1637"/>
      <c r="P55" s="1637"/>
      <c r="Q55" s="1637"/>
      <c r="R55" s="1637"/>
      <c r="S55" s="1639"/>
      <c r="T55" s="1632"/>
    </row>
    <row r="56" spans="1:20">
      <c r="A56" s="1306"/>
      <c r="B56" s="1637"/>
      <c r="C56" s="1637"/>
      <c r="D56" s="1637"/>
      <c r="E56" s="1639"/>
      <c r="F56" s="1637"/>
      <c r="G56" s="1637"/>
      <c r="H56" s="1637"/>
      <c r="I56" s="1638"/>
      <c r="J56" s="1639"/>
      <c r="K56" s="1637"/>
      <c r="L56" s="1637"/>
      <c r="M56" s="1639"/>
      <c r="N56" s="1637"/>
      <c r="P56" s="1637"/>
      <c r="Q56" s="1637"/>
      <c r="R56" s="1637"/>
      <c r="S56" s="1639"/>
      <c r="T56" s="1632"/>
    </row>
    <row r="57" spans="1:20">
      <c r="A57" s="1306"/>
      <c r="B57" s="1642"/>
      <c r="C57" s="1642"/>
      <c r="D57" s="1642"/>
      <c r="E57" s="1643"/>
      <c r="F57" s="1642"/>
      <c r="G57" s="1642"/>
      <c r="H57" s="1642"/>
      <c r="I57" s="1644"/>
      <c r="J57" s="1643"/>
      <c r="K57" s="1642"/>
      <c r="L57" s="1642"/>
      <c r="M57" s="1643"/>
      <c r="N57" s="1642"/>
      <c r="P57" s="1642"/>
      <c r="Q57" s="1642"/>
      <c r="R57" s="1642"/>
      <c r="S57" s="1643"/>
      <c r="T57" s="1632"/>
    </row>
    <row r="58" spans="1:20">
      <c r="A58" s="1306"/>
      <c r="N58" s="1301"/>
      <c r="T58" s="1632"/>
    </row>
    <row r="59" spans="1:20">
      <c r="A59" s="1306"/>
      <c r="B59" s="1237" t="s">
        <v>1450</v>
      </c>
      <c r="C59" s="1300"/>
      <c r="D59" s="1300"/>
      <c r="E59" s="1645"/>
      <c r="F59" s="1300"/>
      <c r="G59" s="1300"/>
      <c r="H59" s="1300"/>
      <c r="I59" s="1300"/>
      <c r="J59" s="1645"/>
      <c r="N59" s="1301"/>
      <c r="T59" s="1632"/>
    </row>
    <row r="60" spans="1:20">
      <c r="A60" s="1304" t="s">
        <v>1451</v>
      </c>
      <c r="B60" s="1305" t="s">
        <v>1452</v>
      </c>
      <c r="C60" s="1300"/>
      <c r="D60" s="1300"/>
      <c r="E60" s="1646">
        <f>E8</f>
        <v>481.59</v>
      </c>
      <c r="F60" s="1300"/>
      <c r="G60" s="1647"/>
      <c r="H60" s="1648"/>
      <c r="I60" s="1300"/>
      <c r="J60" s="1649"/>
      <c r="N60" s="1301"/>
      <c r="P60" s="1356"/>
      <c r="R60" s="1650"/>
      <c r="T60" s="1632"/>
    </row>
    <row r="61" spans="1:20">
      <c r="A61" s="1304" t="s">
        <v>1453</v>
      </c>
      <c r="B61" s="1305" t="s">
        <v>1454</v>
      </c>
      <c r="C61" s="1656"/>
      <c r="D61" s="1300"/>
      <c r="E61" s="1646">
        <v>1</v>
      </c>
      <c r="F61" s="1300"/>
      <c r="G61" s="1647"/>
      <c r="H61" s="1648"/>
      <c r="I61" s="1300"/>
      <c r="J61" s="1649"/>
      <c r="N61" s="1301"/>
      <c r="T61" s="1632"/>
    </row>
    <row r="62" spans="1:20">
      <c r="A62" s="1304" t="s">
        <v>1455</v>
      </c>
      <c r="B62" s="1305" t="s">
        <v>1456</v>
      </c>
      <c r="C62" s="1300"/>
      <c r="D62" s="1300"/>
      <c r="E62" s="1646">
        <f>J8+J9+J10</f>
        <v>38</v>
      </c>
      <c r="F62" s="1300"/>
      <c r="G62" s="1300"/>
      <c r="H62" s="1300"/>
      <c r="I62" s="1300"/>
      <c r="J62" s="1645"/>
      <c r="N62" s="1301"/>
      <c r="T62" s="1632"/>
    </row>
    <row r="63" spans="1:20">
      <c r="A63" s="1306"/>
      <c r="B63" s="1305"/>
      <c r="C63" s="1300"/>
      <c r="D63" s="1300"/>
      <c r="E63" s="1646"/>
      <c r="F63" s="1300"/>
      <c r="G63" s="1300"/>
      <c r="H63" s="1300"/>
      <c r="I63" s="1300"/>
      <c r="J63" s="1645"/>
      <c r="N63" s="1301"/>
      <c r="T63" s="1632"/>
    </row>
    <row r="64" spans="1:20" ht="13.5" thickBot="1">
      <c r="A64" s="1651"/>
      <c r="B64" s="1652"/>
      <c r="C64" s="1652"/>
      <c r="D64" s="1652"/>
      <c r="E64" s="1653"/>
      <c r="F64" s="1652"/>
      <c r="G64" s="1652"/>
      <c r="H64" s="1652"/>
      <c r="I64" s="1652"/>
      <c r="J64" s="1653"/>
      <c r="K64" s="1652"/>
      <c r="L64" s="1652"/>
      <c r="M64" s="1653"/>
      <c r="N64" s="1654"/>
      <c r="O64" s="1652"/>
      <c r="P64" s="1652"/>
      <c r="Q64" s="1652"/>
      <c r="R64" s="1652"/>
      <c r="S64" s="1653"/>
      <c r="T64" s="1655"/>
    </row>
    <row r="65" spans="1:20">
      <c r="A65" s="1628"/>
      <c r="B65" s="1629"/>
      <c r="C65" s="1629"/>
      <c r="D65" s="1629"/>
      <c r="E65" s="1630"/>
      <c r="F65" s="1629"/>
      <c r="G65" s="1629"/>
      <c r="H65" s="1629"/>
      <c r="I65" s="1629"/>
      <c r="J65" s="1630"/>
      <c r="K65" s="1629"/>
      <c r="L65" s="1629"/>
      <c r="M65" s="1630"/>
      <c r="N65" s="1629"/>
      <c r="O65" s="1629"/>
      <c r="P65" s="1629"/>
      <c r="Q65" s="1629"/>
      <c r="R65" s="1629"/>
      <c r="S65" s="1630"/>
      <c r="T65" s="1631"/>
    </row>
  </sheetData>
  <mergeCells count="33">
    <mergeCell ref="P22:S22"/>
    <mergeCell ref="L8:L10"/>
    <mergeCell ref="M8:M10"/>
    <mergeCell ref="N8:N10"/>
    <mergeCell ref="P11:S11"/>
    <mergeCell ref="P16:S16"/>
    <mergeCell ref="P19:S19"/>
    <mergeCell ref="R5:R6"/>
    <mergeCell ref="S5:S6"/>
    <mergeCell ref="B7:N7"/>
    <mergeCell ref="P7:S7"/>
    <mergeCell ref="B8:B10"/>
    <mergeCell ref="C8:C10"/>
    <mergeCell ref="D8:D10"/>
    <mergeCell ref="E8:E10"/>
    <mergeCell ref="F8:F10"/>
    <mergeCell ref="K8:K10"/>
    <mergeCell ref="I5:I6"/>
    <mergeCell ref="J5:J6"/>
    <mergeCell ref="K5:K6"/>
    <mergeCell ref="L5:L6"/>
    <mergeCell ref="M5:M6"/>
    <mergeCell ref="P5:Q5"/>
    <mergeCell ref="B2:S3"/>
    <mergeCell ref="B4:F4"/>
    <mergeCell ref="G4:J4"/>
    <mergeCell ref="K4:M4"/>
    <mergeCell ref="P4:S4"/>
    <mergeCell ref="B5:C5"/>
    <mergeCell ref="D5:D6"/>
    <mergeCell ref="E5:E6"/>
    <mergeCell ref="F5:F6"/>
    <mergeCell ref="G5:H5"/>
  </mergeCells>
  <pageMargins left="0.511811024" right="0.511811024" top="0.78740157499999996" bottom="0.78740157499999996" header="0.31496062000000002" footer="0.3149606200000000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8BC2-6668-488B-8404-2560A7C5063A}">
  <sheetPr filterMode="1">
    <tabColor rgb="FFFFC000"/>
  </sheetPr>
  <dimension ref="A1:DJ112"/>
  <sheetViews>
    <sheetView showGridLines="0" zoomScale="90" zoomScaleNormal="90" workbookViewId="0">
      <pane xSplit="3" ySplit="5" topLeftCell="CT87" activePane="bottomRight" state="frozen"/>
      <selection activeCell="K33" sqref="K33"/>
      <selection pane="topRight" activeCell="K33" sqref="K33"/>
      <selection pane="bottomLeft" activeCell="K33" sqref="K33"/>
      <selection pane="bottomRight" activeCell="B108" sqref="B108"/>
    </sheetView>
  </sheetViews>
  <sheetFormatPr defaultColWidth="9.140625" defaultRowHeight="15"/>
  <cols>
    <col min="1" max="1" width="10.7109375" customWidth="1"/>
    <col min="2" max="2" width="51" customWidth="1"/>
    <col min="3" max="3" width="9.140625" customWidth="1"/>
    <col min="4" max="4" width="16.7109375" customWidth="1"/>
    <col min="5" max="5" width="14.140625" customWidth="1"/>
    <col min="6" max="6" width="14.5703125" customWidth="1"/>
    <col min="7" max="7" width="12.42578125" customWidth="1"/>
    <col min="8" max="9" width="10.7109375" customWidth="1"/>
    <col min="10" max="10" width="13.7109375" customWidth="1"/>
    <col min="11" max="11" width="11.28515625" customWidth="1"/>
    <col min="12" max="13" width="10.7109375" customWidth="1"/>
    <col min="14" max="15" width="14.140625" customWidth="1"/>
    <col min="16" max="16" width="16.140625" customWidth="1"/>
    <col min="17" max="17" width="9.7109375" customWidth="1"/>
    <col min="18" max="19" width="10.7109375" customWidth="1"/>
    <col min="20" max="20" width="13.140625" customWidth="1"/>
    <col min="21" max="21" width="12.42578125" customWidth="1"/>
    <col min="22" max="23" width="10.7109375" customWidth="1"/>
    <col min="24" max="24" width="13.140625" customWidth="1"/>
    <col min="25" max="25" width="12.42578125" customWidth="1"/>
    <col min="26" max="27" width="10.7109375" customWidth="1"/>
    <col min="28" max="28" width="13.140625" customWidth="1"/>
    <col min="29" max="29" width="12.42578125" customWidth="1"/>
    <col min="30" max="31" width="10.7109375" customWidth="1"/>
    <col min="32" max="32" width="15.5703125" customWidth="1"/>
    <col min="33" max="43" width="14.140625" customWidth="1"/>
    <col min="44" max="44" width="3" customWidth="1"/>
    <col min="45" max="46" width="15.5703125" customWidth="1"/>
    <col min="47" max="47" width="3" customWidth="1"/>
    <col min="48" max="48" width="12" customWidth="1"/>
    <col min="49" max="49" width="10.140625" customWidth="1"/>
    <col min="50" max="50" width="13.7109375" customWidth="1"/>
    <col min="51" max="51" width="15" customWidth="1"/>
    <col min="52" max="52" width="14.140625" customWidth="1"/>
    <col min="53" max="53" width="12.7109375" customWidth="1"/>
    <col min="54" max="54" width="3" customWidth="1"/>
    <col min="55" max="55" width="11.85546875" customWidth="1"/>
    <col min="56" max="56" width="14.140625" customWidth="1"/>
    <col min="57" max="57" width="12.7109375" customWidth="1"/>
    <col min="58" max="58" width="14.7109375" customWidth="1"/>
    <col min="59" max="59" width="3.28515625" bestFit="1" customWidth="1"/>
    <col min="60" max="75" width="14.140625" customWidth="1"/>
    <col min="76" max="77" width="19.85546875" customWidth="1"/>
    <col min="78" max="78" width="3" bestFit="1" customWidth="1"/>
    <col min="79" max="86" width="14.140625" customWidth="1"/>
    <col min="87" max="87" width="14.140625" hidden="1" customWidth="1"/>
    <col min="88" max="88" width="14.140625" customWidth="1"/>
    <col min="89" max="92" width="14.140625" hidden="1" customWidth="1"/>
    <col min="93" max="94" width="14.140625" customWidth="1"/>
    <col min="95" max="97" width="19.85546875" customWidth="1"/>
    <col min="98" max="98" width="3" bestFit="1" customWidth="1"/>
    <col min="99" max="104" width="14.140625" customWidth="1"/>
    <col min="105" max="105" width="3.28515625" bestFit="1" customWidth="1"/>
    <col min="106" max="111" width="14.140625" customWidth="1"/>
    <col min="112" max="113" width="11.7109375" customWidth="1"/>
  </cols>
  <sheetData>
    <row r="1" spans="1:114">
      <c r="A1" s="470">
        <v>1</v>
      </c>
      <c r="B1" s="470">
        <f>A1+1</f>
        <v>2</v>
      </c>
      <c r="C1" s="470">
        <f t="shared" ref="C1:BN1" si="0">B1+1</f>
        <v>3</v>
      </c>
      <c r="D1" s="470">
        <f t="shared" si="0"/>
        <v>4</v>
      </c>
      <c r="E1" s="470">
        <f t="shared" si="0"/>
        <v>5</v>
      </c>
      <c r="F1" s="470">
        <f t="shared" si="0"/>
        <v>6</v>
      </c>
      <c r="G1" s="470">
        <f t="shared" si="0"/>
        <v>7</v>
      </c>
      <c r="H1" s="470">
        <f t="shared" si="0"/>
        <v>8</v>
      </c>
      <c r="I1" s="470">
        <f t="shared" si="0"/>
        <v>9</v>
      </c>
      <c r="J1" s="470">
        <f t="shared" si="0"/>
        <v>10</v>
      </c>
      <c r="K1" s="470">
        <f t="shared" si="0"/>
        <v>11</v>
      </c>
      <c r="L1" s="470">
        <f t="shared" si="0"/>
        <v>12</v>
      </c>
      <c r="M1" s="470">
        <f t="shared" si="0"/>
        <v>13</v>
      </c>
      <c r="N1" s="470">
        <f t="shared" si="0"/>
        <v>14</v>
      </c>
      <c r="O1" s="470">
        <f t="shared" si="0"/>
        <v>15</v>
      </c>
      <c r="P1" s="470">
        <f t="shared" si="0"/>
        <v>16</v>
      </c>
      <c r="Q1" s="470">
        <f t="shared" si="0"/>
        <v>17</v>
      </c>
      <c r="R1" s="470">
        <f t="shared" si="0"/>
        <v>18</v>
      </c>
      <c r="S1" s="470">
        <f t="shared" si="0"/>
        <v>19</v>
      </c>
      <c r="T1" s="470">
        <f t="shared" si="0"/>
        <v>20</v>
      </c>
      <c r="U1" s="470">
        <f t="shared" si="0"/>
        <v>21</v>
      </c>
      <c r="V1" s="470">
        <f t="shared" si="0"/>
        <v>22</v>
      </c>
      <c r="W1" s="470">
        <f t="shared" si="0"/>
        <v>23</v>
      </c>
      <c r="X1" s="470">
        <f t="shared" si="0"/>
        <v>24</v>
      </c>
      <c r="Y1" s="470">
        <f t="shared" si="0"/>
        <v>25</v>
      </c>
      <c r="Z1" s="470">
        <f t="shared" si="0"/>
        <v>26</v>
      </c>
      <c r="AA1" s="470">
        <f t="shared" si="0"/>
        <v>27</v>
      </c>
      <c r="AB1" s="470">
        <f t="shared" si="0"/>
        <v>28</v>
      </c>
      <c r="AC1" s="470">
        <f t="shared" si="0"/>
        <v>29</v>
      </c>
      <c r="AD1" s="470">
        <f t="shared" si="0"/>
        <v>30</v>
      </c>
      <c r="AE1" s="470">
        <f t="shared" si="0"/>
        <v>31</v>
      </c>
      <c r="AF1" s="470">
        <f t="shared" si="0"/>
        <v>32</v>
      </c>
      <c r="AG1" s="470">
        <f t="shared" si="0"/>
        <v>33</v>
      </c>
      <c r="AH1" s="470">
        <f t="shared" si="0"/>
        <v>34</v>
      </c>
      <c r="AI1" s="470">
        <f t="shared" si="0"/>
        <v>35</v>
      </c>
      <c r="AJ1" s="470">
        <f t="shared" si="0"/>
        <v>36</v>
      </c>
      <c r="AK1" s="470">
        <f t="shared" si="0"/>
        <v>37</v>
      </c>
      <c r="AL1" s="470">
        <f t="shared" si="0"/>
        <v>38</v>
      </c>
      <c r="AM1" s="470">
        <f t="shared" si="0"/>
        <v>39</v>
      </c>
      <c r="AN1" s="470">
        <f t="shared" si="0"/>
        <v>40</v>
      </c>
      <c r="AO1" s="470">
        <f t="shared" si="0"/>
        <v>41</v>
      </c>
      <c r="AP1" s="470">
        <f t="shared" si="0"/>
        <v>42</v>
      </c>
      <c r="AQ1" s="470">
        <f t="shared" si="0"/>
        <v>43</v>
      </c>
      <c r="AR1" s="470">
        <f t="shared" si="0"/>
        <v>44</v>
      </c>
      <c r="AS1" s="470">
        <f t="shared" si="0"/>
        <v>45</v>
      </c>
      <c r="AT1" s="470">
        <f t="shared" si="0"/>
        <v>46</v>
      </c>
      <c r="AU1" s="470">
        <f t="shared" si="0"/>
        <v>47</v>
      </c>
      <c r="AV1" s="470">
        <f t="shared" si="0"/>
        <v>48</v>
      </c>
      <c r="AW1" s="470">
        <f t="shared" si="0"/>
        <v>49</v>
      </c>
      <c r="AX1" s="470">
        <f t="shared" si="0"/>
        <v>50</v>
      </c>
      <c r="AY1" s="470">
        <f t="shared" si="0"/>
        <v>51</v>
      </c>
      <c r="AZ1" s="470">
        <f t="shared" si="0"/>
        <v>52</v>
      </c>
      <c r="BA1" s="470">
        <f t="shared" si="0"/>
        <v>53</v>
      </c>
      <c r="BB1" s="470">
        <f t="shared" si="0"/>
        <v>54</v>
      </c>
      <c r="BC1" s="470">
        <f t="shared" si="0"/>
        <v>55</v>
      </c>
      <c r="BD1" s="470">
        <f t="shared" si="0"/>
        <v>56</v>
      </c>
      <c r="BE1" s="470">
        <f t="shared" si="0"/>
        <v>57</v>
      </c>
      <c r="BF1" s="470">
        <f t="shared" si="0"/>
        <v>58</v>
      </c>
      <c r="BG1" s="470">
        <f t="shared" si="0"/>
        <v>59</v>
      </c>
      <c r="BH1" s="470">
        <f t="shared" si="0"/>
        <v>60</v>
      </c>
      <c r="BI1" s="470">
        <f t="shared" si="0"/>
        <v>61</v>
      </c>
      <c r="BJ1" s="470">
        <f t="shared" si="0"/>
        <v>62</v>
      </c>
      <c r="BK1" s="470">
        <f t="shared" si="0"/>
        <v>63</v>
      </c>
      <c r="BL1" s="470">
        <f t="shared" si="0"/>
        <v>64</v>
      </c>
      <c r="BM1" s="470">
        <f t="shared" si="0"/>
        <v>65</v>
      </c>
      <c r="BN1" s="470">
        <f t="shared" si="0"/>
        <v>66</v>
      </c>
      <c r="BO1" s="470">
        <f t="shared" ref="BO1:DH1" si="1">BN1+1</f>
        <v>67</v>
      </c>
      <c r="BP1" s="470">
        <f t="shared" si="1"/>
        <v>68</v>
      </c>
      <c r="BQ1" s="470">
        <f t="shared" si="1"/>
        <v>69</v>
      </c>
      <c r="BR1" s="470">
        <f t="shared" si="1"/>
        <v>70</v>
      </c>
      <c r="BS1" s="470">
        <f t="shared" si="1"/>
        <v>71</v>
      </c>
      <c r="BT1" s="470">
        <f t="shared" si="1"/>
        <v>72</v>
      </c>
      <c r="BU1" s="470">
        <f t="shared" si="1"/>
        <v>73</v>
      </c>
      <c r="BV1" s="470">
        <f t="shared" si="1"/>
        <v>74</v>
      </c>
      <c r="BW1" s="470">
        <f t="shared" si="1"/>
        <v>75</v>
      </c>
      <c r="BX1" s="470">
        <f t="shared" si="1"/>
        <v>76</v>
      </c>
      <c r="BY1" s="470">
        <f t="shared" si="1"/>
        <v>77</v>
      </c>
      <c r="BZ1" s="470">
        <f t="shared" si="1"/>
        <v>78</v>
      </c>
      <c r="CA1" s="470">
        <f t="shared" si="1"/>
        <v>79</v>
      </c>
      <c r="CB1" s="470">
        <f t="shared" si="1"/>
        <v>80</v>
      </c>
      <c r="CC1" s="470">
        <f t="shared" si="1"/>
        <v>81</v>
      </c>
      <c r="CD1" s="470">
        <f t="shared" si="1"/>
        <v>82</v>
      </c>
      <c r="CE1" s="470">
        <f t="shared" si="1"/>
        <v>83</v>
      </c>
      <c r="CF1" s="470">
        <f t="shared" si="1"/>
        <v>84</v>
      </c>
      <c r="CG1" s="470">
        <f t="shared" si="1"/>
        <v>85</v>
      </c>
      <c r="CH1" s="470">
        <f t="shared" si="1"/>
        <v>86</v>
      </c>
      <c r="CI1" s="470">
        <f t="shared" si="1"/>
        <v>87</v>
      </c>
      <c r="CJ1" s="470">
        <f t="shared" si="1"/>
        <v>88</v>
      </c>
      <c r="CK1" s="470">
        <f t="shared" si="1"/>
        <v>89</v>
      </c>
      <c r="CL1" s="470">
        <f t="shared" si="1"/>
        <v>90</v>
      </c>
      <c r="CM1" s="470">
        <f t="shared" si="1"/>
        <v>91</v>
      </c>
      <c r="CN1" s="470">
        <f t="shared" si="1"/>
        <v>92</v>
      </c>
      <c r="CO1" s="470">
        <f t="shared" si="1"/>
        <v>93</v>
      </c>
      <c r="CP1" s="470">
        <f t="shared" si="1"/>
        <v>94</v>
      </c>
      <c r="CQ1" s="470">
        <f t="shared" si="1"/>
        <v>95</v>
      </c>
      <c r="CR1" s="470">
        <f t="shared" si="1"/>
        <v>96</v>
      </c>
      <c r="CS1" s="470">
        <f t="shared" si="1"/>
        <v>97</v>
      </c>
      <c r="CT1" s="470">
        <f t="shared" si="1"/>
        <v>98</v>
      </c>
      <c r="CU1" s="470">
        <f t="shared" si="1"/>
        <v>99</v>
      </c>
      <c r="CV1" s="470">
        <f t="shared" si="1"/>
        <v>100</v>
      </c>
      <c r="CW1" s="470">
        <f t="shared" si="1"/>
        <v>101</v>
      </c>
      <c r="CX1" s="470">
        <f t="shared" si="1"/>
        <v>102</v>
      </c>
      <c r="CY1" s="470">
        <f t="shared" si="1"/>
        <v>103</v>
      </c>
      <c r="CZ1" s="470">
        <f t="shared" si="1"/>
        <v>104</v>
      </c>
      <c r="DA1" s="470">
        <f t="shared" si="1"/>
        <v>105</v>
      </c>
      <c r="DB1" s="470">
        <f t="shared" si="1"/>
        <v>106</v>
      </c>
      <c r="DC1" s="470">
        <f t="shared" si="1"/>
        <v>107</v>
      </c>
      <c r="DD1" s="470">
        <f t="shared" si="1"/>
        <v>108</v>
      </c>
      <c r="DE1" s="470">
        <f t="shared" si="1"/>
        <v>109</v>
      </c>
      <c r="DF1" s="470">
        <f t="shared" si="1"/>
        <v>110</v>
      </c>
      <c r="DG1" s="470">
        <f t="shared" si="1"/>
        <v>111</v>
      </c>
      <c r="DH1" s="470">
        <f t="shared" si="1"/>
        <v>112</v>
      </c>
      <c r="DI1" s="471"/>
      <c r="DJ1" s="472"/>
    </row>
    <row r="2" spans="1:114" ht="24.6" customHeight="1" thickBot="1">
      <c r="A2" s="2289" t="s">
        <v>88</v>
      </c>
      <c r="B2" s="2290" t="s">
        <v>375</v>
      </c>
      <c r="C2" s="472"/>
      <c r="D2" s="2291" t="s">
        <v>376</v>
      </c>
      <c r="E2" s="2292"/>
      <c r="F2" s="2292"/>
      <c r="G2" s="2292"/>
      <c r="H2" s="2292"/>
      <c r="I2" s="2292"/>
      <c r="J2" s="2292"/>
      <c r="K2" s="2292"/>
      <c r="L2" s="2292"/>
      <c r="M2" s="2292"/>
      <c r="N2" s="2292"/>
      <c r="O2" s="2292"/>
      <c r="P2" s="2292"/>
      <c r="Q2" s="2292"/>
      <c r="R2" s="2292"/>
      <c r="S2" s="2292"/>
      <c r="T2" s="2292"/>
      <c r="U2" s="2292"/>
      <c r="V2" s="2292"/>
      <c r="W2" s="2292"/>
      <c r="X2" s="2292"/>
      <c r="Y2" s="2292"/>
      <c r="Z2" s="2292"/>
      <c r="AA2" s="2292"/>
      <c r="AB2" s="2292"/>
      <c r="AC2" s="2292"/>
      <c r="AD2" s="2292"/>
      <c r="AE2" s="2293"/>
      <c r="AF2" s="2294" t="s">
        <v>377</v>
      </c>
      <c r="AG2" s="2294"/>
      <c r="AH2" s="2288" t="s">
        <v>378</v>
      </c>
      <c r="AI2" s="2288" t="s">
        <v>379</v>
      </c>
      <c r="AJ2" s="2288"/>
      <c r="AK2" s="2299" t="s">
        <v>380</v>
      </c>
      <c r="AL2" s="2299" t="s">
        <v>381</v>
      </c>
      <c r="AM2" s="2299"/>
      <c r="AN2" s="2300" t="s">
        <v>382</v>
      </c>
      <c r="AO2" s="2300" t="s">
        <v>383</v>
      </c>
      <c r="AP2" s="2300"/>
      <c r="AQ2" s="2300"/>
      <c r="AR2" s="473"/>
      <c r="AS2" s="474" t="s">
        <v>384</v>
      </c>
      <c r="AT2" s="475" t="s">
        <v>385</v>
      </c>
      <c r="AU2" s="472"/>
      <c r="AV2" s="2301" t="s">
        <v>384</v>
      </c>
      <c r="AW2" s="2302"/>
      <c r="AX2" s="2302"/>
      <c r="AY2" s="2303"/>
      <c r="AZ2" s="2304" t="s">
        <v>385</v>
      </c>
      <c r="BA2" s="2305"/>
      <c r="BB2" s="476"/>
      <c r="BC2" s="476"/>
      <c r="BD2" s="476"/>
      <c r="BE2" s="476"/>
      <c r="BF2" s="476"/>
      <c r="BG2" s="473"/>
      <c r="BH2" s="477" t="s">
        <v>386</v>
      </c>
      <c r="BI2" s="478"/>
      <c r="BJ2" s="478"/>
      <c r="BK2" s="478"/>
      <c r="BL2" s="478"/>
      <c r="BM2" s="478"/>
      <c r="BN2" s="478"/>
      <c r="BO2" s="478"/>
      <c r="BP2" s="479"/>
      <c r="BQ2" s="478"/>
      <c r="BR2" s="479"/>
      <c r="BS2" s="479"/>
      <c r="BT2" s="479"/>
      <c r="BU2" s="479"/>
      <c r="BV2" s="478"/>
      <c r="BW2" s="478"/>
      <c r="BX2" s="478"/>
      <c r="BY2" s="478"/>
      <c r="BZ2" s="473"/>
      <c r="CA2" s="477" t="s">
        <v>386</v>
      </c>
      <c r="CB2" s="478"/>
      <c r="CC2" s="478"/>
      <c r="CD2" s="478"/>
      <c r="CE2" s="478"/>
      <c r="CF2" s="478"/>
      <c r="CG2" s="478"/>
      <c r="CH2" s="478"/>
      <c r="CI2" s="479"/>
      <c r="CJ2" s="478"/>
      <c r="CK2" s="479"/>
      <c r="CL2" s="479"/>
      <c r="CM2" s="479"/>
      <c r="CN2" s="479"/>
      <c r="CO2" s="478"/>
      <c r="CP2" s="478"/>
      <c r="CQ2" s="478"/>
      <c r="CR2" s="478"/>
      <c r="CS2" s="480"/>
      <c r="CT2" s="473"/>
      <c r="CU2" s="2295" t="s">
        <v>387</v>
      </c>
      <c r="CV2" s="2295"/>
      <c r="CW2" s="2295"/>
      <c r="CX2" s="2295"/>
      <c r="CY2" s="2295"/>
      <c r="CZ2" s="481"/>
      <c r="DA2" s="472"/>
      <c r="DB2" s="2296" t="s">
        <v>388</v>
      </c>
      <c r="DC2" s="2297"/>
      <c r="DD2" s="2297"/>
      <c r="DE2" s="2297"/>
      <c r="DF2" s="2297"/>
      <c r="DG2" s="2297"/>
      <c r="DH2" s="2297"/>
      <c r="DI2" s="473"/>
      <c r="DJ2" s="472"/>
    </row>
    <row r="3" spans="1:114" ht="89.25">
      <c r="A3" s="2289"/>
      <c r="B3" s="2290"/>
      <c r="C3" s="482" t="s">
        <v>389</v>
      </c>
      <c r="D3" s="483" t="s">
        <v>390</v>
      </c>
      <c r="E3" s="484" t="s">
        <v>391</v>
      </c>
      <c r="F3" s="485" t="s">
        <v>392</v>
      </c>
      <c r="G3" s="486" t="s">
        <v>393</v>
      </c>
      <c r="H3" s="486" t="s">
        <v>394</v>
      </c>
      <c r="I3" s="486" t="s">
        <v>395</v>
      </c>
      <c r="J3" s="487" t="s">
        <v>396</v>
      </c>
      <c r="K3" s="488" t="s">
        <v>393</v>
      </c>
      <c r="L3" s="488" t="s">
        <v>394</v>
      </c>
      <c r="M3" s="488" t="s">
        <v>395</v>
      </c>
      <c r="N3" s="489" t="s">
        <v>397</v>
      </c>
      <c r="O3" s="490" t="s">
        <v>391</v>
      </c>
      <c r="P3" s="491" t="s">
        <v>398</v>
      </c>
      <c r="Q3" s="483" t="s">
        <v>393</v>
      </c>
      <c r="R3" s="483" t="s">
        <v>394</v>
      </c>
      <c r="S3" s="483" t="s">
        <v>395</v>
      </c>
      <c r="T3" s="492" t="s">
        <v>399</v>
      </c>
      <c r="U3" s="486" t="s">
        <v>393</v>
      </c>
      <c r="V3" s="486" t="s">
        <v>394</v>
      </c>
      <c r="W3" s="486" t="s">
        <v>395</v>
      </c>
      <c r="X3" s="493" t="s">
        <v>400</v>
      </c>
      <c r="Y3" s="488" t="s">
        <v>393</v>
      </c>
      <c r="Z3" s="488" t="s">
        <v>394</v>
      </c>
      <c r="AA3" s="488" t="s">
        <v>395</v>
      </c>
      <c r="AB3" s="494" t="s">
        <v>401</v>
      </c>
      <c r="AC3" s="483" t="s">
        <v>393</v>
      </c>
      <c r="AD3" s="483" t="s">
        <v>394</v>
      </c>
      <c r="AE3" s="483" t="s">
        <v>395</v>
      </c>
      <c r="AF3" s="484" t="s">
        <v>402</v>
      </c>
      <c r="AG3" s="484" t="s">
        <v>391</v>
      </c>
      <c r="AH3" s="2288"/>
      <c r="AI3" s="495" t="s">
        <v>393</v>
      </c>
      <c r="AJ3" s="495" t="s">
        <v>395</v>
      </c>
      <c r="AK3" s="2299"/>
      <c r="AL3" s="496" t="s">
        <v>393</v>
      </c>
      <c r="AM3" s="497" t="s">
        <v>395</v>
      </c>
      <c r="AN3" s="2300"/>
      <c r="AO3" s="498" t="s">
        <v>393</v>
      </c>
      <c r="AP3" s="498" t="s">
        <v>394</v>
      </c>
      <c r="AQ3" s="498" t="s">
        <v>395</v>
      </c>
      <c r="AR3" s="473"/>
      <c r="AS3" s="483" t="s">
        <v>403</v>
      </c>
      <c r="AT3" s="495" t="s">
        <v>404</v>
      </c>
      <c r="AU3" s="472"/>
      <c r="AV3" s="483" t="s">
        <v>393</v>
      </c>
      <c r="AW3" s="483" t="s">
        <v>394</v>
      </c>
      <c r="AX3" s="483" t="s">
        <v>395</v>
      </c>
      <c r="AY3" s="499" t="s">
        <v>391</v>
      </c>
      <c r="AZ3" s="495" t="s">
        <v>393</v>
      </c>
      <c r="BA3" s="500" t="s">
        <v>395</v>
      </c>
      <c r="BB3" s="501"/>
      <c r="BC3" s="498" t="s">
        <v>405</v>
      </c>
      <c r="BD3" s="498" t="s">
        <v>406</v>
      </c>
      <c r="BE3" s="498" t="s">
        <v>407</v>
      </c>
      <c r="BF3" s="498" t="s">
        <v>408</v>
      </c>
      <c r="BG3" s="473"/>
      <c r="BH3" s="502" t="s">
        <v>409</v>
      </c>
      <c r="BI3" s="502" t="s">
        <v>410</v>
      </c>
      <c r="BJ3" s="502" t="s">
        <v>411</v>
      </c>
      <c r="BK3" s="502" t="s">
        <v>412</v>
      </c>
      <c r="BL3" s="502" t="s">
        <v>413</v>
      </c>
      <c r="BM3" s="502" t="s">
        <v>414</v>
      </c>
      <c r="BN3" s="502" t="s">
        <v>415</v>
      </c>
      <c r="BO3" s="502" t="s">
        <v>416</v>
      </c>
      <c r="BP3" s="503" t="s">
        <v>417</v>
      </c>
      <c r="BQ3" s="503" t="s">
        <v>412</v>
      </c>
      <c r="BR3" s="492" t="s">
        <v>399</v>
      </c>
      <c r="BS3" s="486" t="s">
        <v>393</v>
      </c>
      <c r="BT3" s="486" t="s">
        <v>394</v>
      </c>
      <c r="BU3" s="486" t="s">
        <v>395</v>
      </c>
      <c r="BV3" s="502" t="s">
        <v>418</v>
      </c>
      <c r="BW3" s="502" t="s">
        <v>419</v>
      </c>
      <c r="BX3" s="502" t="s">
        <v>420</v>
      </c>
      <c r="BY3" s="502" t="s">
        <v>421</v>
      </c>
      <c r="BZ3" s="473"/>
      <c r="CA3" s="502" t="s">
        <v>409</v>
      </c>
      <c r="CB3" s="502" t="s">
        <v>410</v>
      </c>
      <c r="CC3" s="502" t="s">
        <v>411</v>
      </c>
      <c r="CD3" s="502" t="s">
        <v>412</v>
      </c>
      <c r="CE3" s="502" t="s">
        <v>413</v>
      </c>
      <c r="CF3" s="502" t="s">
        <v>414</v>
      </c>
      <c r="CG3" s="502" t="s">
        <v>415</v>
      </c>
      <c r="CH3" s="502" t="s">
        <v>416</v>
      </c>
      <c r="CI3" s="503" t="s">
        <v>417</v>
      </c>
      <c r="CJ3" s="503" t="s">
        <v>412</v>
      </c>
      <c r="CK3" s="492" t="s">
        <v>399</v>
      </c>
      <c r="CL3" s="486" t="s">
        <v>393</v>
      </c>
      <c r="CM3" s="486" t="s">
        <v>394</v>
      </c>
      <c r="CN3" s="486" t="s">
        <v>395</v>
      </c>
      <c r="CO3" s="502" t="s">
        <v>418</v>
      </c>
      <c r="CP3" s="502" t="s">
        <v>419</v>
      </c>
      <c r="CQ3" s="502" t="s">
        <v>420</v>
      </c>
      <c r="CR3" s="502" t="s">
        <v>421</v>
      </c>
      <c r="CS3" s="504" t="s">
        <v>422</v>
      </c>
      <c r="CT3" s="473"/>
      <c r="CU3" s="505" t="s">
        <v>423</v>
      </c>
      <c r="CV3" s="505" t="s">
        <v>424</v>
      </c>
      <c r="CW3" s="505" t="s">
        <v>425</v>
      </c>
      <c r="CX3" s="505" t="s">
        <v>426</v>
      </c>
      <c r="CY3" s="505" t="s">
        <v>427</v>
      </c>
      <c r="CZ3" s="505" t="s">
        <v>428</v>
      </c>
      <c r="DA3" s="472"/>
      <c r="DB3" s="505" t="s">
        <v>423</v>
      </c>
      <c r="DC3" s="505" t="s">
        <v>424</v>
      </c>
      <c r="DD3" s="505" t="s">
        <v>425</v>
      </c>
      <c r="DE3" s="505" t="s">
        <v>426</v>
      </c>
      <c r="DF3" s="505" t="s">
        <v>427</v>
      </c>
      <c r="DG3" s="505" t="s">
        <v>428</v>
      </c>
      <c r="DH3" s="2291" t="s">
        <v>422</v>
      </c>
      <c r="DI3" s="506"/>
      <c r="DJ3" s="472"/>
    </row>
    <row r="4" spans="1:114" s="525" customFormat="1" ht="12.75">
      <c r="A4" s="2289"/>
      <c r="B4" s="2290"/>
      <c r="C4" s="507" t="s">
        <v>88</v>
      </c>
      <c r="D4" s="508">
        <v>42841</v>
      </c>
      <c r="E4" s="509">
        <v>10034</v>
      </c>
      <c r="F4" s="510">
        <v>42831</v>
      </c>
      <c r="G4" s="511">
        <v>10081</v>
      </c>
      <c r="H4" s="511">
        <v>10082</v>
      </c>
      <c r="I4" s="511">
        <v>10010</v>
      </c>
      <c r="J4" s="512">
        <v>42836</v>
      </c>
      <c r="K4" s="513">
        <v>10081</v>
      </c>
      <c r="L4" s="513">
        <v>10082</v>
      </c>
      <c r="M4" s="513">
        <v>10010</v>
      </c>
      <c r="N4" s="514">
        <v>1106165</v>
      </c>
      <c r="O4" s="515">
        <v>10034</v>
      </c>
      <c r="P4" s="516">
        <v>42838</v>
      </c>
      <c r="Q4" s="517">
        <v>10081</v>
      </c>
      <c r="R4" s="517">
        <v>10082</v>
      </c>
      <c r="S4" s="517">
        <v>10010</v>
      </c>
      <c r="T4" s="518">
        <v>45050</v>
      </c>
      <c r="U4" s="511">
        <v>10081</v>
      </c>
      <c r="V4" s="511">
        <v>10082</v>
      </c>
      <c r="W4" s="511">
        <v>10010</v>
      </c>
      <c r="X4" s="513">
        <v>45160</v>
      </c>
      <c r="Y4" s="513">
        <v>10081</v>
      </c>
      <c r="Z4" s="513">
        <v>10082</v>
      </c>
      <c r="AA4" s="513">
        <v>10010</v>
      </c>
      <c r="AB4" s="517">
        <v>45165</v>
      </c>
      <c r="AC4" s="517">
        <v>10081</v>
      </c>
      <c r="AD4" s="517">
        <v>10082</v>
      </c>
      <c r="AE4" s="517">
        <v>10010</v>
      </c>
      <c r="AF4" s="515">
        <v>42856</v>
      </c>
      <c r="AG4" s="515">
        <v>10034</v>
      </c>
      <c r="AH4" s="519">
        <v>47018</v>
      </c>
      <c r="AI4" s="519">
        <v>10081</v>
      </c>
      <c r="AJ4" s="519">
        <v>10010</v>
      </c>
      <c r="AK4" s="520">
        <v>1109669</v>
      </c>
      <c r="AL4" s="520">
        <v>10081</v>
      </c>
      <c r="AM4" s="521">
        <v>10010</v>
      </c>
      <c r="AN4" s="522">
        <v>1106057</v>
      </c>
      <c r="AO4" s="522">
        <v>10081</v>
      </c>
      <c r="AP4" s="522">
        <v>10082</v>
      </c>
      <c r="AQ4" s="522">
        <v>10010</v>
      </c>
      <c r="AR4" s="523"/>
      <c r="AS4" s="516" t="s">
        <v>429</v>
      </c>
      <c r="AT4" s="524" t="s">
        <v>429</v>
      </c>
      <c r="AV4" s="517">
        <v>10081</v>
      </c>
      <c r="AW4" s="517">
        <v>10082</v>
      </c>
      <c r="AX4" s="517">
        <v>10010</v>
      </c>
      <c r="AY4" s="515">
        <v>10034</v>
      </c>
      <c r="AZ4" s="519">
        <v>10081</v>
      </c>
      <c r="BA4" s="519">
        <v>10010</v>
      </c>
      <c r="BB4" s="526"/>
      <c r="BC4" s="522">
        <v>10081</v>
      </c>
      <c r="BD4" s="522">
        <v>10082</v>
      </c>
      <c r="BE4" s="522">
        <v>10010</v>
      </c>
      <c r="BF4" s="522">
        <v>10034</v>
      </c>
      <c r="BG4" s="473"/>
      <c r="BH4" s="527">
        <v>47020</v>
      </c>
      <c r="BI4" s="527">
        <v>11017</v>
      </c>
      <c r="BJ4" s="527">
        <v>11026</v>
      </c>
      <c r="BK4" s="527">
        <v>10069</v>
      </c>
      <c r="BL4" s="527">
        <v>11036</v>
      </c>
      <c r="BM4" s="527">
        <v>10044</v>
      </c>
      <c r="BN4" s="527">
        <v>11037</v>
      </c>
      <c r="BO4" s="527" t="s">
        <v>430</v>
      </c>
      <c r="BP4" s="528">
        <v>47004</v>
      </c>
      <c r="BQ4" s="528">
        <v>10069</v>
      </c>
      <c r="BR4" s="518">
        <v>45050</v>
      </c>
      <c r="BS4" s="511">
        <v>10081</v>
      </c>
      <c r="BT4" s="511">
        <v>10082</v>
      </c>
      <c r="BU4" s="511">
        <v>10010</v>
      </c>
      <c r="BV4" s="527" t="s">
        <v>431</v>
      </c>
      <c r="BW4" s="527" t="s">
        <v>432</v>
      </c>
      <c r="BX4" s="527">
        <v>2701</v>
      </c>
      <c r="BY4" s="527">
        <v>10026</v>
      </c>
      <c r="BZ4" s="523"/>
      <c r="CA4" s="1411">
        <v>1.4999999999999999E-2</v>
      </c>
      <c r="CB4" s="1411">
        <v>1.0999999999999999E-2</v>
      </c>
      <c r="CC4" s="1411">
        <v>8.9999999999999993E-3</v>
      </c>
      <c r="CD4" s="1411">
        <v>1E-3</v>
      </c>
      <c r="CE4" s="1411">
        <v>2.3E-3</v>
      </c>
      <c r="CF4" s="1411">
        <v>1E-3</v>
      </c>
      <c r="CG4" s="1411">
        <v>4.0000000000000001E-3</v>
      </c>
      <c r="CH4" s="1411">
        <v>1.4E-2</v>
      </c>
      <c r="CI4" s="1412"/>
      <c r="CJ4" s="1412">
        <v>1E-3</v>
      </c>
      <c r="CK4" s="1413"/>
      <c r="CL4" s="1413"/>
      <c r="CM4" s="1413"/>
      <c r="CN4" s="1413"/>
      <c r="CO4" s="1411">
        <v>3.0000000000000001E-3</v>
      </c>
      <c r="CP4" s="1411">
        <v>1E-3</v>
      </c>
      <c r="CQ4" s="1411">
        <v>0.03</v>
      </c>
      <c r="CR4" s="529">
        <v>2.4000000000000001E-4</v>
      </c>
      <c r="CS4" s="530"/>
      <c r="CT4" s="523"/>
      <c r="CU4" s="531">
        <v>10062</v>
      </c>
      <c r="CV4" s="531">
        <v>10063</v>
      </c>
      <c r="CW4" s="531">
        <v>10064</v>
      </c>
      <c r="CX4" s="531">
        <v>10065</v>
      </c>
      <c r="CY4" s="531">
        <v>10066</v>
      </c>
      <c r="CZ4" s="531">
        <v>10066</v>
      </c>
      <c r="DB4" s="531">
        <v>10062</v>
      </c>
      <c r="DC4" s="531">
        <v>10063</v>
      </c>
      <c r="DD4" s="531">
        <v>10064</v>
      </c>
      <c r="DE4" s="531">
        <v>10065</v>
      </c>
      <c r="DF4" s="531">
        <v>10066</v>
      </c>
      <c r="DG4" s="531">
        <v>10066</v>
      </c>
      <c r="DH4" s="2298"/>
      <c r="DI4" s="506"/>
    </row>
    <row r="5" spans="1:114" ht="39" customHeight="1" thickBot="1">
      <c r="A5" s="2289"/>
      <c r="B5" s="2290"/>
      <c r="C5" s="532" t="s">
        <v>90</v>
      </c>
      <c r="D5" s="516" t="s">
        <v>357</v>
      </c>
      <c r="E5" s="533" t="s">
        <v>433</v>
      </c>
      <c r="F5" s="510" t="s">
        <v>357</v>
      </c>
      <c r="G5" s="534" t="s">
        <v>434</v>
      </c>
      <c r="H5" s="534" t="s">
        <v>434</v>
      </c>
      <c r="I5" s="534" t="s">
        <v>433</v>
      </c>
      <c r="J5" s="512" t="s">
        <v>357</v>
      </c>
      <c r="K5" s="535" t="s">
        <v>433</v>
      </c>
      <c r="L5" s="535" t="s">
        <v>433</v>
      </c>
      <c r="M5" s="535" t="s">
        <v>433</v>
      </c>
      <c r="N5" s="536" t="s">
        <v>357</v>
      </c>
      <c r="O5" s="537" t="s">
        <v>433</v>
      </c>
      <c r="P5" s="516" t="s">
        <v>357</v>
      </c>
      <c r="Q5" s="474" t="s">
        <v>434</v>
      </c>
      <c r="R5" s="474" t="s">
        <v>434</v>
      </c>
      <c r="S5" s="474" t="s">
        <v>433</v>
      </c>
      <c r="T5" s="510" t="s">
        <v>357</v>
      </c>
      <c r="U5" s="534" t="s">
        <v>434</v>
      </c>
      <c r="V5" s="534" t="s">
        <v>434</v>
      </c>
      <c r="W5" s="534" t="s">
        <v>433</v>
      </c>
      <c r="X5" s="512" t="s">
        <v>357</v>
      </c>
      <c r="Y5" s="535" t="s">
        <v>434</v>
      </c>
      <c r="Z5" s="535" t="s">
        <v>434</v>
      </c>
      <c r="AA5" s="535" t="s">
        <v>433</v>
      </c>
      <c r="AB5" s="516" t="s">
        <v>357</v>
      </c>
      <c r="AC5" s="474" t="s">
        <v>434</v>
      </c>
      <c r="AD5" s="474" t="s">
        <v>434</v>
      </c>
      <c r="AE5" s="474" t="s">
        <v>433</v>
      </c>
      <c r="AF5" s="515" t="s">
        <v>357</v>
      </c>
      <c r="AG5" s="515" t="s">
        <v>433</v>
      </c>
      <c r="AH5" s="538" t="s">
        <v>433</v>
      </c>
      <c r="AI5" s="538" t="s">
        <v>434</v>
      </c>
      <c r="AJ5" s="538" t="s">
        <v>433</v>
      </c>
      <c r="AK5" s="539" t="s">
        <v>433</v>
      </c>
      <c r="AL5" s="539" t="s">
        <v>434</v>
      </c>
      <c r="AM5" s="540" t="s">
        <v>433</v>
      </c>
      <c r="AN5" s="541" t="s">
        <v>433</v>
      </c>
      <c r="AO5" s="541" t="s">
        <v>434</v>
      </c>
      <c r="AP5" s="541" t="s">
        <v>434</v>
      </c>
      <c r="AQ5" s="541" t="s">
        <v>433</v>
      </c>
      <c r="AR5" s="506"/>
      <c r="AS5" s="516" t="s">
        <v>357</v>
      </c>
      <c r="AT5" s="524" t="s">
        <v>357</v>
      </c>
      <c r="AU5" s="472"/>
      <c r="AV5" s="474" t="s">
        <v>434</v>
      </c>
      <c r="AW5" s="542" t="s">
        <v>434</v>
      </c>
      <c r="AX5" s="474" t="s">
        <v>433</v>
      </c>
      <c r="AY5" s="515" t="s">
        <v>433</v>
      </c>
      <c r="AZ5" s="538" t="s">
        <v>434</v>
      </c>
      <c r="BA5" s="538" t="s">
        <v>434</v>
      </c>
      <c r="BB5" s="526"/>
      <c r="BC5" s="541" t="s">
        <v>434</v>
      </c>
      <c r="BD5" s="543" t="s">
        <v>434</v>
      </c>
      <c r="BE5" s="541" t="s">
        <v>433</v>
      </c>
      <c r="BF5" s="541" t="s">
        <v>433</v>
      </c>
      <c r="BG5" s="473"/>
      <c r="BH5" s="544" t="s">
        <v>146</v>
      </c>
      <c r="BI5" s="544" t="s">
        <v>107</v>
      </c>
      <c r="BJ5" s="544" t="s">
        <v>107</v>
      </c>
      <c r="BK5" s="544" t="s">
        <v>113</v>
      </c>
      <c r="BL5" s="544" t="s">
        <v>374</v>
      </c>
      <c r="BM5" s="544" t="s">
        <v>113</v>
      </c>
      <c r="BN5" s="544" t="s">
        <v>107</v>
      </c>
      <c r="BO5" s="544" t="s">
        <v>374</v>
      </c>
      <c r="BP5" s="545" t="s">
        <v>374</v>
      </c>
      <c r="BQ5" s="545" t="s">
        <v>113</v>
      </c>
      <c r="BR5" s="546" t="s">
        <v>357</v>
      </c>
      <c r="BS5" s="547" t="s">
        <v>434</v>
      </c>
      <c r="BT5" s="547" t="s">
        <v>434</v>
      </c>
      <c r="BU5" s="547" t="s">
        <v>433</v>
      </c>
      <c r="BV5" s="544" t="s">
        <v>107</v>
      </c>
      <c r="BW5" s="544" t="s">
        <v>113</v>
      </c>
      <c r="BX5" s="544" t="s">
        <v>146</v>
      </c>
      <c r="BY5" s="544" t="s">
        <v>146</v>
      </c>
      <c r="BZ5" s="506"/>
      <c r="CA5" s="544" t="s">
        <v>146</v>
      </c>
      <c r="CB5" s="544" t="s">
        <v>107</v>
      </c>
      <c r="CC5" s="544" t="s">
        <v>107</v>
      </c>
      <c r="CD5" s="544" t="s">
        <v>113</v>
      </c>
      <c r="CE5" s="544" t="s">
        <v>374</v>
      </c>
      <c r="CF5" s="544" t="s">
        <v>113</v>
      </c>
      <c r="CG5" s="544" t="s">
        <v>107</v>
      </c>
      <c r="CH5" s="544" t="s">
        <v>374</v>
      </c>
      <c r="CI5" s="545" t="s">
        <v>374</v>
      </c>
      <c r="CJ5" s="545" t="s">
        <v>113</v>
      </c>
      <c r="CK5" s="546" t="s">
        <v>357</v>
      </c>
      <c r="CL5" s="547" t="s">
        <v>434</v>
      </c>
      <c r="CM5" s="547" t="s">
        <v>434</v>
      </c>
      <c r="CN5" s="547" t="s">
        <v>433</v>
      </c>
      <c r="CO5" s="544" t="s">
        <v>107</v>
      </c>
      <c r="CP5" s="544" t="s">
        <v>113</v>
      </c>
      <c r="CQ5" s="544" t="s">
        <v>146</v>
      </c>
      <c r="CR5" s="544" t="s">
        <v>146</v>
      </c>
      <c r="CS5" s="548" t="s">
        <v>435</v>
      </c>
      <c r="CT5" s="506"/>
      <c r="CU5" s="549" t="s">
        <v>436</v>
      </c>
      <c r="CV5" s="549" t="s">
        <v>436</v>
      </c>
      <c r="CW5" s="549" t="s">
        <v>436</v>
      </c>
      <c r="CX5" s="549" t="s">
        <v>436</v>
      </c>
      <c r="CY5" s="549" t="s">
        <v>436</v>
      </c>
      <c r="CZ5" s="549" t="s">
        <v>436</v>
      </c>
      <c r="DA5" s="472"/>
      <c r="DB5" s="549">
        <v>0.34040999999999999</v>
      </c>
      <c r="DC5" s="549">
        <v>0.53493000000000002</v>
      </c>
      <c r="DD5" s="549">
        <v>0.74890000000000001</v>
      </c>
      <c r="DE5" s="549">
        <v>1.24817</v>
      </c>
      <c r="DF5" s="549">
        <v>1.87225</v>
      </c>
      <c r="DG5" s="549">
        <v>6.8799999999999998E-3</v>
      </c>
      <c r="DH5" s="549" t="s">
        <v>435</v>
      </c>
      <c r="DI5" s="506"/>
      <c r="DJ5" s="472"/>
    </row>
    <row r="6" spans="1:114" ht="12.75" hidden="1" customHeight="1">
      <c r="A6" s="470">
        <v>41345</v>
      </c>
      <c r="B6" s="550" t="s">
        <v>437</v>
      </c>
      <c r="C6" s="551" t="s">
        <v>374</v>
      </c>
      <c r="D6" s="552">
        <v>0</v>
      </c>
      <c r="E6" s="552">
        <v>0</v>
      </c>
      <c r="F6" s="552">
        <v>2.2599999999999998</v>
      </c>
      <c r="G6" s="552">
        <v>0.89922000000000002</v>
      </c>
      <c r="H6" s="552">
        <v>1.1026199999999999</v>
      </c>
      <c r="I6" s="552">
        <v>280.53417999999999</v>
      </c>
      <c r="J6" s="552">
        <v>0</v>
      </c>
      <c r="K6" s="552">
        <v>0</v>
      </c>
      <c r="L6" s="552">
        <v>0</v>
      </c>
      <c r="M6" s="552">
        <v>0</v>
      </c>
      <c r="N6" s="553">
        <v>0</v>
      </c>
      <c r="O6" s="553">
        <v>0</v>
      </c>
      <c r="P6" s="552">
        <v>0</v>
      </c>
      <c r="Q6" s="552">
        <v>0</v>
      </c>
      <c r="R6" s="552">
        <v>0</v>
      </c>
      <c r="S6" s="552">
        <v>0</v>
      </c>
      <c r="T6" s="552">
        <v>0</v>
      </c>
      <c r="U6" s="552">
        <v>0</v>
      </c>
      <c r="V6" s="552">
        <v>0</v>
      </c>
      <c r="W6" s="552">
        <v>0</v>
      </c>
      <c r="X6" s="552">
        <v>0</v>
      </c>
      <c r="Y6" s="552">
        <v>0</v>
      </c>
      <c r="Z6" s="552">
        <v>0</v>
      </c>
      <c r="AA6" s="552">
        <v>0</v>
      </c>
      <c r="AB6" s="552">
        <v>0</v>
      </c>
      <c r="AC6" s="552">
        <v>0</v>
      </c>
      <c r="AD6" s="552">
        <v>0</v>
      </c>
      <c r="AE6" s="552">
        <v>0</v>
      </c>
      <c r="AF6" s="552">
        <v>0</v>
      </c>
      <c r="AG6" s="552">
        <v>0</v>
      </c>
      <c r="AH6" s="552">
        <v>0</v>
      </c>
      <c r="AI6" s="552">
        <v>0</v>
      </c>
      <c r="AJ6" s="552">
        <v>0</v>
      </c>
      <c r="AK6" s="552">
        <v>0</v>
      </c>
      <c r="AL6" s="552">
        <v>0</v>
      </c>
      <c r="AM6" s="552">
        <v>0</v>
      </c>
      <c r="AN6" s="552">
        <v>0</v>
      </c>
      <c r="AO6" s="552">
        <v>0</v>
      </c>
      <c r="AP6" s="552">
        <v>0</v>
      </c>
      <c r="AQ6" s="552">
        <v>0</v>
      </c>
      <c r="AR6" s="554"/>
      <c r="AS6" s="555">
        <f t="shared" ref="AS6:AS69" si="2">SUM(IF(D6=0,F6,D6*F6),J6,IF(N6=0,P6,N6*P6),T6,X6,AB6,AN6,CI6*CK6)</f>
        <v>2.2599999999999998</v>
      </c>
      <c r="AT6" s="555">
        <f t="shared" ref="AT6:AT69" si="3">IF(AF6=0,AH6+AK6,AF6*AH6+AK6)</f>
        <v>0</v>
      </c>
      <c r="AU6" s="556"/>
      <c r="AV6" s="553">
        <f t="shared" ref="AV6:AX37" si="4">$J6*K6+IF($N6=0,$P6,$N6*$P6*Q6)+$T6*U6+$X6*Y6+$AB6*AC6+IF($D6=0,$F6*G6,$D6*$F6*G6)+$CI6*$CK6*CL6</f>
        <v>2.0322372</v>
      </c>
      <c r="AW6" s="553">
        <f t="shared" si="4"/>
        <v>2.4919211999999997</v>
      </c>
      <c r="AX6" s="553">
        <f t="shared" si="4"/>
        <v>634.00724679999996</v>
      </c>
      <c r="AY6" s="552">
        <f t="shared" ref="AY6:AY69" si="5">D6*E6+AF6*AG6+N6*O6</f>
        <v>0</v>
      </c>
      <c r="AZ6" s="552">
        <f t="shared" ref="AZ6:BA37" si="6">IF($AF6=0,$AH6*AI6+$AK6*AL6,$AF6*$AH6*AI6+$AK6*AL6)</f>
        <v>0</v>
      </c>
      <c r="BA6" s="552">
        <f t="shared" si="6"/>
        <v>0</v>
      </c>
      <c r="BB6" s="557"/>
      <c r="BC6" s="552">
        <v>0</v>
      </c>
      <c r="BD6" s="552">
        <v>0</v>
      </c>
      <c r="BE6" s="552">
        <v>0</v>
      </c>
      <c r="BF6" s="552">
        <v>0</v>
      </c>
      <c r="BG6" s="554" t="str">
        <f>IFERROR(VLOOKUP(#REF!,#REF!,4,FALSE),"")</f>
        <v/>
      </c>
      <c r="BH6" s="552"/>
      <c r="BI6" s="552"/>
      <c r="BJ6" s="552"/>
      <c r="BK6" s="552"/>
      <c r="BL6" s="552"/>
      <c r="BM6" s="552"/>
      <c r="BN6" s="552"/>
      <c r="BO6" s="552"/>
      <c r="BP6" s="552"/>
      <c r="BQ6" s="552"/>
      <c r="BR6" s="552"/>
      <c r="BS6" s="552"/>
      <c r="BT6" s="552"/>
      <c r="BU6" s="552"/>
      <c r="BV6" s="552"/>
      <c r="BW6" s="552"/>
      <c r="BX6" s="552"/>
      <c r="BY6" s="552"/>
      <c r="BZ6" s="552"/>
      <c r="CA6" s="552">
        <f t="shared" ref="CA6:CP21" si="7">CA$4*BH6</f>
        <v>0</v>
      </c>
      <c r="CB6" s="552">
        <f t="shared" si="7"/>
        <v>0</v>
      </c>
      <c r="CC6" s="552">
        <f t="shared" si="7"/>
        <v>0</v>
      </c>
      <c r="CD6" s="552">
        <f t="shared" si="7"/>
        <v>0</v>
      </c>
      <c r="CE6" s="552">
        <f t="shared" si="7"/>
        <v>0</v>
      </c>
      <c r="CF6" s="552">
        <f t="shared" si="7"/>
        <v>0</v>
      </c>
      <c r="CG6" s="552">
        <f t="shared" si="7"/>
        <v>0</v>
      </c>
      <c r="CH6" s="552">
        <f t="shared" si="7"/>
        <v>0</v>
      </c>
      <c r="CI6" s="552">
        <f t="shared" si="7"/>
        <v>0</v>
      </c>
      <c r="CJ6" s="552">
        <f t="shared" si="7"/>
        <v>0</v>
      </c>
      <c r="CK6" s="552">
        <f t="shared" si="7"/>
        <v>0</v>
      </c>
      <c r="CL6" s="552">
        <f t="shared" si="7"/>
        <v>0</v>
      </c>
      <c r="CM6" s="552">
        <f t="shared" si="7"/>
        <v>0</v>
      </c>
      <c r="CN6" s="552">
        <f t="shared" si="7"/>
        <v>0</v>
      </c>
      <c r="CO6" s="552">
        <f t="shared" si="7"/>
        <v>0</v>
      </c>
      <c r="CP6" s="552">
        <f t="shared" si="7"/>
        <v>0</v>
      </c>
      <c r="CQ6" s="552">
        <f t="shared" ref="CD6:CR21" si="8">CQ$4*BX6</f>
        <v>0</v>
      </c>
      <c r="CR6" s="552">
        <f t="shared" si="8"/>
        <v>0</v>
      </c>
      <c r="CS6" s="552">
        <f t="shared" ref="CS6:CS69" si="9">SUM(CA6:CR6)</f>
        <v>0</v>
      </c>
      <c r="CT6" s="552"/>
      <c r="CU6" s="552"/>
      <c r="CV6" s="552"/>
      <c r="CW6" s="552"/>
      <c r="CX6" s="552"/>
      <c r="CY6" s="552"/>
      <c r="CZ6" s="552"/>
      <c r="DA6" s="472"/>
      <c r="DB6" s="552">
        <f t="shared" ref="DB6:DG21" si="10">CU6*DB$5</f>
        <v>0</v>
      </c>
      <c r="DC6" s="552">
        <f t="shared" si="10"/>
        <v>0</v>
      </c>
      <c r="DD6" s="552">
        <f t="shared" si="10"/>
        <v>0</v>
      </c>
      <c r="DE6" s="552">
        <f t="shared" si="10"/>
        <v>0</v>
      </c>
      <c r="DF6" s="552">
        <f t="shared" si="10"/>
        <v>0</v>
      </c>
      <c r="DG6" s="552">
        <f t="shared" si="10"/>
        <v>0</v>
      </c>
      <c r="DH6" s="552">
        <f>SUM(DB6:DG6)</f>
        <v>0</v>
      </c>
      <c r="DI6" s="554"/>
      <c r="DJ6" s="525">
        <f>IFERROR(VLOOKUP(A6,'Transp. Dre Rodovia'!$A$19:$D$29,4,FALSE),0)+IFERROR(VLOOKUP(A6,#REF!,4,FALSE),0)</f>
        <v>0</v>
      </c>
    </row>
    <row r="7" spans="1:114" ht="12.75" hidden="1" customHeight="1">
      <c r="A7" s="470">
        <v>41346</v>
      </c>
      <c r="B7" s="550" t="s">
        <v>438</v>
      </c>
      <c r="C7" s="551" t="s">
        <v>374</v>
      </c>
      <c r="D7" s="552">
        <v>0</v>
      </c>
      <c r="E7" s="552">
        <v>0</v>
      </c>
      <c r="F7" s="552">
        <v>2.71</v>
      </c>
      <c r="G7" s="552">
        <v>0.89922000000000002</v>
      </c>
      <c r="H7" s="552">
        <v>1.1026199999999999</v>
      </c>
      <c r="I7" s="552">
        <v>280.53417999999999</v>
      </c>
      <c r="J7" s="552">
        <v>0</v>
      </c>
      <c r="K7" s="552">
        <v>0</v>
      </c>
      <c r="L7" s="552">
        <v>0</v>
      </c>
      <c r="M7" s="552">
        <v>0</v>
      </c>
      <c r="N7" s="553">
        <v>0</v>
      </c>
      <c r="O7" s="553">
        <v>0</v>
      </c>
      <c r="P7" s="552">
        <v>0</v>
      </c>
      <c r="Q7" s="552">
        <v>0</v>
      </c>
      <c r="R7" s="552">
        <v>0</v>
      </c>
      <c r="S7" s="552">
        <v>0</v>
      </c>
      <c r="T7" s="552">
        <v>0</v>
      </c>
      <c r="U7" s="552">
        <v>0</v>
      </c>
      <c r="V7" s="552">
        <v>0</v>
      </c>
      <c r="W7" s="552">
        <v>0</v>
      </c>
      <c r="X7" s="552">
        <v>0</v>
      </c>
      <c r="Y7" s="552">
        <v>0</v>
      </c>
      <c r="Z7" s="552">
        <v>0</v>
      </c>
      <c r="AA7" s="552">
        <v>0</v>
      </c>
      <c r="AB7" s="552">
        <v>0</v>
      </c>
      <c r="AC7" s="552">
        <v>0</v>
      </c>
      <c r="AD7" s="552">
        <v>0</v>
      </c>
      <c r="AE7" s="552">
        <v>0</v>
      </c>
      <c r="AF7" s="552">
        <v>0</v>
      </c>
      <c r="AG7" s="552">
        <v>0</v>
      </c>
      <c r="AH7" s="552">
        <v>0</v>
      </c>
      <c r="AI7" s="552">
        <v>0</v>
      </c>
      <c r="AJ7" s="552">
        <v>0</v>
      </c>
      <c r="AK7" s="552">
        <v>0</v>
      </c>
      <c r="AL7" s="552">
        <v>0</v>
      </c>
      <c r="AM7" s="552">
        <v>0</v>
      </c>
      <c r="AN7" s="552">
        <v>0</v>
      </c>
      <c r="AO7" s="552">
        <v>0</v>
      </c>
      <c r="AP7" s="552">
        <v>0</v>
      </c>
      <c r="AQ7" s="552">
        <v>0</v>
      </c>
      <c r="AR7" s="554"/>
      <c r="AS7" s="555">
        <f t="shared" si="2"/>
        <v>2.71</v>
      </c>
      <c r="AT7" s="555">
        <f t="shared" si="3"/>
        <v>0</v>
      </c>
      <c r="AU7" s="556"/>
      <c r="AV7" s="553">
        <f t="shared" si="4"/>
        <v>2.4368862</v>
      </c>
      <c r="AW7" s="553">
        <f t="shared" si="4"/>
        <v>2.9881001999999999</v>
      </c>
      <c r="AX7" s="553">
        <f t="shared" si="4"/>
        <v>760.24762779999992</v>
      </c>
      <c r="AY7" s="552">
        <f t="shared" si="5"/>
        <v>0</v>
      </c>
      <c r="AZ7" s="552">
        <f t="shared" si="6"/>
        <v>0</v>
      </c>
      <c r="BA7" s="552">
        <f t="shared" si="6"/>
        <v>0</v>
      </c>
      <c r="BB7" s="557"/>
      <c r="BC7" s="552">
        <v>0</v>
      </c>
      <c r="BD7" s="552">
        <v>0</v>
      </c>
      <c r="BE7" s="552">
        <v>0</v>
      </c>
      <c r="BF7" s="552">
        <v>0</v>
      </c>
      <c r="BG7" s="554" t="str">
        <f>IFERROR(VLOOKUP(#REF!,#REF!,4,FALSE),"")</f>
        <v/>
      </c>
      <c r="BH7" s="552"/>
      <c r="BI7" s="552"/>
      <c r="BJ7" s="552"/>
      <c r="BK7" s="552"/>
      <c r="BL7" s="552"/>
      <c r="BM7" s="552"/>
      <c r="BN7" s="552"/>
      <c r="BO7" s="552"/>
      <c r="BP7" s="552"/>
      <c r="BQ7" s="552"/>
      <c r="BR7" s="552"/>
      <c r="BS7" s="552"/>
      <c r="BT7" s="552"/>
      <c r="BU7" s="552"/>
      <c r="BV7" s="552"/>
      <c r="BW7" s="552"/>
      <c r="BX7" s="552"/>
      <c r="BY7" s="552"/>
      <c r="BZ7" s="552"/>
      <c r="CA7" s="552">
        <f t="shared" si="7"/>
        <v>0</v>
      </c>
      <c r="CB7" s="552">
        <f t="shared" si="7"/>
        <v>0</v>
      </c>
      <c r="CC7" s="552">
        <f t="shared" si="7"/>
        <v>0</v>
      </c>
      <c r="CD7" s="552">
        <f t="shared" si="7"/>
        <v>0</v>
      </c>
      <c r="CE7" s="552">
        <f t="shared" si="7"/>
        <v>0</v>
      </c>
      <c r="CF7" s="552">
        <f t="shared" si="7"/>
        <v>0</v>
      </c>
      <c r="CG7" s="552">
        <f t="shared" si="7"/>
        <v>0</v>
      </c>
      <c r="CH7" s="552">
        <f t="shared" si="7"/>
        <v>0</v>
      </c>
      <c r="CI7" s="552">
        <f t="shared" si="7"/>
        <v>0</v>
      </c>
      <c r="CJ7" s="552">
        <f t="shared" si="7"/>
        <v>0</v>
      </c>
      <c r="CK7" s="552">
        <f t="shared" si="7"/>
        <v>0</v>
      </c>
      <c r="CL7" s="552">
        <f t="shared" si="7"/>
        <v>0</v>
      </c>
      <c r="CM7" s="552">
        <f t="shared" si="7"/>
        <v>0</v>
      </c>
      <c r="CN7" s="552">
        <f t="shared" si="7"/>
        <v>0</v>
      </c>
      <c r="CO7" s="552">
        <f t="shared" si="7"/>
        <v>0</v>
      </c>
      <c r="CP7" s="552">
        <f t="shared" si="7"/>
        <v>0</v>
      </c>
      <c r="CQ7" s="552">
        <f t="shared" si="8"/>
        <v>0</v>
      </c>
      <c r="CR7" s="552">
        <f t="shared" si="8"/>
        <v>0</v>
      </c>
      <c r="CS7" s="552">
        <f t="shared" si="9"/>
        <v>0</v>
      </c>
      <c r="CT7" s="552"/>
      <c r="CU7" s="552"/>
      <c r="CV7" s="552"/>
      <c r="CW7" s="552"/>
      <c r="CX7" s="552"/>
      <c r="CY7" s="552"/>
      <c r="CZ7" s="552"/>
      <c r="DA7" s="472"/>
      <c r="DB7" s="552">
        <f t="shared" si="10"/>
        <v>0</v>
      </c>
      <c r="DC7" s="552">
        <f t="shared" si="10"/>
        <v>0</v>
      </c>
      <c r="DD7" s="552">
        <f t="shared" si="10"/>
        <v>0</v>
      </c>
      <c r="DE7" s="552">
        <f t="shared" si="10"/>
        <v>0</v>
      </c>
      <c r="DF7" s="552">
        <f t="shared" si="10"/>
        <v>0</v>
      </c>
      <c r="DG7" s="552">
        <f t="shared" si="10"/>
        <v>0</v>
      </c>
      <c r="DH7" s="552">
        <f t="shared" ref="DH7:DH70" si="11">SUM(DB7:DG7)</f>
        <v>0</v>
      </c>
      <c r="DI7" s="554"/>
      <c r="DJ7" s="525">
        <f>IFERROR(VLOOKUP(A7,'Transp. Dre Rodovia'!$A$19:$D$29,4,FALSE),0)+IFERROR(VLOOKUP(A7,#REF!,4,FALSE),0)</f>
        <v>0</v>
      </c>
    </row>
    <row r="8" spans="1:114" ht="12.75" hidden="1" customHeight="1">
      <c r="A8" s="470">
        <v>41347</v>
      </c>
      <c r="B8" s="550" t="s">
        <v>439</v>
      </c>
      <c r="C8" s="551" t="s">
        <v>374</v>
      </c>
      <c r="D8" s="552">
        <v>0</v>
      </c>
      <c r="E8" s="552">
        <v>0</v>
      </c>
      <c r="F8" s="552">
        <v>3.14</v>
      </c>
      <c r="G8" s="552">
        <v>0.89922000000000002</v>
      </c>
      <c r="H8" s="552">
        <v>1.1026199999999999</v>
      </c>
      <c r="I8" s="552">
        <v>280.53417999999999</v>
      </c>
      <c r="J8" s="552">
        <v>0</v>
      </c>
      <c r="K8" s="552">
        <v>0</v>
      </c>
      <c r="L8" s="552">
        <v>0</v>
      </c>
      <c r="M8" s="552">
        <v>0</v>
      </c>
      <c r="N8" s="553">
        <v>0</v>
      </c>
      <c r="O8" s="553">
        <v>0</v>
      </c>
      <c r="P8" s="552">
        <v>0</v>
      </c>
      <c r="Q8" s="552">
        <v>0</v>
      </c>
      <c r="R8" s="552">
        <v>0</v>
      </c>
      <c r="S8" s="552">
        <v>0</v>
      </c>
      <c r="T8" s="552">
        <v>0</v>
      </c>
      <c r="U8" s="552">
        <v>0</v>
      </c>
      <c r="V8" s="552">
        <v>0</v>
      </c>
      <c r="W8" s="552">
        <v>0</v>
      </c>
      <c r="X8" s="552">
        <v>0</v>
      </c>
      <c r="Y8" s="552">
        <v>0</v>
      </c>
      <c r="Z8" s="552">
        <v>0</v>
      </c>
      <c r="AA8" s="552">
        <v>0</v>
      </c>
      <c r="AB8" s="552">
        <v>0</v>
      </c>
      <c r="AC8" s="552">
        <v>0</v>
      </c>
      <c r="AD8" s="552">
        <v>0</v>
      </c>
      <c r="AE8" s="552">
        <v>0</v>
      </c>
      <c r="AF8" s="552">
        <v>0</v>
      </c>
      <c r="AG8" s="552">
        <v>0</v>
      </c>
      <c r="AH8" s="552">
        <v>0</v>
      </c>
      <c r="AI8" s="552">
        <v>0</v>
      </c>
      <c r="AJ8" s="552">
        <v>0</v>
      </c>
      <c r="AK8" s="552">
        <v>0</v>
      </c>
      <c r="AL8" s="552">
        <v>0</v>
      </c>
      <c r="AM8" s="552">
        <v>0</v>
      </c>
      <c r="AN8" s="552">
        <v>0</v>
      </c>
      <c r="AO8" s="552">
        <v>0</v>
      </c>
      <c r="AP8" s="552">
        <v>0</v>
      </c>
      <c r="AQ8" s="552">
        <v>0</v>
      </c>
      <c r="AR8" s="554"/>
      <c r="AS8" s="555">
        <f t="shared" si="2"/>
        <v>3.14</v>
      </c>
      <c r="AT8" s="555">
        <f t="shared" si="3"/>
        <v>0</v>
      </c>
      <c r="AU8" s="556"/>
      <c r="AV8" s="553">
        <f t="shared" si="4"/>
        <v>2.8235508</v>
      </c>
      <c r="AW8" s="553">
        <f t="shared" si="4"/>
        <v>3.4622267999999998</v>
      </c>
      <c r="AX8" s="553">
        <f t="shared" si="4"/>
        <v>880.87732519999997</v>
      </c>
      <c r="AY8" s="552">
        <f t="shared" si="5"/>
        <v>0</v>
      </c>
      <c r="AZ8" s="552">
        <f t="shared" si="6"/>
        <v>0</v>
      </c>
      <c r="BA8" s="552">
        <f t="shared" si="6"/>
        <v>0</v>
      </c>
      <c r="BB8" s="557"/>
      <c r="BC8" s="552">
        <v>0</v>
      </c>
      <c r="BD8" s="552">
        <v>0</v>
      </c>
      <c r="BE8" s="552">
        <v>0</v>
      </c>
      <c r="BF8" s="552">
        <v>0</v>
      </c>
      <c r="BG8" s="554" t="str">
        <f>IFERROR(VLOOKUP(#REF!,#REF!,4,FALSE),"")</f>
        <v/>
      </c>
      <c r="BH8" s="552"/>
      <c r="BI8" s="552"/>
      <c r="BJ8" s="552"/>
      <c r="BK8" s="552"/>
      <c r="BL8" s="552"/>
      <c r="BM8" s="552"/>
      <c r="BN8" s="552"/>
      <c r="BO8" s="552"/>
      <c r="BP8" s="552"/>
      <c r="BQ8" s="552"/>
      <c r="BR8" s="552"/>
      <c r="BS8" s="552"/>
      <c r="BT8" s="552"/>
      <c r="BU8" s="552"/>
      <c r="BV8" s="552"/>
      <c r="BW8" s="552"/>
      <c r="BX8" s="552"/>
      <c r="BY8" s="552"/>
      <c r="BZ8" s="552"/>
      <c r="CA8" s="552">
        <f t="shared" si="7"/>
        <v>0</v>
      </c>
      <c r="CB8" s="552">
        <f t="shared" si="7"/>
        <v>0</v>
      </c>
      <c r="CC8" s="552">
        <f t="shared" si="7"/>
        <v>0</v>
      </c>
      <c r="CD8" s="552">
        <f t="shared" si="7"/>
        <v>0</v>
      </c>
      <c r="CE8" s="552">
        <f t="shared" si="7"/>
        <v>0</v>
      </c>
      <c r="CF8" s="552">
        <f t="shared" si="7"/>
        <v>0</v>
      </c>
      <c r="CG8" s="552">
        <f t="shared" si="7"/>
        <v>0</v>
      </c>
      <c r="CH8" s="552">
        <f t="shared" si="7"/>
        <v>0</v>
      </c>
      <c r="CI8" s="552">
        <f t="shared" si="7"/>
        <v>0</v>
      </c>
      <c r="CJ8" s="552">
        <f t="shared" si="7"/>
        <v>0</v>
      </c>
      <c r="CK8" s="552">
        <f t="shared" si="7"/>
        <v>0</v>
      </c>
      <c r="CL8" s="552">
        <f t="shared" si="7"/>
        <v>0</v>
      </c>
      <c r="CM8" s="552">
        <f t="shared" si="7"/>
        <v>0</v>
      </c>
      <c r="CN8" s="552">
        <f t="shared" si="7"/>
        <v>0</v>
      </c>
      <c r="CO8" s="552">
        <f t="shared" si="7"/>
        <v>0</v>
      </c>
      <c r="CP8" s="552">
        <f t="shared" si="7"/>
        <v>0</v>
      </c>
      <c r="CQ8" s="552">
        <f t="shared" si="8"/>
        <v>0</v>
      </c>
      <c r="CR8" s="552">
        <f t="shared" si="8"/>
        <v>0</v>
      </c>
      <c r="CS8" s="552">
        <f t="shared" si="9"/>
        <v>0</v>
      </c>
      <c r="CT8" s="552"/>
      <c r="CU8" s="552"/>
      <c r="CV8" s="552"/>
      <c r="CW8" s="552"/>
      <c r="CX8" s="552"/>
      <c r="CY8" s="552"/>
      <c r="CZ8" s="552"/>
      <c r="DA8" s="472"/>
      <c r="DB8" s="552">
        <f t="shared" si="10"/>
        <v>0</v>
      </c>
      <c r="DC8" s="552">
        <f t="shared" si="10"/>
        <v>0</v>
      </c>
      <c r="DD8" s="552">
        <f t="shared" si="10"/>
        <v>0</v>
      </c>
      <c r="DE8" s="552">
        <f t="shared" si="10"/>
        <v>0</v>
      </c>
      <c r="DF8" s="552">
        <f t="shared" si="10"/>
        <v>0</v>
      </c>
      <c r="DG8" s="552">
        <f t="shared" si="10"/>
        <v>0</v>
      </c>
      <c r="DH8" s="552">
        <f t="shared" si="11"/>
        <v>0</v>
      </c>
      <c r="DI8" s="554"/>
      <c r="DJ8" s="525">
        <f>IFERROR(VLOOKUP(A8,'Transp. Dre Rodovia'!$A$19:$D$29,4,FALSE),0)+IFERROR(VLOOKUP(A8,#REF!,4,FALSE),0)</f>
        <v>0</v>
      </c>
    </row>
    <row r="9" spans="1:114" ht="12.75" hidden="1" customHeight="1">
      <c r="A9" s="470">
        <v>41350</v>
      </c>
      <c r="B9" s="550" t="s">
        <v>440</v>
      </c>
      <c r="C9" s="551" t="s">
        <v>374</v>
      </c>
      <c r="D9" s="552">
        <v>0</v>
      </c>
      <c r="E9" s="552">
        <v>0</v>
      </c>
      <c r="F9" s="552">
        <v>0</v>
      </c>
      <c r="G9" s="552">
        <v>0</v>
      </c>
      <c r="H9" s="552">
        <v>0</v>
      </c>
      <c r="I9" s="552">
        <v>0</v>
      </c>
      <c r="J9" s="552">
        <v>0.37</v>
      </c>
      <c r="K9" s="552">
        <v>0.90449999999999997</v>
      </c>
      <c r="L9" s="552">
        <v>0.85649999999999993</v>
      </c>
      <c r="M9" s="552">
        <v>332</v>
      </c>
      <c r="N9" s="553">
        <v>0</v>
      </c>
      <c r="O9" s="553">
        <v>0</v>
      </c>
      <c r="P9" s="552">
        <v>0</v>
      </c>
      <c r="Q9" s="552">
        <v>0</v>
      </c>
      <c r="R9" s="552">
        <v>0</v>
      </c>
      <c r="S9" s="552">
        <v>0</v>
      </c>
      <c r="T9" s="552">
        <v>0</v>
      </c>
      <c r="U9" s="552">
        <v>0</v>
      </c>
      <c r="V9" s="552">
        <v>0</v>
      </c>
      <c r="W9" s="552">
        <v>0</v>
      </c>
      <c r="X9" s="552">
        <v>0</v>
      </c>
      <c r="Y9" s="552">
        <v>0</v>
      </c>
      <c r="Z9" s="552">
        <v>0</v>
      </c>
      <c r="AA9" s="552">
        <v>0</v>
      </c>
      <c r="AB9" s="552">
        <v>0</v>
      </c>
      <c r="AC9" s="552">
        <v>0</v>
      </c>
      <c r="AD9" s="552">
        <v>0</v>
      </c>
      <c r="AE9" s="552">
        <v>0</v>
      </c>
      <c r="AF9" s="552">
        <v>0</v>
      </c>
      <c r="AG9" s="552">
        <v>0</v>
      </c>
      <c r="AH9" s="552">
        <v>0</v>
      </c>
      <c r="AI9" s="552">
        <v>0</v>
      </c>
      <c r="AJ9" s="552">
        <v>0</v>
      </c>
      <c r="AK9" s="552">
        <v>0</v>
      </c>
      <c r="AL9" s="552">
        <v>0</v>
      </c>
      <c r="AM9" s="552">
        <v>0</v>
      </c>
      <c r="AN9" s="552">
        <v>0</v>
      </c>
      <c r="AO9" s="552">
        <v>0</v>
      </c>
      <c r="AP9" s="552">
        <v>0</v>
      </c>
      <c r="AQ9" s="552">
        <v>0</v>
      </c>
      <c r="AR9" s="554"/>
      <c r="AS9" s="555">
        <f t="shared" si="2"/>
        <v>0.37</v>
      </c>
      <c r="AT9" s="555">
        <f t="shared" si="3"/>
        <v>0</v>
      </c>
      <c r="AU9" s="556"/>
      <c r="AV9" s="553">
        <f t="shared" si="4"/>
        <v>0.33466499999999999</v>
      </c>
      <c r="AW9" s="553">
        <f t="shared" si="4"/>
        <v>0.31690499999999999</v>
      </c>
      <c r="AX9" s="553">
        <f t="shared" si="4"/>
        <v>122.84</v>
      </c>
      <c r="AY9" s="552">
        <f t="shared" si="5"/>
        <v>0</v>
      </c>
      <c r="AZ9" s="552">
        <f t="shared" si="6"/>
        <v>0</v>
      </c>
      <c r="BA9" s="552">
        <f t="shared" si="6"/>
        <v>0</v>
      </c>
      <c r="BB9" s="557"/>
      <c r="BC9" s="552">
        <v>0</v>
      </c>
      <c r="BD9" s="552">
        <v>0</v>
      </c>
      <c r="BE9" s="552">
        <v>0</v>
      </c>
      <c r="BF9" s="552">
        <v>0</v>
      </c>
      <c r="BG9" s="554" t="str">
        <f>IFERROR(VLOOKUP(#REF!,#REF!,4,FALSE),"")</f>
        <v/>
      </c>
      <c r="BH9" s="552"/>
      <c r="BI9" s="552"/>
      <c r="BJ9" s="552"/>
      <c r="BK9" s="552"/>
      <c r="BL9" s="552"/>
      <c r="BM9" s="552"/>
      <c r="BN9" s="552"/>
      <c r="BO9" s="552"/>
      <c r="BP9" s="552"/>
      <c r="BQ9" s="552"/>
      <c r="BR9" s="552"/>
      <c r="BS9" s="552"/>
      <c r="BT9" s="552"/>
      <c r="BU9" s="552"/>
      <c r="BV9" s="552"/>
      <c r="BW9" s="552"/>
      <c r="BX9" s="552"/>
      <c r="BY9" s="552"/>
      <c r="BZ9" s="552"/>
      <c r="CA9" s="552">
        <f t="shared" si="7"/>
        <v>0</v>
      </c>
      <c r="CB9" s="552">
        <f t="shared" si="7"/>
        <v>0</v>
      </c>
      <c r="CC9" s="552">
        <f t="shared" si="7"/>
        <v>0</v>
      </c>
      <c r="CD9" s="552">
        <f t="shared" si="7"/>
        <v>0</v>
      </c>
      <c r="CE9" s="552">
        <f t="shared" si="7"/>
        <v>0</v>
      </c>
      <c r="CF9" s="552">
        <f t="shared" si="7"/>
        <v>0</v>
      </c>
      <c r="CG9" s="552">
        <f t="shared" si="7"/>
        <v>0</v>
      </c>
      <c r="CH9" s="552">
        <f t="shared" si="7"/>
        <v>0</v>
      </c>
      <c r="CI9" s="552">
        <f t="shared" si="7"/>
        <v>0</v>
      </c>
      <c r="CJ9" s="552">
        <f t="shared" si="7"/>
        <v>0</v>
      </c>
      <c r="CK9" s="552">
        <f t="shared" si="7"/>
        <v>0</v>
      </c>
      <c r="CL9" s="552">
        <f t="shared" si="7"/>
        <v>0</v>
      </c>
      <c r="CM9" s="552">
        <f t="shared" si="7"/>
        <v>0</v>
      </c>
      <c r="CN9" s="552">
        <f t="shared" si="7"/>
        <v>0</v>
      </c>
      <c r="CO9" s="552">
        <f t="shared" si="7"/>
        <v>0</v>
      </c>
      <c r="CP9" s="552">
        <f t="shared" si="7"/>
        <v>0</v>
      </c>
      <c r="CQ9" s="552">
        <f t="shared" si="8"/>
        <v>0</v>
      </c>
      <c r="CR9" s="552">
        <f t="shared" si="8"/>
        <v>0</v>
      </c>
      <c r="CS9" s="552">
        <f t="shared" si="9"/>
        <v>0</v>
      </c>
      <c r="CT9" s="552"/>
      <c r="CU9" s="552"/>
      <c r="CV9" s="552"/>
      <c r="CW9" s="552"/>
      <c r="CX9" s="552"/>
      <c r="CY9" s="552"/>
      <c r="CZ9" s="552"/>
      <c r="DA9" s="472"/>
      <c r="DB9" s="552">
        <f t="shared" si="10"/>
        <v>0</v>
      </c>
      <c r="DC9" s="552">
        <f t="shared" si="10"/>
        <v>0</v>
      </c>
      <c r="DD9" s="552">
        <f t="shared" si="10"/>
        <v>0</v>
      </c>
      <c r="DE9" s="552">
        <f t="shared" si="10"/>
        <v>0</v>
      </c>
      <c r="DF9" s="552">
        <f t="shared" si="10"/>
        <v>0</v>
      </c>
      <c r="DG9" s="552">
        <f t="shared" si="10"/>
        <v>0</v>
      </c>
      <c r="DH9" s="552">
        <f t="shared" si="11"/>
        <v>0</v>
      </c>
      <c r="DI9" s="554"/>
      <c r="DJ9" s="525">
        <f>IFERROR(VLOOKUP(A9,'Transp. Dre Rodovia'!$A$19:$D$29,4,FALSE),0)+IFERROR(VLOOKUP(A9,#REF!,4,FALSE),0)</f>
        <v>0</v>
      </c>
    </row>
    <row r="10" spans="1:114" ht="12.75" hidden="1" customHeight="1">
      <c r="A10" s="470">
        <v>41367</v>
      </c>
      <c r="B10" s="550" t="s">
        <v>441</v>
      </c>
      <c r="C10" s="551" t="s">
        <v>374</v>
      </c>
      <c r="D10" s="552">
        <v>0</v>
      </c>
      <c r="E10" s="552">
        <v>0</v>
      </c>
      <c r="F10" s="552">
        <v>0</v>
      </c>
      <c r="G10" s="552">
        <v>0</v>
      </c>
      <c r="H10" s="552">
        <v>0</v>
      </c>
      <c r="I10" s="552">
        <v>0</v>
      </c>
      <c r="J10" s="552">
        <v>0</v>
      </c>
      <c r="K10" s="552">
        <v>0</v>
      </c>
      <c r="L10" s="552">
        <v>0</v>
      </c>
      <c r="M10" s="552">
        <v>0</v>
      </c>
      <c r="N10" s="553">
        <v>0</v>
      </c>
      <c r="O10" s="553">
        <v>0</v>
      </c>
      <c r="P10" s="552">
        <v>0</v>
      </c>
      <c r="Q10" s="552">
        <v>0</v>
      </c>
      <c r="R10" s="552">
        <v>0</v>
      </c>
      <c r="S10" s="552">
        <v>0</v>
      </c>
      <c r="T10" s="552">
        <v>0</v>
      </c>
      <c r="U10" s="552">
        <v>0</v>
      </c>
      <c r="V10" s="552">
        <v>0</v>
      </c>
      <c r="W10" s="552">
        <v>0</v>
      </c>
      <c r="X10" s="552">
        <v>0</v>
      </c>
      <c r="Y10" s="552">
        <v>0</v>
      </c>
      <c r="Z10" s="552">
        <v>0</v>
      </c>
      <c r="AA10" s="552">
        <v>0</v>
      </c>
      <c r="AB10" s="552">
        <v>0</v>
      </c>
      <c r="AC10" s="552">
        <v>0</v>
      </c>
      <c r="AD10" s="552">
        <v>0</v>
      </c>
      <c r="AE10" s="552">
        <v>0</v>
      </c>
      <c r="AF10" s="552">
        <v>0.48</v>
      </c>
      <c r="AG10" s="552">
        <v>1.1499999999999999</v>
      </c>
      <c r="AH10" s="552">
        <v>0.15</v>
      </c>
      <c r="AI10" s="552">
        <v>1.7249999999999999</v>
      </c>
      <c r="AJ10" s="552">
        <v>350</v>
      </c>
      <c r="AK10" s="552">
        <v>0</v>
      </c>
      <c r="AL10" s="552">
        <v>0</v>
      </c>
      <c r="AM10" s="552">
        <v>0</v>
      </c>
      <c r="AN10" s="552">
        <v>0</v>
      </c>
      <c r="AO10" s="552">
        <v>0</v>
      </c>
      <c r="AP10" s="552">
        <v>0</v>
      </c>
      <c r="AQ10" s="552">
        <v>0</v>
      </c>
      <c r="AR10" s="554"/>
      <c r="AS10" s="555">
        <f t="shared" si="2"/>
        <v>0</v>
      </c>
      <c r="AT10" s="555">
        <f t="shared" si="3"/>
        <v>7.1999999999999995E-2</v>
      </c>
      <c r="AU10" s="556"/>
      <c r="AV10" s="553">
        <f t="shared" si="4"/>
        <v>0</v>
      </c>
      <c r="AW10" s="553">
        <f t="shared" si="4"/>
        <v>0</v>
      </c>
      <c r="AX10" s="553">
        <f t="shared" si="4"/>
        <v>0</v>
      </c>
      <c r="AY10" s="552">
        <f t="shared" si="5"/>
        <v>0.55199999999999994</v>
      </c>
      <c r="AZ10" s="552">
        <f t="shared" si="6"/>
        <v>0.12419999999999998</v>
      </c>
      <c r="BA10" s="552">
        <f t="shared" si="6"/>
        <v>25.2</v>
      </c>
      <c r="BB10" s="557"/>
      <c r="BC10" s="552">
        <v>0</v>
      </c>
      <c r="BD10" s="552">
        <v>0</v>
      </c>
      <c r="BE10" s="552">
        <v>0</v>
      </c>
      <c r="BF10" s="552">
        <v>0</v>
      </c>
      <c r="BG10" s="554" t="str">
        <f>IFERROR(VLOOKUP(#REF!,#REF!,4,FALSE),"")</f>
        <v/>
      </c>
      <c r="BH10" s="552"/>
      <c r="BI10" s="552"/>
      <c r="BJ10" s="552"/>
      <c r="BK10" s="552"/>
      <c r="BL10" s="552"/>
      <c r="BM10" s="552"/>
      <c r="BN10" s="552"/>
      <c r="BO10" s="552"/>
      <c r="BP10" s="552"/>
      <c r="BQ10" s="552"/>
      <c r="BR10" s="552"/>
      <c r="BS10" s="552"/>
      <c r="BT10" s="552"/>
      <c r="BU10" s="552"/>
      <c r="BV10" s="552"/>
      <c r="BW10" s="552"/>
      <c r="BX10" s="552"/>
      <c r="BY10" s="552"/>
      <c r="BZ10" s="552"/>
      <c r="CA10" s="552">
        <f t="shared" si="7"/>
        <v>0</v>
      </c>
      <c r="CB10" s="552">
        <f t="shared" si="7"/>
        <v>0</v>
      </c>
      <c r="CC10" s="552">
        <f t="shared" si="7"/>
        <v>0</v>
      </c>
      <c r="CD10" s="552">
        <f t="shared" si="7"/>
        <v>0</v>
      </c>
      <c r="CE10" s="552">
        <f t="shared" si="7"/>
        <v>0</v>
      </c>
      <c r="CF10" s="552">
        <f t="shared" si="7"/>
        <v>0</v>
      </c>
      <c r="CG10" s="552">
        <f t="shared" si="7"/>
        <v>0</v>
      </c>
      <c r="CH10" s="552">
        <f t="shared" si="7"/>
        <v>0</v>
      </c>
      <c r="CI10" s="552">
        <f t="shared" si="7"/>
        <v>0</v>
      </c>
      <c r="CJ10" s="552">
        <f t="shared" si="7"/>
        <v>0</v>
      </c>
      <c r="CK10" s="552">
        <f t="shared" si="7"/>
        <v>0</v>
      </c>
      <c r="CL10" s="552">
        <f t="shared" si="7"/>
        <v>0</v>
      </c>
      <c r="CM10" s="552">
        <f t="shared" si="7"/>
        <v>0</v>
      </c>
      <c r="CN10" s="552">
        <f t="shared" si="7"/>
        <v>0</v>
      </c>
      <c r="CO10" s="552">
        <f t="shared" si="7"/>
        <v>0</v>
      </c>
      <c r="CP10" s="552">
        <f t="shared" si="7"/>
        <v>0</v>
      </c>
      <c r="CQ10" s="552">
        <f t="shared" si="8"/>
        <v>0</v>
      </c>
      <c r="CR10" s="552">
        <f t="shared" si="8"/>
        <v>0</v>
      </c>
      <c r="CS10" s="552">
        <f t="shared" si="9"/>
        <v>0</v>
      </c>
      <c r="CT10" s="552"/>
      <c r="CU10" s="552"/>
      <c r="CV10" s="552"/>
      <c r="CW10" s="552"/>
      <c r="CX10" s="552"/>
      <c r="CY10" s="552"/>
      <c r="CZ10" s="552"/>
      <c r="DA10" s="472"/>
      <c r="DB10" s="552">
        <f t="shared" si="10"/>
        <v>0</v>
      </c>
      <c r="DC10" s="552">
        <f t="shared" si="10"/>
        <v>0</v>
      </c>
      <c r="DD10" s="552">
        <f t="shared" si="10"/>
        <v>0</v>
      </c>
      <c r="DE10" s="552">
        <f t="shared" si="10"/>
        <v>0</v>
      </c>
      <c r="DF10" s="552">
        <f t="shared" si="10"/>
        <v>0</v>
      </c>
      <c r="DG10" s="552">
        <f t="shared" si="10"/>
        <v>0</v>
      </c>
      <c r="DH10" s="552">
        <f t="shared" si="11"/>
        <v>0</v>
      </c>
      <c r="DI10" s="554"/>
      <c r="DJ10" s="525">
        <f>IFERROR(VLOOKUP(A10,'Transp. Dre Rodovia'!$A$19:$D$29,4,FALSE),0)+IFERROR(VLOOKUP(A10,#REF!,4,FALSE),0)</f>
        <v>0</v>
      </c>
    </row>
    <row r="11" spans="1:114" ht="12.75" hidden="1" customHeight="1">
      <c r="A11" s="470">
        <v>41368</v>
      </c>
      <c r="B11" s="550" t="s">
        <v>442</v>
      </c>
      <c r="C11" s="551" t="s">
        <v>374</v>
      </c>
      <c r="D11" s="552">
        <v>0</v>
      </c>
      <c r="E11" s="552">
        <v>0</v>
      </c>
      <c r="F11" s="552">
        <v>0</v>
      </c>
      <c r="G11" s="552">
        <v>0</v>
      </c>
      <c r="H11" s="552">
        <v>0</v>
      </c>
      <c r="I11" s="552">
        <v>0</v>
      </c>
      <c r="J11" s="552">
        <v>0</v>
      </c>
      <c r="K11" s="552">
        <v>0</v>
      </c>
      <c r="L11" s="552">
        <v>0</v>
      </c>
      <c r="M11" s="552">
        <v>0</v>
      </c>
      <c r="N11" s="553">
        <v>0</v>
      </c>
      <c r="O11" s="553">
        <v>0</v>
      </c>
      <c r="P11" s="552">
        <v>0</v>
      </c>
      <c r="Q11" s="552">
        <v>0</v>
      </c>
      <c r="R11" s="552">
        <v>0</v>
      </c>
      <c r="S11" s="552">
        <v>0</v>
      </c>
      <c r="T11" s="552">
        <v>0</v>
      </c>
      <c r="U11" s="552">
        <v>0</v>
      </c>
      <c r="V11" s="552">
        <v>0</v>
      </c>
      <c r="W11" s="552">
        <v>0</v>
      </c>
      <c r="X11" s="552">
        <v>0</v>
      </c>
      <c r="Y11" s="552">
        <v>0</v>
      </c>
      <c r="Z11" s="552">
        <v>0</v>
      </c>
      <c r="AA11" s="552">
        <v>0</v>
      </c>
      <c r="AB11" s="552">
        <v>0</v>
      </c>
      <c r="AC11" s="552">
        <v>0</v>
      </c>
      <c r="AD11" s="552">
        <v>0</v>
      </c>
      <c r="AE11" s="552">
        <v>0</v>
      </c>
      <c r="AF11" s="552">
        <v>0.56999999999999995</v>
      </c>
      <c r="AG11" s="552">
        <v>1.1499999999999999</v>
      </c>
      <c r="AH11" s="552">
        <v>0.15</v>
      </c>
      <c r="AI11" s="552">
        <v>1.7249999999999999</v>
      </c>
      <c r="AJ11" s="552">
        <v>350</v>
      </c>
      <c r="AK11" s="552">
        <v>0</v>
      </c>
      <c r="AL11" s="552">
        <v>0</v>
      </c>
      <c r="AM11" s="552">
        <v>0</v>
      </c>
      <c r="AN11" s="552">
        <v>0</v>
      </c>
      <c r="AO11" s="552">
        <v>0</v>
      </c>
      <c r="AP11" s="552">
        <v>0</v>
      </c>
      <c r="AQ11" s="552">
        <v>0</v>
      </c>
      <c r="AR11" s="554"/>
      <c r="AS11" s="555">
        <f t="shared" si="2"/>
        <v>0</v>
      </c>
      <c r="AT11" s="555">
        <f t="shared" si="3"/>
        <v>8.5499999999999993E-2</v>
      </c>
      <c r="AU11" s="556"/>
      <c r="AV11" s="553">
        <f t="shared" si="4"/>
        <v>0</v>
      </c>
      <c r="AW11" s="553">
        <f t="shared" si="4"/>
        <v>0</v>
      </c>
      <c r="AX11" s="553">
        <f t="shared" si="4"/>
        <v>0</v>
      </c>
      <c r="AY11" s="552">
        <f t="shared" si="5"/>
        <v>0.65549999999999986</v>
      </c>
      <c r="AZ11" s="552">
        <f t="shared" si="6"/>
        <v>0.14748749999999997</v>
      </c>
      <c r="BA11" s="552">
        <f t="shared" si="6"/>
        <v>29.924999999999997</v>
      </c>
      <c r="BB11" s="557"/>
      <c r="BC11" s="552">
        <v>0</v>
      </c>
      <c r="BD11" s="552">
        <v>0</v>
      </c>
      <c r="BE11" s="552">
        <v>0</v>
      </c>
      <c r="BF11" s="552">
        <v>0</v>
      </c>
      <c r="BG11" s="554" t="str">
        <f>IFERROR(VLOOKUP(#REF!,#REF!,4,FALSE),"")</f>
        <v/>
      </c>
      <c r="BH11" s="552"/>
      <c r="BI11" s="552"/>
      <c r="BJ11" s="552"/>
      <c r="BK11" s="552"/>
      <c r="BL11" s="552"/>
      <c r="BM11" s="552"/>
      <c r="BN11" s="552"/>
      <c r="BO11" s="552"/>
      <c r="BP11" s="552"/>
      <c r="BQ11" s="552"/>
      <c r="BR11" s="552"/>
      <c r="BS11" s="552"/>
      <c r="BT11" s="552"/>
      <c r="BU11" s="552"/>
      <c r="BV11" s="552"/>
      <c r="BW11" s="552"/>
      <c r="BX11" s="552"/>
      <c r="BY11" s="552"/>
      <c r="BZ11" s="552"/>
      <c r="CA11" s="552">
        <f t="shared" si="7"/>
        <v>0</v>
      </c>
      <c r="CB11" s="552">
        <f t="shared" si="7"/>
        <v>0</v>
      </c>
      <c r="CC11" s="552">
        <f t="shared" si="7"/>
        <v>0</v>
      </c>
      <c r="CD11" s="552">
        <f t="shared" si="7"/>
        <v>0</v>
      </c>
      <c r="CE11" s="552">
        <f t="shared" si="7"/>
        <v>0</v>
      </c>
      <c r="CF11" s="552">
        <f t="shared" si="7"/>
        <v>0</v>
      </c>
      <c r="CG11" s="552">
        <f t="shared" si="7"/>
        <v>0</v>
      </c>
      <c r="CH11" s="552">
        <f t="shared" si="7"/>
        <v>0</v>
      </c>
      <c r="CI11" s="552">
        <f t="shared" si="7"/>
        <v>0</v>
      </c>
      <c r="CJ11" s="552">
        <f t="shared" si="7"/>
        <v>0</v>
      </c>
      <c r="CK11" s="552">
        <f t="shared" si="7"/>
        <v>0</v>
      </c>
      <c r="CL11" s="552">
        <f t="shared" si="7"/>
        <v>0</v>
      </c>
      <c r="CM11" s="552">
        <f t="shared" si="7"/>
        <v>0</v>
      </c>
      <c r="CN11" s="552">
        <f t="shared" si="7"/>
        <v>0</v>
      </c>
      <c r="CO11" s="552">
        <f t="shared" si="7"/>
        <v>0</v>
      </c>
      <c r="CP11" s="552">
        <f t="shared" si="7"/>
        <v>0</v>
      </c>
      <c r="CQ11" s="552">
        <f t="shared" si="8"/>
        <v>0</v>
      </c>
      <c r="CR11" s="552">
        <f t="shared" si="8"/>
        <v>0</v>
      </c>
      <c r="CS11" s="552">
        <f t="shared" si="9"/>
        <v>0</v>
      </c>
      <c r="CT11" s="552"/>
      <c r="CU11" s="552"/>
      <c r="CV11" s="552"/>
      <c r="CW11" s="552"/>
      <c r="CX11" s="552"/>
      <c r="CY11" s="552"/>
      <c r="CZ11" s="552"/>
      <c r="DA11" s="472"/>
      <c r="DB11" s="552">
        <f t="shared" si="10"/>
        <v>0</v>
      </c>
      <c r="DC11" s="552">
        <f t="shared" si="10"/>
        <v>0</v>
      </c>
      <c r="DD11" s="552">
        <f t="shared" si="10"/>
        <v>0</v>
      </c>
      <c r="DE11" s="552">
        <f t="shared" si="10"/>
        <v>0</v>
      </c>
      <c r="DF11" s="552">
        <f t="shared" si="10"/>
        <v>0</v>
      </c>
      <c r="DG11" s="552">
        <f t="shared" si="10"/>
        <v>0</v>
      </c>
      <c r="DH11" s="552">
        <f t="shared" si="11"/>
        <v>0</v>
      </c>
      <c r="DI11" s="554"/>
      <c r="DJ11" s="525">
        <f>IFERROR(VLOOKUP(A11,'Transp. Dre Rodovia'!$A$19:$D$29,4,FALSE),0)+IFERROR(VLOOKUP(A11,#REF!,4,FALSE),0)</f>
        <v>0</v>
      </c>
    </row>
    <row r="12" spans="1:114" ht="12.75" hidden="1" customHeight="1">
      <c r="A12" s="470">
        <v>41369</v>
      </c>
      <c r="B12" s="550" t="s">
        <v>443</v>
      </c>
      <c r="C12" s="551" t="s">
        <v>374</v>
      </c>
      <c r="D12" s="552">
        <v>0</v>
      </c>
      <c r="E12" s="552">
        <v>0</v>
      </c>
      <c r="F12" s="552">
        <v>0</v>
      </c>
      <c r="G12" s="552">
        <v>0</v>
      </c>
      <c r="H12" s="552">
        <v>0</v>
      </c>
      <c r="I12" s="552">
        <v>0</v>
      </c>
      <c r="J12" s="552">
        <v>0</v>
      </c>
      <c r="K12" s="552">
        <v>0</v>
      </c>
      <c r="L12" s="552">
        <v>0</v>
      </c>
      <c r="M12" s="552">
        <v>0</v>
      </c>
      <c r="N12" s="553">
        <v>0</v>
      </c>
      <c r="O12" s="553">
        <v>0</v>
      </c>
      <c r="P12" s="552">
        <v>0</v>
      </c>
      <c r="Q12" s="552">
        <v>0</v>
      </c>
      <c r="R12" s="552">
        <v>0</v>
      </c>
      <c r="S12" s="552">
        <v>0</v>
      </c>
      <c r="T12" s="552">
        <v>0</v>
      </c>
      <c r="U12" s="552">
        <v>0</v>
      </c>
      <c r="V12" s="552">
        <v>0</v>
      </c>
      <c r="W12" s="552">
        <v>0</v>
      </c>
      <c r="X12" s="552">
        <v>0</v>
      </c>
      <c r="Y12" s="552">
        <v>0</v>
      </c>
      <c r="Z12" s="552">
        <v>0</v>
      </c>
      <c r="AA12" s="552">
        <v>0</v>
      </c>
      <c r="AB12" s="552">
        <v>0</v>
      </c>
      <c r="AC12" s="552">
        <v>0</v>
      </c>
      <c r="AD12" s="552">
        <v>0</v>
      </c>
      <c r="AE12" s="552">
        <v>0</v>
      </c>
      <c r="AF12" s="552">
        <v>0.68</v>
      </c>
      <c r="AG12" s="552">
        <v>1.1499999999999999</v>
      </c>
      <c r="AH12" s="552">
        <v>0.15</v>
      </c>
      <c r="AI12" s="552">
        <v>1.7249999999999999</v>
      </c>
      <c r="AJ12" s="552">
        <v>350</v>
      </c>
      <c r="AK12" s="552">
        <v>0</v>
      </c>
      <c r="AL12" s="552">
        <v>0</v>
      </c>
      <c r="AM12" s="552">
        <v>0</v>
      </c>
      <c r="AN12" s="552">
        <v>0</v>
      </c>
      <c r="AO12" s="552">
        <v>0</v>
      </c>
      <c r="AP12" s="552">
        <v>0</v>
      </c>
      <c r="AQ12" s="552">
        <v>0</v>
      </c>
      <c r="AR12" s="554"/>
      <c r="AS12" s="555">
        <f t="shared" si="2"/>
        <v>0</v>
      </c>
      <c r="AT12" s="555">
        <f t="shared" si="3"/>
        <v>0.10200000000000001</v>
      </c>
      <c r="AU12" s="556"/>
      <c r="AV12" s="553">
        <f t="shared" si="4"/>
        <v>0</v>
      </c>
      <c r="AW12" s="553">
        <f t="shared" si="4"/>
        <v>0</v>
      </c>
      <c r="AX12" s="553">
        <f t="shared" si="4"/>
        <v>0</v>
      </c>
      <c r="AY12" s="552">
        <f t="shared" si="5"/>
        <v>0.78200000000000003</v>
      </c>
      <c r="AZ12" s="552">
        <f t="shared" si="6"/>
        <v>0.17595</v>
      </c>
      <c r="BA12" s="552">
        <f t="shared" si="6"/>
        <v>35.700000000000003</v>
      </c>
      <c r="BB12" s="557"/>
      <c r="BC12" s="552">
        <v>0</v>
      </c>
      <c r="BD12" s="552">
        <v>0</v>
      </c>
      <c r="BE12" s="552">
        <v>0</v>
      </c>
      <c r="BF12" s="552">
        <v>0</v>
      </c>
      <c r="BG12" s="554" t="str">
        <f>IFERROR(VLOOKUP(#REF!,#REF!,4,FALSE),"")</f>
        <v/>
      </c>
      <c r="BH12" s="552"/>
      <c r="BI12" s="552"/>
      <c r="BJ12" s="552"/>
      <c r="BK12" s="552"/>
      <c r="BL12" s="552"/>
      <c r="BM12" s="552"/>
      <c r="BN12" s="552"/>
      <c r="BO12" s="552"/>
      <c r="BP12" s="552"/>
      <c r="BQ12" s="552"/>
      <c r="BR12" s="552"/>
      <c r="BS12" s="552"/>
      <c r="BT12" s="552"/>
      <c r="BU12" s="552"/>
      <c r="BV12" s="552"/>
      <c r="BW12" s="552"/>
      <c r="BX12" s="552"/>
      <c r="BY12" s="552"/>
      <c r="BZ12" s="552"/>
      <c r="CA12" s="552">
        <f t="shared" si="7"/>
        <v>0</v>
      </c>
      <c r="CB12" s="552">
        <f t="shared" si="7"/>
        <v>0</v>
      </c>
      <c r="CC12" s="552">
        <f t="shared" si="7"/>
        <v>0</v>
      </c>
      <c r="CD12" s="552">
        <f t="shared" si="7"/>
        <v>0</v>
      </c>
      <c r="CE12" s="552">
        <f t="shared" si="7"/>
        <v>0</v>
      </c>
      <c r="CF12" s="552">
        <f t="shared" si="7"/>
        <v>0</v>
      </c>
      <c r="CG12" s="552">
        <f t="shared" si="7"/>
        <v>0</v>
      </c>
      <c r="CH12" s="552">
        <f t="shared" si="7"/>
        <v>0</v>
      </c>
      <c r="CI12" s="552">
        <f t="shared" si="7"/>
        <v>0</v>
      </c>
      <c r="CJ12" s="552">
        <f t="shared" si="7"/>
        <v>0</v>
      </c>
      <c r="CK12" s="552">
        <f t="shared" si="7"/>
        <v>0</v>
      </c>
      <c r="CL12" s="552">
        <f t="shared" si="7"/>
        <v>0</v>
      </c>
      <c r="CM12" s="552">
        <f t="shared" si="7"/>
        <v>0</v>
      </c>
      <c r="CN12" s="552">
        <f t="shared" si="7"/>
        <v>0</v>
      </c>
      <c r="CO12" s="552">
        <f t="shared" si="7"/>
        <v>0</v>
      </c>
      <c r="CP12" s="552">
        <f t="shared" si="7"/>
        <v>0</v>
      </c>
      <c r="CQ12" s="552">
        <f t="shared" si="8"/>
        <v>0</v>
      </c>
      <c r="CR12" s="552">
        <f t="shared" si="8"/>
        <v>0</v>
      </c>
      <c r="CS12" s="552">
        <f t="shared" si="9"/>
        <v>0</v>
      </c>
      <c r="CT12" s="552"/>
      <c r="CU12" s="552"/>
      <c r="CV12" s="552"/>
      <c r="CW12" s="552"/>
      <c r="CX12" s="552"/>
      <c r="CY12" s="552"/>
      <c r="CZ12" s="552"/>
      <c r="DA12" s="472"/>
      <c r="DB12" s="552">
        <f t="shared" si="10"/>
        <v>0</v>
      </c>
      <c r="DC12" s="552">
        <f t="shared" si="10"/>
        <v>0</v>
      </c>
      <c r="DD12" s="552">
        <f t="shared" si="10"/>
        <v>0</v>
      </c>
      <c r="DE12" s="552">
        <f t="shared" si="10"/>
        <v>0</v>
      </c>
      <c r="DF12" s="552">
        <f t="shared" si="10"/>
        <v>0</v>
      </c>
      <c r="DG12" s="552">
        <f t="shared" si="10"/>
        <v>0</v>
      </c>
      <c r="DH12" s="552">
        <f t="shared" si="11"/>
        <v>0</v>
      </c>
      <c r="DI12" s="554"/>
      <c r="DJ12" s="525">
        <f>IFERROR(VLOOKUP(A12,'Transp. Dre Rodovia'!$A$19:$D$29,4,FALSE),0)+IFERROR(VLOOKUP(A12,#REF!,4,FALSE),0)</f>
        <v>0</v>
      </c>
    </row>
    <row r="13" spans="1:114" ht="12.75" hidden="1" customHeight="1">
      <c r="A13" s="470">
        <v>41370</v>
      </c>
      <c r="B13" s="550" t="s">
        <v>444</v>
      </c>
      <c r="C13" s="551" t="s">
        <v>374</v>
      </c>
      <c r="D13" s="552">
        <v>0</v>
      </c>
      <c r="E13" s="552">
        <v>0</v>
      </c>
      <c r="F13" s="552">
        <v>0</v>
      </c>
      <c r="G13" s="552">
        <v>0</v>
      </c>
      <c r="H13" s="552">
        <v>0</v>
      </c>
      <c r="I13" s="552">
        <v>0</v>
      </c>
      <c r="J13" s="552">
        <v>0</v>
      </c>
      <c r="K13" s="552">
        <v>0</v>
      </c>
      <c r="L13" s="552">
        <v>0</v>
      </c>
      <c r="M13" s="552">
        <v>0</v>
      </c>
      <c r="N13" s="553">
        <v>0</v>
      </c>
      <c r="O13" s="553">
        <v>0</v>
      </c>
      <c r="P13" s="552">
        <v>0</v>
      </c>
      <c r="Q13" s="552">
        <v>0</v>
      </c>
      <c r="R13" s="552">
        <v>0</v>
      </c>
      <c r="S13" s="552">
        <v>0</v>
      </c>
      <c r="T13" s="552">
        <v>0</v>
      </c>
      <c r="U13" s="552">
        <v>0</v>
      </c>
      <c r="V13" s="552">
        <v>0</v>
      </c>
      <c r="W13" s="552">
        <v>0</v>
      </c>
      <c r="X13" s="552">
        <v>0</v>
      </c>
      <c r="Y13" s="552">
        <v>0</v>
      </c>
      <c r="Z13" s="552">
        <v>0</v>
      </c>
      <c r="AA13" s="552">
        <v>0</v>
      </c>
      <c r="AB13" s="552">
        <v>0</v>
      </c>
      <c r="AC13" s="552">
        <v>0</v>
      </c>
      <c r="AD13" s="552">
        <v>0</v>
      </c>
      <c r="AE13" s="552">
        <v>0</v>
      </c>
      <c r="AF13" s="552">
        <v>0.84</v>
      </c>
      <c r="AG13" s="552">
        <v>1.1499999999999999</v>
      </c>
      <c r="AH13" s="552">
        <v>0.15</v>
      </c>
      <c r="AI13" s="552">
        <v>1.7249999999999999</v>
      </c>
      <c r="AJ13" s="552">
        <v>350</v>
      </c>
      <c r="AK13" s="552">
        <v>0</v>
      </c>
      <c r="AL13" s="552">
        <v>0</v>
      </c>
      <c r="AM13" s="552">
        <v>0</v>
      </c>
      <c r="AN13" s="552">
        <v>0</v>
      </c>
      <c r="AO13" s="552">
        <v>0</v>
      </c>
      <c r="AP13" s="552">
        <v>0</v>
      </c>
      <c r="AQ13" s="552">
        <v>0</v>
      </c>
      <c r="AR13" s="554"/>
      <c r="AS13" s="555">
        <f t="shared" si="2"/>
        <v>0</v>
      </c>
      <c r="AT13" s="555">
        <f t="shared" si="3"/>
        <v>0.126</v>
      </c>
      <c r="AU13" s="556"/>
      <c r="AV13" s="553">
        <f t="shared" si="4"/>
        <v>0</v>
      </c>
      <c r="AW13" s="553">
        <f t="shared" si="4"/>
        <v>0</v>
      </c>
      <c r="AX13" s="553">
        <f t="shared" si="4"/>
        <v>0</v>
      </c>
      <c r="AY13" s="552">
        <f t="shared" si="5"/>
        <v>0.96599999999999986</v>
      </c>
      <c r="AZ13" s="552">
        <f t="shared" si="6"/>
        <v>0.21734999999999999</v>
      </c>
      <c r="BA13" s="552">
        <f t="shared" si="6"/>
        <v>44.1</v>
      </c>
      <c r="BB13" s="557"/>
      <c r="BC13" s="552">
        <v>0</v>
      </c>
      <c r="BD13" s="552">
        <v>0</v>
      </c>
      <c r="BE13" s="552">
        <v>0</v>
      </c>
      <c r="BF13" s="552">
        <v>0</v>
      </c>
      <c r="BG13" s="554" t="str">
        <f>IFERROR(VLOOKUP(#REF!,#REF!,4,FALSE),"")</f>
        <v/>
      </c>
      <c r="BH13" s="552"/>
      <c r="BI13" s="552"/>
      <c r="BJ13" s="552"/>
      <c r="BK13" s="552"/>
      <c r="BL13" s="552"/>
      <c r="BM13" s="552"/>
      <c r="BN13" s="552"/>
      <c r="BO13" s="552"/>
      <c r="BP13" s="552"/>
      <c r="BQ13" s="552"/>
      <c r="BR13" s="552"/>
      <c r="BS13" s="552"/>
      <c r="BT13" s="552"/>
      <c r="BU13" s="552"/>
      <c r="BV13" s="552"/>
      <c r="BW13" s="552"/>
      <c r="BX13" s="552"/>
      <c r="BY13" s="552"/>
      <c r="BZ13" s="552"/>
      <c r="CA13" s="552">
        <f t="shared" si="7"/>
        <v>0</v>
      </c>
      <c r="CB13" s="552">
        <f t="shared" si="7"/>
        <v>0</v>
      </c>
      <c r="CC13" s="552">
        <f t="shared" si="7"/>
        <v>0</v>
      </c>
      <c r="CD13" s="552">
        <f t="shared" si="7"/>
        <v>0</v>
      </c>
      <c r="CE13" s="552">
        <f t="shared" si="7"/>
        <v>0</v>
      </c>
      <c r="CF13" s="552">
        <f t="shared" si="7"/>
        <v>0</v>
      </c>
      <c r="CG13" s="552">
        <f t="shared" si="7"/>
        <v>0</v>
      </c>
      <c r="CH13" s="552">
        <f t="shared" si="7"/>
        <v>0</v>
      </c>
      <c r="CI13" s="552">
        <f t="shared" si="7"/>
        <v>0</v>
      </c>
      <c r="CJ13" s="552">
        <f t="shared" si="7"/>
        <v>0</v>
      </c>
      <c r="CK13" s="552">
        <f t="shared" si="7"/>
        <v>0</v>
      </c>
      <c r="CL13" s="552">
        <f t="shared" si="7"/>
        <v>0</v>
      </c>
      <c r="CM13" s="552">
        <f t="shared" si="7"/>
        <v>0</v>
      </c>
      <c r="CN13" s="552">
        <f t="shared" si="7"/>
        <v>0</v>
      </c>
      <c r="CO13" s="552">
        <f t="shared" si="7"/>
        <v>0</v>
      </c>
      <c r="CP13" s="552">
        <f t="shared" si="7"/>
        <v>0</v>
      </c>
      <c r="CQ13" s="552">
        <f t="shared" si="8"/>
        <v>0</v>
      </c>
      <c r="CR13" s="552">
        <f t="shared" si="8"/>
        <v>0</v>
      </c>
      <c r="CS13" s="552">
        <f t="shared" si="9"/>
        <v>0</v>
      </c>
      <c r="CT13" s="552"/>
      <c r="CU13" s="552"/>
      <c r="CV13" s="552"/>
      <c r="CW13" s="552"/>
      <c r="CX13" s="552"/>
      <c r="CY13" s="552"/>
      <c r="CZ13" s="552"/>
      <c r="DA13" s="472"/>
      <c r="DB13" s="552">
        <f t="shared" si="10"/>
        <v>0</v>
      </c>
      <c r="DC13" s="552">
        <f t="shared" si="10"/>
        <v>0</v>
      </c>
      <c r="DD13" s="552">
        <f t="shared" si="10"/>
        <v>0</v>
      </c>
      <c r="DE13" s="552">
        <f t="shared" si="10"/>
        <v>0</v>
      </c>
      <c r="DF13" s="552">
        <f t="shared" si="10"/>
        <v>0</v>
      </c>
      <c r="DG13" s="552">
        <f t="shared" si="10"/>
        <v>0</v>
      </c>
      <c r="DH13" s="552">
        <f t="shared" si="11"/>
        <v>0</v>
      </c>
      <c r="DI13" s="554"/>
      <c r="DJ13" s="525">
        <f>IFERROR(VLOOKUP(A13,'Transp. Dre Rodovia'!$A$19:$D$29,4,FALSE),0)+IFERROR(VLOOKUP(A13,#REF!,4,FALSE),0)</f>
        <v>0</v>
      </c>
    </row>
    <row r="14" spans="1:114" ht="12.75" hidden="1" customHeight="1">
      <c r="A14" s="470">
        <v>41371</v>
      </c>
      <c r="B14" s="550" t="s">
        <v>445</v>
      </c>
      <c r="C14" s="551" t="s">
        <v>374</v>
      </c>
      <c r="D14" s="552">
        <v>0</v>
      </c>
      <c r="E14" s="552">
        <v>0</v>
      </c>
      <c r="F14" s="552">
        <v>0</v>
      </c>
      <c r="G14" s="552">
        <v>0</v>
      </c>
      <c r="H14" s="552">
        <v>0</v>
      </c>
      <c r="I14" s="552">
        <v>0</v>
      </c>
      <c r="J14" s="552">
        <v>0.42</v>
      </c>
      <c r="K14" s="552">
        <v>0.90449999999999997</v>
      </c>
      <c r="L14" s="552">
        <v>0.85649999999999993</v>
      </c>
      <c r="M14" s="552">
        <v>332</v>
      </c>
      <c r="N14" s="553">
        <v>0</v>
      </c>
      <c r="O14" s="553">
        <v>0</v>
      </c>
      <c r="P14" s="552">
        <v>0</v>
      </c>
      <c r="Q14" s="552">
        <v>0</v>
      </c>
      <c r="R14" s="552">
        <v>0</v>
      </c>
      <c r="S14" s="552">
        <v>0</v>
      </c>
      <c r="T14" s="552">
        <v>0</v>
      </c>
      <c r="U14" s="552">
        <v>0</v>
      </c>
      <c r="V14" s="552">
        <v>0</v>
      </c>
      <c r="W14" s="552">
        <v>0</v>
      </c>
      <c r="X14" s="552">
        <v>0</v>
      </c>
      <c r="Y14" s="552">
        <v>0</v>
      </c>
      <c r="Z14" s="552">
        <v>0</v>
      </c>
      <c r="AA14" s="552">
        <v>0</v>
      </c>
      <c r="AB14" s="552">
        <v>0</v>
      </c>
      <c r="AC14" s="552">
        <v>0</v>
      </c>
      <c r="AD14" s="552">
        <v>0</v>
      </c>
      <c r="AE14" s="552">
        <v>0</v>
      </c>
      <c r="AF14" s="552">
        <v>0.21</v>
      </c>
      <c r="AG14" s="552">
        <v>1.1499999999999999</v>
      </c>
      <c r="AH14" s="552">
        <v>0.15</v>
      </c>
      <c r="AI14" s="552">
        <v>1.7249999999999999</v>
      </c>
      <c r="AJ14" s="552">
        <v>350</v>
      </c>
      <c r="AK14" s="552">
        <v>0</v>
      </c>
      <c r="AL14" s="552">
        <v>0</v>
      </c>
      <c r="AM14" s="552">
        <v>0</v>
      </c>
      <c r="AN14" s="552">
        <v>0</v>
      </c>
      <c r="AO14" s="552">
        <v>0</v>
      </c>
      <c r="AP14" s="552">
        <v>0</v>
      </c>
      <c r="AQ14" s="552">
        <v>0</v>
      </c>
      <c r="AR14" s="554"/>
      <c r="AS14" s="555">
        <f t="shared" si="2"/>
        <v>0.42</v>
      </c>
      <c r="AT14" s="555">
        <f t="shared" si="3"/>
        <v>3.15E-2</v>
      </c>
      <c r="AU14" s="556"/>
      <c r="AV14" s="553">
        <f t="shared" si="4"/>
        <v>0.37988999999999995</v>
      </c>
      <c r="AW14" s="553">
        <f t="shared" si="4"/>
        <v>0.35972999999999994</v>
      </c>
      <c r="AX14" s="553">
        <f t="shared" si="4"/>
        <v>139.44</v>
      </c>
      <c r="AY14" s="552">
        <f t="shared" si="5"/>
        <v>0.24149999999999996</v>
      </c>
      <c r="AZ14" s="552">
        <f t="shared" si="6"/>
        <v>5.4337499999999997E-2</v>
      </c>
      <c r="BA14" s="552">
        <f t="shared" si="6"/>
        <v>11.025</v>
      </c>
      <c r="BB14" s="557"/>
      <c r="BC14" s="552">
        <v>0</v>
      </c>
      <c r="BD14" s="552">
        <v>0</v>
      </c>
      <c r="BE14" s="552">
        <v>0</v>
      </c>
      <c r="BF14" s="552">
        <v>0</v>
      </c>
      <c r="BG14" s="554" t="str">
        <f>IFERROR(VLOOKUP(#REF!,#REF!,4,FALSE),"")</f>
        <v/>
      </c>
      <c r="BH14" s="552"/>
      <c r="BI14" s="552"/>
      <c r="BJ14" s="552"/>
      <c r="BK14" s="552"/>
      <c r="BL14" s="552"/>
      <c r="BM14" s="552"/>
      <c r="BN14" s="552"/>
      <c r="BO14" s="552"/>
      <c r="BP14" s="552"/>
      <c r="BQ14" s="552"/>
      <c r="BR14" s="552"/>
      <c r="BS14" s="552"/>
      <c r="BT14" s="552"/>
      <c r="BU14" s="552"/>
      <c r="BV14" s="552"/>
      <c r="BW14" s="552"/>
      <c r="BX14" s="552"/>
      <c r="BY14" s="552"/>
      <c r="BZ14" s="552"/>
      <c r="CA14" s="552">
        <f t="shared" si="7"/>
        <v>0</v>
      </c>
      <c r="CB14" s="552">
        <f t="shared" si="7"/>
        <v>0</v>
      </c>
      <c r="CC14" s="552">
        <f t="shared" si="7"/>
        <v>0</v>
      </c>
      <c r="CD14" s="552">
        <f t="shared" si="7"/>
        <v>0</v>
      </c>
      <c r="CE14" s="552">
        <f t="shared" si="7"/>
        <v>0</v>
      </c>
      <c r="CF14" s="552">
        <f t="shared" si="7"/>
        <v>0</v>
      </c>
      <c r="CG14" s="552">
        <f t="shared" si="7"/>
        <v>0</v>
      </c>
      <c r="CH14" s="552">
        <f t="shared" si="7"/>
        <v>0</v>
      </c>
      <c r="CI14" s="552">
        <f t="shared" si="7"/>
        <v>0</v>
      </c>
      <c r="CJ14" s="552">
        <f t="shared" si="7"/>
        <v>0</v>
      </c>
      <c r="CK14" s="552">
        <f t="shared" si="7"/>
        <v>0</v>
      </c>
      <c r="CL14" s="552">
        <f t="shared" si="7"/>
        <v>0</v>
      </c>
      <c r="CM14" s="552">
        <f t="shared" si="7"/>
        <v>0</v>
      </c>
      <c r="CN14" s="552">
        <f t="shared" si="7"/>
        <v>0</v>
      </c>
      <c r="CO14" s="552">
        <f t="shared" si="7"/>
        <v>0</v>
      </c>
      <c r="CP14" s="552">
        <f t="shared" si="7"/>
        <v>0</v>
      </c>
      <c r="CQ14" s="552">
        <f t="shared" si="8"/>
        <v>0</v>
      </c>
      <c r="CR14" s="552">
        <f t="shared" si="8"/>
        <v>0</v>
      </c>
      <c r="CS14" s="552">
        <f t="shared" si="9"/>
        <v>0</v>
      </c>
      <c r="CT14" s="552"/>
      <c r="CU14" s="552"/>
      <c r="CV14" s="552"/>
      <c r="CW14" s="552"/>
      <c r="CX14" s="552"/>
      <c r="CY14" s="552"/>
      <c r="CZ14" s="552"/>
      <c r="DA14" s="472"/>
      <c r="DB14" s="552">
        <f t="shared" si="10"/>
        <v>0</v>
      </c>
      <c r="DC14" s="552">
        <f t="shared" si="10"/>
        <v>0</v>
      </c>
      <c r="DD14" s="552">
        <f t="shared" si="10"/>
        <v>0</v>
      </c>
      <c r="DE14" s="552">
        <f t="shared" si="10"/>
        <v>0</v>
      </c>
      <c r="DF14" s="552">
        <f t="shared" si="10"/>
        <v>0</v>
      </c>
      <c r="DG14" s="552">
        <f t="shared" si="10"/>
        <v>0</v>
      </c>
      <c r="DH14" s="552">
        <f t="shared" si="11"/>
        <v>0</v>
      </c>
      <c r="DI14" s="554"/>
      <c r="DJ14" s="525">
        <f>IFERROR(VLOOKUP(A14,'Transp. Dre Rodovia'!$A$19:$D$29,4,FALSE),0)+IFERROR(VLOOKUP(A14,#REF!,4,FALSE),0)</f>
        <v>0</v>
      </c>
    </row>
    <row r="15" spans="1:114" ht="12.75" hidden="1" customHeight="1">
      <c r="A15" s="470">
        <v>41372</v>
      </c>
      <c r="B15" s="550" t="s">
        <v>446</v>
      </c>
      <c r="C15" s="551" t="s">
        <v>374</v>
      </c>
      <c r="D15" s="552">
        <v>0</v>
      </c>
      <c r="E15" s="552">
        <v>0</v>
      </c>
      <c r="F15" s="552">
        <v>0</v>
      </c>
      <c r="G15" s="552">
        <v>0</v>
      </c>
      <c r="H15" s="552">
        <v>0</v>
      </c>
      <c r="I15" s="552">
        <v>0</v>
      </c>
      <c r="J15" s="552">
        <v>0.44</v>
      </c>
      <c r="K15" s="552">
        <v>0.90449999999999997</v>
      </c>
      <c r="L15" s="552">
        <v>0.85649999999999993</v>
      </c>
      <c r="M15" s="552">
        <v>332</v>
      </c>
      <c r="N15" s="553">
        <v>0</v>
      </c>
      <c r="O15" s="553">
        <v>0</v>
      </c>
      <c r="P15" s="552">
        <v>0</v>
      </c>
      <c r="Q15" s="552">
        <v>0</v>
      </c>
      <c r="R15" s="552">
        <v>0</v>
      </c>
      <c r="S15" s="552">
        <v>0</v>
      </c>
      <c r="T15" s="552">
        <v>0</v>
      </c>
      <c r="U15" s="552">
        <v>0</v>
      </c>
      <c r="V15" s="552">
        <v>0</v>
      </c>
      <c r="W15" s="552">
        <v>0</v>
      </c>
      <c r="X15" s="552">
        <v>0</v>
      </c>
      <c r="Y15" s="552">
        <v>0</v>
      </c>
      <c r="Z15" s="552">
        <v>0</v>
      </c>
      <c r="AA15" s="552">
        <v>0</v>
      </c>
      <c r="AB15" s="552">
        <v>0</v>
      </c>
      <c r="AC15" s="552">
        <v>0</v>
      </c>
      <c r="AD15" s="552">
        <v>0</v>
      </c>
      <c r="AE15" s="552">
        <v>0</v>
      </c>
      <c r="AF15" s="552">
        <v>0.22</v>
      </c>
      <c r="AG15" s="552">
        <v>1.1499999999999999</v>
      </c>
      <c r="AH15" s="552">
        <v>0.15</v>
      </c>
      <c r="AI15" s="552">
        <v>1.7249999999999999</v>
      </c>
      <c r="AJ15" s="552">
        <v>350</v>
      </c>
      <c r="AK15" s="552">
        <v>0</v>
      </c>
      <c r="AL15" s="552">
        <v>0</v>
      </c>
      <c r="AM15" s="552">
        <v>0</v>
      </c>
      <c r="AN15" s="552">
        <v>0</v>
      </c>
      <c r="AO15" s="552">
        <v>0</v>
      </c>
      <c r="AP15" s="552">
        <v>0</v>
      </c>
      <c r="AQ15" s="552">
        <v>0</v>
      </c>
      <c r="AR15" s="554"/>
      <c r="AS15" s="555">
        <f t="shared" si="2"/>
        <v>0.44</v>
      </c>
      <c r="AT15" s="555">
        <f t="shared" si="3"/>
        <v>3.3000000000000002E-2</v>
      </c>
      <c r="AU15" s="556"/>
      <c r="AV15" s="553">
        <f t="shared" si="4"/>
        <v>0.39798</v>
      </c>
      <c r="AW15" s="553">
        <f t="shared" si="4"/>
        <v>0.37685999999999997</v>
      </c>
      <c r="AX15" s="553">
        <f t="shared" si="4"/>
        <v>146.08000000000001</v>
      </c>
      <c r="AY15" s="552">
        <f t="shared" si="5"/>
        <v>0.253</v>
      </c>
      <c r="AZ15" s="552">
        <f t="shared" si="6"/>
        <v>5.6924999999999996E-2</v>
      </c>
      <c r="BA15" s="552">
        <f t="shared" si="6"/>
        <v>11.55</v>
      </c>
      <c r="BB15" s="557"/>
      <c r="BC15" s="552">
        <v>0</v>
      </c>
      <c r="BD15" s="552">
        <v>0</v>
      </c>
      <c r="BE15" s="552">
        <v>0</v>
      </c>
      <c r="BF15" s="552">
        <v>0</v>
      </c>
      <c r="BG15" s="554" t="str">
        <f>IFERROR(VLOOKUP(#REF!,#REF!,4,FALSE),"")</f>
        <v/>
      </c>
      <c r="BH15" s="552"/>
      <c r="BI15" s="552"/>
      <c r="BJ15" s="552"/>
      <c r="BK15" s="552"/>
      <c r="BL15" s="552"/>
      <c r="BM15" s="552"/>
      <c r="BN15" s="552"/>
      <c r="BO15" s="552"/>
      <c r="BP15" s="552"/>
      <c r="BQ15" s="552"/>
      <c r="BR15" s="552"/>
      <c r="BS15" s="552"/>
      <c r="BT15" s="552"/>
      <c r="BU15" s="552"/>
      <c r="BV15" s="552"/>
      <c r="BW15" s="552"/>
      <c r="BX15" s="552"/>
      <c r="BY15" s="552"/>
      <c r="BZ15" s="552"/>
      <c r="CA15" s="552">
        <f t="shared" si="7"/>
        <v>0</v>
      </c>
      <c r="CB15" s="552">
        <f t="shared" si="7"/>
        <v>0</v>
      </c>
      <c r="CC15" s="552">
        <f t="shared" si="7"/>
        <v>0</v>
      </c>
      <c r="CD15" s="552">
        <f t="shared" si="7"/>
        <v>0</v>
      </c>
      <c r="CE15" s="552">
        <f t="shared" si="7"/>
        <v>0</v>
      </c>
      <c r="CF15" s="552">
        <f t="shared" si="7"/>
        <v>0</v>
      </c>
      <c r="CG15" s="552">
        <f t="shared" si="7"/>
        <v>0</v>
      </c>
      <c r="CH15" s="552">
        <f t="shared" si="7"/>
        <v>0</v>
      </c>
      <c r="CI15" s="552">
        <f t="shared" si="7"/>
        <v>0</v>
      </c>
      <c r="CJ15" s="552">
        <f t="shared" si="7"/>
        <v>0</v>
      </c>
      <c r="CK15" s="552">
        <f t="shared" si="7"/>
        <v>0</v>
      </c>
      <c r="CL15" s="552">
        <f t="shared" si="7"/>
        <v>0</v>
      </c>
      <c r="CM15" s="552">
        <f t="shared" si="7"/>
        <v>0</v>
      </c>
      <c r="CN15" s="552">
        <f t="shared" si="7"/>
        <v>0</v>
      </c>
      <c r="CO15" s="552">
        <f t="shared" si="7"/>
        <v>0</v>
      </c>
      <c r="CP15" s="552">
        <f t="shared" si="7"/>
        <v>0</v>
      </c>
      <c r="CQ15" s="552">
        <f t="shared" si="8"/>
        <v>0</v>
      </c>
      <c r="CR15" s="552">
        <f t="shared" si="8"/>
        <v>0</v>
      </c>
      <c r="CS15" s="552">
        <f t="shared" si="9"/>
        <v>0</v>
      </c>
      <c r="CT15" s="552"/>
      <c r="CU15" s="552"/>
      <c r="CV15" s="552"/>
      <c r="CW15" s="552"/>
      <c r="CX15" s="552"/>
      <c r="CY15" s="552"/>
      <c r="CZ15" s="552"/>
      <c r="DA15" s="472"/>
      <c r="DB15" s="552">
        <f t="shared" si="10"/>
        <v>0</v>
      </c>
      <c r="DC15" s="552">
        <f t="shared" si="10"/>
        <v>0</v>
      </c>
      <c r="DD15" s="552">
        <f t="shared" si="10"/>
        <v>0</v>
      </c>
      <c r="DE15" s="552">
        <f t="shared" si="10"/>
        <v>0</v>
      </c>
      <c r="DF15" s="552">
        <f t="shared" si="10"/>
        <v>0</v>
      </c>
      <c r="DG15" s="552">
        <f t="shared" si="10"/>
        <v>0</v>
      </c>
      <c r="DH15" s="552">
        <f t="shared" si="11"/>
        <v>0</v>
      </c>
      <c r="DI15" s="554"/>
      <c r="DJ15" s="525">
        <f>IFERROR(VLOOKUP(A15,'Transp. Dre Rodovia'!$A$19:$D$29,4,FALSE),0)+IFERROR(VLOOKUP(A15,#REF!,4,FALSE),0)</f>
        <v>0</v>
      </c>
    </row>
    <row r="16" spans="1:114" ht="12.75" hidden="1" customHeight="1">
      <c r="A16" s="470">
        <v>41373</v>
      </c>
      <c r="B16" s="550" t="s">
        <v>447</v>
      </c>
      <c r="C16" s="551" t="s">
        <v>374</v>
      </c>
      <c r="D16" s="552">
        <v>0</v>
      </c>
      <c r="E16" s="552">
        <v>0</v>
      </c>
      <c r="F16" s="552">
        <v>0</v>
      </c>
      <c r="G16" s="552">
        <v>0</v>
      </c>
      <c r="H16" s="552">
        <v>0</v>
      </c>
      <c r="I16" s="552">
        <v>0</v>
      </c>
      <c r="J16" s="552">
        <v>1.2</v>
      </c>
      <c r="K16" s="552">
        <v>0.90449999999999997</v>
      </c>
      <c r="L16" s="552">
        <v>0.85649999999999993</v>
      </c>
      <c r="M16" s="552">
        <v>332</v>
      </c>
      <c r="N16" s="553">
        <v>0</v>
      </c>
      <c r="O16" s="553">
        <v>0</v>
      </c>
      <c r="P16" s="552">
        <v>0</v>
      </c>
      <c r="Q16" s="552">
        <v>0</v>
      </c>
      <c r="R16" s="552">
        <v>0</v>
      </c>
      <c r="S16" s="552">
        <v>0</v>
      </c>
      <c r="T16" s="552">
        <v>0</v>
      </c>
      <c r="U16" s="552">
        <v>0</v>
      </c>
      <c r="V16" s="552">
        <v>0</v>
      </c>
      <c r="W16" s="552">
        <v>0</v>
      </c>
      <c r="X16" s="552">
        <v>0</v>
      </c>
      <c r="Y16" s="552">
        <v>0</v>
      </c>
      <c r="Z16" s="552">
        <v>0</v>
      </c>
      <c r="AA16" s="552">
        <v>0</v>
      </c>
      <c r="AB16" s="552">
        <v>0</v>
      </c>
      <c r="AC16" s="552">
        <v>0</v>
      </c>
      <c r="AD16" s="552">
        <v>0</v>
      </c>
      <c r="AE16" s="552">
        <v>0</v>
      </c>
      <c r="AF16" s="552">
        <v>0.87</v>
      </c>
      <c r="AG16" s="552">
        <v>1.1499999999999999</v>
      </c>
      <c r="AH16" s="552">
        <v>0.15</v>
      </c>
      <c r="AI16" s="552">
        <v>1.7249999999999999</v>
      </c>
      <c r="AJ16" s="552">
        <v>350</v>
      </c>
      <c r="AK16" s="552">
        <v>0</v>
      </c>
      <c r="AL16" s="552">
        <v>0</v>
      </c>
      <c r="AM16" s="552">
        <v>0</v>
      </c>
      <c r="AN16" s="552">
        <v>0</v>
      </c>
      <c r="AO16" s="552">
        <v>0</v>
      </c>
      <c r="AP16" s="552">
        <v>0</v>
      </c>
      <c r="AQ16" s="552">
        <v>0</v>
      </c>
      <c r="AR16" s="554"/>
      <c r="AS16" s="555">
        <f t="shared" si="2"/>
        <v>1.2</v>
      </c>
      <c r="AT16" s="555">
        <f t="shared" si="3"/>
        <v>0.1305</v>
      </c>
      <c r="AU16" s="556"/>
      <c r="AV16" s="553">
        <f t="shared" si="4"/>
        <v>1.0853999999999999</v>
      </c>
      <c r="AW16" s="553">
        <f t="shared" si="4"/>
        <v>1.0277999999999998</v>
      </c>
      <c r="AX16" s="553">
        <f t="shared" si="4"/>
        <v>398.4</v>
      </c>
      <c r="AY16" s="552">
        <f t="shared" si="5"/>
        <v>1.0004999999999999</v>
      </c>
      <c r="AZ16" s="552">
        <f t="shared" si="6"/>
        <v>0.22511249999999999</v>
      </c>
      <c r="BA16" s="552">
        <f t="shared" si="6"/>
        <v>45.675000000000004</v>
      </c>
      <c r="BB16" s="557"/>
      <c r="BC16" s="552">
        <v>0</v>
      </c>
      <c r="BD16" s="552">
        <v>0</v>
      </c>
      <c r="BE16" s="552">
        <v>0</v>
      </c>
      <c r="BF16" s="552">
        <v>0</v>
      </c>
      <c r="BG16" s="554" t="str">
        <f>IFERROR(VLOOKUP(#REF!,#REF!,4,FALSE),"")</f>
        <v/>
      </c>
      <c r="BH16" s="552"/>
      <c r="BI16" s="552"/>
      <c r="BJ16" s="552"/>
      <c r="BK16" s="552"/>
      <c r="BL16" s="552"/>
      <c r="BM16" s="552"/>
      <c r="BN16" s="552"/>
      <c r="BO16" s="552"/>
      <c r="BP16" s="552"/>
      <c r="BQ16" s="552"/>
      <c r="BR16" s="552"/>
      <c r="BS16" s="552"/>
      <c r="BT16" s="552"/>
      <c r="BU16" s="552"/>
      <c r="BV16" s="552"/>
      <c r="BW16" s="552"/>
      <c r="BX16" s="552"/>
      <c r="BY16" s="552"/>
      <c r="BZ16" s="552"/>
      <c r="CA16" s="552">
        <f t="shared" si="7"/>
        <v>0</v>
      </c>
      <c r="CB16" s="552">
        <f t="shared" si="7"/>
        <v>0</v>
      </c>
      <c r="CC16" s="552">
        <f t="shared" si="7"/>
        <v>0</v>
      </c>
      <c r="CD16" s="552">
        <f t="shared" si="7"/>
        <v>0</v>
      </c>
      <c r="CE16" s="552">
        <f t="shared" si="7"/>
        <v>0</v>
      </c>
      <c r="CF16" s="552">
        <f t="shared" si="7"/>
        <v>0</v>
      </c>
      <c r="CG16" s="552">
        <f t="shared" si="7"/>
        <v>0</v>
      </c>
      <c r="CH16" s="552">
        <f t="shared" si="7"/>
        <v>0</v>
      </c>
      <c r="CI16" s="552">
        <f t="shared" si="7"/>
        <v>0</v>
      </c>
      <c r="CJ16" s="552">
        <f t="shared" si="7"/>
        <v>0</v>
      </c>
      <c r="CK16" s="552">
        <f t="shared" si="7"/>
        <v>0</v>
      </c>
      <c r="CL16" s="552">
        <f t="shared" si="7"/>
        <v>0</v>
      </c>
      <c r="CM16" s="552">
        <f t="shared" si="7"/>
        <v>0</v>
      </c>
      <c r="CN16" s="552">
        <f t="shared" si="7"/>
        <v>0</v>
      </c>
      <c r="CO16" s="552">
        <f t="shared" si="7"/>
        <v>0</v>
      </c>
      <c r="CP16" s="552">
        <f t="shared" si="7"/>
        <v>0</v>
      </c>
      <c r="CQ16" s="552">
        <f t="shared" si="8"/>
        <v>0</v>
      </c>
      <c r="CR16" s="552">
        <f t="shared" si="8"/>
        <v>0</v>
      </c>
      <c r="CS16" s="552">
        <f t="shared" si="9"/>
        <v>0</v>
      </c>
      <c r="CT16" s="552"/>
      <c r="CU16" s="552"/>
      <c r="CV16" s="552"/>
      <c r="CW16" s="552"/>
      <c r="CX16" s="552"/>
      <c r="CY16" s="552"/>
      <c r="CZ16" s="552"/>
      <c r="DA16" s="472"/>
      <c r="DB16" s="552">
        <f t="shared" si="10"/>
        <v>0</v>
      </c>
      <c r="DC16" s="552">
        <f t="shared" si="10"/>
        <v>0</v>
      </c>
      <c r="DD16" s="552">
        <f t="shared" si="10"/>
        <v>0</v>
      </c>
      <c r="DE16" s="552">
        <f t="shared" si="10"/>
        <v>0</v>
      </c>
      <c r="DF16" s="552">
        <f t="shared" si="10"/>
        <v>0</v>
      </c>
      <c r="DG16" s="552">
        <f t="shared" si="10"/>
        <v>0</v>
      </c>
      <c r="DH16" s="552">
        <f t="shared" si="11"/>
        <v>0</v>
      </c>
      <c r="DI16" s="554"/>
      <c r="DJ16" s="525">
        <f>IFERROR(VLOOKUP(A16,'Transp. Dre Rodovia'!$A$19:$D$29,4,FALSE),0)+IFERROR(VLOOKUP(A16,#REF!,4,FALSE),0)</f>
        <v>0</v>
      </c>
    </row>
    <row r="17" spans="1:114" ht="12.75" hidden="1" customHeight="1">
      <c r="A17" s="470">
        <v>41374</v>
      </c>
      <c r="B17" s="550" t="s">
        <v>448</v>
      </c>
      <c r="C17" s="551" t="s">
        <v>374</v>
      </c>
      <c r="D17" s="552">
        <v>0</v>
      </c>
      <c r="E17" s="552">
        <v>0</v>
      </c>
      <c r="F17" s="552">
        <v>0</v>
      </c>
      <c r="G17" s="552">
        <v>0</v>
      </c>
      <c r="H17" s="552">
        <v>0</v>
      </c>
      <c r="I17" s="552">
        <v>0</v>
      </c>
      <c r="J17" s="552">
        <v>1.83</v>
      </c>
      <c r="K17" s="552">
        <v>0.90449999999999997</v>
      </c>
      <c r="L17" s="552">
        <v>0.85649999999999993</v>
      </c>
      <c r="M17" s="552">
        <v>332</v>
      </c>
      <c r="N17" s="553">
        <v>0</v>
      </c>
      <c r="O17" s="553">
        <v>0</v>
      </c>
      <c r="P17" s="552">
        <v>0</v>
      </c>
      <c r="Q17" s="552">
        <v>0</v>
      </c>
      <c r="R17" s="552">
        <v>0</v>
      </c>
      <c r="S17" s="552">
        <v>0</v>
      </c>
      <c r="T17" s="552">
        <v>0</v>
      </c>
      <c r="U17" s="552">
        <v>0</v>
      </c>
      <c r="V17" s="552">
        <v>0</v>
      </c>
      <c r="W17" s="552">
        <v>0</v>
      </c>
      <c r="X17" s="552">
        <v>0</v>
      </c>
      <c r="Y17" s="552">
        <v>0</v>
      </c>
      <c r="Z17" s="552">
        <v>0</v>
      </c>
      <c r="AA17" s="552">
        <v>0</v>
      </c>
      <c r="AB17" s="552">
        <v>0</v>
      </c>
      <c r="AC17" s="552">
        <v>0</v>
      </c>
      <c r="AD17" s="552">
        <v>0</v>
      </c>
      <c r="AE17" s="552">
        <v>0</v>
      </c>
      <c r="AF17" s="552">
        <v>1.41</v>
      </c>
      <c r="AG17" s="552">
        <v>1.1499999999999999</v>
      </c>
      <c r="AH17" s="552">
        <v>0.15</v>
      </c>
      <c r="AI17" s="552">
        <v>1.7249999999999999</v>
      </c>
      <c r="AJ17" s="552">
        <v>350</v>
      </c>
      <c r="AK17" s="552">
        <v>0</v>
      </c>
      <c r="AL17" s="552">
        <v>0</v>
      </c>
      <c r="AM17" s="552">
        <v>0</v>
      </c>
      <c r="AN17" s="552">
        <v>0</v>
      </c>
      <c r="AO17" s="552">
        <v>0</v>
      </c>
      <c r="AP17" s="552">
        <v>0</v>
      </c>
      <c r="AQ17" s="552">
        <v>0</v>
      </c>
      <c r="AR17" s="554"/>
      <c r="AS17" s="555">
        <f t="shared" si="2"/>
        <v>1.83</v>
      </c>
      <c r="AT17" s="555">
        <f t="shared" si="3"/>
        <v>0.21149999999999999</v>
      </c>
      <c r="AU17" s="556"/>
      <c r="AV17" s="553">
        <f t="shared" si="4"/>
        <v>1.655235</v>
      </c>
      <c r="AW17" s="553">
        <f t="shared" si="4"/>
        <v>1.5673949999999999</v>
      </c>
      <c r="AX17" s="553">
        <f t="shared" si="4"/>
        <v>607.56000000000006</v>
      </c>
      <c r="AY17" s="552">
        <f t="shared" si="5"/>
        <v>1.6214999999999997</v>
      </c>
      <c r="AZ17" s="552">
        <f t="shared" si="6"/>
        <v>0.36483749999999998</v>
      </c>
      <c r="BA17" s="552">
        <f t="shared" si="6"/>
        <v>74.024999999999991</v>
      </c>
      <c r="BB17" s="557"/>
      <c r="BC17" s="552">
        <v>0</v>
      </c>
      <c r="BD17" s="552">
        <v>0</v>
      </c>
      <c r="BE17" s="552">
        <v>0</v>
      </c>
      <c r="BF17" s="552">
        <v>0</v>
      </c>
      <c r="BG17" s="554" t="str">
        <f>IFERROR(VLOOKUP(#REF!,#REF!,4,FALSE),"")</f>
        <v/>
      </c>
      <c r="BH17" s="552"/>
      <c r="BI17" s="552"/>
      <c r="BJ17" s="552"/>
      <c r="BK17" s="552"/>
      <c r="BL17" s="552"/>
      <c r="BM17" s="552"/>
      <c r="BN17" s="552"/>
      <c r="BO17" s="552"/>
      <c r="BP17" s="552"/>
      <c r="BQ17" s="552"/>
      <c r="BR17" s="552"/>
      <c r="BS17" s="552"/>
      <c r="BT17" s="552"/>
      <c r="BU17" s="552"/>
      <c r="BV17" s="552"/>
      <c r="BW17" s="552"/>
      <c r="BX17" s="552"/>
      <c r="BY17" s="552"/>
      <c r="BZ17" s="552"/>
      <c r="CA17" s="552">
        <f t="shared" si="7"/>
        <v>0</v>
      </c>
      <c r="CB17" s="552">
        <f t="shared" si="7"/>
        <v>0</v>
      </c>
      <c r="CC17" s="552">
        <f t="shared" si="7"/>
        <v>0</v>
      </c>
      <c r="CD17" s="552">
        <f t="shared" si="7"/>
        <v>0</v>
      </c>
      <c r="CE17" s="552">
        <f t="shared" si="7"/>
        <v>0</v>
      </c>
      <c r="CF17" s="552">
        <f t="shared" si="7"/>
        <v>0</v>
      </c>
      <c r="CG17" s="552">
        <f t="shared" si="7"/>
        <v>0</v>
      </c>
      <c r="CH17" s="552">
        <f t="shared" si="7"/>
        <v>0</v>
      </c>
      <c r="CI17" s="552">
        <f t="shared" si="7"/>
        <v>0</v>
      </c>
      <c r="CJ17" s="552">
        <f t="shared" si="7"/>
        <v>0</v>
      </c>
      <c r="CK17" s="552">
        <f t="shared" si="7"/>
        <v>0</v>
      </c>
      <c r="CL17" s="552">
        <f t="shared" si="7"/>
        <v>0</v>
      </c>
      <c r="CM17" s="552">
        <f t="shared" si="7"/>
        <v>0</v>
      </c>
      <c r="CN17" s="552">
        <f t="shared" si="7"/>
        <v>0</v>
      </c>
      <c r="CO17" s="552">
        <f t="shared" si="7"/>
        <v>0</v>
      </c>
      <c r="CP17" s="552">
        <f t="shared" si="7"/>
        <v>0</v>
      </c>
      <c r="CQ17" s="552">
        <f t="shared" si="8"/>
        <v>0</v>
      </c>
      <c r="CR17" s="552">
        <f t="shared" si="8"/>
        <v>0</v>
      </c>
      <c r="CS17" s="552">
        <f t="shared" si="9"/>
        <v>0</v>
      </c>
      <c r="CT17" s="552"/>
      <c r="CU17" s="552"/>
      <c r="CV17" s="552"/>
      <c r="CW17" s="552"/>
      <c r="CX17" s="552"/>
      <c r="CY17" s="552"/>
      <c r="CZ17" s="552"/>
      <c r="DA17" s="472"/>
      <c r="DB17" s="552">
        <f t="shared" si="10"/>
        <v>0</v>
      </c>
      <c r="DC17" s="552">
        <f t="shared" si="10"/>
        <v>0</v>
      </c>
      <c r="DD17" s="552">
        <f t="shared" si="10"/>
        <v>0</v>
      </c>
      <c r="DE17" s="552">
        <f t="shared" si="10"/>
        <v>0</v>
      </c>
      <c r="DF17" s="552">
        <f t="shared" si="10"/>
        <v>0</v>
      </c>
      <c r="DG17" s="552">
        <f t="shared" si="10"/>
        <v>0</v>
      </c>
      <c r="DH17" s="552">
        <f t="shared" si="11"/>
        <v>0</v>
      </c>
      <c r="DI17" s="554"/>
      <c r="DJ17" s="525">
        <f>IFERROR(VLOOKUP(A17,'Transp. Dre Rodovia'!$A$19:$D$29,4,FALSE),0)+IFERROR(VLOOKUP(A17,#REF!,4,FALSE),0)</f>
        <v>0</v>
      </c>
    </row>
    <row r="18" spans="1:114" ht="12.75" hidden="1" customHeight="1">
      <c r="A18" s="470">
        <v>41375</v>
      </c>
      <c r="B18" s="550" t="s">
        <v>449</v>
      </c>
      <c r="C18" s="551" t="s">
        <v>374</v>
      </c>
      <c r="D18" s="552">
        <v>0</v>
      </c>
      <c r="E18" s="552">
        <v>0</v>
      </c>
      <c r="F18" s="552">
        <v>0</v>
      </c>
      <c r="G18" s="552">
        <v>0</v>
      </c>
      <c r="H18" s="552">
        <v>0</v>
      </c>
      <c r="I18" s="552">
        <v>0</v>
      </c>
      <c r="J18" s="552">
        <v>2.59</v>
      </c>
      <c r="K18" s="552">
        <v>0.90449999999999997</v>
      </c>
      <c r="L18" s="552">
        <v>0.85649999999999993</v>
      </c>
      <c r="M18" s="552">
        <v>332</v>
      </c>
      <c r="N18" s="553">
        <v>0</v>
      </c>
      <c r="O18" s="553">
        <v>0</v>
      </c>
      <c r="P18" s="552">
        <v>0</v>
      </c>
      <c r="Q18" s="552">
        <v>0</v>
      </c>
      <c r="R18" s="552">
        <v>0</v>
      </c>
      <c r="S18" s="552">
        <v>0</v>
      </c>
      <c r="T18" s="552">
        <v>0</v>
      </c>
      <c r="U18" s="552">
        <v>0</v>
      </c>
      <c r="V18" s="552">
        <v>0</v>
      </c>
      <c r="W18" s="552">
        <v>0</v>
      </c>
      <c r="X18" s="552">
        <v>0</v>
      </c>
      <c r="Y18" s="552">
        <v>0</v>
      </c>
      <c r="Z18" s="552">
        <v>0</v>
      </c>
      <c r="AA18" s="552">
        <v>0</v>
      </c>
      <c r="AB18" s="552">
        <v>0</v>
      </c>
      <c r="AC18" s="552">
        <v>0</v>
      </c>
      <c r="AD18" s="552">
        <v>0</v>
      </c>
      <c r="AE18" s="552">
        <v>0</v>
      </c>
      <c r="AF18" s="552">
        <v>2.0699999999999998</v>
      </c>
      <c r="AG18" s="552">
        <v>1.1499999999999999</v>
      </c>
      <c r="AH18" s="552">
        <v>0.15</v>
      </c>
      <c r="AI18" s="552">
        <v>1.7249999999999999</v>
      </c>
      <c r="AJ18" s="552">
        <v>350</v>
      </c>
      <c r="AK18" s="552">
        <v>0</v>
      </c>
      <c r="AL18" s="552">
        <v>0</v>
      </c>
      <c r="AM18" s="552">
        <v>0</v>
      </c>
      <c r="AN18" s="552">
        <v>0</v>
      </c>
      <c r="AO18" s="552">
        <v>0</v>
      </c>
      <c r="AP18" s="552">
        <v>0</v>
      </c>
      <c r="AQ18" s="552">
        <v>0</v>
      </c>
      <c r="AR18" s="554"/>
      <c r="AS18" s="555">
        <f t="shared" si="2"/>
        <v>2.59</v>
      </c>
      <c r="AT18" s="555">
        <f t="shared" si="3"/>
        <v>0.31049999999999994</v>
      </c>
      <c r="AU18" s="556"/>
      <c r="AV18" s="553">
        <f t="shared" si="4"/>
        <v>2.3426549999999997</v>
      </c>
      <c r="AW18" s="553">
        <f t="shared" si="4"/>
        <v>2.2183349999999997</v>
      </c>
      <c r="AX18" s="553">
        <f t="shared" si="4"/>
        <v>859.88</v>
      </c>
      <c r="AY18" s="552">
        <f t="shared" si="5"/>
        <v>2.3804999999999996</v>
      </c>
      <c r="AZ18" s="552">
        <f t="shared" si="6"/>
        <v>0.53561249999999982</v>
      </c>
      <c r="BA18" s="552">
        <f t="shared" si="6"/>
        <v>108.67499999999998</v>
      </c>
      <c r="BB18" s="557"/>
      <c r="BC18" s="552">
        <v>0</v>
      </c>
      <c r="BD18" s="552">
        <v>0</v>
      </c>
      <c r="BE18" s="552">
        <v>0</v>
      </c>
      <c r="BF18" s="552">
        <v>0</v>
      </c>
      <c r="BG18" s="554" t="str">
        <f>IFERROR(VLOOKUP(#REF!,#REF!,4,FALSE),"")</f>
        <v/>
      </c>
      <c r="BH18" s="552"/>
      <c r="BI18" s="552"/>
      <c r="BJ18" s="552"/>
      <c r="BK18" s="552"/>
      <c r="BL18" s="552"/>
      <c r="BM18" s="552"/>
      <c r="BN18" s="552"/>
      <c r="BO18" s="552"/>
      <c r="BP18" s="552"/>
      <c r="BQ18" s="552"/>
      <c r="BR18" s="552"/>
      <c r="BS18" s="552"/>
      <c r="BT18" s="552"/>
      <c r="BU18" s="552"/>
      <c r="BV18" s="552"/>
      <c r="BW18" s="552"/>
      <c r="BX18" s="552"/>
      <c r="BY18" s="552"/>
      <c r="BZ18" s="552"/>
      <c r="CA18" s="552">
        <f t="shared" si="7"/>
        <v>0</v>
      </c>
      <c r="CB18" s="552">
        <f t="shared" si="7"/>
        <v>0</v>
      </c>
      <c r="CC18" s="552">
        <f t="shared" si="7"/>
        <v>0</v>
      </c>
      <c r="CD18" s="552">
        <f t="shared" si="7"/>
        <v>0</v>
      </c>
      <c r="CE18" s="552">
        <f t="shared" si="7"/>
        <v>0</v>
      </c>
      <c r="CF18" s="552">
        <f t="shared" si="7"/>
        <v>0</v>
      </c>
      <c r="CG18" s="552">
        <f t="shared" si="7"/>
        <v>0</v>
      </c>
      <c r="CH18" s="552">
        <f t="shared" si="7"/>
        <v>0</v>
      </c>
      <c r="CI18" s="552">
        <f t="shared" si="7"/>
        <v>0</v>
      </c>
      <c r="CJ18" s="552">
        <f t="shared" si="7"/>
        <v>0</v>
      </c>
      <c r="CK18" s="552">
        <f t="shared" si="7"/>
        <v>0</v>
      </c>
      <c r="CL18" s="552">
        <f t="shared" si="7"/>
        <v>0</v>
      </c>
      <c r="CM18" s="552">
        <f t="shared" si="7"/>
        <v>0</v>
      </c>
      <c r="CN18" s="552">
        <f t="shared" si="7"/>
        <v>0</v>
      </c>
      <c r="CO18" s="552">
        <f t="shared" si="7"/>
        <v>0</v>
      </c>
      <c r="CP18" s="552">
        <f t="shared" si="7"/>
        <v>0</v>
      </c>
      <c r="CQ18" s="552">
        <f t="shared" si="8"/>
        <v>0</v>
      </c>
      <c r="CR18" s="552">
        <f t="shared" si="8"/>
        <v>0</v>
      </c>
      <c r="CS18" s="552">
        <f t="shared" si="9"/>
        <v>0</v>
      </c>
      <c r="CT18" s="552"/>
      <c r="CU18" s="552"/>
      <c r="CV18" s="552"/>
      <c r="CW18" s="552"/>
      <c r="CX18" s="552"/>
      <c r="CY18" s="552"/>
      <c r="CZ18" s="552"/>
      <c r="DA18" s="472"/>
      <c r="DB18" s="552">
        <f t="shared" si="10"/>
        <v>0</v>
      </c>
      <c r="DC18" s="552">
        <f t="shared" si="10"/>
        <v>0</v>
      </c>
      <c r="DD18" s="552">
        <f t="shared" si="10"/>
        <v>0</v>
      </c>
      <c r="DE18" s="552">
        <f t="shared" si="10"/>
        <v>0</v>
      </c>
      <c r="DF18" s="552">
        <f t="shared" si="10"/>
        <v>0</v>
      </c>
      <c r="DG18" s="552">
        <f t="shared" si="10"/>
        <v>0</v>
      </c>
      <c r="DH18" s="552">
        <f t="shared" si="11"/>
        <v>0</v>
      </c>
      <c r="DI18" s="554"/>
      <c r="DJ18" s="525">
        <f>IFERROR(VLOOKUP(A18,'Transp. Dre Rodovia'!$A$19:$D$29,4,FALSE),0)+IFERROR(VLOOKUP(A18,#REF!,4,FALSE),0)</f>
        <v>0</v>
      </c>
    </row>
    <row r="19" spans="1:114" ht="12.75" hidden="1" customHeight="1">
      <c r="A19" s="470">
        <v>41376</v>
      </c>
      <c r="B19" s="550" t="s">
        <v>450</v>
      </c>
      <c r="C19" s="551" t="s">
        <v>374</v>
      </c>
      <c r="D19" s="552">
        <v>0</v>
      </c>
      <c r="E19" s="552">
        <v>0</v>
      </c>
      <c r="F19" s="552">
        <v>0</v>
      </c>
      <c r="G19" s="552">
        <v>0</v>
      </c>
      <c r="H19" s="552">
        <v>0</v>
      </c>
      <c r="I19" s="552">
        <v>0</v>
      </c>
      <c r="J19" s="552">
        <v>3.42</v>
      </c>
      <c r="K19" s="552">
        <v>0.90449999999999997</v>
      </c>
      <c r="L19" s="552">
        <v>0.85649999999999993</v>
      </c>
      <c r="M19" s="552">
        <v>332</v>
      </c>
      <c r="N19" s="553">
        <v>0</v>
      </c>
      <c r="O19" s="553">
        <v>0</v>
      </c>
      <c r="P19" s="552">
        <v>0</v>
      </c>
      <c r="Q19" s="552">
        <v>0</v>
      </c>
      <c r="R19" s="552">
        <v>0</v>
      </c>
      <c r="S19" s="552">
        <v>0</v>
      </c>
      <c r="T19" s="552">
        <v>0</v>
      </c>
      <c r="U19" s="552">
        <v>0</v>
      </c>
      <c r="V19" s="552">
        <v>0</v>
      </c>
      <c r="W19" s="552">
        <v>0</v>
      </c>
      <c r="X19" s="552">
        <v>0</v>
      </c>
      <c r="Y19" s="552">
        <v>0</v>
      </c>
      <c r="Z19" s="552">
        <v>0</v>
      </c>
      <c r="AA19" s="552">
        <v>0</v>
      </c>
      <c r="AB19" s="552">
        <v>0</v>
      </c>
      <c r="AC19" s="552">
        <v>0</v>
      </c>
      <c r="AD19" s="552">
        <v>0</v>
      </c>
      <c r="AE19" s="552">
        <v>0</v>
      </c>
      <c r="AF19" s="552">
        <v>2.82</v>
      </c>
      <c r="AG19" s="552">
        <v>1.1499999999999999</v>
      </c>
      <c r="AH19" s="552">
        <v>0.15</v>
      </c>
      <c r="AI19" s="552">
        <v>1.7249999999999999</v>
      </c>
      <c r="AJ19" s="552">
        <v>350</v>
      </c>
      <c r="AK19" s="552">
        <v>0</v>
      </c>
      <c r="AL19" s="552">
        <v>0</v>
      </c>
      <c r="AM19" s="552">
        <v>0</v>
      </c>
      <c r="AN19" s="552">
        <v>0</v>
      </c>
      <c r="AO19" s="552">
        <v>0</v>
      </c>
      <c r="AP19" s="552">
        <v>0</v>
      </c>
      <c r="AQ19" s="552">
        <v>0</v>
      </c>
      <c r="AR19" s="554"/>
      <c r="AS19" s="555">
        <f t="shared" si="2"/>
        <v>3.42</v>
      </c>
      <c r="AT19" s="555">
        <f t="shared" si="3"/>
        <v>0.42299999999999999</v>
      </c>
      <c r="AU19" s="556"/>
      <c r="AV19" s="553">
        <f t="shared" si="4"/>
        <v>3.0933899999999999</v>
      </c>
      <c r="AW19" s="553">
        <f t="shared" si="4"/>
        <v>2.9292299999999996</v>
      </c>
      <c r="AX19" s="553">
        <f t="shared" si="4"/>
        <v>1135.44</v>
      </c>
      <c r="AY19" s="552">
        <f t="shared" si="5"/>
        <v>3.2429999999999994</v>
      </c>
      <c r="AZ19" s="552">
        <f t="shared" si="6"/>
        <v>0.72967499999999996</v>
      </c>
      <c r="BA19" s="552">
        <f t="shared" si="6"/>
        <v>148.04999999999998</v>
      </c>
      <c r="BB19" s="557"/>
      <c r="BC19" s="552">
        <v>0</v>
      </c>
      <c r="BD19" s="552">
        <v>0</v>
      </c>
      <c r="BE19" s="552">
        <v>0</v>
      </c>
      <c r="BF19" s="552">
        <v>0</v>
      </c>
      <c r="BG19" s="554" t="str">
        <f>IFERROR(VLOOKUP(#REF!,#REF!,4,FALSE),"")</f>
        <v/>
      </c>
      <c r="BH19" s="552"/>
      <c r="BI19" s="552"/>
      <c r="BJ19" s="552"/>
      <c r="BK19" s="552"/>
      <c r="BL19" s="552"/>
      <c r="BM19" s="552"/>
      <c r="BN19" s="552"/>
      <c r="BO19" s="552"/>
      <c r="BP19" s="552"/>
      <c r="BQ19" s="552"/>
      <c r="BR19" s="552"/>
      <c r="BS19" s="552"/>
      <c r="BT19" s="552"/>
      <c r="BU19" s="552"/>
      <c r="BV19" s="552"/>
      <c r="BW19" s="552"/>
      <c r="BX19" s="552"/>
      <c r="BY19" s="552"/>
      <c r="BZ19" s="552"/>
      <c r="CA19" s="552">
        <f t="shared" si="7"/>
        <v>0</v>
      </c>
      <c r="CB19" s="552">
        <f t="shared" si="7"/>
        <v>0</v>
      </c>
      <c r="CC19" s="552">
        <f t="shared" si="7"/>
        <v>0</v>
      </c>
      <c r="CD19" s="552">
        <f t="shared" si="7"/>
        <v>0</v>
      </c>
      <c r="CE19" s="552">
        <f t="shared" si="7"/>
        <v>0</v>
      </c>
      <c r="CF19" s="552">
        <f t="shared" si="7"/>
        <v>0</v>
      </c>
      <c r="CG19" s="552">
        <f t="shared" si="7"/>
        <v>0</v>
      </c>
      <c r="CH19" s="552">
        <f t="shared" si="7"/>
        <v>0</v>
      </c>
      <c r="CI19" s="552">
        <f t="shared" si="7"/>
        <v>0</v>
      </c>
      <c r="CJ19" s="552">
        <f t="shared" si="7"/>
        <v>0</v>
      </c>
      <c r="CK19" s="552">
        <f t="shared" si="7"/>
        <v>0</v>
      </c>
      <c r="CL19" s="552">
        <f t="shared" si="7"/>
        <v>0</v>
      </c>
      <c r="CM19" s="552">
        <f t="shared" si="7"/>
        <v>0</v>
      </c>
      <c r="CN19" s="552">
        <f t="shared" si="7"/>
        <v>0</v>
      </c>
      <c r="CO19" s="552">
        <f t="shared" si="7"/>
        <v>0</v>
      </c>
      <c r="CP19" s="552">
        <f t="shared" si="7"/>
        <v>0</v>
      </c>
      <c r="CQ19" s="552">
        <f t="shared" si="8"/>
        <v>0</v>
      </c>
      <c r="CR19" s="552">
        <f t="shared" si="8"/>
        <v>0</v>
      </c>
      <c r="CS19" s="552">
        <f t="shared" si="9"/>
        <v>0</v>
      </c>
      <c r="CT19" s="552"/>
      <c r="CU19" s="552"/>
      <c r="CV19" s="552"/>
      <c r="CW19" s="552"/>
      <c r="CX19" s="552"/>
      <c r="CY19" s="552"/>
      <c r="CZ19" s="552"/>
      <c r="DA19" s="472"/>
      <c r="DB19" s="552">
        <f t="shared" si="10"/>
        <v>0</v>
      </c>
      <c r="DC19" s="552">
        <f t="shared" si="10"/>
        <v>0</v>
      </c>
      <c r="DD19" s="552">
        <f t="shared" si="10"/>
        <v>0</v>
      </c>
      <c r="DE19" s="552">
        <f t="shared" si="10"/>
        <v>0</v>
      </c>
      <c r="DF19" s="552">
        <f t="shared" si="10"/>
        <v>0</v>
      </c>
      <c r="DG19" s="552">
        <f t="shared" si="10"/>
        <v>0</v>
      </c>
      <c r="DH19" s="552">
        <f t="shared" si="11"/>
        <v>0</v>
      </c>
      <c r="DI19" s="554"/>
      <c r="DJ19" s="525">
        <f>IFERROR(VLOOKUP(A19,'Transp. Dre Rodovia'!$A$19:$D$29,4,FALSE),0)+IFERROR(VLOOKUP(A19,#REF!,4,FALSE),0)</f>
        <v>0</v>
      </c>
    </row>
    <row r="20" spans="1:114" ht="12.75" hidden="1" customHeight="1">
      <c r="A20" s="470">
        <v>41377</v>
      </c>
      <c r="B20" s="550" t="s">
        <v>451</v>
      </c>
      <c r="C20" s="551" t="s">
        <v>374</v>
      </c>
      <c r="D20" s="552">
        <v>0</v>
      </c>
      <c r="E20" s="552">
        <v>0</v>
      </c>
      <c r="F20" s="552">
        <v>0</v>
      </c>
      <c r="G20" s="552">
        <v>0</v>
      </c>
      <c r="H20" s="552">
        <v>0</v>
      </c>
      <c r="I20" s="552">
        <v>0</v>
      </c>
      <c r="J20" s="552">
        <v>5.12</v>
      </c>
      <c r="K20" s="552">
        <v>0.90449999999999997</v>
      </c>
      <c r="L20" s="552">
        <v>0.85649999999999993</v>
      </c>
      <c r="M20" s="552">
        <v>332</v>
      </c>
      <c r="N20" s="553">
        <v>0</v>
      </c>
      <c r="O20" s="553">
        <v>0</v>
      </c>
      <c r="P20" s="552">
        <v>0</v>
      </c>
      <c r="Q20" s="552">
        <v>0</v>
      </c>
      <c r="R20" s="552">
        <v>0</v>
      </c>
      <c r="S20" s="552">
        <v>0</v>
      </c>
      <c r="T20" s="552">
        <v>0</v>
      </c>
      <c r="U20" s="552">
        <v>0</v>
      </c>
      <c r="V20" s="552">
        <v>0</v>
      </c>
      <c r="W20" s="552">
        <v>0</v>
      </c>
      <c r="X20" s="552">
        <v>0</v>
      </c>
      <c r="Y20" s="552">
        <v>0</v>
      </c>
      <c r="Z20" s="552">
        <v>0</v>
      </c>
      <c r="AA20" s="552">
        <v>0</v>
      </c>
      <c r="AB20" s="552">
        <v>0</v>
      </c>
      <c r="AC20" s="552">
        <v>0</v>
      </c>
      <c r="AD20" s="552">
        <v>0</v>
      </c>
      <c r="AE20" s="552">
        <v>0</v>
      </c>
      <c r="AF20" s="552">
        <v>4.38</v>
      </c>
      <c r="AG20" s="552">
        <v>1.1499999999999999</v>
      </c>
      <c r="AH20" s="552">
        <v>0.15</v>
      </c>
      <c r="AI20" s="552">
        <v>1.7249999999999999</v>
      </c>
      <c r="AJ20" s="552">
        <v>350</v>
      </c>
      <c r="AK20" s="552">
        <v>0</v>
      </c>
      <c r="AL20" s="552">
        <v>0</v>
      </c>
      <c r="AM20" s="552">
        <v>0</v>
      </c>
      <c r="AN20" s="552">
        <v>0</v>
      </c>
      <c r="AO20" s="552">
        <v>0</v>
      </c>
      <c r="AP20" s="552">
        <v>0</v>
      </c>
      <c r="AQ20" s="552">
        <v>0</v>
      </c>
      <c r="AR20" s="554"/>
      <c r="AS20" s="555">
        <f t="shared" si="2"/>
        <v>5.12</v>
      </c>
      <c r="AT20" s="555">
        <f t="shared" si="3"/>
        <v>0.65699999999999992</v>
      </c>
      <c r="AU20" s="556"/>
      <c r="AV20" s="553">
        <f t="shared" si="4"/>
        <v>4.6310399999999996</v>
      </c>
      <c r="AW20" s="553">
        <f t="shared" si="4"/>
        <v>4.3852799999999998</v>
      </c>
      <c r="AX20" s="553">
        <f t="shared" si="4"/>
        <v>1699.8400000000001</v>
      </c>
      <c r="AY20" s="552">
        <f t="shared" si="5"/>
        <v>5.0369999999999999</v>
      </c>
      <c r="AZ20" s="552">
        <f t="shared" si="6"/>
        <v>1.1333249999999997</v>
      </c>
      <c r="BA20" s="552">
        <f t="shared" si="6"/>
        <v>229.94999999999996</v>
      </c>
      <c r="BB20" s="557"/>
      <c r="BC20" s="552">
        <v>0</v>
      </c>
      <c r="BD20" s="552">
        <v>0</v>
      </c>
      <c r="BE20" s="552">
        <v>0</v>
      </c>
      <c r="BF20" s="552">
        <v>0</v>
      </c>
      <c r="BG20" s="554" t="str">
        <f>IFERROR(VLOOKUP(#REF!,#REF!,4,FALSE),"")</f>
        <v/>
      </c>
      <c r="BH20" s="552"/>
      <c r="BI20" s="552"/>
      <c r="BJ20" s="552"/>
      <c r="BK20" s="552"/>
      <c r="BL20" s="552"/>
      <c r="BM20" s="552"/>
      <c r="BN20" s="552"/>
      <c r="BO20" s="552"/>
      <c r="BP20" s="552"/>
      <c r="BQ20" s="552"/>
      <c r="BR20" s="552"/>
      <c r="BS20" s="552"/>
      <c r="BT20" s="552"/>
      <c r="BU20" s="552"/>
      <c r="BV20" s="552"/>
      <c r="BW20" s="552"/>
      <c r="BX20" s="552"/>
      <c r="BY20" s="552"/>
      <c r="BZ20" s="552"/>
      <c r="CA20" s="552">
        <f t="shared" si="7"/>
        <v>0</v>
      </c>
      <c r="CB20" s="552">
        <f t="shared" si="7"/>
        <v>0</v>
      </c>
      <c r="CC20" s="552">
        <f t="shared" si="7"/>
        <v>0</v>
      </c>
      <c r="CD20" s="552">
        <f t="shared" si="7"/>
        <v>0</v>
      </c>
      <c r="CE20" s="552">
        <f t="shared" si="7"/>
        <v>0</v>
      </c>
      <c r="CF20" s="552">
        <f t="shared" si="7"/>
        <v>0</v>
      </c>
      <c r="CG20" s="552">
        <f t="shared" si="7"/>
        <v>0</v>
      </c>
      <c r="CH20" s="552">
        <f t="shared" si="7"/>
        <v>0</v>
      </c>
      <c r="CI20" s="552">
        <f t="shared" si="7"/>
        <v>0</v>
      </c>
      <c r="CJ20" s="552">
        <f t="shared" si="7"/>
        <v>0</v>
      </c>
      <c r="CK20" s="552">
        <f t="shared" si="7"/>
        <v>0</v>
      </c>
      <c r="CL20" s="552">
        <f t="shared" si="7"/>
        <v>0</v>
      </c>
      <c r="CM20" s="552">
        <f t="shared" si="7"/>
        <v>0</v>
      </c>
      <c r="CN20" s="552">
        <f t="shared" si="7"/>
        <v>0</v>
      </c>
      <c r="CO20" s="552">
        <f t="shared" si="7"/>
        <v>0</v>
      </c>
      <c r="CP20" s="552">
        <f t="shared" si="7"/>
        <v>0</v>
      </c>
      <c r="CQ20" s="552">
        <f t="shared" si="8"/>
        <v>0</v>
      </c>
      <c r="CR20" s="552">
        <f t="shared" si="8"/>
        <v>0</v>
      </c>
      <c r="CS20" s="552">
        <f t="shared" si="9"/>
        <v>0</v>
      </c>
      <c r="CT20" s="552"/>
      <c r="CU20" s="552"/>
      <c r="CV20" s="552"/>
      <c r="CW20" s="552"/>
      <c r="CX20" s="552"/>
      <c r="CY20" s="552"/>
      <c r="CZ20" s="552"/>
      <c r="DA20" s="472"/>
      <c r="DB20" s="552">
        <f t="shared" si="10"/>
        <v>0</v>
      </c>
      <c r="DC20" s="552">
        <f t="shared" si="10"/>
        <v>0</v>
      </c>
      <c r="DD20" s="552">
        <f t="shared" si="10"/>
        <v>0</v>
      </c>
      <c r="DE20" s="552">
        <f t="shared" si="10"/>
        <v>0</v>
      </c>
      <c r="DF20" s="552">
        <f t="shared" si="10"/>
        <v>0</v>
      </c>
      <c r="DG20" s="552">
        <f t="shared" si="10"/>
        <v>0</v>
      </c>
      <c r="DH20" s="552">
        <f t="shared" si="11"/>
        <v>0</v>
      </c>
      <c r="DI20" s="554"/>
      <c r="DJ20" s="525">
        <f>IFERROR(VLOOKUP(A20,'Transp. Dre Rodovia'!$A$19:$D$29,4,FALSE),0)+IFERROR(VLOOKUP(A20,#REF!,4,FALSE),0)</f>
        <v>0</v>
      </c>
    </row>
    <row r="21" spans="1:114" ht="12.75" hidden="1" customHeight="1">
      <c r="A21" s="470">
        <v>41378</v>
      </c>
      <c r="B21" s="550" t="s">
        <v>452</v>
      </c>
      <c r="C21" s="551" t="s">
        <v>374</v>
      </c>
      <c r="D21" s="552">
        <v>0</v>
      </c>
      <c r="E21" s="552">
        <v>0</v>
      </c>
      <c r="F21" s="552">
        <v>0</v>
      </c>
      <c r="G21" s="552">
        <v>0</v>
      </c>
      <c r="H21" s="552">
        <v>0</v>
      </c>
      <c r="I21" s="552">
        <v>0</v>
      </c>
      <c r="J21" s="552">
        <v>3.51</v>
      </c>
      <c r="K21" s="552">
        <v>0.90449999999999997</v>
      </c>
      <c r="L21" s="552">
        <v>0.85649999999999993</v>
      </c>
      <c r="M21" s="552">
        <v>332</v>
      </c>
      <c r="N21" s="553">
        <v>0</v>
      </c>
      <c r="O21" s="553">
        <v>0</v>
      </c>
      <c r="P21" s="552">
        <v>0</v>
      </c>
      <c r="Q21" s="552">
        <v>0</v>
      </c>
      <c r="R21" s="552">
        <v>0</v>
      </c>
      <c r="S21" s="552">
        <v>0</v>
      </c>
      <c r="T21" s="552">
        <v>0</v>
      </c>
      <c r="U21" s="552">
        <v>0</v>
      </c>
      <c r="V21" s="552">
        <v>0</v>
      </c>
      <c r="W21" s="552">
        <v>0</v>
      </c>
      <c r="X21" s="552">
        <v>0</v>
      </c>
      <c r="Y21" s="552">
        <v>0</v>
      </c>
      <c r="Z21" s="552">
        <v>0</v>
      </c>
      <c r="AA21" s="552">
        <v>0</v>
      </c>
      <c r="AB21" s="552">
        <v>0</v>
      </c>
      <c r="AC21" s="552">
        <v>0</v>
      </c>
      <c r="AD21" s="552">
        <v>0</v>
      </c>
      <c r="AE21" s="552">
        <v>0</v>
      </c>
      <c r="AF21" s="552">
        <v>2.93</v>
      </c>
      <c r="AG21" s="552">
        <v>1.1499999999999999</v>
      </c>
      <c r="AH21" s="552">
        <v>0.15</v>
      </c>
      <c r="AI21" s="552">
        <v>1.7249999999999999</v>
      </c>
      <c r="AJ21" s="552">
        <v>350</v>
      </c>
      <c r="AK21" s="552">
        <v>0</v>
      </c>
      <c r="AL21" s="552">
        <v>0</v>
      </c>
      <c r="AM21" s="552">
        <v>0</v>
      </c>
      <c r="AN21" s="552">
        <v>0</v>
      </c>
      <c r="AO21" s="552">
        <v>0</v>
      </c>
      <c r="AP21" s="552">
        <v>0</v>
      </c>
      <c r="AQ21" s="552">
        <v>0</v>
      </c>
      <c r="AR21" s="554"/>
      <c r="AS21" s="555">
        <f t="shared" si="2"/>
        <v>3.51</v>
      </c>
      <c r="AT21" s="555">
        <f t="shared" si="3"/>
        <v>0.4395</v>
      </c>
      <c r="AU21" s="556"/>
      <c r="AV21" s="553">
        <f t="shared" si="4"/>
        <v>3.1747949999999996</v>
      </c>
      <c r="AW21" s="553">
        <f t="shared" si="4"/>
        <v>3.0063149999999994</v>
      </c>
      <c r="AX21" s="553">
        <f t="shared" si="4"/>
        <v>1165.32</v>
      </c>
      <c r="AY21" s="552">
        <f t="shared" si="5"/>
        <v>3.3694999999999999</v>
      </c>
      <c r="AZ21" s="552">
        <f t="shared" si="6"/>
        <v>0.75813749999999991</v>
      </c>
      <c r="BA21" s="552">
        <f t="shared" si="6"/>
        <v>153.82499999999999</v>
      </c>
      <c r="BB21" s="557"/>
      <c r="BC21" s="552">
        <v>0</v>
      </c>
      <c r="BD21" s="552">
        <v>0</v>
      </c>
      <c r="BE21" s="552">
        <v>0</v>
      </c>
      <c r="BF21" s="552">
        <v>0</v>
      </c>
      <c r="BG21" s="554" t="str">
        <f>IFERROR(VLOOKUP(#REF!,#REF!,4,FALSE),"")</f>
        <v/>
      </c>
      <c r="BH21" s="552"/>
      <c r="BI21" s="552"/>
      <c r="BJ21" s="552"/>
      <c r="BK21" s="552"/>
      <c r="BL21" s="552"/>
      <c r="BM21" s="552"/>
      <c r="BN21" s="552"/>
      <c r="BO21" s="552"/>
      <c r="BP21" s="552"/>
      <c r="BQ21" s="552"/>
      <c r="BR21" s="552"/>
      <c r="BS21" s="552"/>
      <c r="BT21" s="552"/>
      <c r="BU21" s="552"/>
      <c r="BV21" s="552"/>
      <c r="BW21" s="552"/>
      <c r="BX21" s="552"/>
      <c r="BY21" s="552"/>
      <c r="BZ21" s="552"/>
      <c r="CA21" s="552">
        <f t="shared" si="7"/>
        <v>0</v>
      </c>
      <c r="CB21" s="552">
        <f t="shared" si="7"/>
        <v>0</v>
      </c>
      <c r="CC21" s="552">
        <f t="shared" si="7"/>
        <v>0</v>
      </c>
      <c r="CD21" s="552">
        <f t="shared" si="8"/>
        <v>0</v>
      </c>
      <c r="CE21" s="552">
        <f t="shared" si="8"/>
        <v>0</v>
      </c>
      <c r="CF21" s="552">
        <f t="shared" si="8"/>
        <v>0</v>
      </c>
      <c r="CG21" s="552">
        <f t="shared" si="8"/>
        <v>0</v>
      </c>
      <c r="CH21" s="552">
        <f t="shared" si="8"/>
        <v>0</v>
      </c>
      <c r="CI21" s="552">
        <f t="shared" si="8"/>
        <v>0</v>
      </c>
      <c r="CJ21" s="552">
        <f t="shared" si="8"/>
        <v>0</v>
      </c>
      <c r="CK21" s="552">
        <f t="shared" si="8"/>
        <v>0</v>
      </c>
      <c r="CL21" s="552">
        <f t="shared" si="8"/>
        <v>0</v>
      </c>
      <c r="CM21" s="552">
        <f t="shared" si="8"/>
        <v>0</v>
      </c>
      <c r="CN21" s="552">
        <f t="shared" si="8"/>
        <v>0</v>
      </c>
      <c r="CO21" s="552">
        <f t="shared" si="8"/>
        <v>0</v>
      </c>
      <c r="CP21" s="552">
        <f t="shared" si="8"/>
        <v>0</v>
      </c>
      <c r="CQ21" s="552">
        <f t="shared" si="8"/>
        <v>0</v>
      </c>
      <c r="CR21" s="552">
        <f t="shared" si="8"/>
        <v>0</v>
      </c>
      <c r="CS21" s="552">
        <f t="shared" si="9"/>
        <v>0</v>
      </c>
      <c r="CT21" s="552"/>
      <c r="CU21" s="552"/>
      <c r="CV21" s="552"/>
      <c r="CW21" s="552"/>
      <c r="CX21" s="552"/>
      <c r="CY21" s="552"/>
      <c r="CZ21" s="552"/>
      <c r="DA21" s="472"/>
      <c r="DB21" s="552">
        <f t="shared" si="10"/>
        <v>0</v>
      </c>
      <c r="DC21" s="552">
        <f t="shared" si="10"/>
        <v>0</v>
      </c>
      <c r="DD21" s="552">
        <f t="shared" si="10"/>
        <v>0</v>
      </c>
      <c r="DE21" s="552">
        <f t="shared" si="10"/>
        <v>0</v>
      </c>
      <c r="DF21" s="552">
        <f t="shared" si="10"/>
        <v>0</v>
      </c>
      <c r="DG21" s="552">
        <f t="shared" si="10"/>
        <v>0</v>
      </c>
      <c r="DH21" s="552">
        <f t="shared" si="11"/>
        <v>0</v>
      </c>
      <c r="DI21" s="554"/>
      <c r="DJ21" s="525">
        <f>IFERROR(VLOOKUP(A21,'Transp. Dre Rodovia'!$A$19:$D$29,4,FALSE),0)+IFERROR(VLOOKUP(A21,#REF!,4,FALSE),0)</f>
        <v>0</v>
      </c>
    </row>
    <row r="22" spans="1:114" ht="12.75" hidden="1" customHeight="1">
      <c r="A22" s="470">
        <v>41381</v>
      </c>
      <c r="B22" s="550" t="s">
        <v>453</v>
      </c>
      <c r="C22" s="551" t="s">
        <v>374</v>
      </c>
      <c r="D22" s="552">
        <v>0</v>
      </c>
      <c r="E22" s="552">
        <v>0</v>
      </c>
      <c r="F22" s="552">
        <v>0</v>
      </c>
      <c r="G22" s="552">
        <v>0</v>
      </c>
      <c r="H22" s="552">
        <v>0</v>
      </c>
      <c r="I22" s="552">
        <v>0</v>
      </c>
      <c r="J22" s="552">
        <v>4.4400000000000004</v>
      </c>
      <c r="K22" s="552">
        <v>0.90449999999999997</v>
      </c>
      <c r="L22" s="552">
        <v>0.85649999999999993</v>
      </c>
      <c r="M22" s="552">
        <v>332</v>
      </c>
      <c r="N22" s="553">
        <v>0</v>
      </c>
      <c r="O22" s="553">
        <v>0</v>
      </c>
      <c r="P22" s="552">
        <v>0</v>
      </c>
      <c r="Q22" s="552">
        <v>0</v>
      </c>
      <c r="R22" s="552">
        <v>0</v>
      </c>
      <c r="S22" s="552">
        <v>0</v>
      </c>
      <c r="T22" s="552">
        <v>0</v>
      </c>
      <c r="U22" s="552">
        <v>0</v>
      </c>
      <c r="V22" s="552">
        <v>0</v>
      </c>
      <c r="W22" s="552">
        <v>0</v>
      </c>
      <c r="X22" s="552">
        <v>0</v>
      </c>
      <c r="Y22" s="552">
        <v>0</v>
      </c>
      <c r="Z22" s="552">
        <v>0</v>
      </c>
      <c r="AA22" s="552">
        <v>0</v>
      </c>
      <c r="AB22" s="552">
        <v>0</v>
      </c>
      <c r="AC22" s="552">
        <v>0</v>
      </c>
      <c r="AD22" s="552">
        <v>0</v>
      </c>
      <c r="AE22" s="552">
        <v>0</v>
      </c>
      <c r="AF22" s="552">
        <v>3.8</v>
      </c>
      <c r="AG22" s="552">
        <v>1.1499999999999999</v>
      </c>
      <c r="AH22" s="552">
        <v>0.15</v>
      </c>
      <c r="AI22" s="552">
        <v>1.7249999999999999</v>
      </c>
      <c r="AJ22" s="552">
        <v>350</v>
      </c>
      <c r="AK22" s="552">
        <v>0</v>
      </c>
      <c r="AL22" s="552">
        <v>0</v>
      </c>
      <c r="AM22" s="552">
        <v>0</v>
      </c>
      <c r="AN22" s="552">
        <v>0</v>
      </c>
      <c r="AO22" s="552">
        <v>0</v>
      </c>
      <c r="AP22" s="552">
        <v>0</v>
      </c>
      <c r="AQ22" s="552">
        <v>0</v>
      </c>
      <c r="AR22" s="554"/>
      <c r="AS22" s="555">
        <f t="shared" si="2"/>
        <v>4.4400000000000004</v>
      </c>
      <c r="AT22" s="555">
        <f t="shared" si="3"/>
        <v>0.56999999999999995</v>
      </c>
      <c r="AU22" s="556"/>
      <c r="AV22" s="553">
        <f t="shared" si="4"/>
        <v>4.0159799999999999</v>
      </c>
      <c r="AW22" s="553">
        <f t="shared" si="4"/>
        <v>3.8028599999999999</v>
      </c>
      <c r="AX22" s="553">
        <f t="shared" si="4"/>
        <v>1474.0800000000002</v>
      </c>
      <c r="AY22" s="552">
        <f t="shared" si="5"/>
        <v>4.3699999999999992</v>
      </c>
      <c r="AZ22" s="552">
        <f t="shared" si="6"/>
        <v>0.98324999999999985</v>
      </c>
      <c r="BA22" s="552">
        <f t="shared" si="6"/>
        <v>199.49999999999997</v>
      </c>
      <c r="BB22" s="557"/>
      <c r="BC22" s="552">
        <v>0</v>
      </c>
      <c r="BD22" s="552">
        <v>0</v>
      </c>
      <c r="BE22" s="552">
        <v>0</v>
      </c>
      <c r="BF22" s="552">
        <v>0</v>
      </c>
      <c r="BG22" s="554" t="str">
        <f>IFERROR(VLOOKUP(#REF!,#REF!,4,FALSE),"")</f>
        <v/>
      </c>
      <c r="BH22" s="552"/>
      <c r="BI22" s="552"/>
      <c r="BJ22" s="552"/>
      <c r="BK22" s="552"/>
      <c r="BL22" s="552"/>
      <c r="BM22" s="552"/>
      <c r="BN22" s="552"/>
      <c r="BO22" s="552"/>
      <c r="BP22" s="552"/>
      <c r="BQ22" s="552"/>
      <c r="BR22" s="552"/>
      <c r="BS22" s="552"/>
      <c r="BT22" s="552"/>
      <c r="BU22" s="552"/>
      <c r="BV22" s="552"/>
      <c r="BW22" s="552"/>
      <c r="BX22" s="552"/>
      <c r="BY22" s="552"/>
      <c r="BZ22" s="552"/>
      <c r="CA22" s="552">
        <f t="shared" ref="CA22:CP49" si="12">CA$4*BH22</f>
        <v>0</v>
      </c>
      <c r="CB22" s="552">
        <f t="shared" si="12"/>
        <v>0</v>
      </c>
      <c r="CC22" s="552">
        <f t="shared" si="12"/>
        <v>0</v>
      </c>
      <c r="CD22" s="552">
        <f t="shared" si="12"/>
        <v>0</v>
      </c>
      <c r="CE22" s="552">
        <f t="shared" si="12"/>
        <v>0</v>
      </c>
      <c r="CF22" s="552">
        <f t="shared" si="12"/>
        <v>0</v>
      </c>
      <c r="CG22" s="552">
        <f t="shared" si="12"/>
        <v>0</v>
      </c>
      <c r="CH22" s="552">
        <f t="shared" si="12"/>
        <v>0</v>
      </c>
      <c r="CI22" s="552">
        <f t="shared" si="12"/>
        <v>0</v>
      </c>
      <c r="CJ22" s="552">
        <f t="shared" si="12"/>
        <v>0</v>
      </c>
      <c r="CK22" s="552">
        <f t="shared" si="12"/>
        <v>0</v>
      </c>
      <c r="CL22" s="552">
        <f t="shared" si="12"/>
        <v>0</v>
      </c>
      <c r="CM22" s="552">
        <f t="shared" si="12"/>
        <v>0</v>
      </c>
      <c r="CN22" s="552">
        <f t="shared" si="12"/>
        <v>0</v>
      </c>
      <c r="CO22" s="552">
        <f t="shared" si="12"/>
        <v>0</v>
      </c>
      <c r="CP22" s="552">
        <f t="shared" si="12"/>
        <v>0</v>
      </c>
      <c r="CQ22" s="552">
        <f t="shared" ref="CD22:CR38" si="13">CQ$4*BX22</f>
        <v>0</v>
      </c>
      <c r="CR22" s="552">
        <f t="shared" si="13"/>
        <v>0</v>
      </c>
      <c r="CS22" s="552">
        <f t="shared" si="9"/>
        <v>0</v>
      </c>
      <c r="CT22" s="552"/>
      <c r="CU22" s="552"/>
      <c r="CV22" s="552"/>
      <c r="CW22" s="552"/>
      <c r="CX22" s="552"/>
      <c r="CY22" s="552"/>
      <c r="CZ22" s="552"/>
      <c r="DA22" s="472"/>
      <c r="DB22" s="552">
        <f t="shared" ref="DB22:DG53" si="14">CU22*DB$5</f>
        <v>0</v>
      </c>
      <c r="DC22" s="552">
        <f t="shared" si="14"/>
        <v>0</v>
      </c>
      <c r="DD22" s="552">
        <f t="shared" si="14"/>
        <v>0</v>
      </c>
      <c r="DE22" s="552">
        <f t="shared" si="14"/>
        <v>0</v>
      </c>
      <c r="DF22" s="552">
        <f t="shared" si="14"/>
        <v>0</v>
      </c>
      <c r="DG22" s="552">
        <f t="shared" si="14"/>
        <v>0</v>
      </c>
      <c r="DH22" s="552">
        <f t="shared" si="11"/>
        <v>0</v>
      </c>
      <c r="DI22" s="554"/>
      <c r="DJ22" s="525">
        <f>IFERROR(VLOOKUP(A22,'Transp. Dre Rodovia'!$A$19:$D$29,4,FALSE),0)+IFERROR(VLOOKUP(A22,#REF!,4,FALSE),0)</f>
        <v>0</v>
      </c>
    </row>
    <row r="23" spans="1:114" ht="12.75" hidden="1" customHeight="1">
      <c r="A23" s="470">
        <v>41385</v>
      </c>
      <c r="B23" s="550" t="s">
        <v>454</v>
      </c>
      <c r="C23" s="551" t="s">
        <v>374</v>
      </c>
      <c r="D23" s="552">
        <v>0</v>
      </c>
      <c r="E23" s="552">
        <v>0</v>
      </c>
      <c r="F23" s="552">
        <v>0</v>
      </c>
      <c r="G23" s="552">
        <v>0</v>
      </c>
      <c r="H23" s="552">
        <v>0</v>
      </c>
      <c r="I23" s="552">
        <v>0</v>
      </c>
      <c r="J23" s="552">
        <v>0.11</v>
      </c>
      <c r="K23" s="552">
        <v>0.90449999999999997</v>
      </c>
      <c r="L23" s="552">
        <v>0.85649999999999993</v>
      </c>
      <c r="M23" s="552">
        <v>332</v>
      </c>
      <c r="N23" s="553">
        <v>0</v>
      </c>
      <c r="O23" s="553">
        <v>0</v>
      </c>
      <c r="P23" s="552">
        <v>0</v>
      </c>
      <c r="Q23" s="552">
        <v>0</v>
      </c>
      <c r="R23" s="552">
        <v>0</v>
      </c>
      <c r="S23" s="552">
        <v>0</v>
      </c>
      <c r="T23" s="552">
        <v>0</v>
      </c>
      <c r="U23" s="552">
        <v>0</v>
      </c>
      <c r="V23" s="552">
        <v>0</v>
      </c>
      <c r="W23" s="552">
        <v>0</v>
      </c>
      <c r="X23" s="552">
        <v>0</v>
      </c>
      <c r="Y23" s="552">
        <v>0</v>
      </c>
      <c r="Z23" s="552">
        <v>0</v>
      </c>
      <c r="AA23" s="552">
        <v>0</v>
      </c>
      <c r="AB23" s="552">
        <v>0</v>
      </c>
      <c r="AC23" s="552">
        <v>0</v>
      </c>
      <c r="AD23" s="552">
        <v>0</v>
      </c>
      <c r="AE23" s="552">
        <v>0</v>
      </c>
      <c r="AF23" s="552">
        <v>0</v>
      </c>
      <c r="AG23" s="552">
        <v>0</v>
      </c>
      <c r="AH23" s="552">
        <v>0</v>
      </c>
      <c r="AI23" s="552">
        <v>0</v>
      </c>
      <c r="AJ23" s="552">
        <v>0</v>
      </c>
      <c r="AK23" s="552">
        <v>0</v>
      </c>
      <c r="AL23" s="552">
        <v>0</v>
      </c>
      <c r="AM23" s="552">
        <v>0</v>
      </c>
      <c r="AN23" s="552">
        <v>0</v>
      </c>
      <c r="AO23" s="552">
        <v>0</v>
      </c>
      <c r="AP23" s="552">
        <v>0</v>
      </c>
      <c r="AQ23" s="552">
        <v>0</v>
      </c>
      <c r="AR23" s="554"/>
      <c r="AS23" s="555">
        <f t="shared" si="2"/>
        <v>0.11</v>
      </c>
      <c r="AT23" s="555">
        <f t="shared" si="3"/>
        <v>0</v>
      </c>
      <c r="AU23" s="556"/>
      <c r="AV23" s="553">
        <f t="shared" si="4"/>
        <v>9.9495E-2</v>
      </c>
      <c r="AW23" s="553">
        <f t="shared" si="4"/>
        <v>9.4214999999999993E-2</v>
      </c>
      <c r="AX23" s="553">
        <f t="shared" si="4"/>
        <v>36.520000000000003</v>
      </c>
      <c r="AY23" s="552">
        <f t="shared" si="5"/>
        <v>0</v>
      </c>
      <c r="AZ23" s="552">
        <f t="shared" si="6"/>
        <v>0</v>
      </c>
      <c r="BA23" s="552">
        <f t="shared" si="6"/>
        <v>0</v>
      </c>
      <c r="BB23" s="557"/>
      <c r="BC23" s="552">
        <v>0</v>
      </c>
      <c r="BD23" s="552">
        <v>0</v>
      </c>
      <c r="BE23" s="552">
        <v>0</v>
      </c>
      <c r="BF23" s="552">
        <v>0</v>
      </c>
      <c r="BG23" s="554" t="str">
        <f>IFERROR(VLOOKUP(#REF!,#REF!,4,FALSE),"")</f>
        <v/>
      </c>
      <c r="BH23" s="552"/>
      <c r="BI23" s="552"/>
      <c r="BJ23" s="552"/>
      <c r="BK23" s="552"/>
      <c r="BL23" s="552"/>
      <c r="BM23" s="552"/>
      <c r="BN23" s="552"/>
      <c r="BO23" s="552"/>
      <c r="BP23" s="552"/>
      <c r="BQ23" s="552"/>
      <c r="BR23" s="552"/>
      <c r="BS23" s="552"/>
      <c r="BT23" s="552"/>
      <c r="BU23" s="552"/>
      <c r="BV23" s="552"/>
      <c r="BW23" s="552"/>
      <c r="BX23" s="552"/>
      <c r="BY23" s="552"/>
      <c r="BZ23" s="552"/>
      <c r="CA23" s="552">
        <f t="shared" si="12"/>
        <v>0</v>
      </c>
      <c r="CB23" s="552">
        <f t="shared" si="12"/>
        <v>0</v>
      </c>
      <c r="CC23" s="552">
        <f t="shared" si="12"/>
        <v>0</v>
      </c>
      <c r="CD23" s="552">
        <f t="shared" si="13"/>
        <v>0</v>
      </c>
      <c r="CE23" s="552">
        <f t="shared" si="13"/>
        <v>0</v>
      </c>
      <c r="CF23" s="552">
        <f t="shared" si="13"/>
        <v>0</v>
      </c>
      <c r="CG23" s="552">
        <f t="shared" si="13"/>
        <v>0</v>
      </c>
      <c r="CH23" s="552">
        <f t="shared" si="13"/>
        <v>0</v>
      </c>
      <c r="CI23" s="552">
        <f t="shared" si="13"/>
        <v>0</v>
      </c>
      <c r="CJ23" s="552">
        <f t="shared" si="13"/>
        <v>0</v>
      </c>
      <c r="CK23" s="552">
        <f t="shared" si="13"/>
        <v>0</v>
      </c>
      <c r="CL23" s="552">
        <f t="shared" si="13"/>
        <v>0</v>
      </c>
      <c r="CM23" s="552">
        <f t="shared" si="13"/>
        <v>0</v>
      </c>
      <c r="CN23" s="552">
        <f t="shared" si="13"/>
        <v>0</v>
      </c>
      <c r="CO23" s="552">
        <f t="shared" si="13"/>
        <v>0</v>
      </c>
      <c r="CP23" s="552">
        <f t="shared" si="13"/>
        <v>0</v>
      </c>
      <c r="CQ23" s="552">
        <f t="shared" si="13"/>
        <v>0</v>
      </c>
      <c r="CR23" s="552">
        <f t="shared" si="13"/>
        <v>0</v>
      </c>
      <c r="CS23" s="552">
        <f t="shared" si="9"/>
        <v>0</v>
      </c>
      <c r="CT23" s="552"/>
      <c r="CU23" s="552"/>
      <c r="CV23" s="552"/>
      <c r="CW23" s="552"/>
      <c r="CX23" s="552"/>
      <c r="CY23" s="552"/>
      <c r="CZ23" s="552"/>
      <c r="DA23" s="472"/>
      <c r="DB23" s="552">
        <f t="shared" si="14"/>
        <v>0</v>
      </c>
      <c r="DC23" s="552">
        <f t="shared" si="14"/>
        <v>0</v>
      </c>
      <c r="DD23" s="552">
        <f t="shared" si="14"/>
        <v>0</v>
      </c>
      <c r="DE23" s="552">
        <f t="shared" si="14"/>
        <v>0</v>
      </c>
      <c r="DF23" s="552">
        <f t="shared" si="14"/>
        <v>0</v>
      </c>
      <c r="DG23" s="552">
        <f t="shared" si="14"/>
        <v>0</v>
      </c>
      <c r="DH23" s="552">
        <f t="shared" si="11"/>
        <v>0</v>
      </c>
      <c r="DI23" s="554"/>
      <c r="DJ23" s="525">
        <f>IFERROR(VLOOKUP(A23,'Transp. Dre Rodovia'!$A$19:$D$29,4,FALSE),0)+IFERROR(VLOOKUP(A23,#REF!,4,FALSE),0)</f>
        <v>0</v>
      </c>
    </row>
    <row r="24" spans="1:114" ht="12.75" hidden="1" customHeight="1">
      <c r="A24" s="470">
        <v>41386</v>
      </c>
      <c r="B24" s="550" t="s">
        <v>455</v>
      </c>
      <c r="C24" s="551" t="s">
        <v>374</v>
      </c>
      <c r="D24" s="552">
        <v>0</v>
      </c>
      <c r="E24" s="552">
        <v>0</v>
      </c>
      <c r="F24" s="552">
        <v>0</v>
      </c>
      <c r="G24" s="552">
        <v>0</v>
      </c>
      <c r="H24" s="552">
        <v>0</v>
      </c>
      <c r="I24" s="552">
        <v>0</v>
      </c>
      <c r="J24" s="552">
        <v>0.14000000000000001</v>
      </c>
      <c r="K24" s="552">
        <v>0.90449999999999997</v>
      </c>
      <c r="L24" s="552">
        <v>0.85649999999999993</v>
      </c>
      <c r="M24" s="552">
        <v>332</v>
      </c>
      <c r="N24" s="553">
        <v>0</v>
      </c>
      <c r="O24" s="553">
        <v>0</v>
      </c>
      <c r="P24" s="552">
        <v>0</v>
      </c>
      <c r="Q24" s="552">
        <v>0</v>
      </c>
      <c r="R24" s="552">
        <v>0</v>
      </c>
      <c r="S24" s="552">
        <v>0</v>
      </c>
      <c r="T24" s="552">
        <v>0</v>
      </c>
      <c r="U24" s="552">
        <v>0</v>
      </c>
      <c r="V24" s="552">
        <v>0</v>
      </c>
      <c r="W24" s="552">
        <v>0</v>
      </c>
      <c r="X24" s="552">
        <v>0</v>
      </c>
      <c r="Y24" s="552">
        <v>0</v>
      </c>
      <c r="Z24" s="552">
        <v>0</v>
      </c>
      <c r="AA24" s="552">
        <v>0</v>
      </c>
      <c r="AB24" s="552">
        <v>0</v>
      </c>
      <c r="AC24" s="552">
        <v>0</v>
      </c>
      <c r="AD24" s="552">
        <v>0</v>
      </c>
      <c r="AE24" s="552">
        <v>0</v>
      </c>
      <c r="AF24" s="552">
        <v>0</v>
      </c>
      <c r="AG24" s="552">
        <v>0</v>
      </c>
      <c r="AH24" s="552">
        <v>0</v>
      </c>
      <c r="AI24" s="552">
        <v>0</v>
      </c>
      <c r="AJ24" s="552">
        <v>0</v>
      </c>
      <c r="AK24" s="552">
        <v>0</v>
      </c>
      <c r="AL24" s="552">
        <v>0</v>
      </c>
      <c r="AM24" s="552">
        <v>0</v>
      </c>
      <c r="AN24" s="552">
        <v>0</v>
      </c>
      <c r="AO24" s="552">
        <v>0</v>
      </c>
      <c r="AP24" s="552">
        <v>0</v>
      </c>
      <c r="AQ24" s="552">
        <v>0</v>
      </c>
      <c r="AR24" s="554"/>
      <c r="AS24" s="555">
        <f t="shared" si="2"/>
        <v>0.14000000000000001</v>
      </c>
      <c r="AT24" s="555">
        <f t="shared" si="3"/>
        <v>0</v>
      </c>
      <c r="AU24" s="556"/>
      <c r="AV24" s="553">
        <f t="shared" si="4"/>
        <v>0.12663000000000002</v>
      </c>
      <c r="AW24" s="553">
        <f t="shared" si="4"/>
        <v>0.11991</v>
      </c>
      <c r="AX24" s="553">
        <f t="shared" si="4"/>
        <v>46.480000000000004</v>
      </c>
      <c r="AY24" s="552">
        <f t="shared" si="5"/>
        <v>0</v>
      </c>
      <c r="AZ24" s="552">
        <f t="shared" si="6"/>
        <v>0</v>
      </c>
      <c r="BA24" s="552">
        <f t="shared" si="6"/>
        <v>0</v>
      </c>
      <c r="BB24" s="557"/>
      <c r="BC24" s="552">
        <v>0</v>
      </c>
      <c r="BD24" s="552">
        <v>0</v>
      </c>
      <c r="BE24" s="552">
        <v>0</v>
      </c>
      <c r="BF24" s="552">
        <v>0</v>
      </c>
      <c r="BG24" s="554" t="str">
        <f>IFERROR(VLOOKUP(#REF!,#REF!,4,FALSE),"")</f>
        <v/>
      </c>
      <c r="BH24" s="552"/>
      <c r="BI24" s="552"/>
      <c r="BJ24" s="552"/>
      <c r="BK24" s="552"/>
      <c r="BL24" s="552"/>
      <c r="BM24" s="552"/>
      <c r="BN24" s="552"/>
      <c r="BO24" s="552"/>
      <c r="BP24" s="552"/>
      <c r="BQ24" s="552"/>
      <c r="BR24" s="552"/>
      <c r="BS24" s="552"/>
      <c r="BT24" s="552"/>
      <c r="BU24" s="552"/>
      <c r="BV24" s="552"/>
      <c r="BW24" s="552"/>
      <c r="BX24" s="552"/>
      <c r="BY24" s="552"/>
      <c r="BZ24" s="552"/>
      <c r="CA24" s="552">
        <f t="shared" si="12"/>
        <v>0</v>
      </c>
      <c r="CB24" s="552">
        <f t="shared" si="12"/>
        <v>0</v>
      </c>
      <c r="CC24" s="552">
        <f t="shared" si="12"/>
        <v>0</v>
      </c>
      <c r="CD24" s="552">
        <f t="shared" si="13"/>
        <v>0</v>
      </c>
      <c r="CE24" s="552">
        <f t="shared" si="13"/>
        <v>0</v>
      </c>
      <c r="CF24" s="552">
        <f t="shared" si="13"/>
        <v>0</v>
      </c>
      <c r="CG24" s="552">
        <f t="shared" si="13"/>
        <v>0</v>
      </c>
      <c r="CH24" s="552">
        <f t="shared" si="13"/>
        <v>0</v>
      </c>
      <c r="CI24" s="552">
        <f t="shared" si="13"/>
        <v>0</v>
      </c>
      <c r="CJ24" s="552">
        <f t="shared" si="13"/>
        <v>0</v>
      </c>
      <c r="CK24" s="552">
        <f t="shared" si="13"/>
        <v>0</v>
      </c>
      <c r="CL24" s="552">
        <f t="shared" si="13"/>
        <v>0</v>
      </c>
      <c r="CM24" s="552">
        <f t="shared" si="13"/>
        <v>0</v>
      </c>
      <c r="CN24" s="552">
        <f t="shared" si="13"/>
        <v>0</v>
      </c>
      <c r="CO24" s="552">
        <f t="shared" si="13"/>
        <v>0</v>
      </c>
      <c r="CP24" s="552">
        <f t="shared" si="13"/>
        <v>0</v>
      </c>
      <c r="CQ24" s="552">
        <f t="shared" si="13"/>
        <v>0</v>
      </c>
      <c r="CR24" s="552">
        <f t="shared" si="13"/>
        <v>0</v>
      </c>
      <c r="CS24" s="552">
        <f t="shared" si="9"/>
        <v>0</v>
      </c>
      <c r="CT24" s="552"/>
      <c r="CU24" s="552"/>
      <c r="CV24" s="552"/>
      <c r="CW24" s="552"/>
      <c r="CX24" s="552"/>
      <c r="CY24" s="552"/>
      <c r="CZ24" s="552"/>
      <c r="DA24" s="472"/>
      <c r="DB24" s="552">
        <f t="shared" si="14"/>
        <v>0</v>
      </c>
      <c r="DC24" s="552">
        <f t="shared" si="14"/>
        <v>0</v>
      </c>
      <c r="DD24" s="552">
        <f t="shared" si="14"/>
        <v>0</v>
      </c>
      <c r="DE24" s="552">
        <f t="shared" si="14"/>
        <v>0</v>
      </c>
      <c r="DF24" s="552">
        <f t="shared" si="14"/>
        <v>0</v>
      </c>
      <c r="DG24" s="552">
        <f t="shared" si="14"/>
        <v>0</v>
      </c>
      <c r="DH24" s="552">
        <f t="shared" si="11"/>
        <v>0</v>
      </c>
      <c r="DI24" s="554"/>
      <c r="DJ24" s="525">
        <f>IFERROR(VLOOKUP(A24,'Transp. Dre Rodovia'!$A$19:$D$29,4,FALSE),0)+IFERROR(VLOOKUP(A24,#REF!,4,FALSE),0)</f>
        <v>0</v>
      </c>
    </row>
    <row r="25" spans="1:114" ht="12.75" hidden="1" customHeight="1">
      <c r="A25" s="470">
        <v>41414</v>
      </c>
      <c r="B25" s="550" t="s">
        <v>456</v>
      </c>
      <c r="C25" s="551" t="s">
        <v>107</v>
      </c>
      <c r="D25" s="552">
        <v>0</v>
      </c>
      <c r="E25" s="552">
        <v>0</v>
      </c>
      <c r="F25" s="552">
        <v>0</v>
      </c>
      <c r="G25" s="552">
        <v>0</v>
      </c>
      <c r="H25" s="552">
        <v>0</v>
      </c>
      <c r="I25" s="552">
        <v>0</v>
      </c>
      <c r="J25" s="552">
        <v>0.13700000000000001</v>
      </c>
      <c r="K25" s="552">
        <v>0.90449999999999997</v>
      </c>
      <c r="L25" s="552">
        <v>0.85649999999999993</v>
      </c>
      <c r="M25" s="552">
        <v>332</v>
      </c>
      <c r="N25" s="553">
        <v>0</v>
      </c>
      <c r="O25" s="553">
        <v>0</v>
      </c>
      <c r="P25" s="552">
        <v>0</v>
      </c>
      <c r="Q25" s="552">
        <v>0</v>
      </c>
      <c r="R25" s="552">
        <v>0</v>
      </c>
      <c r="S25" s="552">
        <v>0</v>
      </c>
      <c r="T25" s="552">
        <v>0</v>
      </c>
      <c r="U25" s="552">
        <v>0</v>
      </c>
      <c r="V25" s="552">
        <v>0</v>
      </c>
      <c r="W25" s="552">
        <v>0</v>
      </c>
      <c r="X25" s="552">
        <v>0</v>
      </c>
      <c r="Y25" s="552">
        <v>0</v>
      </c>
      <c r="Z25" s="552">
        <v>0</v>
      </c>
      <c r="AA25" s="552">
        <v>0</v>
      </c>
      <c r="AB25" s="552">
        <v>0</v>
      </c>
      <c r="AC25" s="552">
        <v>0</v>
      </c>
      <c r="AD25" s="552">
        <v>0</v>
      </c>
      <c r="AE25" s="552">
        <v>0</v>
      </c>
      <c r="AF25" s="552">
        <v>0</v>
      </c>
      <c r="AG25" s="552">
        <v>0</v>
      </c>
      <c r="AH25" s="552">
        <v>0</v>
      </c>
      <c r="AI25" s="552">
        <v>0</v>
      </c>
      <c r="AJ25" s="552">
        <v>0</v>
      </c>
      <c r="AK25" s="552">
        <v>0</v>
      </c>
      <c r="AL25" s="552">
        <v>0</v>
      </c>
      <c r="AM25" s="552">
        <v>0</v>
      </c>
      <c r="AN25" s="552">
        <v>0</v>
      </c>
      <c r="AO25" s="552">
        <v>0</v>
      </c>
      <c r="AP25" s="552">
        <v>0</v>
      </c>
      <c r="AQ25" s="552">
        <v>0</v>
      </c>
      <c r="AR25" s="554"/>
      <c r="AS25" s="555">
        <f t="shared" si="2"/>
        <v>0.13700000000000001</v>
      </c>
      <c r="AT25" s="555">
        <f t="shared" si="3"/>
        <v>0</v>
      </c>
      <c r="AU25" s="556"/>
      <c r="AV25" s="553">
        <f t="shared" si="4"/>
        <v>0.1239165</v>
      </c>
      <c r="AW25" s="553">
        <f t="shared" si="4"/>
        <v>0.1173405</v>
      </c>
      <c r="AX25" s="553">
        <f t="shared" si="4"/>
        <v>45.484000000000002</v>
      </c>
      <c r="AY25" s="552">
        <f t="shared" si="5"/>
        <v>0</v>
      </c>
      <c r="AZ25" s="552">
        <f t="shared" si="6"/>
        <v>0</v>
      </c>
      <c r="BA25" s="552">
        <f t="shared" si="6"/>
        <v>0</v>
      </c>
      <c r="BB25" s="557"/>
      <c r="BC25" s="552">
        <v>0</v>
      </c>
      <c r="BD25" s="552">
        <v>0</v>
      </c>
      <c r="BE25" s="552">
        <v>0</v>
      </c>
      <c r="BF25" s="552">
        <v>0</v>
      </c>
      <c r="BG25" s="554" t="str">
        <f>IFERROR(VLOOKUP(#REF!,#REF!,4,FALSE),"")</f>
        <v/>
      </c>
      <c r="BH25" s="552"/>
      <c r="BI25" s="552"/>
      <c r="BJ25" s="552"/>
      <c r="BK25" s="552"/>
      <c r="BL25" s="552"/>
      <c r="BM25" s="552"/>
      <c r="BN25" s="552"/>
      <c r="BO25" s="552"/>
      <c r="BP25" s="552"/>
      <c r="BQ25" s="552"/>
      <c r="BR25" s="552"/>
      <c r="BS25" s="552"/>
      <c r="BT25" s="552"/>
      <c r="BU25" s="552"/>
      <c r="BV25" s="552"/>
      <c r="BW25" s="552"/>
      <c r="BX25" s="552"/>
      <c r="BY25" s="552"/>
      <c r="BZ25" s="552"/>
      <c r="CA25" s="552">
        <f t="shared" si="12"/>
        <v>0</v>
      </c>
      <c r="CB25" s="552">
        <f t="shared" si="12"/>
        <v>0</v>
      </c>
      <c r="CC25" s="552">
        <f t="shared" si="12"/>
        <v>0</v>
      </c>
      <c r="CD25" s="552">
        <f t="shared" si="13"/>
        <v>0</v>
      </c>
      <c r="CE25" s="552">
        <f t="shared" si="13"/>
        <v>0</v>
      </c>
      <c r="CF25" s="552">
        <f t="shared" si="13"/>
        <v>0</v>
      </c>
      <c r="CG25" s="552">
        <f t="shared" si="13"/>
        <v>0</v>
      </c>
      <c r="CH25" s="552">
        <f t="shared" si="13"/>
        <v>0</v>
      </c>
      <c r="CI25" s="552">
        <f t="shared" si="13"/>
        <v>0</v>
      </c>
      <c r="CJ25" s="552">
        <f t="shared" si="13"/>
        <v>0</v>
      </c>
      <c r="CK25" s="552">
        <f t="shared" si="13"/>
        <v>0</v>
      </c>
      <c r="CL25" s="552">
        <f t="shared" si="13"/>
        <v>0</v>
      </c>
      <c r="CM25" s="552">
        <f t="shared" si="13"/>
        <v>0</v>
      </c>
      <c r="CN25" s="552">
        <f t="shared" si="13"/>
        <v>0</v>
      </c>
      <c r="CO25" s="552">
        <f t="shared" si="13"/>
        <v>0</v>
      </c>
      <c r="CP25" s="552">
        <f t="shared" si="13"/>
        <v>0</v>
      </c>
      <c r="CQ25" s="552">
        <f t="shared" si="13"/>
        <v>0</v>
      </c>
      <c r="CR25" s="552">
        <f t="shared" si="13"/>
        <v>0</v>
      </c>
      <c r="CS25" s="552">
        <f t="shared" si="9"/>
        <v>0</v>
      </c>
      <c r="CT25" s="552"/>
      <c r="CU25" s="552"/>
      <c r="CV25" s="552"/>
      <c r="CW25" s="552"/>
      <c r="CX25" s="552"/>
      <c r="CY25" s="552"/>
      <c r="CZ25" s="552"/>
      <c r="DA25" s="472"/>
      <c r="DB25" s="552">
        <f t="shared" si="14"/>
        <v>0</v>
      </c>
      <c r="DC25" s="552">
        <f t="shared" si="14"/>
        <v>0</v>
      </c>
      <c r="DD25" s="552">
        <f t="shared" si="14"/>
        <v>0</v>
      </c>
      <c r="DE25" s="552">
        <f t="shared" si="14"/>
        <v>0</v>
      </c>
      <c r="DF25" s="552">
        <f t="shared" si="14"/>
        <v>0</v>
      </c>
      <c r="DG25" s="552">
        <f t="shared" si="14"/>
        <v>0</v>
      </c>
      <c r="DH25" s="552">
        <f t="shared" si="11"/>
        <v>0</v>
      </c>
      <c r="DI25" s="554"/>
      <c r="DJ25" s="525">
        <f>IFERROR(VLOOKUP(A25,'Transp. Dre Rodovia'!$A$19:$D$29,4,FALSE),0)+IFERROR(VLOOKUP(A25,#REF!,4,FALSE),0)</f>
        <v>0</v>
      </c>
    </row>
    <row r="26" spans="1:114" ht="12.75" hidden="1" customHeight="1">
      <c r="A26" s="470">
        <v>41415</v>
      </c>
      <c r="B26" s="550" t="s">
        <v>457</v>
      </c>
      <c r="C26" s="551" t="s">
        <v>107</v>
      </c>
      <c r="D26" s="552">
        <v>0</v>
      </c>
      <c r="E26" s="552">
        <v>0</v>
      </c>
      <c r="F26" s="552">
        <v>0</v>
      </c>
      <c r="G26" s="552">
        <v>0</v>
      </c>
      <c r="H26" s="552">
        <v>0</v>
      </c>
      <c r="I26" s="552">
        <v>0</v>
      </c>
      <c r="J26" s="552">
        <v>0.13700000000000001</v>
      </c>
      <c r="K26" s="552">
        <v>0.90449999999999997</v>
      </c>
      <c r="L26" s="552">
        <v>0.85649999999999993</v>
      </c>
      <c r="M26" s="552">
        <v>332</v>
      </c>
      <c r="N26" s="553">
        <v>0</v>
      </c>
      <c r="O26" s="553">
        <v>0</v>
      </c>
      <c r="P26" s="552">
        <v>0</v>
      </c>
      <c r="Q26" s="552">
        <v>0</v>
      </c>
      <c r="R26" s="552">
        <v>0</v>
      </c>
      <c r="S26" s="552">
        <v>0</v>
      </c>
      <c r="T26" s="552">
        <v>0</v>
      </c>
      <c r="U26" s="552">
        <v>0</v>
      </c>
      <c r="V26" s="552">
        <v>0</v>
      </c>
      <c r="W26" s="552">
        <v>0</v>
      </c>
      <c r="X26" s="552">
        <v>0</v>
      </c>
      <c r="Y26" s="552">
        <v>0</v>
      </c>
      <c r="Z26" s="552">
        <v>0</v>
      </c>
      <c r="AA26" s="552">
        <v>0</v>
      </c>
      <c r="AB26" s="552">
        <v>0</v>
      </c>
      <c r="AC26" s="552">
        <v>0</v>
      </c>
      <c r="AD26" s="552">
        <v>0</v>
      </c>
      <c r="AE26" s="552">
        <v>0</v>
      </c>
      <c r="AF26" s="552">
        <v>0</v>
      </c>
      <c r="AG26" s="552">
        <v>0</v>
      </c>
      <c r="AH26" s="552">
        <v>0</v>
      </c>
      <c r="AI26" s="552">
        <v>0</v>
      </c>
      <c r="AJ26" s="552">
        <v>0</v>
      </c>
      <c r="AK26" s="552">
        <v>0</v>
      </c>
      <c r="AL26" s="552">
        <v>0</v>
      </c>
      <c r="AM26" s="552">
        <v>0</v>
      </c>
      <c r="AN26" s="552">
        <v>0</v>
      </c>
      <c r="AO26" s="552">
        <v>0</v>
      </c>
      <c r="AP26" s="552">
        <v>0</v>
      </c>
      <c r="AQ26" s="552">
        <v>0</v>
      </c>
      <c r="AR26" s="554"/>
      <c r="AS26" s="555">
        <f t="shared" si="2"/>
        <v>0.13700000000000001</v>
      </c>
      <c r="AT26" s="555">
        <f t="shared" si="3"/>
        <v>0</v>
      </c>
      <c r="AU26" s="556"/>
      <c r="AV26" s="553">
        <f t="shared" si="4"/>
        <v>0.1239165</v>
      </c>
      <c r="AW26" s="553">
        <f t="shared" si="4"/>
        <v>0.1173405</v>
      </c>
      <c r="AX26" s="553">
        <f t="shared" si="4"/>
        <v>45.484000000000002</v>
      </c>
      <c r="AY26" s="552">
        <f t="shared" si="5"/>
        <v>0</v>
      </c>
      <c r="AZ26" s="552">
        <f t="shared" si="6"/>
        <v>0</v>
      </c>
      <c r="BA26" s="552">
        <f t="shared" si="6"/>
        <v>0</v>
      </c>
      <c r="BB26" s="557"/>
      <c r="BC26" s="552">
        <v>0</v>
      </c>
      <c r="BD26" s="552">
        <v>0</v>
      </c>
      <c r="BE26" s="552">
        <v>0</v>
      </c>
      <c r="BF26" s="552">
        <v>0</v>
      </c>
      <c r="BG26" s="554" t="str">
        <f>IFERROR(VLOOKUP(#REF!,#REF!,4,FALSE),"")</f>
        <v/>
      </c>
      <c r="BH26" s="552"/>
      <c r="BI26" s="552"/>
      <c r="BJ26" s="552"/>
      <c r="BK26" s="552"/>
      <c r="BL26" s="552"/>
      <c r="BM26" s="552"/>
      <c r="BN26" s="552"/>
      <c r="BO26" s="552"/>
      <c r="BP26" s="552"/>
      <c r="BQ26" s="552"/>
      <c r="BR26" s="552"/>
      <c r="BS26" s="552"/>
      <c r="BT26" s="552"/>
      <c r="BU26" s="552"/>
      <c r="BV26" s="552"/>
      <c r="BW26" s="552"/>
      <c r="BX26" s="552"/>
      <c r="BY26" s="552"/>
      <c r="BZ26" s="552"/>
      <c r="CA26" s="552">
        <f t="shared" si="12"/>
        <v>0</v>
      </c>
      <c r="CB26" s="552">
        <f t="shared" si="12"/>
        <v>0</v>
      </c>
      <c r="CC26" s="552">
        <f t="shared" si="12"/>
        <v>0</v>
      </c>
      <c r="CD26" s="552">
        <f t="shared" si="13"/>
        <v>0</v>
      </c>
      <c r="CE26" s="552">
        <f t="shared" si="13"/>
        <v>0</v>
      </c>
      <c r="CF26" s="552">
        <f t="shared" si="13"/>
        <v>0</v>
      </c>
      <c r="CG26" s="552">
        <f t="shared" si="13"/>
        <v>0</v>
      </c>
      <c r="CH26" s="552">
        <f t="shared" si="13"/>
        <v>0</v>
      </c>
      <c r="CI26" s="552">
        <f t="shared" si="13"/>
        <v>0</v>
      </c>
      <c r="CJ26" s="552">
        <f t="shared" si="13"/>
        <v>0</v>
      </c>
      <c r="CK26" s="552">
        <f t="shared" si="13"/>
        <v>0</v>
      </c>
      <c r="CL26" s="552">
        <f t="shared" si="13"/>
        <v>0</v>
      </c>
      <c r="CM26" s="552">
        <f t="shared" si="13"/>
        <v>0</v>
      </c>
      <c r="CN26" s="552">
        <f t="shared" si="13"/>
        <v>0</v>
      </c>
      <c r="CO26" s="552">
        <f t="shared" si="13"/>
        <v>0</v>
      </c>
      <c r="CP26" s="552">
        <f t="shared" si="13"/>
        <v>0</v>
      </c>
      <c r="CQ26" s="552">
        <f t="shared" si="13"/>
        <v>0</v>
      </c>
      <c r="CR26" s="552">
        <f t="shared" si="13"/>
        <v>0</v>
      </c>
      <c r="CS26" s="552">
        <f t="shared" si="9"/>
        <v>0</v>
      </c>
      <c r="CT26" s="552"/>
      <c r="CU26" s="552"/>
      <c r="CV26" s="552"/>
      <c r="CW26" s="552"/>
      <c r="CX26" s="552"/>
      <c r="CY26" s="552"/>
      <c r="CZ26" s="552"/>
      <c r="DA26" s="472"/>
      <c r="DB26" s="552">
        <f t="shared" si="14"/>
        <v>0</v>
      </c>
      <c r="DC26" s="552">
        <f t="shared" si="14"/>
        <v>0</v>
      </c>
      <c r="DD26" s="552">
        <f t="shared" si="14"/>
        <v>0</v>
      </c>
      <c r="DE26" s="552">
        <f t="shared" si="14"/>
        <v>0</v>
      </c>
      <c r="DF26" s="552">
        <f t="shared" si="14"/>
        <v>0</v>
      </c>
      <c r="DG26" s="552">
        <f t="shared" si="14"/>
        <v>0</v>
      </c>
      <c r="DH26" s="552">
        <f t="shared" si="11"/>
        <v>0</v>
      </c>
      <c r="DI26" s="554"/>
      <c r="DJ26" s="525">
        <f>IFERROR(VLOOKUP(A26,'Transp. Dre Rodovia'!$A$19:$D$29,4,FALSE),0)+IFERROR(VLOOKUP(A26,#REF!,4,FALSE),0)</f>
        <v>0</v>
      </c>
    </row>
    <row r="27" spans="1:114" ht="12.75" hidden="1" customHeight="1">
      <c r="A27" s="470">
        <v>41417</v>
      </c>
      <c r="B27" s="550" t="s">
        <v>458</v>
      </c>
      <c r="C27" s="551" t="s">
        <v>107</v>
      </c>
      <c r="D27" s="552">
        <v>0</v>
      </c>
      <c r="E27" s="552">
        <v>0</v>
      </c>
      <c r="F27" s="552">
        <v>0</v>
      </c>
      <c r="G27" s="552">
        <v>0</v>
      </c>
      <c r="H27" s="552">
        <v>0</v>
      </c>
      <c r="I27" s="552">
        <v>0</v>
      </c>
      <c r="J27" s="552">
        <v>0.35</v>
      </c>
      <c r="K27" s="552">
        <v>0.90449999999999997</v>
      </c>
      <c r="L27" s="552">
        <v>0.85649999999999993</v>
      </c>
      <c r="M27" s="552">
        <v>332</v>
      </c>
      <c r="N27" s="553">
        <v>0</v>
      </c>
      <c r="O27" s="553">
        <v>0</v>
      </c>
      <c r="P27" s="552">
        <v>0</v>
      </c>
      <c r="Q27" s="552">
        <v>0</v>
      </c>
      <c r="R27" s="552">
        <v>0</v>
      </c>
      <c r="S27" s="552">
        <v>0</v>
      </c>
      <c r="T27" s="552">
        <v>0</v>
      </c>
      <c r="U27" s="552">
        <v>0</v>
      </c>
      <c r="V27" s="552">
        <v>0</v>
      </c>
      <c r="W27" s="552">
        <v>0</v>
      </c>
      <c r="X27" s="552">
        <v>0</v>
      </c>
      <c r="Y27" s="552">
        <v>0</v>
      </c>
      <c r="Z27" s="552">
        <v>0</v>
      </c>
      <c r="AA27" s="552">
        <v>0</v>
      </c>
      <c r="AB27" s="552">
        <v>0</v>
      </c>
      <c r="AC27" s="552">
        <v>0</v>
      </c>
      <c r="AD27" s="552">
        <v>0</v>
      </c>
      <c r="AE27" s="552">
        <v>0</v>
      </c>
      <c r="AF27" s="552">
        <v>0</v>
      </c>
      <c r="AG27" s="552">
        <v>0</v>
      </c>
      <c r="AH27" s="552">
        <v>0</v>
      </c>
      <c r="AI27" s="552">
        <v>0</v>
      </c>
      <c r="AJ27" s="552">
        <v>0</v>
      </c>
      <c r="AK27" s="552">
        <v>0</v>
      </c>
      <c r="AL27" s="552">
        <v>0</v>
      </c>
      <c r="AM27" s="552">
        <v>0</v>
      </c>
      <c r="AN27" s="552">
        <v>0</v>
      </c>
      <c r="AO27" s="552">
        <v>0</v>
      </c>
      <c r="AP27" s="552">
        <v>0</v>
      </c>
      <c r="AQ27" s="552">
        <v>0</v>
      </c>
      <c r="AR27" s="554"/>
      <c r="AS27" s="555">
        <f t="shared" si="2"/>
        <v>0.35</v>
      </c>
      <c r="AT27" s="555">
        <f t="shared" si="3"/>
        <v>0</v>
      </c>
      <c r="AU27" s="556"/>
      <c r="AV27" s="553">
        <f t="shared" si="4"/>
        <v>0.316575</v>
      </c>
      <c r="AW27" s="553">
        <f t="shared" si="4"/>
        <v>0.29977499999999996</v>
      </c>
      <c r="AX27" s="553">
        <f t="shared" si="4"/>
        <v>116.19999999999999</v>
      </c>
      <c r="AY27" s="552">
        <f t="shared" si="5"/>
        <v>0</v>
      </c>
      <c r="AZ27" s="552">
        <f t="shared" si="6"/>
        <v>0</v>
      </c>
      <c r="BA27" s="552">
        <f t="shared" si="6"/>
        <v>0</v>
      </c>
      <c r="BB27" s="557"/>
      <c r="BC27" s="552">
        <v>0</v>
      </c>
      <c r="BD27" s="552">
        <v>0</v>
      </c>
      <c r="BE27" s="552">
        <v>0</v>
      </c>
      <c r="BF27" s="552">
        <v>0</v>
      </c>
      <c r="BG27" s="554" t="str">
        <f>IFERROR(VLOOKUP(#REF!,#REF!,4,FALSE),"")</f>
        <v/>
      </c>
      <c r="BH27" s="552"/>
      <c r="BI27" s="552"/>
      <c r="BJ27" s="552"/>
      <c r="BK27" s="552"/>
      <c r="BL27" s="552"/>
      <c r="BM27" s="552"/>
      <c r="BN27" s="552"/>
      <c r="BO27" s="552"/>
      <c r="BP27" s="552"/>
      <c r="BQ27" s="552"/>
      <c r="BR27" s="552"/>
      <c r="BS27" s="552"/>
      <c r="BT27" s="552"/>
      <c r="BU27" s="552"/>
      <c r="BV27" s="552"/>
      <c r="BW27" s="552"/>
      <c r="BX27" s="552"/>
      <c r="BY27" s="552"/>
      <c r="BZ27" s="552"/>
      <c r="CA27" s="552">
        <f t="shared" si="12"/>
        <v>0</v>
      </c>
      <c r="CB27" s="552">
        <f t="shared" si="12"/>
        <v>0</v>
      </c>
      <c r="CC27" s="552">
        <f t="shared" si="12"/>
        <v>0</v>
      </c>
      <c r="CD27" s="552">
        <f t="shared" si="13"/>
        <v>0</v>
      </c>
      <c r="CE27" s="552">
        <f t="shared" si="13"/>
        <v>0</v>
      </c>
      <c r="CF27" s="552">
        <f t="shared" si="13"/>
        <v>0</v>
      </c>
      <c r="CG27" s="552">
        <f t="shared" si="13"/>
        <v>0</v>
      </c>
      <c r="CH27" s="552">
        <f t="shared" si="13"/>
        <v>0</v>
      </c>
      <c r="CI27" s="552">
        <f t="shared" si="13"/>
        <v>0</v>
      </c>
      <c r="CJ27" s="552">
        <f t="shared" si="13"/>
        <v>0</v>
      </c>
      <c r="CK27" s="552">
        <f t="shared" si="13"/>
        <v>0</v>
      </c>
      <c r="CL27" s="552">
        <f t="shared" si="13"/>
        <v>0</v>
      </c>
      <c r="CM27" s="552">
        <f t="shared" si="13"/>
        <v>0</v>
      </c>
      <c r="CN27" s="552">
        <f t="shared" si="13"/>
        <v>0</v>
      </c>
      <c r="CO27" s="552">
        <f t="shared" si="13"/>
        <v>0</v>
      </c>
      <c r="CP27" s="552">
        <f t="shared" si="13"/>
        <v>0</v>
      </c>
      <c r="CQ27" s="552">
        <f t="shared" si="13"/>
        <v>0</v>
      </c>
      <c r="CR27" s="552">
        <f t="shared" si="13"/>
        <v>0</v>
      </c>
      <c r="CS27" s="552">
        <f t="shared" si="9"/>
        <v>0</v>
      </c>
      <c r="CT27" s="552"/>
      <c r="CU27" s="552"/>
      <c r="CV27" s="552"/>
      <c r="CW27" s="552"/>
      <c r="CX27" s="552"/>
      <c r="CY27" s="552"/>
      <c r="CZ27" s="552"/>
      <c r="DA27" s="472"/>
      <c r="DB27" s="552">
        <f t="shared" si="14"/>
        <v>0</v>
      </c>
      <c r="DC27" s="552">
        <f t="shared" si="14"/>
        <v>0</v>
      </c>
      <c r="DD27" s="552">
        <f t="shared" si="14"/>
        <v>0</v>
      </c>
      <c r="DE27" s="552">
        <f t="shared" si="14"/>
        <v>0</v>
      </c>
      <c r="DF27" s="552">
        <f t="shared" si="14"/>
        <v>0</v>
      </c>
      <c r="DG27" s="552">
        <f t="shared" si="14"/>
        <v>0</v>
      </c>
      <c r="DH27" s="552">
        <f t="shared" si="11"/>
        <v>0</v>
      </c>
      <c r="DI27" s="554"/>
      <c r="DJ27" s="525">
        <f>IFERROR(VLOOKUP(A27,'Transp. Dre Rodovia'!$A$19:$D$29,4,FALSE),0)+IFERROR(VLOOKUP(A27,#REF!,4,FALSE),0)</f>
        <v>0</v>
      </c>
    </row>
    <row r="28" spans="1:114" ht="12.75" hidden="1" customHeight="1">
      <c r="A28" s="470">
        <v>41418</v>
      </c>
      <c r="B28" s="550" t="s">
        <v>459</v>
      </c>
      <c r="C28" s="551" t="s">
        <v>107</v>
      </c>
      <c r="D28" s="552">
        <v>0</v>
      </c>
      <c r="E28" s="552">
        <v>0</v>
      </c>
      <c r="F28" s="552">
        <v>0</v>
      </c>
      <c r="G28" s="552">
        <v>0</v>
      </c>
      <c r="H28" s="552">
        <v>0</v>
      </c>
      <c r="I28" s="552">
        <v>0</v>
      </c>
      <c r="J28" s="552">
        <v>0.35</v>
      </c>
      <c r="K28" s="552">
        <v>0.90449999999999997</v>
      </c>
      <c r="L28" s="552">
        <v>0.85649999999999993</v>
      </c>
      <c r="M28" s="552">
        <v>332</v>
      </c>
      <c r="N28" s="553">
        <v>0</v>
      </c>
      <c r="O28" s="553">
        <v>0</v>
      </c>
      <c r="P28" s="552">
        <v>0</v>
      </c>
      <c r="Q28" s="552">
        <v>0</v>
      </c>
      <c r="R28" s="552">
        <v>0</v>
      </c>
      <c r="S28" s="552">
        <v>0</v>
      </c>
      <c r="T28" s="552">
        <v>0</v>
      </c>
      <c r="U28" s="552">
        <v>0</v>
      </c>
      <c r="V28" s="552">
        <v>0</v>
      </c>
      <c r="W28" s="552">
        <v>0</v>
      </c>
      <c r="X28" s="552">
        <v>0</v>
      </c>
      <c r="Y28" s="552">
        <v>0</v>
      </c>
      <c r="Z28" s="552">
        <v>0</v>
      </c>
      <c r="AA28" s="552">
        <v>0</v>
      </c>
      <c r="AB28" s="552">
        <v>0</v>
      </c>
      <c r="AC28" s="552">
        <v>0</v>
      </c>
      <c r="AD28" s="552">
        <v>0</v>
      </c>
      <c r="AE28" s="552">
        <v>0</v>
      </c>
      <c r="AF28" s="552">
        <v>0</v>
      </c>
      <c r="AG28" s="552">
        <v>0</v>
      </c>
      <c r="AH28" s="552">
        <v>0</v>
      </c>
      <c r="AI28" s="552">
        <v>0</v>
      </c>
      <c r="AJ28" s="552">
        <v>0</v>
      </c>
      <c r="AK28" s="552">
        <v>0</v>
      </c>
      <c r="AL28" s="552">
        <v>0</v>
      </c>
      <c r="AM28" s="552">
        <v>0</v>
      </c>
      <c r="AN28" s="552">
        <v>0</v>
      </c>
      <c r="AO28" s="552">
        <v>0</v>
      </c>
      <c r="AP28" s="552">
        <v>0</v>
      </c>
      <c r="AQ28" s="552">
        <v>0</v>
      </c>
      <c r="AR28" s="554"/>
      <c r="AS28" s="555">
        <f t="shared" si="2"/>
        <v>0.35</v>
      </c>
      <c r="AT28" s="555">
        <f t="shared" si="3"/>
        <v>0</v>
      </c>
      <c r="AU28" s="556"/>
      <c r="AV28" s="553">
        <f t="shared" si="4"/>
        <v>0.316575</v>
      </c>
      <c r="AW28" s="553">
        <f t="shared" si="4"/>
        <v>0.29977499999999996</v>
      </c>
      <c r="AX28" s="553">
        <f t="shared" si="4"/>
        <v>116.19999999999999</v>
      </c>
      <c r="AY28" s="552">
        <f t="shared" si="5"/>
        <v>0</v>
      </c>
      <c r="AZ28" s="552">
        <f t="shared" si="6"/>
        <v>0</v>
      </c>
      <c r="BA28" s="552">
        <f t="shared" si="6"/>
        <v>0</v>
      </c>
      <c r="BB28" s="557"/>
      <c r="BC28" s="552">
        <v>0</v>
      </c>
      <c r="BD28" s="552">
        <v>0</v>
      </c>
      <c r="BE28" s="552">
        <v>0</v>
      </c>
      <c r="BF28" s="552">
        <v>0</v>
      </c>
      <c r="BG28" s="554" t="str">
        <f>IFERROR(VLOOKUP(#REF!,#REF!,4,FALSE),"")</f>
        <v/>
      </c>
      <c r="BH28" s="552"/>
      <c r="BI28" s="552"/>
      <c r="BJ28" s="552"/>
      <c r="BK28" s="552"/>
      <c r="BL28" s="552"/>
      <c r="BM28" s="552"/>
      <c r="BN28" s="552"/>
      <c r="BO28" s="552"/>
      <c r="BP28" s="552"/>
      <c r="BQ28" s="552"/>
      <c r="BR28" s="552"/>
      <c r="BS28" s="552"/>
      <c r="BT28" s="552"/>
      <c r="BU28" s="552"/>
      <c r="BV28" s="552"/>
      <c r="BW28" s="552"/>
      <c r="BX28" s="552"/>
      <c r="BY28" s="552"/>
      <c r="BZ28" s="552"/>
      <c r="CA28" s="552">
        <f t="shared" si="12"/>
        <v>0</v>
      </c>
      <c r="CB28" s="552">
        <f t="shared" si="12"/>
        <v>0</v>
      </c>
      <c r="CC28" s="552">
        <f t="shared" si="12"/>
        <v>0</v>
      </c>
      <c r="CD28" s="552">
        <f t="shared" si="13"/>
        <v>0</v>
      </c>
      <c r="CE28" s="552">
        <f t="shared" si="13"/>
        <v>0</v>
      </c>
      <c r="CF28" s="552">
        <f t="shared" si="13"/>
        <v>0</v>
      </c>
      <c r="CG28" s="552">
        <f t="shared" si="13"/>
        <v>0</v>
      </c>
      <c r="CH28" s="552">
        <f t="shared" si="13"/>
        <v>0</v>
      </c>
      <c r="CI28" s="552">
        <f t="shared" si="13"/>
        <v>0</v>
      </c>
      <c r="CJ28" s="552">
        <f t="shared" si="13"/>
        <v>0</v>
      </c>
      <c r="CK28" s="552">
        <f t="shared" si="13"/>
        <v>0</v>
      </c>
      <c r="CL28" s="552">
        <f t="shared" si="13"/>
        <v>0</v>
      </c>
      <c r="CM28" s="552">
        <f t="shared" si="13"/>
        <v>0</v>
      </c>
      <c r="CN28" s="552">
        <f t="shared" si="13"/>
        <v>0</v>
      </c>
      <c r="CO28" s="552">
        <f t="shared" si="13"/>
        <v>0</v>
      </c>
      <c r="CP28" s="552">
        <f t="shared" si="13"/>
        <v>0</v>
      </c>
      <c r="CQ28" s="552">
        <f t="shared" si="13"/>
        <v>0</v>
      </c>
      <c r="CR28" s="552">
        <f t="shared" si="13"/>
        <v>0</v>
      </c>
      <c r="CS28" s="552">
        <f t="shared" si="9"/>
        <v>0</v>
      </c>
      <c r="CT28" s="552"/>
      <c r="CU28" s="552"/>
      <c r="CV28" s="552"/>
      <c r="CW28" s="552"/>
      <c r="CX28" s="552"/>
      <c r="CY28" s="552"/>
      <c r="CZ28" s="552"/>
      <c r="DA28" s="472"/>
      <c r="DB28" s="552">
        <f t="shared" si="14"/>
        <v>0</v>
      </c>
      <c r="DC28" s="552">
        <f t="shared" si="14"/>
        <v>0</v>
      </c>
      <c r="DD28" s="552">
        <f t="shared" si="14"/>
        <v>0</v>
      </c>
      <c r="DE28" s="552">
        <f t="shared" si="14"/>
        <v>0</v>
      </c>
      <c r="DF28" s="552">
        <f t="shared" si="14"/>
        <v>0</v>
      </c>
      <c r="DG28" s="552">
        <f t="shared" si="14"/>
        <v>0</v>
      </c>
      <c r="DH28" s="552">
        <f t="shared" si="11"/>
        <v>0</v>
      </c>
      <c r="DI28" s="554"/>
      <c r="DJ28" s="525">
        <f>IFERROR(VLOOKUP(A28,'Transp. Dre Rodovia'!$A$19:$D$29,4,FALSE),0)+IFERROR(VLOOKUP(A28,#REF!,4,FALSE),0)</f>
        <v>0</v>
      </c>
    </row>
    <row r="29" spans="1:114" ht="12.75" hidden="1" customHeight="1">
      <c r="A29" s="470">
        <v>41419</v>
      </c>
      <c r="B29" s="550" t="s">
        <v>460</v>
      </c>
      <c r="C29" s="551" t="s">
        <v>107</v>
      </c>
      <c r="D29" s="552">
        <v>0</v>
      </c>
      <c r="E29" s="552">
        <v>0</v>
      </c>
      <c r="F29" s="552">
        <v>0</v>
      </c>
      <c r="G29" s="552">
        <v>0</v>
      </c>
      <c r="H29" s="552">
        <v>0</v>
      </c>
      <c r="I29" s="552">
        <v>0</v>
      </c>
      <c r="J29" s="552">
        <v>0.42</v>
      </c>
      <c r="K29" s="552">
        <v>0.90449999999999997</v>
      </c>
      <c r="L29" s="552">
        <v>0.85649999999999993</v>
      </c>
      <c r="M29" s="552">
        <v>332</v>
      </c>
      <c r="N29" s="553">
        <v>0</v>
      </c>
      <c r="O29" s="553">
        <v>0</v>
      </c>
      <c r="P29" s="552">
        <v>0</v>
      </c>
      <c r="Q29" s="552">
        <v>0</v>
      </c>
      <c r="R29" s="552">
        <v>0</v>
      </c>
      <c r="S29" s="552">
        <v>0</v>
      </c>
      <c r="T29" s="552">
        <v>0</v>
      </c>
      <c r="U29" s="552">
        <v>0</v>
      </c>
      <c r="V29" s="552">
        <v>0</v>
      </c>
      <c r="W29" s="552">
        <v>0</v>
      </c>
      <c r="X29" s="552">
        <v>0</v>
      </c>
      <c r="Y29" s="552">
        <v>0</v>
      </c>
      <c r="Z29" s="552">
        <v>0</v>
      </c>
      <c r="AA29" s="552">
        <v>0</v>
      </c>
      <c r="AB29" s="552">
        <v>0</v>
      </c>
      <c r="AC29" s="552">
        <v>0</v>
      </c>
      <c r="AD29" s="552">
        <v>0</v>
      </c>
      <c r="AE29" s="552">
        <v>0</v>
      </c>
      <c r="AF29" s="552">
        <v>0</v>
      </c>
      <c r="AG29" s="552">
        <v>0</v>
      </c>
      <c r="AH29" s="552">
        <v>0</v>
      </c>
      <c r="AI29" s="552">
        <v>0</v>
      </c>
      <c r="AJ29" s="552">
        <v>0</v>
      </c>
      <c r="AK29" s="552">
        <v>0</v>
      </c>
      <c r="AL29" s="552">
        <v>0</v>
      </c>
      <c r="AM29" s="552">
        <v>0</v>
      </c>
      <c r="AN29" s="552">
        <v>0</v>
      </c>
      <c r="AO29" s="552">
        <v>0</v>
      </c>
      <c r="AP29" s="552">
        <v>0</v>
      </c>
      <c r="AQ29" s="552">
        <v>0</v>
      </c>
      <c r="AR29" s="554"/>
      <c r="AS29" s="555">
        <f t="shared" si="2"/>
        <v>0.42</v>
      </c>
      <c r="AT29" s="555">
        <f t="shared" si="3"/>
        <v>0</v>
      </c>
      <c r="AU29" s="556"/>
      <c r="AV29" s="553">
        <f t="shared" si="4"/>
        <v>0.37988999999999995</v>
      </c>
      <c r="AW29" s="553">
        <f t="shared" si="4"/>
        <v>0.35972999999999994</v>
      </c>
      <c r="AX29" s="553">
        <f t="shared" si="4"/>
        <v>139.44</v>
      </c>
      <c r="AY29" s="552">
        <f t="shared" si="5"/>
        <v>0</v>
      </c>
      <c r="AZ29" s="552">
        <f t="shared" si="6"/>
        <v>0</v>
      </c>
      <c r="BA29" s="552">
        <f t="shared" si="6"/>
        <v>0</v>
      </c>
      <c r="BB29" s="557"/>
      <c r="BC29" s="552">
        <v>0</v>
      </c>
      <c r="BD29" s="552">
        <v>0</v>
      </c>
      <c r="BE29" s="552">
        <v>0</v>
      </c>
      <c r="BF29" s="552">
        <v>0</v>
      </c>
      <c r="BG29" s="554" t="str">
        <f>IFERROR(VLOOKUP(#REF!,#REF!,4,FALSE),"")</f>
        <v/>
      </c>
      <c r="BH29" s="552"/>
      <c r="BI29" s="552"/>
      <c r="BJ29" s="552"/>
      <c r="BK29" s="552"/>
      <c r="BL29" s="552"/>
      <c r="BM29" s="552"/>
      <c r="BN29" s="552"/>
      <c r="BO29" s="552"/>
      <c r="BP29" s="552"/>
      <c r="BQ29" s="552"/>
      <c r="BR29" s="552"/>
      <c r="BS29" s="552"/>
      <c r="BT29" s="552"/>
      <c r="BU29" s="552"/>
      <c r="BV29" s="552"/>
      <c r="BW29" s="552"/>
      <c r="BX29" s="552"/>
      <c r="BY29" s="552"/>
      <c r="BZ29" s="552"/>
      <c r="CA29" s="552">
        <f t="shared" si="12"/>
        <v>0</v>
      </c>
      <c r="CB29" s="552">
        <f t="shared" si="12"/>
        <v>0</v>
      </c>
      <c r="CC29" s="552">
        <f t="shared" si="12"/>
        <v>0</v>
      </c>
      <c r="CD29" s="552">
        <f t="shared" si="13"/>
        <v>0</v>
      </c>
      <c r="CE29" s="552">
        <f t="shared" si="13"/>
        <v>0</v>
      </c>
      <c r="CF29" s="552">
        <f t="shared" si="13"/>
        <v>0</v>
      </c>
      <c r="CG29" s="552">
        <f t="shared" si="13"/>
        <v>0</v>
      </c>
      <c r="CH29" s="552">
        <f t="shared" si="13"/>
        <v>0</v>
      </c>
      <c r="CI29" s="552">
        <f t="shared" si="13"/>
        <v>0</v>
      </c>
      <c r="CJ29" s="552">
        <f t="shared" si="13"/>
        <v>0</v>
      </c>
      <c r="CK29" s="552">
        <f t="shared" si="13"/>
        <v>0</v>
      </c>
      <c r="CL29" s="552">
        <f t="shared" si="13"/>
        <v>0</v>
      </c>
      <c r="CM29" s="552">
        <f t="shared" si="13"/>
        <v>0</v>
      </c>
      <c r="CN29" s="552">
        <f t="shared" si="13"/>
        <v>0</v>
      </c>
      <c r="CO29" s="552">
        <f t="shared" si="13"/>
        <v>0</v>
      </c>
      <c r="CP29" s="552">
        <f t="shared" si="13"/>
        <v>0</v>
      </c>
      <c r="CQ29" s="552">
        <f t="shared" si="13"/>
        <v>0</v>
      </c>
      <c r="CR29" s="552">
        <f t="shared" si="13"/>
        <v>0</v>
      </c>
      <c r="CS29" s="552">
        <f t="shared" si="9"/>
        <v>0</v>
      </c>
      <c r="CT29" s="552"/>
      <c r="CU29" s="552"/>
      <c r="CV29" s="552"/>
      <c r="CW29" s="552"/>
      <c r="CX29" s="552"/>
      <c r="CY29" s="552"/>
      <c r="CZ29" s="552"/>
      <c r="DA29" s="472"/>
      <c r="DB29" s="552">
        <f t="shared" si="14"/>
        <v>0</v>
      </c>
      <c r="DC29" s="552">
        <f t="shared" si="14"/>
        <v>0</v>
      </c>
      <c r="DD29" s="552">
        <f t="shared" si="14"/>
        <v>0</v>
      </c>
      <c r="DE29" s="552">
        <f t="shared" si="14"/>
        <v>0</v>
      </c>
      <c r="DF29" s="552">
        <f t="shared" si="14"/>
        <v>0</v>
      </c>
      <c r="DG29" s="552">
        <f t="shared" si="14"/>
        <v>0</v>
      </c>
      <c r="DH29" s="552">
        <f t="shared" si="11"/>
        <v>0</v>
      </c>
      <c r="DI29" s="554"/>
      <c r="DJ29" s="525">
        <f>IFERROR(VLOOKUP(A29,'Transp. Dre Rodovia'!$A$19:$D$29,4,FALSE),0)+IFERROR(VLOOKUP(A29,#REF!,4,FALSE),0)</f>
        <v>0</v>
      </c>
    </row>
    <row r="30" spans="1:114" ht="12.75" hidden="1" customHeight="1">
      <c r="A30" s="470">
        <v>41420</v>
      </c>
      <c r="B30" s="550" t="s">
        <v>461</v>
      </c>
      <c r="C30" s="551" t="s">
        <v>107</v>
      </c>
      <c r="D30" s="552">
        <v>0</v>
      </c>
      <c r="E30" s="552">
        <v>0</v>
      </c>
      <c r="F30" s="552">
        <v>0</v>
      </c>
      <c r="G30" s="552">
        <v>0</v>
      </c>
      <c r="H30" s="552">
        <v>0</v>
      </c>
      <c r="I30" s="552">
        <v>0</v>
      </c>
      <c r="J30" s="552">
        <v>0.42</v>
      </c>
      <c r="K30" s="552">
        <v>0.90449999999999997</v>
      </c>
      <c r="L30" s="552">
        <v>0.85649999999999993</v>
      </c>
      <c r="M30" s="552">
        <v>332</v>
      </c>
      <c r="N30" s="553">
        <v>0</v>
      </c>
      <c r="O30" s="553">
        <v>0</v>
      </c>
      <c r="P30" s="552">
        <v>0</v>
      </c>
      <c r="Q30" s="552">
        <v>0</v>
      </c>
      <c r="R30" s="552">
        <v>0</v>
      </c>
      <c r="S30" s="552">
        <v>0</v>
      </c>
      <c r="T30" s="552">
        <v>0</v>
      </c>
      <c r="U30" s="552">
        <v>0</v>
      </c>
      <c r="V30" s="552">
        <v>0</v>
      </c>
      <c r="W30" s="552">
        <v>0</v>
      </c>
      <c r="X30" s="552">
        <v>0</v>
      </c>
      <c r="Y30" s="552">
        <v>0</v>
      </c>
      <c r="Z30" s="552">
        <v>0</v>
      </c>
      <c r="AA30" s="552">
        <v>0</v>
      </c>
      <c r="AB30" s="552">
        <v>0</v>
      </c>
      <c r="AC30" s="552">
        <v>0</v>
      </c>
      <c r="AD30" s="552">
        <v>0</v>
      </c>
      <c r="AE30" s="552">
        <v>0</v>
      </c>
      <c r="AF30" s="552">
        <v>0</v>
      </c>
      <c r="AG30" s="552">
        <v>0</v>
      </c>
      <c r="AH30" s="552">
        <v>0</v>
      </c>
      <c r="AI30" s="552">
        <v>0</v>
      </c>
      <c r="AJ30" s="552">
        <v>0</v>
      </c>
      <c r="AK30" s="552">
        <v>0</v>
      </c>
      <c r="AL30" s="552">
        <v>0</v>
      </c>
      <c r="AM30" s="552">
        <v>0</v>
      </c>
      <c r="AN30" s="552">
        <v>0</v>
      </c>
      <c r="AO30" s="552">
        <v>0</v>
      </c>
      <c r="AP30" s="552">
        <v>0</v>
      </c>
      <c r="AQ30" s="552">
        <v>0</v>
      </c>
      <c r="AR30" s="554"/>
      <c r="AS30" s="555">
        <f t="shared" si="2"/>
        <v>0.42</v>
      </c>
      <c r="AT30" s="555">
        <f t="shared" si="3"/>
        <v>0</v>
      </c>
      <c r="AU30" s="556"/>
      <c r="AV30" s="553">
        <f t="shared" si="4"/>
        <v>0.37988999999999995</v>
      </c>
      <c r="AW30" s="553">
        <f t="shared" si="4"/>
        <v>0.35972999999999994</v>
      </c>
      <c r="AX30" s="553">
        <f t="shared" si="4"/>
        <v>139.44</v>
      </c>
      <c r="AY30" s="552">
        <f t="shared" si="5"/>
        <v>0</v>
      </c>
      <c r="AZ30" s="552">
        <f t="shared" si="6"/>
        <v>0</v>
      </c>
      <c r="BA30" s="552">
        <f t="shared" si="6"/>
        <v>0</v>
      </c>
      <c r="BB30" s="557"/>
      <c r="BC30" s="552">
        <v>0</v>
      </c>
      <c r="BD30" s="552">
        <v>0</v>
      </c>
      <c r="BE30" s="552">
        <v>0</v>
      </c>
      <c r="BF30" s="552">
        <v>0</v>
      </c>
      <c r="BG30" s="554" t="str">
        <f>IFERROR(VLOOKUP(#REF!,#REF!,4,FALSE),"")</f>
        <v/>
      </c>
      <c r="BH30" s="552"/>
      <c r="BI30" s="552"/>
      <c r="BJ30" s="552"/>
      <c r="BK30" s="552"/>
      <c r="BL30" s="552"/>
      <c r="BM30" s="552"/>
      <c r="BN30" s="552"/>
      <c r="BO30" s="552"/>
      <c r="BP30" s="552"/>
      <c r="BQ30" s="552"/>
      <c r="BR30" s="552"/>
      <c r="BS30" s="552"/>
      <c r="BT30" s="552"/>
      <c r="BU30" s="552"/>
      <c r="BV30" s="552"/>
      <c r="BW30" s="552"/>
      <c r="BX30" s="552"/>
      <c r="BY30" s="552"/>
      <c r="BZ30" s="552"/>
      <c r="CA30" s="552">
        <f t="shared" si="12"/>
        <v>0</v>
      </c>
      <c r="CB30" s="552">
        <f t="shared" si="12"/>
        <v>0</v>
      </c>
      <c r="CC30" s="552">
        <f t="shared" si="12"/>
        <v>0</v>
      </c>
      <c r="CD30" s="552">
        <f t="shared" si="13"/>
        <v>0</v>
      </c>
      <c r="CE30" s="552">
        <f t="shared" si="13"/>
        <v>0</v>
      </c>
      <c r="CF30" s="552">
        <f t="shared" si="13"/>
        <v>0</v>
      </c>
      <c r="CG30" s="552">
        <f t="shared" si="13"/>
        <v>0</v>
      </c>
      <c r="CH30" s="552">
        <f t="shared" si="13"/>
        <v>0</v>
      </c>
      <c r="CI30" s="552">
        <f t="shared" si="13"/>
        <v>0</v>
      </c>
      <c r="CJ30" s="552">
        <f t="shared" si="13"/>
        <v>0</v>
      </c>
      <c r="CK30" s="552">
        <f t="shared" si="13"/>
        <v>0</v>
      </c>
      <c r="CL30" s="552">
        <f t="shared" si="13"/>
        <v>0</v>
      </c>
      <c r="CM30" s="552">
        <f t="shared" si="13"/>
        <v>0</v>
      </c>
      <c r="CN30" s="552">
        <f t="shared" si="13"/>
        <v>0</v>
      </c>
      <c r="CO30" s="552">
        <f t="shared" si="13"/>
        <v>0</v>
      </c>
      <c r="CP30" s="552">
        <f t="shared" si="13"/>
        <v>0</v>
      </c>
      <c r="CQ30" s="552">
        <f t="shared" si="13"/>
        <v>0</v>
      </c>
      <c r="CR30" s="552">
        <f t="shared" si="13"/>
        <v>0</v>
      </c>
      <c r="CS30" s="552">
        <f t="shared" si="9"/>
        <v>0</v>
      </c>
      <c r="CT30" s="552"/>
      <c r="CU30" s="552"/>
      <c r="CV30" s="552"/>
      <c r="CW30" s="552"/>
      <c r="CX30" s="552"/>
      <c r="CY30" s="552"/>
      <c r="CZ30" s="552"/>
      <c r="DA30" s="472"/>
      <c r="DB30" s="552">
        <f t="shared" si="14"/>
        <v>0</v>
      </c>
      <c r="DC30" s="552">
        <f t="shared" si="14"/>
        <v>0</v>
      </c>
      <c r="DD30" s="552">
        <f t="shared" si="14"/>
        <v>0</v>
      </c>
      <c r="DE30" s="552">
        <f t="shared" si="14"/>
        <v>0</v>
      </c>
      <c r="DF30" s="552">
        <f t="shared" si="14"/>
        <v>0</v>
      </c>
      <c r="DG30" s="552">
        <f t="shared" si="14"/>
        <v>0</v>
      </c>
      <c r="DH30" s="552">
        <f t="shared" si="11"/>
        <v>0</v>
      </c>
      <c r="DI30" s="554"/>
      <c r="DJ30" s="525">
        <f>IFERROR(VLOOKUP(A30,'Transp. Dre Rodovia'!$A$19:$D$29,4,FALSE),0)+IFERROR(VLOOKUP(A30,#REF!,4,FALSE),0)</f>
        <v>0</v>
      </c>
    </row>
    <row r="31" spans="1:114" ht="12.75" hidden="1" customHeight="1">
      <c r="A31" s="470">
        <v>41421</v>
      </c>
      <c r="B31" s="550" t="s">
        <v>462</v>
      </c>
      <c r="C31" s="551" t="s">
        <v>107</v>
      </c>
      <c r="D31" s="552">
        <v>0</v>
      </c>
      <c r="E31" s="552">
        <v>0</v>
      </c>
      <c r="F31" s="552">
        <v>0</v>
      </c>
      <c r="G31" s="552">
        <v>0</v>
      </c>
      <c r="H31" s="552">
        <v>0</v>
      </c>
      <c r="I31" s="552">
        <v>0</v>
      </c>
      <c r="J31" s="552">
        <v>0.26</v>
      </c>
      <c r="K31" s="552">
        <v>0.90449999999999997</v>
      </c>
      <c r="L31" s="552">
        <v>0.85649999999999993</v>
      </c>
      <c r="M31" s="552">
        <v>332</v>
      </c>
      <c r="N31" s="553">
        <v>0</v>
      </c>
      <c r="O31" s="553">
        <v>0</v>
      </c>
      <c r="P31" s="552">
        <v>0</v>
      </c>
      <c r="Q31" s="552">
        <v>0</v>
      </c>
      <c r="R31" s="552">
        <v>0</v>
      </c>
      <c r="S31" s="552">
        <v>0</v>
      </c>
      <c r="T31" s="552">
        <v>0</v>
      </c>
      <c r="U31" s="552">
        <v>0</v>
      </c>
      <c r="V31" s="552">
        <v>0</v>
      </c>
      <c r="W31" s="552">
        <v>0</v>
      </c>
      <c r="X31" s="552">
        <v>0</v>
      </c>
      <c r="Y31" s="552">
        <v>0</v>
      </c>
      <c r="Z31" s="552">
        <v>0</v>
      </c>
      <c r="AA31" s="552">
        <v>0</v>
      </c>
      <c r="AB31" s="552">
        <v>0</v>
      </c>
      <c r="AC31" s="552">
        <v>0</v>
      </c>
      <c r="AD31" s="552">
        <v>0</v>
      </c>
      <c r="AE31" s="552">
        <v>0</v>
      </c>
      <c r="AF31" s="552">
        <v>0</v>
      </c>
      <c r="AG31" s="552">
        <v>0</v>
      </c>
      <c r="AH31" s="552">
        <v>0</v>
      </c>
      <c r="AI31" s="552">
        <v>0</v>
      </c>
      <c r="AJ31" s="552">
        <v>0</v>
      </c>
      <c r="AK31" s="552">
        <v>0</v>
      </c>
      <c r="AL31" s="552">
        <v>0</v>
      </c>
      <c r="AM31" s="552">
        <v>0</v>
      </c>
      <c r="AN31" s="552">
        <v>0</v>
      </c>
      <c r="AO31" s="552">
        <v>0</v>
      </c>
      <c r="AP31" s="552">
        <v>0</v>
      </c>
      <c r="AQ31" s="552">
        <v>0</v>
      </c>
      <c r="AR31" s="554"/>
      <c r="AS31" s="555">
        <f t="shared" si="2"/>
        <v>0.26</v>
      </c>
      <c r="AT31" s="555">
        <f t="shared" si="3"/>
        <v>0</v>
      </c>
      <c r="AU31" s="556"/>
      <c r="AV31" s="553">
        <f t="shared" si="4"/>
        <v>0.23516999999999999</v>
      </c>
      <c r="AW31" s="553">
        <f t="shared" si="4"/>
        <v>0.22269</v>
      </c>
      <c r="AX31" s="553">
        <f t="shared" si="4"/>
        <v>86.320000000000007</v>
      </c>
      <c r="AY31" s="552">
        <f t="shared" si="5"/>
        <v>0</v>
      </c>
      <c r="AZ31" s="552">
        <f t="shared" si="6"/>
        <v>0</v>
      </c>
      <c r="BA31" s="552">
        <f t="shared" si="6"/>
        <v>0</v>
      </c>
      <c r="BB31" s="557"/>
      <c r="BC31" s="552">
        <v>0</v>
      </c>
      <c r="BD31" s="552">
        <v>0</v>
      </c>
      <c r="BE31" s="552">
        <v>0</v>
      </c>
      <c r="BF31" s="552">
        <v>0</v>
      </c>
      <c r="BG31" s="554" t="str">
        <f>IFERROR(VLOOKUP(#REF!,#REF!,4,FALSE),"")</f>
        <v/>
      </c>
      <c r="BH31" s="552"/>
      <c r="BI31" s="552"/>
      <c r="BJ31" s="552"/>
      <c r="BK31" s="552"/>
      <c r="BL31" s="552"/>
      <c r="BM31" s="552"/>
      <c r="BN31" s="552"/>
      <c r="BO31" s="552"/>
      <c r="BP31" s="552"/>
      <c r="BQ31" s="552"/>
      <c r="BR31" s="552"/>
      <c r="BS31" s="552"/>
      <c r="BT31" s="552"/>
      <c r="BU31" s="552"/>
      <c r="BV31" s="552"/>
      <c r="BW31" s="552"/>
      <c r="BX31" s="552"/>
      <c r="BY31" s="552"/>
      <c r="BZ31" s="552"/>
      <c r="CA31" s="552">
        <f t="shared" si="12"/>
        <v>0</v>
      </c>
      <c r="CB31" s="552">
        <f t="shared" si="12"/>
        <v>0</v>
      </c>
      <c r="CC31" s="552">
        <f t="shared" si="12"/>
        <v>0</v>
      </c>
      <c r="CD31" s="552">
        <f t="shared" si="13"/>
        <v>0</v>
      </c>
      <c r="CE31" s="552">
        <f t="shared" si="13"/>
        <v>0</v>
      </c>
      <c r="CF31" s="552">
        <f t="shared" si="13"/>
        <v>0</v>
      </c>
      <c r="CG31" s="552">
        <f t="shared" si="13"/>
        <v>0</v>
      </c>
      <c r="CH31" s="552">
        <f t="shared" si="13"/>
        <v>0</v>
      </c>
      <c r="CI31" s="552">
        <f t="shared" si="13"/>
        <v>0</v>
      </c>
      <c r="CJ31" s="552">
        <f t="shared" si="13"/>
        <v>0</v>
      </c>
      <c r="CK31" s="552">
        <f t="shared" si="13"/>
        <v>0</v>
      </c>
      <c r="CL31" s="552">
        <f t="shared" si="13"/>
        <v>0</v>
      </c>
      <c r="CM31" s="552">
        <f t="shared" si="13"/>
        <v>0</v>
      </c>
      <c r="CN31" s="552">
        <f t="shared" si="13"/>
        <v>0</v>
      </c>
      <c r="CO31" s="552">
        <f t="shared" si="13"/>
        <v>0</v>
      </c>
      <c r="CP31" s="552">
        <f t="shared" si="13"/>
        <v>0</v>
      </c>
      <c r="CQ31" s="552">
        <f t="shared" si="13"/>
        <v>0</v>
      </c>
      <c r="CR31" s="552">
        <f t="shared" si="13"/>
        <v>0</v>
      </c>
      <c r="CS31" s="552">
        <f t="shared" si="9"/>
        <v>0</v>
      </c>
      <c r="CT31" s="552"/>
      <c r="CU31" s="552"/>
      <c r="CV31" s="552"/>
      <c r="CW31" s="552"/>
      <c r="CX31" s="552"/>
      <c r="CY31" s="552"/>
      <c r="CZ31" s="552"/>
      <c r="DA31" s="472"/>
      <c r="DB31" s="552">
        <f t="shared" si="14"/>
        <v>0</v>
      </c>
      <c r="DC31" s="552">
        <f t="shared" si="14"/>
        <v>0</v>
      </c>
      <c r="DD31" s="552">
        <f t="shared" si="14"/>
        <v>0</v>
      </c>
      <c r="DE31" s="552">
        <f t="shared" si="14"/>
        <v>0</v>
      </c>
      <c r="DF31" s="552">
        <f t="shared" si="14"/>
        <v>0</v>
      </c>
      <c r="DG31" s="552">
        <f t="shared" si="14"/>
        <v>0</v>
      </c>
      <c r="DH31" s="552">
        <f t="shared" si="11"/>
        <v>0</v>
      </c>
      <c r="DI31" s="554"/>
      <c r="DJ31" s="525">
        <f>IFERROR(VLOOKUP(A31,'Transp. Dre Rodovia'!$A$19:$D$29,4,FALSE),0)+IFERROR(VLOOKUP(A31,#REF!,4,FALSE),0)</f>
        <v>0</v>
      </c>
    </row>
    <row r="32" spans="1:114" ht="12.75" hidden="1" customHeight="1">
      <c r="A32" s="470">
        <v>41422</v>
      </c>
      <c r="B32" s="550" t="s">
        <v>463</v>
      </c>
      <c r="C32" s="551" t="s">
        <v>107</v>
      </c>
      <c r="D32" s="552">
        <v>0</v>
      </c>
      <c r="E32" s="552">
        <v>0</v>
      </c>
      <c r="F32" s="552">
        <v>0</v>
      </c>
      <c r="G32" s="552">
        <v>0</v>
      </c>
      <c r="H32" s="552">
        <v>0</v>
      </c>
      <c r="I32" s="552">
        <v>0</v>
      </c>
      <c r="J32" s="552">
        <v>0.26</v>
      </c>
      <c r="K32" s="552">
        <v>0.90449999999999997</v>
      </c>
      <c r="L32" s="552">
        <v>0.85649999999999993</v>
      </c>
      <c r="M32" s="552">
        <v>332</v>
      </c>
      <c r="N32" s="553">
        <v>0</v>
      </c>
      <c r="O32" s="553">
        <v>0</v>
      </c>
      <c r="P32" s="552">
        <v>0</v>
      </c>
      <c r="Q32" s="552">
        <v>0</v>
      </c>
      <c r="R32" s="552">
        <v>0</v>
      </c>
      <c r="S32" s="552">
        <v>0</v>
      </c>
      <c r="T32" s="552">
        <v>0</v>
      </c>
      <c r="U32" s="552">
        <v>0</v>
      </c>
      <c r="V32" s="552">
        <v>0</v>
      </c>
      <c r="W32" s="552">
        <v>0</v>
      </c>
      <c r="X32" s="552">
        <v>0</v>
      </c>
      <c r="Y32" s="552">
        <v>0</v>
      </c>
      <c r="Z32" s="552">
        <v>0</v>
      </c>
      <c r="AA32" s="552">
        <v>0</v>
      </c>
      <c r="AB32" s="552">
        <v>0</v>
      </c>
      <c r="AC32" s="552">
        <v>0</v>
      </c>
      <c r="AD32" s="552">
        <v>0</v>
      </c>
      <c r="AE32" s="552">
        <v>0</v>
      </c>
      <c r="AF32" s="552">
        <v>0</v>
      </c>
      <c r="AG32" s="552">
        <v>0</v>
      </c>
      <c r="AH32" s="552">
        <v>0</v>
      </c>
      <c r="AI32" s="552">
        <v>0</v>
      </c>
      <c r="AJ32" s="552">
        <v>0</v>
      </c>
      <c r="AK32" s="552">
        <v>0</v>
      </c>
      <c r="AL32" s="552">
        <v>0</v>
      </c>
      <c r="AM32" s="552">
        <v>0</v>
      </c>
      <c r="AN32" s="552">
        <v>0</v>
      </c>
      <c r="AO32" s="552">
        <v>0</v>
      </c>
      <c r="AP32" s="552">
        <v>0</v>
      </c>
      <c r="AQ32" s="552">
        <v>0</v>
      </c>
      <c r="AR32" s="554"/>
      <c r="AS32" s="555">
        <f t="shared" si="2"/>
        <v>0.26</v>
      </c>
      <c r="AT32" s="555">
        <f t="shared" si="3"/>
        <v>0</v>
      </c>
      <c r="AU32" s="556"/>
      <c r="AV32" s="553">
        <f t="shared" si="4"/>
        <v>0.23516999999999999</v>
      </c>
      <c r="AW32" s="553">
        <f t="shared" si="4"/>
        <v>0.22269</v>
      </c>
      <c r="AX32" s="553">
        <f t="shared" si="4"/>
        <v>86.320000000000007</v>
      </c>
      <c r="AY32" s="552">
        <f t="shared" si="5"/>
        <v>0</v>
      </c>
      <c r="AZ32" s="552">
        <f t="shared" si="6"/>
        <v>0</v>
      </c>
      <c r="BA32" s="552">
        <f t="shared" si="6"/>
        <v>0</v>
      </c>
      <c r="BB32" s="557"/>
      <c r="BC32" s="552">
        <v>0</v>
      </c>
      <c r="BD32" s="552">
        <v>0</v>
      </c>
      <c r="BE32" s="552">
        <v>0</v>
      </c>
      <c r="BF32" s="552">
        <v>0</v>
      </c>
      <c r="BG32" s="554" t="str">
        <f>IFERROR(VLOOKUP(#REF!,#REF!,4,FALSE),"")</f>
        <v/>
      </c>
      <c r="BH32" s="552"/>
      <c r="BI32" s="552"/>
      <c r="BJ32" s="552"/>
      <c r="BK32" s="552"/>
      <c r="BL32" s="552"/>
      <c r="BM32" s="552"/>
      <c r="BN32" s="552"/>
      <c r="BO32" s="552"/>
      <c r="BP32" s="552"/>
      <c r="BQ32" s="552"/>
      <c r="BR32" s="552"/>
      <c r="BS32" s="552"/>
      <c r="BT32" s="552"/>
      <c r="BU32" s="552"/>
      <c r="BV32" s="552"/>
      <c r="BW32" s="552"/>
      <c r="BX32" s="552"/>
      <c r="BY32" s="552"/>
      <c r="BZ32" s="552"/>
      <c r="CA32" s="552">
        <f t="shared" si="12"/>
        <v>0</v>
      </c>
      <c r="CB32" s="552">
        <f t="shared" si="12"/>
        <v>0</v>
      </c>
      <c r="CC32" s="552">
        <f t="shared" si="12"/>
        <v>0</v>
      </c>
      <c r="CD32" s="552">
        <f t="shared" si="13"/>
        <v>0</v>
      </c>
      <c r="CE32" s="552">
        <f t="shared" si="13"/>
        <v>0</v>
      </c>
      <c r="CF32" s="552">
        <f t="shared" si="13"/>
        <v>0</v>
      </c>
      <c r="CG32" s="552">
        <f t="shared" si="13"/>
        <v>0</v>
      </c>
      <c r="CH32" s="552">
        <f t="shared" si="13"/>
        <v>0</v>
      </c>
      <c r="CI32" s="552">
        <f t="shared" si="13"/>
        <v>0</v>
      </c>
      <c r="CJ32" s="552">
        <f t="shared" si="13"/>
        <v>0</v>
      </c>
      <c r="CK32" s="552">
        <f t="shared" si="13"/>
        <v>0</v>
      </c>
      <c r="CL32" s="552">
        <f t="shared" si="13"/>
        <v>0</v>
      </c>
      <c r="CM32" s="552">
        <f t="shared" si="13"/>
        <v>0</v>
      </c>
      <c r="CN32" s="552">
        <f t="shared" si="13"/>
        <v>0</v>
      </c>
      <c r="CO32" s="552">
        <f t="shared" si="13"/>
        <v>0</v>
      </c>
      <c r="CP32" s="552">
        <f t="shared" si="13"/>
        <v>0</v>
      </c>
      <c r="CQ32" s="552">
        <f t="shared" si="13"/>
        <v>0</v>
      </c>
      <c r="CR32" s="552">
        <f t="shared" si="13"/>
        <v>0</v>
      </c>
      <c r="CS32" s="552">
        <f t="shared" si="9"/>
        <v>0</v>
      </c>
      <c r="CT32" s="552"/>
      <c r="CU32" s="552"/>
      <c r="CV32" s="552"/>
      <c r="CW32" s="552"/>
      <c r="CX32" s="552"/>
      <c r="CY32" s="552"/>
      <c r="CZ32" s="552"/>
      <c r="DA32" s="472"/>
      <c r="DB32" s="552">
        <f t="shared" si="14"/>
        <v>0</v>
      </c>
      <c r="DC32" s="552">
        <f t="shared" si="14"/>
        <v>0</v>
      </c>
      <c r="DD32" s="552">
        <f t="shared" si="14"/>
        <v>0</v>
      </c>
      <c r="DE32" s="552">
        <f t="shared" si="14"/>
        <v>0</v>
      </c>
      <c r="DF32" s="552">
        <f t="shared" si="14"/>
        <v>0</v>
      </c>
      <c r="DG32" s="552">
        <f t="shared" si="14"/>
        <v>0</v>
      </c>
      <c r="DH32" s="552">
        <f t="shared" si="11"/>
        <v>0</v>
      </c>
      <c r="DI32" s="554"/>
      <c r="DJ32" s="525">
        <f>IFERROR(VLOOKUP(A32,'Transp. Dre Rodovia'!$A$19:$D$29,4,FALSE),0)+IFERROR(VLOOKUP(A32,#REF!,4,FALSE),0)</f>
        <v>0</v>
      </c>
    </row>
    <row r="33" spans="1:114" ht="12.75" hidden="1" customHeight="1">
      <c r="A33" s="470">
        <v>41423</v>
      </c>
      <c r="B33" s="550" t="s">
        <v>464</v>
      </c>
      <c r="C33" s="551" t="s">
        <v>107</v>
      </c>
      <c r="D33" s="552">
        <v>0</v>
      </c>
      <c r="E33" s="552">
        <v>0</v>
      </c>
      <c r="F33" s="552">
        <v>0</v>
      </c>
      <c r="G33" s="552">
        <v>0</v>
      </c>
      <c r="H33" s="552">
        <v>0</v>
      </c>
      <c r="I33" s="552">
        <v>0</v>
      </c>
      <c r="J33" s="552">
        <v>0.59</v>
      </c>
      <c r="K33" s="552">
        <v>0.90449999999999997</v>
      </c>
      <c r="L33" s="552">
        <v>0.85649999999999993</v>
      </c>
      <c r="M33" s="552">
        <v>332</v>
      </c>
      <c r="N33" s="553">
        <v>0</v>
      </c>
      <c r="O33" s="553">
        <v>0</v>
      </c>
      <c r="P33" s="552">
        <v>0</v>
      </c>
      <c r="Q33" s="552">
        <v>0</v>
      </c>
      <c r="R33" s="552">
        <v>0</v>
      </c>
      <c r="S33" s="552">
        <v>0</v>
      </c>
      <c r="T33" s="552">
        <v>0</v>
      </c>
      <c r="U33" s="552">
        <v>0</v>
      </c>
      <c r="V33" s="552">
        <v>0</v>
      </c>
      <c r="W33" s="552">
        <v>0</v>
      </c>
      <c r="X33" s="552">
        <v>0</v>
      </c>
      <c r="Y33" s="552">
        <v>0</v>
      </c>
      <c r="Z33" s="552">
        <v>0</v>
      </c>
      <c r="AA33" s="552">
        <v>0</v>
      </c>
      <c r="AB33" s="552">
        <v>0</v>
      </c>
      <c r="AC33" s="552">
        <v>0</v>
      </c>
      <c r="AD33" s="552">
        <v>0</v>
      </c>
      <c r="AE33" s="552">
        <v>0</v>
      </c>
      <c r="AF33" s="552">
        <v>0</v>
      </c>
      <c r="AG33" s="552">
        <v>0</v>
      </c>
      <c r="AH33" s="552">
        <v>0</v>
      </c>
      <c r="AI33" s="552">
        <v>0</v>
      </c>
      <c r="AJ33" s="552">
        <v>0</v>
      </c>
      <c r="AK33" s="552">
        <v>0</v>
      </c>
      <c r="AL33" s="552">
        <v>0</v>
      </c>
      <c r="AM33" s="552">
        <v>0</v>
      </c>
      <c r="AN33" s="552">
        <v>0</v>
      </c>
      <c r="AO33" s="552">
        <v>0</v>
      </c>
      <c r="AP33" s="552">
        <v>0</v>
      </c>
      <c r="AQ33" s="552">
        <v>0</v>
      </c>
      <c r="AR33" s="554"/>
      <c r="AS33" s="555">
        <f t="shared" si="2"/>
        <v>0.59</v>
      </c>
      <c r="AT33" s="555">
        <f t="shared" si="3"/>
        <v>0</v>
      </c>
      <c r="AU33" s="556"/>
      <c r="AV33" s="553">
        <f t="shared" si="4"/>
        <v>0.53365499999999999</v>
      </c>
      <c r="AW33" s="553">
        <f t="shared" si="4"/>
        <v>0.50533499999999998</v>
      </c>
      <c r="AX33" s="553">
        <f t="shared" si="4"/>
        <v>195.88</v>
      </c>
      <c r="AY33" s="552">
        <f t="shared" si="5"/>
        <v>0</v>
      </c>
      <c r="AZ33" s="552">
        <f t="shared" si="6"/>
        <v>0</v>
      </c>
      <c r="BA33" s="552">
        <f t="shared" si="6"/>
        <v>0</v>
      </c>
      <c r="BB33" s="557"/>
      <c r="BC33" s="552">
        <v>0</v>
      </c>
      <c r="BD33" s="552">
        <v>0</v>
      </c>
      <c r="BE33" s="552">
        <v>0</v>
      </c>
      <c r="BF33" s="552">
        <v>0</v>
      </c>
      <c r="BG33" s="554" t="str">
        <f>IFERROR(VLOOKUP(#REF!,#REF!,4,FALSE),"")</f>
        <v/>
      </c>
      <c r="BH33" s="552"/>
      <c r="BI33" s="552"/>
      <c r="BJ33" s="552"/>
      <c r="BK33" s="552"/>
      <c r="BL33" s="552"/>
      <c r="BM33" s="552"/>
      <c r="BN33" s="552"/>
      <c r="BO33" s="552"/>
      <c r="BP33" s="552"/>
      <c r="BQ33" s="552"/>
      <c r="BR33" s="552"/>
      <c r="BS33" s="552"/>
      <c r="BT33" s="552"/>
      <c r="BU33" s="552"/>
      <c r="BV33" s="552"/>
      <c r="BW33" s="552"/>
      <c r="BX33" s="552"/>
      <c r="BY33" s="552"/>
      <c r="BZ33" s="552"/>
      <c r="CA33" s="552">
        <f t="shared" si="12"/>
        <v>0</v>
      </c>
      <c r="CB33" s="552">
        <f t="shared" si="12"/>
        <v>0</v>
      </c>
      <c r="CC33" s="552">
        <f t="shared" si="12"/>
        <v>0</v>
      </c>
      <c r="CD33" s="552">
        <f t="shared" si="13"/>
        <v>0</v>
      </c>
      <c r="CE33" s="552">
        <f t="shared" si="13"/>
        <v>0</v>
      </c>
      <c r="CF33" s="552">
        <f t="shared" si="13"/>
        <v>0</v>
      </c>
      <c r="CG33" s="552">
        <f t="shared" si="13"/>
        <v>0</v>
      </c>
      <c r="CH33" s="552">
        <f t="shared" si="13"/>
        <v>0</v>
      </c>
      <c r="CI33" s="552">
        <f t="shared" si="13"/>
        <v>0</v>
      </c>
      <c r="CJ33" s="552">
        <f t="shared" si="13"/>
        <v>0</v>
      </c>
      <c r="CK33" s="552">
        <f t="shared" si="13"/>
        <v>0</v>
      </c>
      <c r="CL33" s="552">
        <f t="shared" si="13"/>
        <v>0</v>
      </c>
      <c r="CM33" s="552">
        <f t="shared" si="13"/>
        <v>0</v>
      </c>
      <c r="CN33" s="552">
        <f t="shared" si="13"/>
        <v>0</v>
      </c>
      <c r="CO33" s="552">
        <f t="shared" si="13"/>
        <v>0</v>
      </c>
      <c r="CP33" s="552">
        <f t="shared" si="13"/>
        <v>0</v>
      </c>
      <c r="CQ33" s="552">
        <f t="shared" si="13"/>
        <v>0</v>
      </c>
      <c r="CR33" s="552">
        <f t="shared" si="13"/>
        <v>0</v>
      </c>
      <c r="CS33" s="552">
        <f t="shared" si="9"/>
        <v>0</v>
      </c>
      <c r="CT33" s="552"/>
      <c r="CU33" s="552"/>
      <c r="CV33" s="552"/>
      <c r="CW33" s="552"/>
      <c r="CX33" s="552"/>
      <c r="CY33" s="552"/>
      <c r="CZ33" s="552"/>
      <c r="DA33" s="472"/>
      <c r="DB33" s="552">
        <f t="shared" si="14"/>
        <v>0</v>
      </c>
      <c r="DC33" s="552">
        <f t="shared" si="14"/>
        <v>0</v>
      </c>
      <c r="DD33" s="552">
        <f t="shared" si="14"/>
        <v>0</v>
      </c>
      <c r="DE33" s="552">
        <f t="shared" si="14"/>
        <v>0</v>
      </c>
      <c r="DF33" s="552">
        <f t="shared" si="14"/>
        <v>0</v>
      </c>
      <c r="DG33" s="552">
        <f t="shared" si="14"/>
        <v>0</v>
      </c>
      <c r="DH33" s="552">
        <f t="shared" si="11"/>
        <v>0</v>
      </c>
      <c r="DI33" s="554"/>
      <c r="DJ33" s="525">
        <f>IFERROR(VLOOKUP(A33,'Transp. Dre Rodovia'!$A$19:$D$29,4,FALSE),0)+IFERROR(VLOOKUP(A33,#REF!,4,FALSE),0)</f>
        <v>0</v>
      </c>
    </row>
    <row r="34" spans="1:114" ht="12.75" hidden="1" customHeight="1">
      <c r="A34" s="470">
        <v>41424</v>
      </c>
      <c r="B34" s="550" t="s">
        <v>465</v>
      </c>
      <c r="C34" s="551" t="s">
        <v>107</v>
      </c>
      <c r="D34" s="552">
        <v>0</v>
      </c>
      <c r="E34" s="552">
        <v>0</v>
      </c>
      <c r="F34" s="552">
        <v>0</v>
      </c>
      <c r="G34" s="552">
        <v>0</v>
      </c>
      <c r="H34" s="552">
        <v>0</v>
      </c>
      <c r="I34" s="552">
        <v>0</v>
      </c>
      <c r="J34" s="552">
        <v>0.59</v>
      </c>
      <c r="K34" s="552">
        <v>0.90449999999999997</v>
      </c>
      <c r="L34" s="552">
        <v>0.85649999999999993</v>
      </c>
      <c r="M34" s="552">
        <v>332</v>
      </c>
      <c r="N34" s="553">
        <v>0</v>
      </c>
      <c r="O34" s="553">
        <v>0</v>
      </c>
      <c r="P34" s="552">
        <v>0</v>
      </c>
      <c r="Q34" s="552">
        <v>0</v>
      </c>
      <c r="R34" s="552">
        <v>0</v>
      </c>
      <c r="S34" s="552">
        <v>0</v>
      </c>
      <c r="T34" s="552">
        <v>0</v>
      </c>
      <c r="U34" s="552">
        <v>0</v>
      </c>
      <c r="V34" s="552">
        <v>0</v>
      </c>
      <c r="W34" s="552">
        <v>0</v>
      </c>
      <c r="X34" s="552">
        <v>0</v>
      </c>
      <c r="Y34" s="552">
        <v>0</v>
      </c>
      <c r="Z34" s="552">
        <v>0</v>
      </c>
      <c r="AA34" s="552">
        <v>0</v>
      </c>
      <c r="AB34" s="552">
        <v>0</v>
      </c>
      <c r="AC34" s="552">
        <v>0</v>
      </c>
      <c r="AD34" s="552">
        <v>0</v>
      </c>
      <c r="AE34" s="552">
        <v>0</v>
      </c>
      <c r="AF34" s="552">
        <v>0</v>
      </c>
      <c r="AG34" s="552">
        <v>0</v>
      </c>
      <c r="AH34" s="552">
        <v>0</v>
      </c>
      <c r="AI34" s="552">
        <v>0</v>
      </c>
      <c r="AJ34" s="552">
        <v>0</v>
      </c>
      <c r="AK34" s="552">
        <v>0</v>
      </c>
      <c r="AL34" s="552">
        <v>0</v>
      </c>
      <c r="AM34" s="552">
        <v>0</v>
      </c>
      <c r="AN34" s="552">
        <v>0</v>
      </c>
      <c r="AO34" s="552">
        <v>0</v>
      </c>
      <c r="AP34" s="552">
        <v>0</v>
      </c>
      <c r="AQ34" s="552">
        <v>0</v>
      </c>
      <c r="AR34" s="554"/>
      <c r="AS34" s="555">
        <f t="shared" si="2"/>
        <v>0.59</v>
      </c>
      <c r="AT34" s="555">
        <f t="shared" si="3"/>
        <v>0</v>
      </c>
      <c r="AU34" s="556"/>
      <c r="AV34" s="553">
        <f t="shared" si="4"/>
        <v>0.53365499999999999</v>
      </c>
      <c r="AW34" s="553">
        <f t="shared" si="4"/>
        <v>0.50533499999999998</v>
      </c>
      <c r="AX34" s="553">
        <f t="shared" si="4"/>
        <v>195.88</v>
      </c>
      <c r="AY34" s="552">
        <f t="shared" si="5"/>
        <v>0</v>
      </c>
      <c r="AZ34" s="552">
        <f t="shared" si="6"/>
        <v>0</v>
      </c>
      <c r="BA34" s="552">
        <f t="shared" si="6"/>
        <v>0</v>
      </c>
      <c r="BB34" s="557"/>
      <c r="BC34" s="552">
        <v>0</v>
      </c>
      <c r="BD34" s="552">
        <v>0</v>
      </c>
      <c r="BE34" s="552">
        <v>0</v>
      </c>
      <c r="BF34" s="552">
        <v>0</v>
      </c>
      <c r="BG34" s="554" t="str">
        <f>IFERROR(VLOOKUP(#REF!,#REF!,4,FALSE),"")</f>
        <v/>
      </c>
      <c r="BH34" s="552"/>
      <c r="BI34" s="552"/>
      <c r="BJ34" s="552"/>
      <c r="BK34" s="552"/>
      <c r="BL34" s="552"/>
      <c r="BM34" s="552"/>
      <c r="BN34" s="552"/>
      <c r="BO34" s="552"/>
      <c r="BP34" s="552"/>
      <c r="BQ34" s="552"/>
      <c r="BR34" s="552"/>
      <c r="BS34" s="552"/>
      <c r="BT34" s="552"/>
      <c r="BU34" s="552"/>
      <c r="BV34" s="552"/>
      <c r="BW34" s="552"/>
      <c r="BX34" s="552"/>
      <c r="BY34" s="552"/>
      <c r="BZ34" s="552"/>
      <c r="CA34" s="552">
        <f t="shared" si="12"/>
        <v>0</v>
      </c>
      <c r="CB34" s="552">
        <f t="shared" si="12"/>
        <v>0</v>
      </c>
      <c r="CC34" s="552">
        <f t="shared" si="12"/>
        <v>0</v>
      </c>
      <c r="CD34" s="552">
        <f t="shared" si="13"/>
        <v>0</v>
      </c>
      <c r="CE34" s="552">
        <f t="shared" si="13"/>
        <v>0</v>
      </c>
      <c r="CF34" s="552">
        <f t="shared" si="13"/>
        <v>0</v>
      </c>
      <c r="CG34" s="552">
        <f t="shared" si="13"/>
        <v>0</v>
      </c>
      <c r="CH34" s="552">
        <f t="shared" si="13"/>
        <v>0</v>
      </c>
      <c r="CI34" s="552">
        <f t="shared" si="13"/>
        <v>0</v>
      </c>
      <c r="CJ34" s="552">
        <f t="shared" si="13"/>
        <v>0</v>
      </c>
      <c r="CK34" s="552">
        <f t="shared" si="13"/>
        <v>0</v>
      </c>
      <c r="CL34" s="552">
        <f t="shared" si="13"/>
        <v>0</v>
      </c>
      <c r="CM34" s="552">
        <f t="shared" si="13"/>
        <v>0</v>
      </c>
      <c r="CN34" s="552">
        <f t="shared" si="13"/>
        <v>0</v>
      </c>
      <c r="CO34" s="552">
        <f t="shared" si="13"/>
        <v>0</v>
      </c>
      <c r="CP34" s="552">
        <f t="shared" si="13"/>
        <v>0</v>
      </c>
      <c r="CQ34" s="552">
        <f t="shared" si="13"/>
        <v>0</v>
      </c>
      <c r="CR34" s="552">
        <f t="shared" si="13"/>
        <v>0</v>
      </c>
      <c r="CS34" s="552">
        <f t="shared" si="9"/>
        <v>0</v>
      </c>
      <c r="CT34" s="552"/>
      <c r="CU34" s="552"/>
      <c r="CV34" s="552"/>
      <c r="CW34" s="552"/>
      <c r="CX34" s="552"/>
      <c r="CY34" s="552"/>
      <c r="CZ34" s="552"/>
      <c r="DA34" s="472"/>
      <c r="DB34" s="552">
        <f t="shared" si="14"/>
        <v>0</v>
      </c>
      <c r="DC34" s="552">
        <f t="shared" si="14"/>
        <v>0</v>
      </c>
      <c r="DD34" s="552">
        <f t="shared" si="14"/>
        <v>0</v>
      </c>
      <c r="DE34" s="552">
        <f t="shared" si="14"/>
        <v>0</v>
      </c>
      <c r="DF34" s="552">
        <f t="shared" si="14"/>
        <v>0</v>
      </c>
      <c r="DG34" s="552">
        <f t="shared" si="14"/>
        <v>0</v>
      </c>
      <c r="DH34" s="552">
        <f t="shared" si="11"/>
        <v>0</v>
      </c>
      <c r="DI34" s="554"/>
      <c r="DJ34" s="525">
        <f>IFERROR(VLOOKUP(A34,'Transp. Dre Rodovia'!$A$19:$D$29,4,FALSE),0)+IFERROR(VLOOKUP(A34,#REF!,4,FALSE),0)</f>
        <v>0</v>
      </c>
    </row>
    <row r="35" spans="1:114" ht="12.75" hidden="1" customHeight="1">
      <c r="A35" s="470">
        <v>41425</v>
      </c>
      <c r="B35" s="550" t="s">
        <v>466</v>
      </c>
      <c r="C35" s="551" t="s">
        <v>107</v>
      </c>
      <c r="D35" s="552">
        <v>0</v>
      </c>
      <c r="E35" s="552">
        <v>0</v>
      </c>
      <c r="F35" s="552">
        <v>0</v>
      </c>
      <c r="G35" s="552">
        <v>0</v>
      </c>
      <c r="H35" s="552">
        <v>0</v>
      </c>
      <c r="I35" s="552">
        <v>0</v>
      </c>
      <c r="J35" s="552">
        <v>0.82</v>
      </c>
      <c r="K35" s="552">
        <v>0.90449999999999997</v>
      </c>
      <c r="L35" s="552">
        <v>0.85649999999999993</v>
      </c>
      <c r="M35" s="552">
        <v>332</v>
      </c>
      <c r="N35" s="553">
        <v>0</v>
      </c>
      <c r="O35" s="553">
        <v>0</v>
      </c>
      <c r="P35" s="552">
        <v>0</v>
      </c>
      <c r="Q35" s="552">
        <v>0</v>
      </c>
      <c r="R35" s="552">
        <v>0</v>
      </c>
      <c r="S35" s="552">
        <v>0</v>
      </c>
      <c r="T35" s="552">
        <v>0</v>
      </c>
      <c r="U35" s="552">
        <v>0</v>
      </c>
      <c r="V35" s="552">
        <v>0</v>
      </c>
      <c r="W35" s="552">
        <v>0</v>
      </c>
      <c r="X35" s="552">
        <v>0</v>
      </c>
      <c r="Y35" s="552">
        <v>0</v>
      </c>
      <c r="Z35" s="552">
        <v>0</v>
      </c>
      <c r="AA35" s="552">
        <v>0</v>
      </c>
      <c r="AB35" s="552">
        <v>0</v>
      </c>
      <c r="AC35" s="552">
        <v>0</v>
      </c>
      <c r="AD35" s="552">
        <v>0</v>
      </c>
      <c r="AE35" s="552">
        <v>0</v>
      </c>
      <c r="AF35" s="552">
        <v>0</v>
      </c>
      <c r="AG35" s="552">
        <v>0</v>
      </c>
      <c r="AH35" s="552">
        <v>0</v>
      </c>
      <c r="AI35" s="552">
        <v>0</v>
      </c>
      <c r="AJ35" s="552">
        <v>0</v>
      </c>
      <c r="AK35" s="552">
        <v>0</v>
      </c>
      <c r="AL35" s="552">
        <v>0</v>
      </c>
      <c r="AM35" s="552">
        <v>0</v>
      </c>
      <c r="AN35" s="552">
        <v>0</v>
      </c>
      <c r="AO35" s="552">
        <v>0</v>
      </c>
      <c r="AP35" s="552">
        <v>0</v>
      </c>
      <c r="AQ35" s="552">
        <v>0</v>
      </c>
      <c r="AR35" s="554"/>
      <c r="AS35" s="555">
        <f t="shared" si="2"/>
        <v>0.82</v>
      </c>
      <c r="AT35" s="555">
        <f t="shared" si="3"/>
        <v>0</v>
      </c>
      <c r="AU35" s="556"/>
      <c r="AV35" s="553">
        <f t="shared" si="4"/>
        <v>0.74168999999999996</v>
      </c>
      <c r="AW35" s="553">
        <f t="shared" si="4"/>
        <v>0.7023299999999999</v>
      </c>
      <c r="AX35" s="553">
        <f t="shared" si="4"/>
        <v>272.24</v>
      </c>
      <c r="AY35" s="552">
        <f t="shared" si="5"/>
        <v>0</v>
      </c>
      <c r="AZ35" s="552">
        <f t="shared" si="6"/>
        <v>0</v>
      </c>
      <c r="BA35" s="552">
        <f t="shared" si="6"/>
        <v>0</v>
      </c>
      <c r="BB35" s="557"/>
      <c r="BC35" s="552">
        <v>0</v>
      </c>
      <c r="BD35" s="552">
        <v>0</v>
      </c>
      <c r="BE35" s="552">
        <v>0</v>
      </c>
      <c r="BF35" s="552">
        <v>0</v>
      </c>
      <c r="BG35" s="554" t="str">
        <f>IFERROR(VLOOKUP(#REF!,#REF!,4,FALSE),"")</f>
        <v/>
      </c>
      <c r="BH35" s="552"/>
      <c r="BI35" s="552"/>
      <c r="BJ35" s="552"/>
      <c r="BK35" s="552"/>
      <c r="BL35" s="552"/>
      <c r="BM35" s="552"/>
      <c r="BN35" s="552"/>
      <c r="BO35" s="552"/>
      <c r="BP35" s="552"/>
      <c r="BQ35" s="552"/>
      <c r="BR35" s="552"/>
      <c r="BS35" s="552"/>
      <c r="BT35" s="552"/>
      <c r="BU35" s="552"/>
      <c r="BV35" s="552"/>
      <c r="BW35" s="552"/>
      <c r="BX35" s="552"/>
      <c r="BY35" s="552"/>
      <c r="BZ35" s="552"/>
      <c r="CA35" s="552">
        <f t="shared" si="12"/>
        <v>0</v>
      </c>
      <c r="CB35" s="552">
        <f t="shared" si="12"/>
        <v>0</v>
      </c>
      <c r="CC35" s="552">
        <f t="shared" si="12"/>
        <v>0</v>
      </c>
      <c r="CD35" s="552">
        <f t="shared" si="13"/>
        <v>0</v>
      </c>
      <c r="CE35" s="552">
        <f t="shared" si="13"/>
        <v>0</v>
      </c>
      <c r="CF35" s="552">
        <f t="shared" si="13"/>
        <v>0</v>
      </c>
      <c r="CG35" s="552">
        <f t="shared" si="13"/>
        <v>0</v>
      </c>
      <c r="CH35" s="552">
        <f t="shared" si="13"/>
        <v>0</v>
      </c>
      <c r="CI35" s="552">
        <f t="shared" si="13"/>
        <v>0</v>
      </c>
      <c r="CJ35" s="552">
        <f t="shared" si="13"/>
        <v>0</v>
      </c>
      <c r="CK35" s="552">
        <f t="shared" si="13"/>
        <v>0</v>
      </c>
      <c r="CL35" s="552">
        <f t="shared" si="13"/>
        <v>0</v>
      </c>
      <c r="CM35" s="552">
        <f t="shared" si="13"/>
        <v>0</v>
      </c>
      <c r="CN35" s="552">
        <f t="shared" si="13"/>
        <v>0</v>
      </c>
      <c r="CO35" s="552">
        <f t="shared" si="13"/>
        <v>0</v>
      </c>
      <c r="CP35" s="552">
        <f t="shared" si="13"/>
        <v>0</v>
      </c>
      <c r="CQ35" s="552">
        <f t="shared" si="13"/>
        <v>0</v>
      </c>
      <c r="CR35" s="552">
        <f t="shared" si="13"/>
        <v>0</v>
      </c>
      <c r="CS35" s="552">
        <f t="shared" si="9"/>
        <v>0</v>
      </c>
      <c r="CT35" s="552"/>
      <c r="CU35" s="552"/>
      <c r="CV35" s="552"/>
      <c r="CW35" s="552"/>
      <c r="CX35" s="552"/>
      <c r="CY35" s="552"/>
      <c r="CZ35" s="552"/>
      <c r="DA35" s="472"/>
      <c r="DB35" s="552">
        <f t="shared" si="14"/>
        <v>0</v>
      </c>
      <c r="DC35" s="552">
        <f t="shared" si="14"/>
        <v>0</v>
      </c>
      <c r="DD35" s="552">
        <f t="shared" si="14"/>
        <v>0</v>
      </c>
      <c r="DE35" s="552">
        <f t="shared" si="14"/>
        <v>0</v>
      </c>
      <c r="DF35" s="552">
        <f t="shared" si="14"/>
        <v>0</v>
      </c>
      <c r="DG35" s="552">
        <f t="shared" si="14"/>
        <v>0</v>
      </c>
      <c r="DH35" s="552">
        <f t="shared" si="11"/>
        <v>0</v>
      </c>
      <c r="DI35" s="554"/>
      <c r="DJ35" s="525">
        <f>IFERROR(VLOOKUP(A35,'Transp. Dre Rodovia'!$A$19:$D$29,4,FALSE),0)+IFERROR(VLOOKUP(A35,#REF!,4,FALSE),0)</f>
        <v>0</v>
      </c>
    </row>
    <row r="36" spans="1:114" ht="12.75" hidden="1" customHeight="1">
      <c r="A36" s="470">
        <v>41426</v>
      </c>
      <c r="B36" s="550" t="s">
        <v>467</v>
      </c>
      <c r="C36" s="551" t="s">
        <v>107</v>
      </c>
      <c r="D36" s="552">
        <v>0</v>
      </c>
      <c r="E36" s="552">
        <v>0</v>
      </c>
      <c r="F36" s="552">
        <v>0</v>
      </c>
      <c r="G36" s="552">
        <v>0</v>
      </c>
      <c r="H36" s="552">
        <v>0</v>
      </c>
      <c r="I36" s="552">
        <v>0</v>
      </c>
      <c r="J36" s="552">
        <v>0.82</v>
      </c>
      <c r="K36" s="552">
        <v>0.90449999999999997</v>
      </c>
      <c r="L36" s="552">
        <v>0.85649999999999993</v>
      </c>
      <c r="M36" s="552">
        <v>332</v>
      </c>
      <c r="N36" s="553">
        <v>0</v>
      </c>
      <c r="O36" s="553">
        <v>0</v>
      </c>
      <c r="P36" s="552">
        <v>0</v>
      </c>
      <c r="Q36" s="552">
        <v>0</v>
      </c>
      <c r="R36" s="552">
        <v>0</v>
      </c>
      <c r="S36" s="552">
        <v>0</v>
      </c>
      <c r="T36" s="552">
        <v>0</v>
      </c>
      <c r="U36" s="552">
        <v>0</v>
      </c>
      <c r="V36" s="552">
        <v>0</v>
      </c>
      <c r="W36" s="552">
        <v>0</v>
      </c>
      <c r="X36" s="552">
        <v>0</v>
      </c>
      <c r="Y36" s="552">
        <v>0</v>
      </c>
      <c r="Z36" s="552">
        <v>0</v>
      </c>
      <c r="AA36" s="552">
        <v>0</v>
      </c>
      <c r="AB36" s="552">
        <v>0</v>
      </c>
      <c r="AC36" s="552">
        <v>0</v>
      </c>
      <c r="AD36" s="552">
        <v>0</v>
      </c>
      <c r="AE36" s="552">
        <v>0</v>
      </c>
      <c r="AF36" s="552">
        <v>0</v>
      </c>
      <c r="AG36" s="552">
        <v>0</v>
      </c>
      <c r="AH36" s="552">
        <v>0</v>
      </c>
      <c r="AI36" s="552">
        <v>0</v>
      </c>
      <c r="AJ36" s="552">
        <v>0</v>
      </c>
      <c r="AK36" s="552">
        <v>0</v>
      </c>
      <c r="AL36" s="552">
        <v>0</v>
      </c>
      <c r="AM36" s="552">
        <v>0</v>
      </c>
      <c r="AN36" s="552">
        <v>0</v>
      </c>
      <c r="AO36" s="552">
        <v>0</v>
      </c>
      <c r="AP36" s="552">
        <v>0</v>
      </c>
      <c r="AQ36" s="552">
        <v>0</v>
      </c>
      <c r="AR36" s="554"/>
      <c r="AS36" s="555">
        <f t="shared" si="2"/>
        <v>0.82</v>
      </c>
      <c r="AT36" s="555">
        <f t="shared" si="3"/>
        <v>0</v>
      </c>
      <c r="AU36" s="556"/>
      <c r="AV36" s="553">
        <f t="shared" si="4"/>
        <v>0.74168999999999996</v>
      </c>
      <c r="AW36" s="553">
        <f t="shared" si="4"/>
        <v>0.7023299999999999</v>
      </c>
      <c r="AX36" s="553">
        <f t="shared" si="4"/>
        <v>272.24</v>
      </c>
      <c r="AY36" s="552">
        <f t="shared" si="5"/>
        <v>0</v>
      </c>
      <c r="AZ36" s="552">
        <f t="shared" si="6"/>
        <v>0</v>
      </c>
      <c r="BA36" s="552">
        <f t="shared" si="6"/>
        <v>0</v>
      </c>
      <c r="BB36" s="557"/>
      <c r="BC36" s="552">
        <v>0</v>
      </c>
      <c r="BD36" s="552">
        <v>0</v>
      </c>
      <c r="BE36" s="552">
        <v>0</v>
      </c>
      <c r="BF36" s="552">
        <v>0</v>
      </c>
      <c r="BG36" s="554" t="str">
        <f>IFERROR(VLOOKUP(#REF!,#REF!,4,FALSE),"")</f>
        <v/>
      </c>
      <c r="BH36" s="552"/>
      <c r="BI36" s="552"/>
      <c r="BJ36" s="552"/>
      <c r="BK36" s="552"/>
      <c r="BL36" s="552"/>
      <c r="BM36" s="552"/>
      <c r="BN36" s="552"/>
      <c r="BO36" s="552"/>
      <c r="BP36" s="552"/>
      <c r="BQ36" s="552"/>
      <c r="BR36" s="552"/>
      <c r="BS36" s="552"/>
      <c r="BT36" s="552"/>
      <c r="BU36" s="552"/>
      <c r="BV36" s="552"/>
      <c r="BW36" s="552"/>
      <c r="BX36" s="552"/>
      <c r="BY36" s="552"/>
      <c r="BZ36" s="552"/>
      <c r="CA36" s="552">
        <f t="shared" si="12"/>
        <v>0</v>
      </c>
      <c r="CB36" s="552">
        <f t="shared" si="12"/>
        <v>0</v>
      </c>
      <c r="CC36" s="552">
        <f t="shared" si="12"/>
        <v>0</v>
      </c>
      <c r="CD36" s="552">
        <f t="shared" si="13"/>
        <v>0</v>
      </c>
      <c r="CE36" s="552">
        <f t="shared" si="13"/>
        <v>0</v>
      </c>
      <c r="CF36" s="552">
        <f t="shared" si="13"/>
        <v>0</v>
      </c>
      <c r="CG36" s="552">
        <f t="shared" si="13"/>
        <v>0</v>
      </c>
      <c r="CH36" s="552">
        <f t="shared" si="13"/>
        <v>0</v>
      </c>
      <c r="CI36" s="552">
        <f t="shared" si="13"/>
        <v>0</v>
      </c>
      <c r="CJ36" s="552">
        <f t="shared" si="13"/>
        <v>0</v>
      </c>
      <c r="CK36" s="552">
        <f t="shared" si="13"/>
        <v>0</v>
      </c>
      <c r="CL36" s="552">
        <f t="shared" si="13"/>
        <v>0</v>
      </c>
      <c r="CM36" s="552">
        <f t="shared" si="13"/>
        <v>0</v>
      </c>
      <c r="CN36" s="552">
        <f t="shared" si="13"/>
        <v>0</v>
      </c>
      <c r="CO36" s="552">
        <f t="shared" si="13"/>
        <v>0</v>
      </c>
      <c r="CP36" s="552">
        <f t="shared" si="13"/>
        <v>0</v>
      </c>
      <c r="CQ36" s="552">
        <f t="shared" si="13"/>
        <v>0</v>
      </c>
      <c r="CR36" s="552">
        <f t="shared" si="13"/>
        <v>0</v>
      </c>
      <c r="CS36" s="552">
        <f t="shared" si="9"/>
        <v>0</v>
      </c>
      <c r="CT36" s="552"/>
      <c r="CU36" s="552"/>
      <c r="CV36" s="552"/>
      <c r="CW36" s="552"/>
      <c r="CX36" s="552"/>
      <c r="CY36" s="552"/>
      <c r="CZ36" s="552"/>
      <c r="DA36" s="472"/>
      <c r="DB36" s="552">
        <f t="shared" si="14"/>
        <v>0</v>
      </c>
      <c r="DC36" s="552">
        <f t="shared" si="14"/>
        <v>0</v>
      </c>
      <c r="DD36" s="552">
        <f t="shared" si="14"/>
        <v>0</v>
      </c>
      <c r="DE36" s="552">
        <f t="shared" si="14"/>
        <v>0</v>
      </c>
      <c r="DF36" s="552">
        <f t="shared" si="14"/>
        <v>0</v>
      </c>
      <c r="DG36" s="552">
        <f t="shared" si="14"/>
        <v>0</v>
      </c>
      <c r="DH36" s="552">
        <f t="shared" si="11"/>
        <v>0</v>
      </c>
      <c r="DI36" s="554"/>
      <c r="DJ36" s="525">
        <f>IFERROR(VLOOKUP(A36,'Transp. Dre Rodovia'!$A$19:$D$29,4,FALSE),0)+IFERROR(VLOOKUP(A36,#REF!,4,FALSE),0)</f>
        <v>0</v>
      </c>
    </row>
    <row r="37" spans="1:114" ht="12.75" hidden="1" customHeight="1">
      <c r="A37" s="470">
        <v>41427</v>
      </c>
      <c r="B37" s="550" t="s">
        <v>468</v>
      </c>
      <c r="C37" s="551" t="s">
        <v>107</v>
      </c>
      <c r="D37" s="552">
        <v>0</v>
      </c>
      <c r="E37" s="552">
        <v>0</v>
      </c>
      <c r="F37" s="552">
        <v>0</v>
      </c>
      <c r="G37" s="552">
        <v>0</v>
      </c>
      <c r="H37" s="552">
        <v>0</v>
      </c>
      <c r="I37" s="552">
        <v>0</v>
      </c>
      <c r="J37" s="552">
        <v>1.07</v>
      </c>
      <c r="K37" s="552">
        <v>0.90449999999999997</v>
      </c>
      <c r="L37" s="552">
        <v>0.85649999999999993</v>
      </c>
      <c r="M37" s="552">
        <v>332</v>
      </c>
      <c r="N37" s="553">
        <v>0</v>
      </c>
      <c r="O37" s="553">
        <v>0</v>
      </c>
      <c r="P37" s="552">
        <v>0</v>
      </c>
      <c r="Q37" s="552">
        <v>0</v>
      </c>
      <c r="R37" s="552">
        <v>0</v>
      </c>
      <c r="S37" s="552">
        <v>0</v>
      </c>
      <c r="T37" s="552">
        <v>0</v>
      </c>
      <c r="U37" s="552">
        <v>0</v>
      </c>
      <c r="V37" s="552">
        <v>0</v>
      </c>
      <c r="W37" s="552">
        <v>0</v>
      </c>
      <c r="X37" s="552">
        <v>0</v>
      </c>
      <c r="Y37" s="552">
        <v>0</v>
      </c>
      <c r="Z37" s="552">
        <v>0</v>
      </c>
      <c r="AA37" s="552">
        <v>0</v>
      </c>
      <c r="AB37" s="552">
        <v>0</v>
      </c>
      <c r="AC37" s="552">
        <v>0</v>
      </c>
      <c r="AD37" s="552">
        <v>0</v>
      </c>
      <c r="AE37" s="552">
        <v>0</v>
      </c>
      <c r="AF37" s="552">
        <v>0</v>
      </c>
      <c r="AG37" s="552">
        <v>0</v>
      </c>
      <c r="AH37" s="552">
        <v>0</v>
      </c>
      <c r="AI37" s="552">
        <v>0</v>
      </c>
      <c r="AJ37" s="552">
        <v>0</v>
      </c>
      <c r="AK37" s="552">
        <v>0</v>
      </c>
      <c r="AL37" s="552">
        <v>0</v>
      </c>
      <c r="AM37" s="552">
        <v>0</v>
      </c>
      <c r="AN37" s="552">
        <v>0</v>
      </c>
      <c r="AO37" s="552">
        <v>0</v>
      </c>
      <c r="AP37" s="552">
        <v>0</v>
      </c>
      <c r="AQ37" s="552">
        <v>0</v>
      </c>
      <c r="AR37" s="554"/>
      <c r="AS37" s="555">
        <f t="shared" si="2"/>
        <v>1.07</v>
      </c>
      <c r="AT37" s="555">
        <f t="shared" si="3"/>
        <v>0</v>
      </c>
      <c r="AU37" s="556"/>
      <c r="AV37" s="553">
        <f t="shared" si="4"/>
        <v>0.96781499999999998</v>
      </c>
      <c r="AW37" s="553">
        <f t="shared" si="4"/>
        <v>0.91645500000000002</v>
      </c>
      <c r="AX37" s="553">
        <f t="shared" si="4"/>
        <v>355.24</v>
      </c>
      <c r="AY37" s="552">
        <f t="shared" si="5"/>
        <v>0</v>
      </c>
      <c r="AZ37" s="552">
        <f t="shared" si="6"/>
        <v>0</v>
      </c>
      <c r="BA37" s="552">
        <f t="shared" si="6"/>
        <v>0</v>
      </c>
      <c r="BB37" s="557"/>
      <c r="BC37" s="552">
        <v>0</v>
      </c>
      <c r="BD37" s="552">
        <v>0</v>
      </c>
      <c r="BE37" s="552">
        <v>0</v>
      </c>
      <c r="BF37" s="552">
        <v>0</v>
      </c>
      <c r="BG37" s="554" t="str">
        <f>IFERROR(VLOOKUP(#REF!,#REF!,4,FALSE),"")</f>
        <v/>
      </c>
      <c r="BH37" s="552"/>
      <c r="BI37" s="552"/>
      <c r="BJ37" s="552"/>
      <c r="BK37" s="552"/>
      <c r="BL37" s="552"/>
      <c r="BM37" s="552"/>
      <c r="BN37" s="552"/>
      <c r="BO37" s="552"/>
      <c r="BP37" s="552"/>
      <c r="BQ37" s="552"/>
      <c r="BR37" s="552"/>
      <c r="BS37" s="552"/>
      <c r="BT37" s="552"/>
      <c r="BU37" s="552"/>
      <c r="BV37" s="552"/>
      <c r="BW37" s="552"/>
      <c r="BX37" s="552"/>
      <c r="BY37" s="552"/>
      <c r="BZ37" s="552"/>
      <c r="CA37" s="552">
        <f t="shared" si="12"/>
        <v>0</v>
      </c>
      <c r="CB37" s="552">
        <f t="shared" si="12"/>
        <v>0</v>
      </c>
      <c r="CC37" s="552">
        <f t="shared" si="12"/>
        <v>0</v>
      </c>
      <c r="CD37" s="552">
        <f t="shared" si="12"/>
        <v>0</v>
      </c>
      <c r="CE37" s="552">
        <f t="shared" si="12"/>
        <v>0</v>
      </c>
      <c r="CF37" s="552">
        <f t="shared" si="12"/>
        <v>0</v>
      </c>
      <c r="CG37" s="552">
        <f t="shared" si="12"/>
        <v>0</v>
      </c>
      <c r="CH37" s="552">
        <f t="shared" si="12"/>
        <v>0</v>
      </c>
      <c r="CI37" s="552">
        <f t="shared" si="12"/>
        <v>0</v>
      </c>
      <c r="CJ37" s="552">
        <f t="shared" si="12"/>
        <v>0</v>
      </c>
      <c r="CK37" s="552">
        <f t="shared" si="12"/>
        <v>0</v>
      </c>
      <c r="CL37" s="552">
        <f t="shared" si="12"/>
        <v>0</v>
      </c>
      <c r="CM37" s="552">
        <f t="shared" si="12"/>
        <v>0</v>
      </c>
      <c r="CN37" s="552">
        <f t="shared" si="12"/>
        <v>0</v>
      </c>
      <c r="CO37" s="552">
        <f t="shared" si="12"/>
        <v>0</v>
      </c>
      <c r="CP37" s="552">
        <f t="shared" si="12"/>
        <v>0</v>
      </c>
      <c r="CQ37" s="552">
        <f t="shared" si="13"/>
        <v>0</v>
      </c>
      <c r="CR37" s="552">
        <f t="shared" si="13"/>
        <v>0</v>
      </c>
      <c r="CS37" s="552">
        <f t="shared" si="9"/>
        <v>0</v>
      </c>
      <c r="CT37" s="552"/>
      <c r="CU37" s="552"/>
      <c r="CV37" s="552"/>
      <c r="CW37" s="552"/>
      <c r="CX37" s="552"/>
      <c r="CY37" s="552"/>
      <c r="CZ37" s="552"/>
      <c r="DA37" s="472"/>
      <c r="DB37" s="552">
        <f t="shared" si="14"/>
        <v>0</v>
      </c>
      <c r="DC37" s="552">
        <f t="shared" si="14"/>
        <v>0</v>
      </c>
      <c r="DD37" s="552">
        <f t="shared" si="14"/>
        <v>0</v>
      </c>
      <c r="DE37" s="552">
        <f t="shared" si="14"/>
        <v>0</v>
      </c>
      <c r="DF37" s="552">
        <f t="shared" si="14"/>
        <v>0</v>
      </c>
      <c r="DG37" s="552">
        <f t="shared" si="14"/>
        <v>0</v>
      </c>
      <c r="DH37" s="552">
        <f t="shared" si="11"/>
        <v>0</v>
      </c>
      <c r="DI37" s="554"/>
      <c r="DJ37" s="525">
        <f>IFERROR(VLOOKUP(A37,'Transp. Dre Rodovia'!$A$19:$D$29,4,FALSE),0)+IFERROR(VLOOKUP(A37,#REF!,4,FALSE),0)</f>
        <v>0</v>
      </c>
    </row>
    <row r="38" spans="1:114" ht="12.75" hidden="1" customHeight="1">
      <c r="A38" s="470">
        <v>41428</v>
      </c>
      <c r="B38" s="550" t="s">
        <v>469</v>
      </c>
      <c r="C38" s="551" t="s">
        <v>107</v>
      </c>
      <c r="D38" s="552">
        <v>0</v>
      </c>
      <c r="E38" s="552">
        <v>0</v>
      </c>
      <c r="F38" s="552">
        <v>0</v>
      </c>
      <c r="G38" s="552">
        <v>0</v>
      </c>
      <c r="H38" s="552">
        <v>0</v>
      </c>
      <c r="I38" s="552">
        <v>0</v>
      </c>
      <c r="J38" s="552">
        <v>1.07</v>
      </c>
      <c r="K38" s="552">
        <v>0.90449999999999997</v>
      </c>
      <c r="L38" s="552">
        <v>0.85649999999999993</v>
      </c>
      <c r="M38" s="552">
        <v>332</v>
      </c>
      <c r="N38" s="553">
        <v>0</v>
      </c>
      <c r="O38" s="553">
        <v>0</v>
      </c>
      <c r="P38" s="552">
        <v>0</v>
      </c>
      <c r="Q38" s="552">
        <v>0</v>
      </c>
      <c r="R38" s="552">
        <v>0</v>
      </c>
      <c r="S38" s="552">
        <v>0</v>
      </c>
      <c r="T38" s="552">
        <v>0</v>
      </c>
      <c r="U38" s="552">
        <v>0</v>
      </c>
      <c r="V38" s="552">
        <v>0</v>
      </c>
      <c r="W38" s="552">
        <v>0</v>
      </c>
      <c r="X38" s="552">
        <v>0</v>
      </c>
      <c r="Y38" s="552">
        <v>0</v>
      </c>
      <c r="Z38" s="552">
        <v>0</v>
      </c>
      <c r="AA38" s="552">
        <v>0</v>
      </c>
      <c r="AB38" s="552">
        <v>0</v>
      </c>
      <c r="AC38" s="552">
        <v>0</v>
      </c>
      <c r="AD38" s="552">
        <v>0</v>
      </c>
      <c r="AE38" s="552">
        <v>0</v>
      </c>
      <c r="AF38" s="552">
        <v>0</v>
      </c>
      <c r="AG38" s="552">
        <v>0</v>
      </c>
      <c r="AH38" s="552">
        <v>0</v>
      </c>
      <c r="AI38" s="552">
        <v>0</v>
      </c>
      <c r="AJ38" s="552">
        <v>0</v>
      </c>
      <c r="AK38" s="552">
        <v>0</v>
      </c>
      <c r="AL38" s="552">
        <v>0</v>
      </c>
      <c r="AM38" s="552">
        <v>0</v>
      </c>
      <c r="AN38" s="552">
        <v>0</v>
      </c>
      <c r="AO38" s="552">
        <v>0</v>
      </c>
      <c r="AP38" s="552">
        <v>0</v>
      </c>
      <c r="AQ38" s="552">
        <v>0</v>
      </c>
      <c r="AR38" s="554"/>
      <c r="AS38" s="555">
        <f t="shared" si="2"/>
        <v>1.07</v>
      </c>
      <c r="AT38" s="555">
        <f t="shared" si="3"/>
        <v>0</v>
      </c>
      <c r="AU38" s="556"/>
      <c r="AV38" s="553">
        <f t="shared" ref="AV38:AX69" si="15">$J38*K38+IF($N38=0,$P38,$N38*$P38*Q38)+$T38*U38+$X38*Y38+$AB38*AC38+IF($D38=0,$F38*G38,$D38*$F38*G38)+$CI38*$CK38*CL38</f>
        <v>0.96781499999999998</v>
      </c>
      <c r="AW38" s="553">
        <f t="shared" si="15"/>
        <v>0.91645500000000002</v>
      </c>
      <c r="AX38" s="553">
        <f t="shared" si="15"/>
        <v>355.24</v>
      </c>
      <c r="AY38" s="552">
        <f t="shared" si="5"/>
        <v>0</v>
      </c>
      <c r="AZ38" s="552">
        <f t="shared" ref="AZ38:BA69" si="16">IF($AF38=0,$AH38*AI38+$AK38*AL38,$AF38*$AH38*AI38+$AK38*AL38)</f>
        <v>0</v>
      </c>
      <c r="BA38" s="552">
        <f t="shared" si="16"/>
        <v>0</v>
      </c>
      <c r="BB38" s="557"/>
      <c r="BC38" s="552">
        <v>0</v>
      </c>
      <c r="BD38" s="552">
        <v>0</v>
      </c>
      <c r="BE38" s="552">
        <v>0</v>
      </c>
      <c r="BF38" s="552">
        <v>0</v>
      </c>
      <c r="BG38" s="554" t="str">
        <f>IFERROR(VLOOKUP(#REF!,#REF!,4,FALSE),"")</f>
        <v/>
      </c>
      <c r="BH38" s="552"/>
      <c r="BI38" s="552"/>
      <c r="BJ38" s="552"/>
      <c r="BK38" s="552"/>
      <c r="BL38" s="552"/>
      <c r="BM38" s="552"/>
      <c r="BN38" s="552"/>
      <c r="BO38" s="552"/>
      <c r="BP38" s="552"/>
      <c r="BQ38" s="552"/>
      <c r="BR38" s="552"/>
      <c r="BS38" s="552"/>
      <c r="BT38" s="552"/>
      <c r="BU38" s="552"/>
      <c r="BV38" s="552"/>
      <c r="BW38" s="552"/>
      <c r="BX38" s="552"/>
      <c r="BY38" s="552"/>
      <c r="BZ38" s="552"/>
      <c r="CA38" s="552">
        <f t="shared" si="12"/>
        <v>0</v>
      </c>
      <c r="CB38" s="552">
        <f t="shared" si="12"/>
        <v>0</v>
      </c>
      <c r="CC38" s="552">
        <f t="shared" si="12"/>
        <v>0</v>
      </c>
      <c r="CD38" s="552">
        <f t="shared" si="12"/>
        <v>0</v>
      </c>
      <c r="CE38" s="552">
        <f t="shared" si="12"/>
        <v>0</v>
      </c>
      <c r="CF38" s="552">
        <f t="shared" si="12"/>
        <v>0</v>
      </c>
      <c r="CG38" s="552">
        <f t="shared" si="12"/>
        <v>0</v>
      </c>
      <c r="CH38" s="552">
        <f t="shared" si="12"/>
        <v>0</v>
      </c>
      <c r="CI38" s="552">
        <f t="shared" si="12"/>
        <v>0</v>
      </c>
      <c r="CJ38" s="552">
        <f t="shared" si="12"/>
        <v>0</v>
      </c>
      <c r="CK38" s="552">
        <f t="shared" si="12"/>
        <v>0</v>
      </c>
      <c r="CL38" s="552">
        <f t="shared" si="12"/>
        <v>0</v>
      </c>
      <c r="CM38" s="552">
        <f t="shared" si="12"/>
        <v>0</v>
      </c>
      <c r="CN38" s="552">
        <f t="shared" si="12"/>
        <v>0</v>
      </c>
      <c r="CO38" s="552">
        <f t="shared" si="12"/>
        <v>0</v>
      </c>
      <c r="CP38" s="552">
        <f t="shared" si="12"/>
        <v>0</v>
      </c>
      <c r="CQ38" s="552">
        <f t="shared" si="13"/>
        <v>0</v>
      </c>
      <c r="CR38" s="552">
        <f t="shared" si="13"/>
        <v>0</v>
      </c>
      <c r="CS38" s="552">
        <f t="shared" si="9"/>
        <v>0</v>
      </c>
      <c r="CT38" s="552"/>
      <c r="CU38" s="552"/>
      <c r="CV38" s="552"/>
      <c r="CW38" s="552"/>
      <c r="CX38" s="552"/>
      <c r="CY38" s="552"/>
      <c r="CZ38" s="552"/>
      <c r="DA38" s="472"/>
      <c r="DB38" s="552">
        <f t="shared" si="14"/>
        <v>0</v>
      </c>
      <c r="DC38" s="552">
        <f t="shared" si="14"/>
        <v>0</v>
      </c>
      <c r="DD38" s="552">
        <f t="shared" si="14"/>
        <v>0</v>
      </c>
      <c r="DE38" s="552">
        <f t="shared" si="14"/>
        <v>0</v>
      </c>
      <c r="DF38" s="552">
        <f t="shared" si="14"/>
        <v>0</v>
      </c>
      <c r="DG38" s="552">
        <f t="shared" si="14"/>
        <v>0</v>
      </c>
      <c r="DH38" s="552">
        <f t="shared" si="11"/>
        <v>0</v>
      </c>
      <c r="DI38" s="554"/>
      <c r="DJ38" s="525">
        <f>IFERROR(VLOOKUP(A38,'Transp. Dre Rodovia'!$A$19:$D$29,4,FALSE),0)+IFERROR(VLOOKUP(A38,#REF!,4,FALSE),0)</f>
        <v>0</v>
      </c>
    </row>
    <row r="39" spans="1:114" ht="12.75" hidden="1" customHeight="1">
      <c r="A39" s="470">
        <v>41429</v>
      </c>
      <c r="B39" s="550" t="s">
        <v>470</v>
      </c>
      <c r="C39" s="551" t="s">
        <v>107</v>
      </c>
      <c r="D39" s="552">
        <v>0</v>
      </c>
      <c r="E39" s="552">
        <v>0</v>
      </c>
      <c r="F39" s="552">
        <v>0</v>
      </c>
      <c r="G39" s="552">
        <v>0</v>
      </c>
      <c r="H39" s="552">
        <v>0</v>
      </c>
      <c r="I39" s="552">
        <v>0</v>
      </c>
      <c r="J39" s="552">
        <v>1.34</v>
      </c>
      <c r="K39" s="552">
        <v>0.90449999999999997</v>
      </c>
      <c r="L39" s="552">
        <v>0.85649999999999993</v>
      </c>
      <c r="M39" s="552">
        <v>332</v>
      </c>
      <c r="N39" s="553">
        <v>0</v>
      </c>
      <c r="O39" s="553">
        <v>0</v>
      </c>
      <c r="P39" s="552">
        <v>0</v>
      </c>
      <c r="Q39" s="552">
        <v>0</v>
      </c>
      <c r="R39" s="552">
        <v>0</v>
      </c>
      <c r="S39" s="552">
        <v>0</v>
      </c>
      <c r="T39" s="552">
        <v>0</v>
      </c>
      <c r="U39" s="552">
        <v>0</v>
      </c>
      <c r="V39" s="552">
        <v>0</v>
      </c>
      <c r="W39" s="552">
        <v>0</v>
      </c>
      <c r="X39" s="552">
        <v>0</v>
      </c>
      <c r="Y39" s="552">
        <v>0</v>
      </c>
      <c r="Z39" s="552">
        <v>0</v>
      </c>
      <c r="AA39" s="552">
        <v>0</v>
      </c>
      <c r="AB39" s="552">
        <v>0</v>
      </c>
      <c r="AC39" s="552">
        <v>0</v>
      </c>
      <c r="AD39" s="552">
        <v>0</v>
      </c>
      <c r="AE39" s="552">
        <v>0</v>
      </c>
      <c r="AF39" s="552">
        <v>0</v>
      </c>
      <c r="AG39" s="552">
        <v>0</v>
      </c>
      <c r="AH39" s="552">
        <v>0</v>
      </c>
      <c r="AI39" s="552">
        <v>0</v>
      </c>
      <c r="AJ39" s="552">
        <v>0</v>
      </c>
      <c r="AK39" s="552">
        <v>0</v>
      </c>
      <c r="AL39" s="552">
        <v>0</v>
      </c>
      <c r="AM39" s="552">
        <v>0</v>
      </c>
      <c r="AN39" s="552">
        <v>0</v>
      </c>
      <c r="AO39" s="552">
        <v>0</v>
      </c>
      <c r="AP39" s="552">
        <v>0</v>
      </c>
      <c r="AQ39" s="552">
        <v>0</v>
      </c>
      <c r="AR39" s="554"/>
      <c r="AS39" s="555">
        <f t="shared" si="2"/>
        <v>1.34</v>
      </c>
      <c r="AT39" s="555">
        <f t="shared" si="3"/>
        <v>0</v>
      </c>
      <c r="AU39" s="556"/>
      <c r="AV39" s="553">
        <f t="shared" si="15"/>
        <v>1.2120299999999999</v>
      </c>
      <c r="AW39" s="553">
        <f t="shared" si="15"/>
        <v>1.14771</v>
      </c>
      <c r="AX39" s="553">
        <f t="shared" si="15"/>
        <v>444.88000000000005</v>
      </c>
      <c r="AY39" s="552">
        <f t="shared" si="5"/>
        <v>0</v>
      </c>
      <c r="AZ39" s="552">
        <f t="shared" si="16"/>
        <v>0</v>
      </c>
      <c r="BA39" s="552">
        <f t="shared" si="16"/>
        <v>0</v>
      </c>
      <c r="BB39" s="557"/>
      <c r="BC39" s="552">
        <v>0</v>
      </c>
      <c r="BD39" s="552">
        <v>0</v>
      </c>
      <c r="BE39" s="552">
        <v>0</v>
      </c>
      <c r="BF39" s="552">
        <v>0</v>
      </c>
      <c r="BG39" s="554" t="str">
        <f>IFERROR(VLOOKUP(#REF!,#REF!,4,FALSE),"")</f>
        <v/>
      </c>
      <c r="BH39" s="552"/>
      <c r="BI39" s="552"/>
      <c r="BJ39" s="552"/>
      <c r="BK39" s="552"/>
      <c r="BL39" s="552"/>
      <c r="BM39" s="552"/>
      <c r="BN39" s="552"/>
      <c r="BO39" s="552"/>
      <c r="BP39" s="552"/>
      <c r="BQ39" s="552"/>
      <c r="BR39" s="552"/>
      <c r="BS39" s="552"/>
      <c r="BT39" s="552"/>
      <c r="BU39" s="552"/>
      <c r="BV39" s="552"/>
      <c r="BW39" s="552"/>
      <c r="BX39" s="552"/>
      <c r="BY39" s="552"/>
      <c r="BZ39" s="552"/>
      <c r="CA39" s="552">
        <f t="shared" si="12"/>
        <v>0</v>
      </c>
      <c r="CB39" s="552">
        <f t="shared" si="12"/>
        <v>0</v>
      </c>
      <c r="CC39" s="552">
        <f t="shared" si="12"/>
        <v>0</v>
      </c>
      <c r="CD39" s="552">
        <f t="shared" si="12"/>
        <v>0</v>
      </c>
      <c r="CE39" s="552">
        <f t="shared" si="12"/>
        <v>0</v>
      </c>
      <c r="CF39" s="552">
        <f t="shared" si="12"/>
        <v>0</v>
      </c>
      <c r="CG39" s="552">
        <f t="shared" si="12"/>
        <v>0</v>
      </c>
      <c r="CH39" s="552">
        <f t="shared" si="12"/>
        <v>0</v>
      </c>
      <c r="CI39" s="552">
        <f t="shared" si="12"/>
        <v>0</v>
      </c>
      <c r="CJ39" s="552">
        <f t="shared" si="12"/>
        <v>0</v>
      </c>
      <c r="CK39" s="552">
        <f t="shared" si="12"/>
        <v>0</v>
      </c>
      <c r="CL39" s="552">
        <f t="shared" si="12"/>
        <v>0</v>
      </c>
      <c r="CM39" s="552">
        <f t="shared" si="12"/>
        <v>0</v>
      </c>
      <c r="CN39" s="552">
        <f t="shared" si="12"/>
        <v>0</v>
      </c>
      <c r="CO39" s="552">
        <f t="shared" si="12"/>
        <v>0</v>
      </c>
      <c r="CP39" s="552">
        <f t="shared" si="12"/>
        <v>0</v>
      </c>
      <c r="CQ39" s="552">
        <f t="shared" ref="CQ39:CR94" si="17">CQ$4*BX39</f>
        <v>0</v>
      </c>
      <c r="CR39" s="552">
        <f t="shared" si="17"/>
        <v>0</v>
      </c>
      <c r="CS39" s="552">
        <f t="shared" si="9"/>
        <v>0</v>
      </c>
      <c r="CT39" s="552"/>
      <c r="CU39" s="552"/>
      <c r="CV39" s="552"/>
      <c r="CW39" s="552"/>
      <c r="CX39" s="552"/>
      <c r="CY39" s="552"/>
      <c r="CZ39" s="552"/>
      <c r="DA39" s="472"/>
      <c r="DB39" s="552">
        <f t="shared" si="14"/>
        <v>0</v>
      </c>
      <c r="DC39" s="552">
        <f t="shared" si="14"/>
        <v>0</v>
      </c>
      <c r="DD39" s="552">
        <f t="shared" si="14"/>
        <v>0</v>
      </c>
      <c r="DE39" s="552">
        <f t="shared" si="14"/>
        <v>0</v>
      </c>
      <c r="DF39" s="552">
        <f t="shared" si="14"/>
        <v>0</v>
      </c>
      <c r="DG39" s="552">
        <f t="shared" si="14"/>
        <v>0</v>
      </c>
      <c r="DH39" s="552">
        <f t="shared" si="11"/>
        <v>0</v>
      </c>
      <c r="DI39" s="554"/>
      <c r="DJ39" s="525">
        <f>IFERROR(VLOOKUP(A39,'Transp. Dre Rodovia'!$A$19:$D$29,4,FALSE),0)+IFERROR(VLOOKUP(A39,#REF!,4,FALSE),0)</f>
        <v>0</v>
      </c>
    </row>
    <row r="40" spans="1:114" ht="12.75" hidden="1" customHeight="1">
      <c r="A40" s="470">
        <v>41430</v>
      </c>
      <c r="B40" s="550" t="s">
        <v>471</v>
      </c>
      <c r="C40" s="551" t="s">
        <v>107</v>
      </c>
      <c r="D40" s="552">
        <v>0</v>
      </c>
      <c r="E40" s="552">
        <v>0</v>
      </c>
      <c r="F40" s="552">
        <v>0</v>
      </c>
      <c r="G40" s="552">
        <v>0</v>
      </c>
      <c r="H40" s="552">
        <v>0</v>
      </c>
      <c r="I40" s="552">
        <v>0</v>
      </c>
      <c r="J40" s="552">
        <v>1.34</v>
      </c>
      <c r="K40" s="552">
        <v>0.90449999999999997</v>
      </c>
      <c r="L40" s="552">
        <v>0.85649999999999993</v>
      </c>
      <c r="M40" s="552">
        <v>332</v>
      </c>
      <c r="N40" s="553">
        <v>0</v>
      </c>
      <c r="O40" s="553">
        <v>0</v>
      </c>
      <c r="P40" s="552">
        <v>0</v>
      </c>
      <c r="Q40" s="552">
        <v>0</v>
      </c>
      <c r="R40" s="552">
        <v>0</v>
      </c>
      <c r="S40" s="552">
        <v>0</v>
      </c>
      <c r="T40" s="552">
        <v>0</v>
      </c>
      <c r="U40" s="552">
        <v>0</v>
      </c>
      <c r="V40" s="552">
        <v>0</v>
      </c>
      <c r="W40" s="552">
        <v>0</v>
      </c>
      <c r="X40" s="552">
        <v>0</v>
      </c>
      <c r="Y40" s="552">
        <v>0</v>
      </c>
      <c r="Z40" s="552">
        <v>0</v>
      </c>
      <c r="AA40" s="552">
        <v>0</v>
      </c>
      <c r="AB40" s="552">
        <v>0</v>
      </c>
      <c r="AC40" s="552">
        <v>0</v>
      </c>
      <c r="AD40" s="552">
        <v>0</v>
      </c>
      <c r="AE40" s="552">
        <v>0</v>
      </c>
      <c r="AF40" s="552">
        <v>0</v>
      </c>
      <c r="AG40" s="552">
        <v>0</v>
      </c>
      <c r="AH40" s="552">
        <v>0</v>
      </c>
      <c r="AI40" s="552">
        <v>0</v>
      </c>
      <c r="AJ40" s="552">
        <v>0</v>
      </c>
      <c r="AK40" s="552">
        <v>0</v>
      </c>
      <c r="AL40" s="552">
        <v>0</v>
      </c>
      <c r="AM40" s="552">
        <v>0</v>
      </c>
      <c r="AN40" s="552">
        <v>0</v>
      </c>
      <c r="AO40" s="552">
        <v>0</v>
      </c>
      <c r="AP40" s="552">
        <v>0</v>
      </c>
      <c r="AQ40" s="552">
        <v>0</v>
      </c>
      <c r="AR40" s="554"/>
      <c r="AS40" s="555">
        <f t="shared" si="2"/>
        <v>1.34</v>
      </c>
      <c r="AT40" s="555">
        <f t="shared" si="3"/>
        <v>0</v>
      </c>
      <c r="AU40" s="556"/>
      <c r="AV40" s="553">
        <f t="shared" si="15"/>
        <v>1.2120299999999999</v>
      </c>
      <c r="AW40" s="553">
        <f t="shared" si="15"/>
        <v>1.14771</v>
      </c>
      <c r="AX40" s="553">
        <f t="shared" si="15"/>
        <v>444.88000000000005</v>
      </c>
      <c r="AY40" s="552">
        <f t="shared" si="5"/>
        <v>0</v>
      </c>
      <c r="AZ40" s="552">
        <f t="shared" si="16"/>
        <v>0</v>
      </c>
      <c r="BA40" s="552">
        <f t="shared" si="16"/>
        <v>0</v>
      </c>
      <c r="BB40" s="557"/>
      <c r="BC40" s="552">
        <v>0</v>
      </c>
      <c r="BD40" s="552">
        <v>0</v>
      </c>
      <c r="BE40" s="552">
        <v>0</v>
      </c>
      <c r="BF40" s="552">
        <v>0</v>
      </c>
      <c r="BG40" s="554" t="str">
        <f>IFERROR(VLOOKUP(#REF!,#REF!,4,FALSE),"")</f>
        <v/>
      </c>
      <c r="BH40" s="552"/>
      <c r="BI40" s="552"/>
      <c r="BJ40" s="552"/>
      <c r="BK40" s="552"/>
      <c r="BL40" s="552"/>
      <c r="BM40" s="552"/>
      <c r="BN40" s="552"/>
      <c r="BO40" s="552"/>
      <c r="BP40" s="552"/>
      <c r="BQ40" s="552"/>
      <c r="BR40" s="552"/>
      <c r="BS40" s="552"/>
      <c r="BT40" s="552"/>
      <c r="BU40" s="552"/>
      <c r="BV40" s="552"/>
      <c r="BW40" s="552"/>
      <c r="BX40" s="552"/>
      <c r="BY40" s="552"/>
      <c r="BZ40" s="552"/>
      <c r="CA40" s="552">
        <f t="shared" si="12"/>
        <v>0</v>
      </c>
      <c r="CB40" s="552">
        <f t="shared" si="12"/>
        <v>0</v>
      </c>
      <c r="CC40" s="552">
        <f t="shared" si="12"/>
        <v>0</v>
      </c>
      <c r="CD40" s="552">
        <f t="shared" si="12"/>
        <v>0</v>
      </c>
      <c r="CE40" s="552">
        <f t="shared" si="12"/>
        <v>0</v>
      </c>
      <c r="CF40" s="552">
        <f t="shared" si="12"/>
        <v>0</v>
      </c>
      <c r="CG40" s="552">
        <f t="shared" si="12"/>
        <v>0</v>
      </c>
      <c r="CH40" s="552">
        <f t="shared" si="12"/>
        <v>0</v>
      </c>
      <c r="CI40" s="552">
        <f t="shared" si="12"/>
        <v>0</v>
      </c>
      <c r="CJ40" s="552">
        <f t="shared" si="12"/>
        <v>0</v>
      </c>
      <c r="CK40" s="552">
        <f t="shared" si="12"/>
        <v>0</v>
      </c>
      <c r="CL40" s="552">
        <f t="shared" si="12"/>
        <v>0</v>
      </c>
      <c r="CM40" s="552">
        <f t="shared" si="12"/>
        <v>0</v>
      </c>
      <c r="CN40" s="552">
        <f t="shared" si="12"/>
        <v>0</v>
      </c>
      <c r="CO40" s="552">
        <f t="shared" si="12"/>
        <v>0</v>
      </c>
      <c r="CP40" s="552">
        <f t="shared" si="12"/>
        <v>0</v>
      </c>
      <c r="CQ40" s="552">
        <f t="shared" si="17"/>
        <v>0</v>
      </c>
      <c r="CR40" s="552">
        <f t="shared" si="17"/>
        <v>0</v>
      </c>
      <c r="CS40" s="552">
        <f t="shared" si="9"/>
        <v>0</v>
      </c>
      <c r="CT40" s="552"/>
      <c r="CU40" s="552"/>
      <c r="CV40" s="552"/>
      <c r="CW40" s="552"/>
      <c r="CX40" s="552"/>
      <c r="CY40" s="552"/>
      <c r="CZ40" s="552"/>
      <c r="DA40" s="472"/>
      <c r="DB40" s="552">
        <f t="shared" si="14"/>
        <v>0</v>
      </c>
      <c r="DC40" s="552">
        <f t="shared" si="14"/>
        <v>0</v>
      </c>
      <c r="DD40" s="552">
        <f t="shared" si="14"/>
        <v>0</v>
      </c>
      <c r="DE40" s="552">
        <f t="shared" si="14"/>
        <v>0</v>
      </c>
      <c r="DF40" s="552">
        <f t="shared" si="14"/>
        <v>0</v>
      </c>
      <c r="DG40" s="552">
        <f t="shared" si="14"/>
        <v>0</v>
      </c>
      <c r="DH40" s="552">
        <f t="shared" si="11"/>
        <v>0</v>
      </c>
      <c r="DI40" s="554"/>
      <c r="DJ40" s="525">
        <f>IFERROR(VLOOKUP(A40,'Transp. Dre Rodovia'!$A$19:$D$29,4,FALSE),0)+IFERROR(VLOOKUP(A40,#REF!,4,FALSE),0)</f>
        <v>0</v>
      </c>
    </row>
    <row r="41" spans="1:114" ht="12.75" hidden="1" customHeight="1">
      <c r="A41" s="470">
        <v>41431</v>
      </c>
      <c r="B41" s="550" t="s">
        <v>472</v>
      </c>
      <c r="C41" s="551" t="s">
        <v>107</v>
      </c>
      <c r="D41" s="552">
        <v>0</v>
      </c>
      <c r="E41" s="552">
        <v>0</v>
      </c>
      <c r="F41" s="552">
        <v>0</v>
      </c>
      <c r="G41" s="552">
        <v>0</v>
      </c>
      <c r="H41" s="552">
        <v>0</v>
      </c>
      <c r="I41" s="552">
        <v>0</v>
      </c>
      <c r="J41" s="552">
        <v>1.74</v>
      </c>
      <c r="K41" s="552">
        <v>0.90449999999999997</v>
      </c>
      <c r="L41" s="552">
        <v>0.85649999999999993</v>
      </c>
      <c r="M41" s="552">
        <v>332</v>
      </c>
      <c r="N41" s="553">
        <v>0</v>
      </c>
      <c r="O41" s="553">
        <v>0</v>
      </c>
      <c r="P41" s="552">
        <v>0</v>
      </c>
      <c r="Q41" s="552">
        <v>0</v>
      </c>
      <c r="R41" s="552">
        <v>0</v>
      </c>
      <c r="S41" s="552">
        <v>0</v>
      </c>
      <c r="T41" s="552">
        <v>0</v>
      </c>
      <c r="U41" s="552">
        <v>0</v>
      </c>
      <c r="V41" s="552">
        <v>0</v>
      </c>
      <c r="W41" s="552">
        <v>0</v>
      </c>
      <c r="X41" s="552">
        <v>0</v>
      </c>
      <c r="Y41" s="552">
        <v>0</v>
      </c>
      <c r="Z41" s="552">
        <v>0</v>
      </c>
      <c r="AA41" s="552">
        <v>0</v>
      </c>
      <c r="AB41" s="552">
        <v>0</v>
      </c>
      <c r="AC41" s="552">
        <v>0</v>
      </c>
      <c r="AD41" s="552">
        <v>0</v>
      </c>
      <c r="AE41" s="552">
        <v>0</v>
      </c>
      <c r="AF41" s="552">
        <v>0</v>
      </c>
      <c r="AG41" s="552">
        <v>0</v>
      </c>
      <c r="AH41" s="552">
        <v>0</v>
      </c>
      <c r="AI41" s="552">
        <v>0</v>
      </c>
      <c r="AJ41" s="552">
        <v>0</v>
      </c>
      <c r="AK41" s="552">
        <v>0</v>
      </c>
      <c r="AL41" s="552">
        <v>0</v>
      </c>
      <c r="AM41" s="552">
        <v>0</v>
      </c>
      <c r="AN41" s="552">
        <v>0</v>
      </c>
      <c r="AO41" s="552">
        <v>0</v>
      </c>
      <c r="AP41" s="552">
        <v>0</v>
      </c>
      <c r="AQ41" s="552">
        <v>0</v>
      </c>
      <c r="AR41" s="554"/>
      <c r="AS41" s="555">
        <f t="shared" si="2"/>
        <v>1.74</v>
      </c>
      <c r="AT41" s="555">
        <f t="shared" si="3"/>
        <v>0</v>
      </c>
      <c r="AU41" s="556"/>
      <c r="AV41" s="553">
        <f t="shared" si="15"/>
        <v>1.5738299999999998</v>
      </c>
      <c r="AW41" s="553">
        <f t="shared" si="15"/>
        <v>1.4903099999999998</v>
      </c>
      <c r="AX41" s="553">
        <f t="shared" si="15"/>
        <v>577.67999999999995</v>
      </c>
      <c r="AY41" s="552">
        <f t="shared" si="5"/>
        <v>0</v>
      </c>
      <c r="AZ41" s="552">
        <f t="shared" si="16"/>
        <v>0</v>
      </c>
      <c r="BA41" s="552">
        <f t="shared" si="16"/>
        <v>0</v>
      </c>
      <c r="BB41" s="557"/>
      <c r="BC41" s="552">
        <v>0</v>
      </c>
      <c r="BD41" s="552">
        <v>0</v>
      </c>
      <c r="BE41" s="552">
        <v>0</v>
      </c>
      <c r="BF41" s="552">
        <v>0</v>
      </c>
      <c r="BG41" s="554" t="str">
        <f>IFERROR(VLOOKUP(#REF!,#REF!,4,FALSE),"")</f>
        <v/>
      </c>
      <c r="BH41" s="552"/>
      <c r="BI41" s="552"/>
      <c r="BJ41" s="552"/>
      <c r="BK41" s="552"/>
      <c r="BL41" s="552"/>
      <c r="BM41" s="552"/>
      <c r="BN41" s="552"/>
      <c r="BO41" s="552"/>
      <c r="BP41" s="552"/>
      <c r="BQ41" s="552"/>
      <c r="BR41" s="552"/>
      <c r="BS41" s="552"/>
      <c r="BT41" s="552"/>
      <c r="BU41" s="552"/>
      <c r="BV41" s="552"/>
      <c r="BW41" s="552"/>
      <c r="BX41" s="552"/>
      <c r="BY41" s="552"/>
      <c r="BZ41" s="552"/>
      <c r="CA41" s="552">
        <f t="shared" si="12"/>
        <v>0</v>
      </c>
      <c r="CB41" s="552">
        <f t="shared" si="12"/>
        <v>0</v>
      </c>
      <c r="CC41" s="552">
        <f t="shared" si="12"/>
        <v>0</v>
      </c>
      <c r="CD41" s="552">
        <f t="shared" si="12"/>
        <v>0</v>
      </c>
      <c r="CE41" s="552">
        <f t="shared" si="12"/>
        <v>0</v>
      </c>
      <c r="CF41" s="552">
        <f t="shared" si="12"/>
        <v>0</v>
      </c>
      <c r="CG41" s="552">
        <f t="shared" si="12"/>
        <v>0</v>
      </c>
      <c r="CH41" s="552">
        <f t="shared" si="12"/>
        <v>0</v>
      </c>
      <c r="CI41" s="552">
        <f t="shared" si="12"/>
        <v>0</v>
      </c>
      <c r="CJ41" s="552">
        <f t="shared" si="12"/>
        <v>0</v>
      </c>
      <c r="CK41" s="552">
        <f t="shared" si="12"/>
        <v>0</v>
      </c>
      <c r="CL41" s="552">
        <f t="shared" si="12"/>
        <v>0</v>
      </c>
      <c r="CM41" s="552">
        <f t="shared" si="12"/>
        <v>0</v>
      </c>
      <c r="CN41" s="552">
        <f t="shared" si="12"/>
        <v>0</v>
      </c>
      <c r="CO41" s="552">
        <f t="shared" si="12"/>
        <v>0</v>
      </c>
      <c r="CP41" s="552">
        <f t="shared" si="12"/>
        <v>0</v>
      </c>
      <c r="CQ41" s="552">
        <f t="shared" si="17"/>
        <v>0</v>
      </c>
      <c r="CR41" s="552">
        <f t="shared" si="17"/>
        <v>0</v>
      </c>
      <c r="CS41" s="552">
        <f t="shared" si="9"/>
        <v>0</v>
      </c>
      <c r="CT41" s="552"/>
      <c r="CU41" s="552"/>
      <c r="CV41" s="552"/>
      <c r="CW41" s="552"/>
      <c r="CX41" s="552"/>
      <c r="CY41" s="552"/>
      <c r="CZ41" s="552"/>
      <c r="DA41" s="472"/>
      <c r="DB41" s="552">
        <f t="shared" si="14"/>
        <v>0</v>
      </c>
      <c r="DC41" s="552">
        <f t="shared" si="14"/>
        <v>0</v>
      </c>
      <c r="DD41" s="552">
        <f t="shared" si="14"/>
        <v>0</v>
      </c>
      <c r="DE41" s="552">
        <f t="shared" si="14"/>
        <v>0</v>
      </c>
      <c r="DF41" s="552">
        <f t="shared" si="14"/>
        <v>0</v>
      </c>
      <c r="DG41" s="552">
        <f t="shared" si="14"/>
        <v>0</v>
      </c>
      <c r="DH41" s="552">
        <f t="shared" si="11"/>
        <v>0</v>
      </c>
      <c r="DI41" s="554"/>
      <c r="DJ41" s="525">
        <f>IFERROR(VLOOKUP(A41,'Transp. Dre Rodovia'!$A$19:$D$29,4,FALSE),0)+IFERROR(VLOOKUP(A41,#REF!,4,FALSE),0)</f>
        <v>0</v>
      </c>
    </row>
    <row r="42" spans="1:114" ht="12.75" hidden="1" customHeight="1">
      <c r="A42" s="470">
        <v>41432</v>
      </c>
      <c r="B42" s="550" t="s">
        <v>473</v>
      </c>
      <c r="C42" s="551" t="s">
        <v>107</v>
      </c>
      <c r="D42" s="552">
        <v>0</v>
      </c>
      <c r="E42" s="552">
        <v>0</v>
      </c>
      <c r="F42" s="552">
        <v>0</v>
      </c>
      <c r="G42" s="552">
        <v>0</v>
      </c>
      <c r="H42" s="552">
        <v>0</v>
      </c>
      <c r="I42" s="552">
        <v>0</v>
      </c>
      <c r="J42" s="552">
        <v>1.74</v>
      </c>
      <c r="K42" s="552">
        <v>0.90449999999999997</v>
      </c>
      <c r="L42" s="552">
        <v>0.85649999999999993</v>
      </c>
      <c r="M42" s="552">
        <v>332</v>
      </c>
      <c r="N42" s="553">
        <v>0</v>
      </c>
      <c r="O42" s="553">
        <v>0</v>
      </c>
      <c r="P42" s="552">
        <v>0</v>
      </c>
      <c r="Q42" s="552">
        <v>0</v>
      </c>
      <c r="R42" s="552">
        <v>0</v>
      </c>
      <c r="S42" s="552">
        <v>0</v>
      </c>
      <c r="T42" s="552">
        <v>0</v>
      </c>
      <c r="U42" s="552">
        <v>0</v>
      </c>
      <c r="V42" s="552">
        <v>0</v>
      </c>
      <c r="W42" s="552">
        <v>0</v>
      </c>
      <c r="X42" s="552">
        <v>0</v>
      </c>
      <c r="Y42" s="552">
        <v>0</v>
      </c>
      <c r="Z42" s="552">
        <v>0</v>
      </c>
      <c r="AA42" s="552">
        <v>0</v>
      </c>
      <c r="AB42" s="552">
        <v>0</v>
      </c>
      <c r="AC42" s="552">
        <v>0</v>
      </c>
      <c r="AD42" s="552">
        <v>0</v>
      </c>
      <c r="AE42" s="552">
        <v>0</v>
      </c>
      <c r="AF42" s="552">
        <v>0</v>
      </c>
      <c r="AG42" s="552">
        <v>0</v>
      </c>
      <c r="AH42" s="552">
        <v>0</v>
      </c>
      <c r="AI42" s="552">
        <v>0</v>
      </c>
      <c r="AJ42" s="552">
        <v>0</v>
      </c>
      <c r="AK42" s="552">
        <v>0</v>
      </c>
      <c r="AL42" s="552">
        <v>0</v>
      </c>
      <c r="AM42" s="552">
        <v>0</v>
      </c>
      <c r="AN42" s="552">
        <v>0</v>
      </c>
      <c r="AO42" s="552">
        <v>0</v>
      </c>
      <c r="AP42" s="552">
        <v>0</v>
      </c>
      <c r="AQ42" s="552">
        <v>0</v>
      </c>
      <c r="AR42" s="554"/>
      <c r="AS42" s="555">
        <f t="shared" si="2"/>
        <v>1.74</v>
      </c>
      <c r="AT42" s="555">
        <f t="shared" si="3"/>
        <v>0</v>
      </c>
      <c r="AU42" s="556"/>
      <c r="AV42" s="553">
        <f t="shared" si="15"/>
        <v>1.5738299999999998</v>
      </c>
      <c r="AW42" s="553">
        <f t="shared" si="15"/>
        <v>1.4903099999999998</v>
      </c>
      <c r="AX42" s="553">
        <f t="shared" si="15"/>
        <v>577.67999999999995</v>
      </c>
      <c r="AY42" s="552">
        <f t="shared" si="5"/>
        <v>0</v>
      </c>
      <c r="AZ42" s="552">
        <f t="shared" si="16"/>
        <v>0</v>
      </c>
      <c r="BA42" s="552">
        <f t="shared" si="16"/>
        <v>0</v>
      </c>
      <c r="BB42" s="557"/>
      <c r="BC42" s="552">
        <v>0</v>
      </c>
      <c r="BD42" s="552">
        <v>0</v>
      </c>
      <c r="BE42" s="552">
        <v>0</v>
      </c>
      <c r="BF42" s="552">
        <v>0</v>
      </c>
      <c r="BG42" s="554" t="str">
        <f>IFERROR(VLOOKUP(#REF!,#REF!,4,FALSE),"")</f>
        <v/>
      </c>
      <c r="BH42" s="552"/>
      <c r="BI42" s="552"/>
      <c r="BJ42" s="552"/>
      <c r="BK42" s="552"/>
      <c r="BL42" s="552"/>
      <c r="BM42" s="552"/>
      <c r="BN42" s="552"/>
      <c r="BO42" s="552"/>
      <c r="BP42" s="552"/>
      <c r="BQ42" s="552"/>
      <c r="BR42" s="552"/>
      <c r="BS42" s="552"/>
      <c r="BT42" s="552"/>
      <c r="BU42" s="552"/>
      <c r="BV42" s="552"/>
      <c r="BW42" s="552"/>
      <c r="BX42" s="552"/>
      <c r="BY42" s="552"/>
      <c r="BZ42" s="552"/>
      <c r="CA42" s="552">
        <f t="shared" si="12"/>
        <v>0</v>
      </c>
      <c r="CB42" s="552">
        <f t="shared" si="12"/>
        <v>0</v>
      </c>
      <c r="CC42" s="552">
        <f t="shared" si="12"/>
        <v>0</v>
      </c>
      <c r="CD42" s="552">
        <f t="shared" si="12"/>
        <v>0</v>
      </c>
      <c r="CE42" s="552">
        <f t="shared" si="12"/>
        <v>0</v>
      </c>
      <c r="CF42" s="552">
        <f t="shared" si="12"/>
        <v>0</v>
      </c>
      <c r="CG42" s="552">
        <f t="shared" si="12"/>
        <v>0</v>
      </c>
      <c r="CH42" s="552">
        <f t="shared" si="12"/>
        <v>0</v>
      </c>
      <c r="CI42" s="552">
        <f t="shared" si="12"/>
        <v>0</v>
      </c>
      <c r="CJ42" s="552">
        <f t="shared" si="12"/>
        <v>0</v>
      </c>
      <c r="CK42" s="552">
        <f t="shared" si="12"/>
        <v>0</v>
      </c>
      <c r="CL42" s="552">
        <f t="shared" si="12"/>
        <v>0</v>
      </c>
      <c r="CM42" s="552">
        <f t="shared" si="12"/>
        <v>0</v>
      </c>
      <c r="CN42" s="552">
        <f t="shared" si="12"/>
        <v>0</v>
      </c>
      <c r="CO42" s="552">
        <f t="shared" si="12"/>
        <v>0</v>
      </c>
      <c r="CP42" s="552">
        <f t="shared" si="12"/>
        <v>0</v>
      </c>
      <c r="CQ42" s="552">
        <f t="shared" si="17"/>
        <v>0</v>
      </c>
      <c r="CR42" s="552">
        <f t="shared" si="17"/>
        <v>0</v>
      </c>
      <c r="CS42" s="552">
        <f t="shared" si="9"/>
        <v>0</v>
      </c>
      <c r="CT42" s="552"/>
      <c r="CU42" s="552"/>
      <c r="CV42" s="552"/>
      <c r="CW42" s="552"/>
      <c r="CX42" s="552"/>
      <c r="CY42" s="552"/>
      <c r="CZ42" s="552"/>
      <c r="DA42" s="472"/>
      <c r="DB42" s="552">
        <f t="shared" si="14"/>
        <v>0</v>
      </c>
      <c r="DC42" s="552">
        <f t="shared" si="14"/>
        <v>0</v>
      </c>
      <c r="DD42" s="552">
        <f t="shared" si="14"/>
        <v>0</v>
      </c>
      <c r="DE42" s="552">
        <f t="shared" si="14"/>
        <v>0</v>
      </c>
      <c r="DF42" s="552">
        <f t="shared" si="14"/>
        <v>0</v>
      </c>
      <c r="DG42" s="552">
        <f t="shared" si="14"/>
        <v>0</v>
      </c>
      <c r="DH42" s="552">
        <f t="shared" si="11"/>
        <v>0</v>
      </c>
      <c r="DI42" s="554"/>
      <c r="DJ42" s="525">
        <f>IFERROR(VLOOKUP(A42,'Transp. Dre Rodovia'!$A$19:$D$29,4,FALSE),0)+IFERROR(VLOOKUP(A42,#REF!,4,FALSE),0)</f>
        <v>0</v>
      </c>
    </row>
    <row r="43" spans="1:114" ht="12.75" hidden="1" customHeight="1">
      <c r="A43" s="470">
        <v>41433</v>
      </c>
      <c r="B43" s="550" t="s">
        <v>474</v>
      </c>
      <c r="C43" s="551" t="s">
        <v>107</v>
      </c>
      <c r="D43" s="552">
        <v>0</v>
      </c>
      <c r="E43" s="552">
        <v>0</v>
      </c>
      <c r="F43" s="552">
        <v>0</v>
      </c>
      <c r="G43" s="552">
        <v>0</v>
      </c>
      <c r="H43" s="552">
        <v>0</v>
      </c>
      <c r="I43" s="552">
        <v>0</v>
      </c>
      <c r="J43" s="552">
        <v>2.2799999999999998</v>
      </c>
      <c r="K43" s="552">
        <v>0.90449999999999997</v>
      </c>
      <c r="L43" s="552">
        <v>0.85649999999999993</v>
      </c>
      <c r="M43" s="552">
        <v>332</v>
      </c>
      <c r="N43" s="553">
        <v>0</v>
      </c>
      <c r="O43" s="553">
        <v>0</v>
      </c>
      <c r="P43" s="552">
        <v>0</v>
      </c>
      <c r="Q43" s="552">
        <v>0</v>
      </c>
      <c r="R43" s="552">
        <v>0</v>
      </c>
      <c r="S43" s="552">
        <v>0</v>
      </c>
      <c r="T43" s="552">
        <v>0</v>
      </c>
      <c r="U43" s="552">
        <v>0</v>
      </c>
      <c r="V43" s="552">
        <v>0</v>
      </c>
      <c r="W43" s="552">
        <v>0</v>
      </c>
      <c r="X43" s="552">
        <v>0</v>
      </c>
      <c r="Y43" s="552">
        <v>0</v>
      </c>
      <c r="Z43" s="552">
        <v>0</v>
      </c>
      <c r="AA43" s="552">
        <v>0</v>
      </c>
      <c r="AB43" s="552">
        <v>0</v>
      </c>
      <c r="AC43" s="552">
        <v>0</v>
      </c>
      <c r="AD43" s="552">
        <v>0</v>
      </c>
      <c r="AE43" s="552">
        <v>0</v>
      </c>
      <c r="AF43" s="552">
        <v>0</v>
      </c>
      <c r="AG43" s="552">
        <v>0</v>
      </c>
      <c r="AH43" s="552">
        <v>0</v>
      </c>
      <c r="AI43" s="552">
        <v>0</v>
      </c>
      <c r="AJ43" s="552">
        <v>0</v>
      </c>
      <c r="AK43" s="552">
        <v>0</v>
      </c>
      <c r="AL43" s="552">
        <v>0</v>
      </c>
      <c r="AM43" s="552">
        <v>0</v>
      </c>
      <c r="AN43" s="552">
        <v>0</v>
      </c>
      <c r="AO43" s="552">
        <v>0</v>
      </c>
      <c r="AP43" s="552">
        <v>0</v>
      </c>
      <c r="AQ43" s="552">
        <v>0</v>
      </c>
      <c r="AR43" s="554"/>
      <c r="AS43" s="555">
        <f t="shared" si="2"/>
        <v>2.2799999999999998</v>
      </c>
      <c r="AT43" s="555">
        <f t="shared" si="3"/>
        <v>0</v>
      </c>
      <c r="AU43" s="556"/>
      <c r="AV43" s="553">
        <f t="shared" si="15"/>
        <v>2.0622599999999998</v>
      </c>
      <c r="AW43" s="553">
        <f t="shared" si="15"/>
        <v>1.9528199999999998</v>
      </c>
      <c r="AX43" s="553">
        <f t="shared" si="15"/>
        <v>756.95999999999992</v>
      </c>
      <c r="AY43" s="552">
        <f t="shared" si="5"/>
        <v>0</v>
      </c>
      <c r="AZ43" s="552">
        <f t="shared" si="16"/>
        <v>0</v>
      </c>
      <c r="BA43" s="552">
        <f t="shared" si="16"/>
        <v>0</v>
      </c>
      <c r="BB43" s="557"/>
      <c r="BC43" s="552">
        <v>0</v>
      </c>
      <c r="BD43" s="552">
        <v>0</v>
      </c>
      <c r="BE43" s="552">
        <v>0</v>
      </c>
      <c r="BF43" s="552">
        <v>0</v>
      </c>
      <c r="BG43" s="554" t="str">
        <f>IFERROR(VLOOKUP(#REF!,#REF!,4,FALSE),"")</f>
        <v/>
      </c>
      <c r="BH43" s="552"/>
      <c r="BI43" s="552"/>
      <c r="BJ43" s="552"/>
      <c r="BK43" s="552"/>
      <c r="BL43" s="552"/>
      <c r="BM43" s="552"/>
      <c r="BN43" s="552"/>
      <c r="BO43" s="552"/>
      <c r="BP43" s="552"/>
      <c r="BQ43" s="552"/>
      <c r="BR43" s="552"/>
      <c r="BS43" s="552"/>
      <c r="BT43" s="552"/>
      <c r="BU43" s="552"/>
      <c r="BV43" s="552"/>
      <c r="BW43" s="552"/>
      <c r="BX43" s="552"/>
      <c r="BY43" s="552"/>
      <c r="BZ43" s="552"/>
      <c r="CA43" s="552">
        <f t="shared" si="12"/>
        <v>0</v>
      </c>
      <c r="CB43" s="552">
        <f t="shared" si="12"/>
        <v>0</v>
      </c>
      <c r="CC43" s="552">
        <f t="shared" si="12"/>
        <v>0</v>
      </c>
      <c r="CD43" s="552">
        <f t="shared" si="12"/>
        <v>0</v>
      </c>
      <c r="CE43" s="552">
        <f t="shared" si="12"/>
        <v>0</v>
      </c>
      <c r="CF43" s="552">
        <f t="shared" si="12"/>
        <v>0</v>
      </c>
      <c r="CG43" s="552">
        <f t="shared" si="12"/>
        <v>0</v>
      </c>
      <c r="CH43" s="552">
        <f t="shared" si="12"/>
        <v>0</v>
      </c>
      <c r="CI43" s="552">
        <f t="shared" si="12"/>
        <v>0</v>
      </c>
      <c r="CJ43" s="552">
        <f t="shared" si="12"/>
        <v>0</v>
      </c>
      <c r="CK43" s="552">
        <f t="shared" si="12"/>
        <v>0</v>
      </c>
      <c r="CL43" s="552">
        <f t="shared" si="12"/>
        <v>0</v>
      </c>
      <c r="CM43" s="552">
        <f t="shared" si="12"/>
        <v>0</v>
      </c>
      <c r="CN43" s="552">
        <f t="shared" si="12"/>
        <v>0</v>
      </c>
      <c r="CO43" s="552">
        <f t="shared" si="12"/>
        <v>0</v>
      </c>
      <c r="CP43" s="552">
        <f t="shared" si="12"/>
        <v>0</v>
      </c>
      <c r="CQ43" s="552">
        <f t="shared" si="17"/>
        <v>0</v>
      </c>
      <c r="CR43" s="552">
        <f t="shared" si="17"/>
        <v>0</v>
      </c>
      <c r="CS43" s="552">
        <f t="shared" si="9"/>
        <v>0</v>
      </c>
      <c r="CT43" s="552"/>
      <c r="CU43" s="552"/>
      <c r="CV43" s="552"/>
      <c r="CW43" s="552"/>
      <c r="CX43" s="552"/>
      <c r="CY43" s="552"/>
      <c r="CZ43" s="552"/>
      <c r="DA43" s="472"/>
      <c r="DB43" s="552">
        <f t="shared" si="14"/>
        <v>0</v>
      </c>
      <c r="DC43" s="552">
        <f t="shared" si="14"/>
        <v>0</v>
      </c>
      <c r="DD43" s="552">
        <f t="shared" si="14"/>
        <v>0</v>
      </c>
      <c r="DE43" s="552">
        <f t="shared" si="14"/>
        <v>0</v>
      </c>
      <c r="DF43" s="552">
        <f t="shared" si="14"/>
        <v>0</v>
      </c>
      <c r="DG43" s="552">
        <f t="shared" si="14"/>
        <v>0</v>
      </c>
      <c r="DH43" s="552">
        <f t="shared" si="11"/>
        <v>0</v>
      </c>
      <c r="DI43" s="554"/>
      <c r="DJ43" s="525">
        <f>IFERROR(VLOOKUP(A43,'Transp. Dre Rodovia'!$A$19:$D$29,4,FALSE),0)+IFERROR(VLOOKUP(A43,#REF!,4,FALSE),0)</f>
        <v>0</v>
      </c>
    </row>
    <row r="44" spans="1:114" ht="12.75" hidden="1" customHeight="1">
      <c r="A44" s="470">
        <v>41434</v>
      </c>
      <c r="B44" s="550" t="s">
        <v>475</v>
      </c>
      <c r="C44" s="551" t="s">
        <v>107</v>
      </c>
      <c r="D44" s="552">
        <v>0</v>
      </c>
      <c r="E44" s="552">
        <v>0</v>
      </c>
      <c r="F44" s="552">
        <v>0</v>
      </c>
      <c r="G44" s="552">
        <v>0</v>
      </c>
      <c r="H44" s="552">
        <v>0</v>
      </c>
      <c r="I44" s="552">
        <v>0</v>
      </c>
      <c r="J44" s="552">
        <v>2.2799999999999998</v>
      </c>
      <c r="K44" s="552">
        <v>0.90449999999999997</v>
      </c>
      <c r="L44" s="552">
        <v>0.85649999999999993</v>
      </c>
      <c r="M44" s="552">
        <v>332</v>
      </c>
      <c r="N44" s="553">
        <v>0</v>
      </c>
      <c r="O44" s="553">
        <v>0</v>
      </c>
      <c r="P44" s="552">
        <v>0</v>
      </c>
      <c r="Q44" s="552">
        <v>0</v>
      </c>
      <c r="R44" s="552">
        <v>0</v>
      </c>
      <c r="S44" s="552">
        <v>0</v>
      </c>
      <c r="T44" s="552">
        <v>0</v>
      </c>
      <c r="U44" s="552">
        <v>0</v>
      </c>
      <c r="V44" s="552">
        <v>0</v>
      </c>
      <c r="W44" s="552">
        <v>0</v>
      </c>
      <c r="X44" s="552">
        <v>0</v>
      </c>
      <c r="Y44" s="552">
        <v>0</v>
      </c>
      <c r="Z44" s="552">
        <v>0</v>
      </c>
      <c r="AA44" s="552">
        <v>0</v>
      </c>
      <c r="AB44" s="552">
        <v>0</v>
      </c>
      <c r="AC44" s="552">
        <v>0</v>
      </c>
      <c r="AD44" s="552">
        <v>0</v>
      </c>
      <c r="AE44" s="552">
        <v>0</v>
      </c>
      <c r="AF44" s="552">
        <v>0</v>
      </c>
      <c r="AG44" s="552">
        <v>0</v>
      </c>
      <c r="AH44" s="552">
        <v>0</v>
      </c>
      <c r="AI44" s="552">
        <v>0</v>
      </c>
      <c r="AJ44" s="552">
        <v>0</v>
      </c>
      <c r="AK44" s="552">
        <v>0</v>
      </c>
      <c r="AL44" s="552">
        <v>0</v>
      </c>
      <c r="AM44" s="552">
        <v>0</v>
      </c>
      <c r="AN44" s="552">
        <v>0</v>
      </c>
      <c r="AO44" s="552">
        <v>0</v>
      </c>
      <c r="AP44" s="552">
        <v>0</v>
      </c>
      <c r="AQ44" s="552">
        <v>0</v>
      </c>
      <c r="AR44" s="554"/>
      <c r="AS44" s="555">
        <f t="shared" si="2"/>
        <v>2.2799999999999998</v>
      </c>
      <c r="AT44" s="555">
        <f t="shared" si="3"/>
        <v>0</v>
      </c>
      <c r="AU44" s="556"/>
      <c r="AV44" s="553">
        <f t="shared" si="15"/>
        <v>2.0622599999999998</v>
      </c>
      <c r="AW44" s="553">
        <f t="shared" si="15"/>
        <v>1.9528199999999998</v>
      </c>
      <c r="AX44" s="553">
        <f t="shared" si="15"/>
        <v>756.95999999999992</v>
      </c>
      <c r="AY44" s="552">
        <f t="shared" si="5"/>
        <v>0</v>
      </c>
      <c r="AZ44" s="552">
        <f t="shared" si="16"/>
        <v>0</v>
      </c>
      <c r="BA44" s="552">
        <f t="shared" si="16"/>
        <v>0</v>
      </c>
      <c r="BB44" s="557"/>
      <c r="BC44" s="552">
        <v>0</v>
      </c>
      <c r="BD44" s="552">
        <v>0</v>
      </c>
      <c r="BE44" s="552">
        <v>0</v>
      </c>
      <c r="BF44" s="552">
        <v>0</v>
      </c>
      <c r="BG44" s="554" t="str">
        <f>IFERROR(VLOOKUP(#REF!,#REF!,4,FALSE),"")</f>
        <v/>
      </c>
      <c r="BH44" s="552"/>
      <c r="BI44" s="552"/>
      <c r="BJ44" s="552"/>
      <c r="BK44" s="552"/>
      <c r="BL44" s="552"/>
      <c r="BM44" s="552"/>
      <c r="BN44" s="552"/>
      <c r="BO44" s="552"/>
      <c r="BP44" s="552"/>
      <c r="BQ44" s="552"/>
      <c r="BR44" s="552"/>
      <c r="BS44" s="552"/>
      <c r="BT44" s="552"/>
      <c r="BU44" s="552"/>
      <c r="BV44" s="552"/>
      <c r="BW44" s="552"/>
      <c r="BX44" s="552"/>
      <c r="BY44" s="552"/>
      <c r="BZ44" s="552"/>
      <c r="CA44" s="552">
        <f t="shared" si="12"/>
        <v>0</v>
      </c>
      <c r="CB44" s="552">
        <f t="shared" si="12"/>
        <v>0</v>
      </c>
      <c r="CC44" s="552">
        <f t="shared" si="12"/>
        <v>0</v>
      </c>
      <c r="CD44" s="552">
        <f t="shared" si="12"/>
        <v>0</v>
      </c>
      <c r="CE44" s="552">
        <f t="shared" si="12"/>
        <v>0</v>
      </c>
      <c r="CF44" s="552">
        <f t="shared" si="12"/>
        <v>0</v>
      </c>
      <c r="CG44" s="552">
        <f t="shared" si="12"/>
        <v>0</v>
      </c>
      <c r="CH44" s="552">
        <f t="shared" si="12"/>
        <v>0</v>
      </c>
      <c r="CI44" s="552">
        <f t="shared" si="12"/>
        <v>0</v>
      </c>
      <c r="CJ44" s="552">
        <f t="shared" si="12"/>
        <v>0</v>
      </c>
      <c r="CK44" s="552">
        <f t="shared" si="12"/>
        <v>0</v>
      </c>
      <c r="CL44" s="552">
        <f t="shared" si="12"/>
        <v>0</v>
      </c>
      <c r="CM44" s="552">
        <f t="shared" si="12"/>
        <v>0</v>
      </c>
      <c r="CN44" s="552">
        <f t="shared" si="12"/>
        <v>0</v>
      </c>
      <c r="CO44" s="552">
        <f t="shared" si="12"/>
        <v>0</v>
      </c>
      <c r="CP44" s="552">
        <f t="shared" si="12"/>
        <v>0</v>
      </c>
      <c r="CQ44" s="552">
        <f t="shared" si="17"/>
        <v>0</v>
      </c>
      <c r="CR44" s="552">
        <f t="shared" si="17"/>
        <v>0</v>
      </c>
      <c r="CS44" s="552">
        <f t="shared" si="9"/>
        <v>0</v>
      </c>
      <c r="CT44" s="552"/>
      <c r="CU44" s="552"/>
      <c r="CV44" s="552"/>
      <c r="CW44" s="552"/>
      <c r="CX44" s="552"/>
      <c r="CY44" s="552"/>
      <c r="CZ44" s="552"/>
      <c r="DA44" s="472"/>
      <c r="DB44" s="552">
        <f t="shared" si="14"/>
        <v>0</v>
      </c>
      <c r="DC44" s="552">
        <f t="shared" si="14"/>
        <v>0</v>
      </c>
      <c r="DD44" s="552">
        <f t="shared" si="14"/>
        <v>0</v>
      </c>
      <c r="DE44" s="552">
        <f t="shared" si="14"/>
        <v>0</v>
      </c>
      <c r="DF44" s="552">
        <f t="shared" si="14"/>
        <v>0</v>
      </c>
      <c r="DG44" s="552">
        <f t="shared" si="14"/>
        <v>0</v>
      </c>
      <c r="DH44" s="552">
        <f t="shared" si="11"/>
        <v>0</v>
      </c>
      <c r="DI44" s="554"/>
      <c r="DJ44" s="525">
        <f>IFERROR(VLOOKUP(A44,'Transp. Dre Rodovia'!$A$19:$D$29,4,FALSE),0)+IFERROR(VLOOKUP(A44,#REF!,4,FALSE),0)</f>
        <v>0</v>
      </c>
    </row>
    <row r="45" spans="1:114" ht="12.75" hidden="1" customHeight="1">
      <c r="A45" s="470">
        <v>41435</v>
      </c>
      <c r="B45" s="550" t="s">
        <v>476</v>
      </c>
      <c r="C45" s="551" t="s">
        <v>107</v>
      </c>
      <c r="D45" s="552">
        <v>0</v>
      </c>
      <c r="E45" s="552">
        <v>0</v>
      </c>
      <c r="F45" s="552">
        <v>0</v>
      </c>
      <c r="G45" s="552">
        <v>0</v>
      </c>
      <c r="H45" s="552">
        <v>0</v>
      </c>
      <c r="I45" s="552">
        <v>0</v>
      </c>
      <c r="J45" s="552">
        <v>2.92</v>
      </c>
      <c r="K45" s="552">
        <v>0.90449999999999997</v>
      </c>
      <c r="L45" s="552">
        <v>0.85649999999999993</v>
      </c>
      <c r="M45" s="552">
        <v>332</v>
      </c>
      <c r="N45" s="553">
        <v>0</v>
      </c>
      <c r="O45" s="553">
        <v>0</v>
      </c>
      <c r="P45" s="552">
        <v>0</v>
      </c>
      <c r="Q45" s="552">
        <v>0</v>
      </c>
      <c r="R45" s="552">
        <v>0</v>
      </c>
      <c r="S45" s="552">
        <v>0</v>
      </c>
      <c r="T45" s="552">
        <v>0</v>
      </c>
      <c r="U45" s="552">
        <v>0</v>
      </c>
      <c r="V45" s="552">
        <v>0</v>
      </c>
      <c r="W45" s="552">
        <v>0</v>
      </c>
      <c r="X45" s="552">
        <v>0</v>
      </c>
      <c r="Y45" s="552">
        <v>0</v>
      </c>
      <c r="Z45" s="552">
        <v>0</v>
      </c>
      <c r="AA45" s="552">
        <v>0</v>
      </c>
      <c r="AB45" s="552">
        <v>0</v>
      </c>
      <c r="AC45" s="552">
        <v>0</v>
      </c>
      <c r="AD45" s="552">
        <v>0</v>
      </c>
      <c r="AE45" s="552">
        <v>0</v>
      </c>
      <c r="AF45" s="552">
        <v>0</v>
      </c>
      <c r="AG45" s="552">
        <v>0</v>
      </c>
      <c r="AH45" s="552">
        <v>0</v>
      </c>
      <c r="AI45" s="552">
        <v>0</v>
      </c>
      <c r="AJ45" s="552">
        <v>0</v>
      </c>
      <c r="AK45" s="552">
        <v>0</v>
      </c>
      <c r="AL45" s="552">
        <v>0</v>
      </c>
      <c r="AM45" s="552">
        <v>0</v>
      </c>
      <c r="AN45" s="552">
        <v>0</v>
      </c>
      <c r="AO45" s="552">
        <v>0</v>
      </c>
      <c r="AP45" s="552">
        <v>0</v>
      </c>
      <c r="AQ45" s="552">
        <v>0</v>
      </c>
      <c r="AR45" s="554"/>
      <c r="AS45" s="555">
        <f t="shared" si="2"/>
        <v>2.92</v>
      </c>
      <c r="AT45" s="555">
        <f t="shared" si="3"/>
        <v>0</v>
      </c>
      <c r="AU45" s="556"/>
      <c r="AV45" s="553">
        <f t="shared" si="15"/>
        <v>2.64114</v>
      </c>
      <c r="AW45" s="553">
        <f t="shared" si="15"/>
        <v>2.5009799999999998</v>
      </c>
      <c r="AX45" s="553">
        <f t="shared" si="15"/>
        <v>969.43999999999994</v>
      </c>
      <c r="AY45" s="552">
        <f t="shared" si="5"/>
        <v>0</v>
      </c>
      <c r="AZ45" s="552">
        <f t="shared" si="16"/>
        <v>0</v>
      </c>
      <c r="BA45" s="552">
        <f t="shared" si="16"/>
        <v>0</v>
      </c>
      <c r="BB45" s="557"/>
      <c r="BC45" s="552">
        <v>0</v>
      </c>
      <c r="BD45" s="552">
        <v>0</v>
      </c>
      <c r="BE45" s="552">
        <v>0</v>
      </c>
      <c r="BF45" s="552">
        <v>0</v>
      </c>
      <c r="BG45" s="554" t="str">
        <f>IFERROR(VLOOKUP(#REF!,#REF!,4,FALSE),"")</f>
        <v/>
      </c>
      <c r="BH45" s="552"/>
      <c r="BI45" s="552"/>
      <c r="BJ45" s="552"/>
      <c r="BK45" s="552"/>
      <c r="BL45" s="552"/>
      <c r="BM45" s="552"/>
      <c r="BN45" s="552"/>
      <c r="BO45" s="552"/>
      <c r="BP45" s="552"/>
      <c r="BQ45" s="552"/>
      <c r="BR45" s="552"/>
      <c r="BS45" s="552"/>
      <c r="BT45" s="552"/>
      <c r="BU45" s="552"/>
      <c r="BV45" s="552"/>
      <c r="BW45" s="552"/>
      <c r="BX45" s="552"/>
      <c r="BY45" s="552"/>
      <c r="BZ45" s="552"/>
      <c r="CA45" s="552">
        <f t="shared" si="12"/>
        <v>0</v>
      </c>
      <c r="CB45" s="552">
        <f t="shared" si="12"/>
        <v>0</v>
      </c>
      <c r="CC45" s="552">
        <f t="shared" si="12"/>
        <v>0</v>
      </c>
      <c r="CD45" s="552">
        <f t="shared" si="12"/>
        <v>0</v>
      </c>
      <c r="CE45" s="552">
        <f t="shared" si="12"/>
        <v>0</v>
      </c>
      <c r="CF45" s="552">
        <f t="shared" si="12"/>
        <v>0</v>
      </c>
      <c r="CG45" s="552">
        <f t="shared" si="12"/>
        <v>0</v>
      </c>
      <c r="CH45" s="552">
        <f t="shared" si="12"/>
        <v>0</v>
      </c>
      <c r="CI45" s="552">
        <f t="shared" si="12"/>
        <v>0</v>
      </c>
      <c r="CJ45" s="552">
        <f t="shared" si="12"/>
        <v>0</v>
      </c>
      <c r="CK45" s="552">
        <f t="shared" si="12"/>
        <v>0</v>
      </c>
      <c r="CL45" s="552">
        <f t="shared" si="12"/>
        <v>0</v>
      </c>
      <c r="CM45" s="552">
        <f t="shared" si="12"/>
        <v>0</v>
      </c>
      <c r="CN45" s="552">
        <f t="shared" si="12"/>
        <v>0</v>
      </c>
      <c r="CO45" s="552">
        <f t="shared" si="12"/>
        <v>0</v>
      </c>
      <c r="CP45" s="552">
        <f t="shared" si="12"/>
        <v>0</v>
      </c>
      <c r="CQ45" s="552">
        <f t="shared" si="17"/>
        <v>0</v>
      </c>
      <c r="CR45" s="552">
        <f t="shared" si="17"/>
        <v>0</v>
      </c>
      <c r="CS45" s="552">
        <f t="shared" si="9"/>
        <v>0</v>
      </c>
      <c r="CT45" s="552"/>
      <c r="CU45" s="552"/>
      <c r="CV45" s="552"/>
      <c r="CW45" s="552"/>
      <c r="CX45" s="552"/>
      <c r="CY45" s="552"/>
      <c r="CZ45" s="552"/>
      <c r="DA45" s="472"/>
      <c r="DB45" s="552">
        <f t="shared" si="14"/>
        <v>0</v>
      </c>
      <c r="DC45" s="552">
        <f t="shared" si="14"/>
        <v>0</v>
      </c>
      <c r="DD45" s="552">
        <f t="shared" si="14"/>
        <v>0</v>
      </c>
      <c r="DE45" s="552">
        <f t="shared" si="14"/>
        <v>0</v>
      </c>
      <c r="DF45" s="552">
        <f t="shared" si="14"/>
        <v>0</v>
      </c>
      <c r="DG45" s="552">
        <f t="shared" si="14"/>
        <v>0</v>
      </c>
      <c r="DH45" s="552">
        <f t="shared" si="11"/>
        <v>0</v>
      </c>
      <c r="DI45" s="554"/>
      <c r="DJ45" s="525">
        <f>IFERROR(VLOOKUP(A45,'Transp. Dre Rodovia'!$A$19:$D$29,4,FALSE),0)+IFERROR(VLOOKUP(A45,#REF!,4,FALSE),0)</f>
        <v>0</v>
      </c>
    </row>
    <row r="46" spans="1:114" ht="12.75" hidden="1" customHeight="1">
      <c r="A46" s="470">
        <v>41436</v>
      </c>
      <c r="B46" s="550" t="s">
        <v>477</v>
      </c>
      <c r="C46" s="551" t="s">
        <v>107</v>
      </c>
      <c r="D46" s="552">
        <v>0</v>
      </c>
      <c r="E46" s="552">
        <v>0</v>
      </c>
      <c r="F46" s="552">
        <v>0</v>
      </c>
      <c r="G46" s="552">
        <v>0</v>
      </c>
      <c r="H46" s="552">
        <v>0</v>
      </c>
      <c r="I46" s="552">
        <v>0</v>
      </c>
      <c r="J46" s="552">
        <v>2.92</v>
      </c>
      <c r="K46" s="552">
        <v>0.90449999999999997</v>
      </c>
      <c r="L46" s="552">
        <v>0.85649999999999993</v>
      </c>
      <c r="M46" s="552">
        <v>332</v>
      </c>
      <c r="N46" s="553">
        <v>0</v>
      </c>
      <c r="O46" s="553">
        <v>0</v>
      </c>
      <c r="P46" s="552">
        <v>0</v>
      </c>
      <c r="Q46" s="552">
        <v>0</v>
      </c>
      <c r="R46" s="552">
        <v>0</v>
      </c>
      <c r="S46" s="552">
        <v>0</v>
      </c>
      <c r="T46" s="552">
        <v>0</v>
      </c>
      <c r="U46" s="552">
        <v>0</v>
      </c>
      <c r="V46" s="552">
        <v>0</v>
      </c>
      <c r="W46" s="552">
        <v>0</v>
      </c>
      <c r="X46" s="552">
        <v>0</v>
      </c>
      <c r="Y46" s="552">
        <v>0</v>
      </c>
      <c r="Z46" s="552">
        <v>0</v>
      </c>
      <c r="AA46" s="552">
        <v>0</v>
      </c>
      <c r="AB46" s="552">
        <v>0</v>
      </c>
      <c r="AC46" s="552">
        <v>0</v>
      </c>
      <c r="AD46" s="552">
        <v>0</v>
      </c>
      <c r="AE46" s="552">
        <v>0</v>
      </c>
      <c r="AF46" s="552">
        <v>0</v>
      </c>
      <c r="AG46" s="552">
        <v>0</v>
      </c>
      <c r="AH46" s="552">
        <v>0</v>
      </c>
      <c r="AI46" s="552">
        <v>0</v>
      </c>
      <c r="AJ46" s="552">
        <v>0</v>
      </c>
      <c r="AK46" s="552">
        <v>0</v>
      </c>
      <c r="AL46" s="552">
        <v>0</v>
      </c>
      <c r="AM46" s="552">
        <v>0</v>
      </c>
      <c r="AN46" s="552">
        <v>0</v>
      </c>
      <c r="AO46" s="552">
        <v>0</v>
      </c>
      <c r="AP46" s="552">
        <v>0</v>
      </c>
      <c r="AQ46" s="552">
        <v>0</v>
      </c>
      <c r="AR46" s="554"/>
      <c r="AS46" s="555">
        <f t="shared" si="2"/>
        <v>2.92</v>
      </c>
      <c r="AT46" s="555">
        <f t="shared" si="3"/>
        <v>0</v>
      </c>
      <c r="AU46" s="556"/>
      <c r="AV46" s="553">
        <f t="shared" si="15"/>
        <v>2.64114</v>
      </c>
      <c r="AW46" s="553">
        <f t="shared" si="15"/>
        <v>2.5009799999999998</v>
      </c>
      <c r="AX46" s="553">
        <f t="shared" si="15"/>
        <v>969.43999999999994</v>
      </c>
      <c r="AY46" s="552">
        <f t="shared" si="5"/>
        <v>0</v>
      </c>
      <c r="AZ46" s="552">
        <f t="shared" si="16"/>
        <v>0</v>
      </c>
      <c r="BA46" s="552">
        <f t="shared" si="16"/>
        <v>0</v>
      </c>
      <c r="BB46" s="557"/>
      <c r="BC46" s="552">
        <v>0</v>
      </c>
      <c r="BD46" s="552">
        <v>0</v>
      </c>
      <c r="BE46" s="552">
        <v>0</v>
      </c>
      <c r="BF46" s="552">
        <v>0</v>
      </c>
      <c r="BG46" s="554" t="str">
        <f>IFERROR(VLOOKUP(#REF!,#REF!,4,FALSE),"")</f>
        <v/>
      </c>
      <c r="BH46" s="552"/>
      <c r="BI46" s="552"/>
      <c r="BJ46" s="552"/>
      <c r="BK46" s="552"/>
      <c r="BL46" s="552"/>
      <c r="BM46" s="552"/>
      <c r="BN46" s="552"/>
      <c r="BO46" s="552"/>
      <c r="BP46" s="552"/>
      <c r="BQ46" s="552"/>
      <c r="BR46" s="552"/>
      <c r="BS46" s="552"/>
      <c r="BT46" s="552"/>
      <c r="BU46" s="552"/>
      <c r="BV46" s="552"/>
      <c r="BW46" s="552"/>
      <c r="BX46" s="552"/>
      <c r="BY46" s="552"/>
      <c r="BZ46" s="552"/>
      <c r="CA46" s="552">
        <f t="shared" si="12"/>
        <v>0</v>
      </c>
      <c r="CB46" s="552">
        <f t="shared" si="12"/>
        <v>0</v>
      </c>
      <c r="CC46" s="552">
        <f t="shared" si="12"/>
        <v>0</v>
      </c>
      <c r="CD46" s="552">
        <f t="shared" si="12"/>
        <v>0</v>
      </c>
      <c r="CE46" s="552">
        <f t="shared" si="12"/>
        <v>0</v>
      </c>
      <c r="CF46" s="552">
        <f t="shared" si="12"/>
        <v>0</v>
      </c>
      <c r="CG46" s="552">
        <f t="shared" si="12"/>
        <v>0</v>
      </c>
      <c r="CH46" s="552">
        <f t="shared" si="12"/>
        <v>0</v>
      </c>
      <c r="CI46" s="552">
        <f t="shared" si="12"/>
        <v>0</v>
      </c>
      <c r="CJ46" s="552">
        <f t="shared" si="12"/>
        <v>0</v>
      </c>
      <c r="CK46" s="552">
        <f t="shared" si="12"/>
        <v>0</v>
      </c>
      <c r="CL46" s="552">
        <f t="shared" si="12"/>
        <v>0</v>
      </c>
      <c r="CM46" s="552">
        <f t="shared" si="12"/>
        <v>0</v>
      </c>
      <c r="CN46" s="552">
        <f t="shared" si="12"/>
        <v>0</v>
      </c>
      <c r="CO46" s="552">
        <f t="shared" si="12"/>
        <v>0</v>
      </c>
      <c r="CP46" s="552">
        <f t="shared" si="12"/>
        <v>0</v>
      </c>
      <c r="CQ46" s="552">
        <f t="shared" si="17"/>
        <v>0</v>
      </c>
      <c r="CR46" s="552">
        <f t="shared" si="17"/>
        <v>0</v>
      </c>
      <c r="CS46" s="552">
        <f t="shared" si="9"/>
        <v>0</v>
      </c>
      <c r="CT46" s="552"/>
      <c r="CU46" s="552"/>
      <c r="CV46" s="552"/>
      <c r="CW46" s="552"/>
      <c r="CX46" s="552"/>
      <c r="CY46" s="552"/>
      <c r="CZ46" s="552"/>
      <c r="DA46" s="472"/>
      <c r="DB46" s="552">
        <f t="shared" si="14"/>
        <v>0</v>
      </c>
      <c r="DC46" s="552">
        <f t="shared" si="14"/>
        <v>0</v>
      </c>
      <c r="DD46" s="552">
        <f t="shared" si="14"/>
        <v>0</v>
      </c>
      <c r="DE46" s="552">
        <f t="shared" si="14"/>
        <v>0</v>
      </c>
      <c r="DF46" s="552">
        <f t="shared" si="14"/>
        <v>0</v>
      </c>
      <c r="DG46" s="552">
        <f t="shared" si="14"/>
        <v>0</v>
      </c>
      <c r="DH46" s="552">
        <f t="shared" si="11"/>
        <v>0</v>
      </c>
      <c r="DI46" s="554"/>
      <c r="DJ46" s="525">
        <f>IFERROR(VLOOKUP(A46,'Transp. Dre Rodovia'!$A$19:$D$29,4,FALSE),0)+IFERROR(VLOOKUP(A46,#REF!,4,FALSE),0)</f>
        <v>0</v>
      </c>
    </row>
    <row r="47" spans="1:114" ht="12.75" hidden="1" customHeight="1">
      <c r="A47" s="470">
        <v>41437</v>
      </c>
      <c r="B47" s="550" t="s">
        <v>478</v>
      </c>
      <c r="C47" s="551" t="s">
        <v>107</v>
      </c>
      <c r="D47" s="552">
        <v>0</v>
      </c>
      <c r="E47" s="552">
        <v>0</v>
      </c>
      <c r="F47" s="552">
        <v>0</v>
      </c>
      <c r="G47" s="552">
        <v>0</v>
      </c>
      <c r="H47" s="552">
        <v>0</v>
      </c>
      <c r="I47" s="552">
        <v>0</v>
      </c>
      <c r="J47" s="552">
        <v>3.93</v>
      </c>
      <c r="K47" s="552">
        <v>0.90449999999999997</v>
      </c>
      <c r="L47" s="552">
        <v>0.85649999999999993</v>
      </c>
      <c r="M47" s="552">
        <v>332</v>
      </c>
      <c r="N47" s="553">
        <v>0</v>
      </c>
      <c r="O47" s="553">
        <v>0</v>
      </c>
      <c r="P47" s="552">
        <v>0</v>
      </c>
      <c r="Q47" s="552">
        <v>0</v>
      </c>
      <c r="R47" s="552">
        <v>0</v>
      </c>
      <c r="S47" s="552">
        <v>0</v>
      </c>
      <c r="T47" s="552">
        <v>0</v>
      </c>
      <c r="U47" s="552">
        <v>0</v>
      </c>
      <c r="V47" s="552">
        <v>0</v>
      </c>
      <c r="W47" s="552">
        <v>0</v>
      </c>
      <c r="X47" s="552">
        <v>0</v>
      </c>
      <c r="Y47" s="552">
        <v>0</v>
      </c>
      <c r="Z47" s="552">
        <v>0</v>
      </c>
      <c r="AA47" s="552">
        <v>0</v>
      </c>
      <c r="AB47" s="552">
        <v>0</v>
      </c>
      <c r="AC47" s="552">
        <v>0</v>
      </c>
      <c r="AD47" s="552">
        <v>0</v>
      </c>
      <c r="AE47" s="552">
        <v>0</v>
      </c>
      <c r="AF47" s="552">
        <v>0</v>
      </c>
      <c r="AG47" s="552">
        <v>0</v>
      </c>
      <c r="AH47" s="552">
        <v>0</v>
      </c>
      <c r="AI47" s="552">
        <v>0</v>
      </c>
      <c r="AJ47" s="552">
        <v>0</v>
      </c>
      <c r="AK47" s="552">
        <v>0</v>
      </c>
      <c r="AL47" s="552">
        <v>0</v>
      </c>
      <c r="AM47" s="552">
        <v>0</v>
      </c>
      <c r="AN47" s="552">
        <v>0</v>
      </c>
      <c r="AO47" s="552">
        <v>0</v>
      </c>
      <c r="AP47" s="552">
        <v>0</v>
      </c>
      <c r="AQ47" s="552">
        <v>0</v>
      </c>
      <c r="AR47" s="554"/>
      <c r="AS47" s="555">
        <f t="shared" si="2"/>
        <v>3.93</v>
      </c>
      <c r="AT47" s="555">
        <f t="shared" si="3"/>
        <v>0</v>
      </c>
      <c r="AU47" s="556"/>
      <c r="AV47" s="553">
        <f t="shared" si="15"/>
        <v>3.5546850000000001</v>
      </c>
      <c r="AW47" s="553">
        <f t="shared" si="15"/>
        <v>3.3660449999999997</v>
      </c>
      <c r="AX47" s="553">
        <f t="shared" si="15"/>
        <v>1304.76</v>
      </c>
      <c r="AY47" s="552">
        <f t="shared" si="5"/>
        <v>0</v>
      </c>
      <c r="AZ47" s="552">
        <f t="shared" si="16"/>
        <v>0</v>
      </c>
      <c r="BA47" s="552">
        <f t="shared" si="16"/>
        <v>0</v>
      </c>
      <c r="BB47" s="557"/>
      <c r="BC47" s="552">
        <v>0</v>
      </c>
      <c r="BD47" s="552">
        <v>0</v>
      </c>
      <c r="BE47" s="552">
        <v>0</v>
      </c>
      <c r="BF47" s="552">
        <v>0</v>
      </c>
      <c r="BG47" s="554" t="str">
        <f>IFERROR(VLOOKUP(#REF!,#REF!,4,FALSE),"")</f>
        <v/>
      </c>
      <c r="BH47" s="552"/>
      <c r="BI47" s="552"/>
      <c r="BJ47" s="552"/>
      <c r="BK47" s="552"/>
      <c r="BL47" s="552"/>
      <c r="BM47" s="552"/>
      <c r="BN47" s="552"/>
      <c r="BO47" s="552"/>
      <c r="BP47" s="552"/>
      <c r="BQ47" s="552"/>
      <c r="BR47" s="552"/>
      <c r="BS47" s="552"/>
      <c r="BT47" s="552"/>
      <c r="BU47" s="552"/>
      <c r="BV47" s="552"/>
      <c r="BW47" s="552"/>
      <c r="BX47" s="552"/>
      <c r="BY47" s="552"/>
      <c r="BZ47" s="552"/>
      <c r="CA47" s="552">
        <f t="shared" si="12"/>
        <v>0</v>
      </c>
      <c r="CB47" s="552">
        <f t="shared" si="12"/>
        <v>0</v>
      </c>
      <c r="CC47" s="552">
        <f t="shared" si="12"/>
        <v>0</v>
      </c>
      <c r="CD47" s="552">
        <f t="shared" si="12"/>
        <v>0</v>
      </c>
      <c r="CE47" s="552">
        <f t="shared" si="12"/>
        <v>0</v>
      </c>
      <c r="CF47" s="552">
        <f t="shared" si="12"/>
        <v>0</v>
      </c>
      <c r="CG47" s="552">
        <f t="shared" si="12"/>
        <v>0</v>
      </c>
      <c r="CH47" s="552">
        <f t="shared" si="12"/>
        <v>0</v>
      </c>
      <c r="CI47" s="552">
        <f t="shared" si="12"/>
        <v>0</v>
      </c>
      <c r="CJ47" s="552">
        <f t="shared" si="12"/>
        <v>0</v>
      </c>
      <c r="CK47" s="552">
        <f t="shared" si="12"/>
        <v>0</v>
      </c>
      <c r="CL47" s="552">
        <f t="shared" si="12"/>
        <v>0</v>
      </c>
      <c r="CM47" s="552">
        <f t="shared" si="12"/>
        <v>0</v>
      </c>
      <c r="CN47" s="552">
        <f t="shared" si="12"/>
        <v>0</v>
      </c>
      <c r="CO47" s="552">
        <f t="shared" si="12"/>
        <v>0</v>
      </c>
      <c r="CP47" s="552">
        <f t="shared" si="12"/>
        <v>0</v>
      </c>
      <c r="CQ47" s="552">
        <f t="shared" si="17"/>
        <v>0</v>
      </c>
      <c r="CR47" s="552">
        <f t="shared" si="17"/>
        <v>0</v>
      </c>
      <c r="CS47" s="552">
        <f t="shared" si="9"/>
        <v>0</v>
      </c>
      <c r="CT47" s="552"/>
      <c r="CU47" s="552"/>
      <c r="CV47" s="552"/>
      <c r="CW47" s="552"/>
      <c r="CX47" s="552"/>
      <c r="CY47" s="552"/>
      <c r="CZ47" s="552"/>
      <c r="DA47" s="472"/>
      <c r="DB47" s="552">
        <f t="shared" si="14"/>
        <v>0</v>
      </c>
      <c r="DC47" s="552">
        <f t="shared" si="14"/>
        <v>0</v>
      </c>
      <c r="DD47" s="552">
        <f t="shared" si="14"/>
        <v>0</v>
      </c>
      <c r="DE47" s="552">
        <f t="shared" si="14"/>
        <v>0</v>
      </c>
      <c r="DF47" s="552">
        <f t="shared" si="14"/>
        <v>0</v>
      </c>
      <c r="DG47" s="552">
        <f t="shared" si="14"/>
        <v>0</v>
      </c>
      <c r="DH47" s="552">
        <f t="shared" si="11"/>
        <v>0</v>
      </c>
      <c r="DI47" s="554"/>
      <c r="DJ47" s="525">
        <f>IFERROR(VLOOKUP(A47,'Transp. Dre Rodovia'!$A$19:$D$29,4,FALSE),0)+IFERROR(VLOOKUP(A47,#REF!,4,FALSE),0)</f>
        <v>0</v>
      </c>
    </row>
    <row r="48" spans="1:114" ht="12.75" hidden="1" customHeight="1">
      <c r="A48" s="470">
        <v>41438</v>
      </c>
      <c r="B48" s="550" t="s">
        <v>479</v>
      </c>
      <c r="C48" s="551" t="s">
        <v>107</v>
      </c>
      <c r="D48" s="552">
        <v>0</v>
      </c>
      <c r="E48" s="552">
        <v>0</v>
      </c>
      <c r="F48" s="552">
        <v>0</v>
      </c>
      <c r="G48" s="552">
        <v>0</v>
      </c>
      <c r="H48" s="552">
        <v>0</v>
      </c>
      <c r="I48" s="552">
        <v>0</v>
      </c>
      <c r="J48" s="552">
        <v>3.93</v>
      </c>
      <c r="K48" s="552">
        <v>0.90449999999999997</v>
      </c>
      <c r="L48" s="552">
        <v>0.85649999999999993</v>
      </c>
      <c r="M48" s="552">
        <v>332</v>
      </c>
      <c r="N48" s="553">
        <v>0</v>
      </c>
      <c r="O48" s="553">
        <v>0</v>
      </c>
      <c r="P48" s="552">
        <v>0</v>
      </c>
      <c r="Q48" s="552">
        <v>0</v>
      </c>
      <c r="R48" s="552">
        <v>0</v>
      </c>
      <c r="S48" s="552">
        <v>0</v>
      </c>
      <c r="T48" s="552">
        <v>0</v>
      </c>
      <c r="U48" s="552">
        <v>0</v>
      </c>
      <c r="V48" s="552">
        <v>0</v>
      </c>
      <c r="W48" s="552">
        <v>0</v>
      </c>
      <c r="X48" s="552">
        <v>0</v>
      </c>
      <c r="Y48" s="552">
        <v>0</v>
      </c>
      <c r="Z48" s="552">
        <v>0</v>
      </c>
      <c r="AA48" s="552">
        <v>0</v>
      </c>
      <c r="AB48" s="552">
        <v>0</v>
      </c>
      <c r="AC48" s="552">
        <v>0</v>
      </c>
      <c r="AD48" s="552">
        <v>0</v>
      </c>
      <c r="AE48" s="552">
        <v>0</v>
      </c>
      <c r="AF48" s="552">
        <v>0</v>
      </c>
      <c r="AG48" s="552">
        <v>0</v>
      </c>
      <c r="AH48" s="552">
        <v>0</v>
      </c>
      <c r="AI48" s="552">
        <v>0</v>
      </c>
      <c r="AJ48" s="552">
        <v>0</v>
      </c>
      <c r="AK48" s="552">
        <v>0</v>
      </c>
      <c r="AL48" s="552">
        <v>0</v>
      </c>
      <c r="AM48" s="552">
        <v>0</v>
      </c>
      <c r="AN48" s="552">
        <v>0</v>
      </c>
      <c r="AO48" s="552">
        <v>0</v>
      </c>
      <c r="AP48" s="552">
        <v>0</v>
      </c>
      <c r="AQ48" s="552">
        <v>0</v>
      </c>
      <c r="AR48" s="554"/>
      <c r="AS48" s="555">
        <f t="shared" si="2"/>
        <v>3.93</v>
      </c>
      <c r="AT48" s="555">
        <f t="shared" si="3"/>
        <v>0</v>
      </c>
      <c r="AU48" s="556"/>
      <c r="AV48" s="553">
        <f t="shared" si="15"/>
        <v>3.5546850000000001</v>
      </c>
      <c r="AW48" s="553">
        <f t="shared" si="15"/>
        <v>3.3660449999999997</v>
      </c>
      <c r="AX48" s="553">
        <f t="shared" si="15"/>
        <v>1304.76</v>
      </c>
      <c r="AY48" s="552">
        <f t="shared" si="5"/>
        <v>0</v>
      </c>
      <c r="AZ48" s="552">
        <f t="shared" si="16"/>
        <v>0</v>
      </c>
      <c r="BA48" s="552">
        <f t="shared" si="16"/>
        <v>0</v>
      </c>
      <c r="BB48" s="557"/>
      <c r="BC48" s="552">
        <v>0</v>
      </c>
      <c r="BD48" s="552">
        <v>0</v>
      </c>
      <c r="BE48" s="552">
        <v>0</v>
      </c>
      <c r="BF48" s="552">
        <v>0</v>
      </c>
      <c r="BG48" s="554" t="str">
        <f>IFERROR(VLOOKUP(#REF!,#REF!,4,FALSE),"")</f>
        <v/>
      </c>
      <c r="BH48" s="552"/>
      <c r="BI48" s="552"/>
      <c r="BJ48" s="552"/>
      <c r="BK48" s="552"/>
      <c r="BL48" s="552"/>
      <c r="BM48" s="552"/>
      <c r="BN48" s="552"/>
      <c r="BO48" s="552"/>
      <c r="BP48" s="552"/>
      <c r="BQ48" s="552"/>
      <c r="BR48" s="552"/>
      <c r="BS48" s="552"/>
      <c r="BT48" s="552"/>
      <c r="BU48" s="552"/>
      <c r="BV48" s="552"/>
      <c r="BW48" s="552"/>
      <c r="BX48" s="552"/>
      <c r="BY48" s="552"/>
      <c r="BZ48" s="552"/>
      <c r="CA48" s="552">
        <f t="shared" si="12"/>
        <v>0</v>
      </c>
      <c r="CB48" s="552">
        <f t="shared" si="12"/>
        <v>0</v>
      </c>
      <c r="CC48" s="552">
        <f t="shared" si="12"/>
        <v>0</v>
      </c>
      <c r="CD48" s="552">
        <f t="shared" si="12"/>
        <v>0</v>
      </c>
      <c r="CE48" s="552">
        <f t="shared" si="12"/>
        <v>0</v>
      </c>
      <c r="CF48" s="552">
        <f t="shared" si="12"/>
        <v>0</v>
      </c>
      <c r="CG48" s="552">
        <f t="shared" si="12"/>
        <v>0</v>
      </c>
      <c r="CH48" s="552">
        <f t="shared" si="12"/>
        <v>0</v>
      </c>
      <c r="CI48" s="552">
        <f t="shared" si="12"/>
        <v>0</v>
      </c>
      <c r="CJ48" s="552">
        <f t="shared" si="12"/>
        <v>0</v>
      </c>
      <c r="CK48" s="552">
        <f t="shared" si="12"/>
        <v>0</v>
      </c>
      <c r="CL48" s="552">
        <f t="shared" si="12"/>
        <v>0</v>
      </c>
      <c r="CM48" s="552">
        <f t="shared" si="12"/>
        <v>0</v>
      </c>
      <c r="CN48" s="552">
        <f t="shared" si="12"/>
        <v>0</v>
      </c>
      <c r="CO48" s="552">
        <f t="shared" si="12"/>
        <v>0</v>
      </c>
      <c r="CP48" s="552">
        <f t="shared" si="12"/>
        <v>0</v>
      </c>
      <c r="CQ48" s="552">
        <f t="shared" si="17"/>
        <v>0</v>
      </c>
      <c r="CR48" s="552">
        <f t="shared" si="17"/>
        <v>0</v>
      </c>
      <c r="CS48" s="552">
        <f t="shared" si="9"/>
        <v>0</v>
      </c>
      <c r="CT48" s="552"/>
      <c r="CU48" s="552"/>
      <c r="CV48" s="552"/>
      <c r="CW48" s="552"/>
      <c r="CX48" s="552"/>
      <c r="CY48" s="552"/>
      <c r="CZ48" s="552"/>
      <c r="DA48" s="472"/>
      <c r="DB48" s="552">
        <f t="shared" si="14"/>
        <v>0</v>
      </c>
      <c r="DC48" s="552">
        <f t="shared" si="14"/>
        <v>0</v>
      </c>
      <c r="DD48" s="552">
        <f t="shared" si="14"/>
        <v>0</v>
      </c>
      <c r="DE48" s="552">
        <f t="shared" si="14"/>
        <v>0</v>
      </c>
      <c r="DF48" s="552">
        <f t="shared" si="14"/>
        <v>0</v>
      </c>
      <c r="DG48" s="552">
        <f t="shared" si="14"/>
        <v>0</v>
      </c>
      <c r="DH48" s="552">
        <f t="shared" si="11"/>
        <v>0</v>
      </c>
      <c r="DI48" s="554"/>
      <c r="DJ48" s="525">
        <f>IFERROR(VLOOKUP(A48,'Transp. Dre Rodovia'!$A$19:$D$29,4,FALSE),0)+IFERROR(VLOOKUP(A48,#REF!,4,FALSE),0)</f>
        <v>0</v>
      </c>
    </row>
    <row r="49" spans="1:114" ht="12.75" customHeight="1">
      <c r="A49" s="470">
        <v>41806</v>
      </c>
      <c r="B49" s="550" t="s">
        <v>480</v>
      </c>
      <c r="C49" s="551" t="s">
        <v>107</v>
      </c>
      <c r="D49" s="552">
        <v>0.16900000000000001</v>
      </c>
      <c r="E49" s="552">
        <v>0.52600000000000002</v>
      </c>
      <c r="F49" s="552">
        <v>0.7</v>
      </c>
      <c r="G49" s="552">
        <v>0.89922000000000002</v>
      </c>
      <c r="H49" s="552">
        <v>1.1026199999999999</v>
      </c>
      <c r="I49" s="552">
        <v>280.53417999999999</v>
      </c>
      <c r="J49" s="552">
        <v>0</v>
      </c>
      <c r="K49" s="552">
        <v>0</v>
      </c>
      <c r="L49" s="552">
        <v>0</v>
      </c>
      <c r="M49" s="552">
        <v>0</v>
      </c>
      <c r="N49" s="553">
        <v>0</v>
      </c>
      <c r="O49" s="553">
        <v>0</v>
      </c>
      <c r="P49" s="552">
        <v>0</v>
      </c>
      <c r="Q49" s="552">
        <v>0</v>
      </c>
      <c r="R49" s="552">
        <v>0</v>
      </c>
      <c r="S49" s="552">
        <v>0</v>
      </c>
      <c r="T49" s="552">
        <v>0</v>
      </c>
      <c r="U49" s="552">
        <v>0</v>
      </c>
      <c r="V49" s="552">
        <v>0</v>
      </c>
      <c r="W49" s="552">
        <v>0</v>
      </c>
      <c r="X49" s="552">
        <v>0</v>
      </c>
      <c r="Y49" s="552">
        <v>0</v>
      </c>
      <c r="Z49" s="552">
        <v>0</v>
      </c>
      <c r="AA49" s="552">
        <v>0</v>
      </c>
      <c r="AB49" s="552">
        <v>0</v>
      </c>
      <c r="AC49" s="552">
        <v>0</v>
      </c>
      <c r="AD49" s="552">
        <v>0</v>
      </c>
      <c r="AE49" s="552">
        <v>0</v>
      </c>
      <c r="AF49" s="552">
        <v>0</v>
      </c>
      <c r="AG49" s="552">
        <v>0</v>
      </c>
      <c r="AH49" s="552">
        <v>5.0000000000000001E-3</v>
      </c>
      <c r="AI49" s="552">
        <v>1.7249999999999999</v>
      </c>
      <c r="AJ49" s="552">
        <v>350</v>
      </c>
      <c r="AK49" s="552">
        <v>0</v>
      </c>
      <c r="AL49" s="552">
        <v>0</v>
      </c>
      <c r="AM49" s="552">
        <v>0</v>
      </c>
      <c r="AN49" s="552">
        <v>0</v>
      </c>
      <c r="AO49" s="552">
        <v>0</v>
      </c>
      <c r="AP49" s="552">
        <v>0</v>
      </c>
      <c r="AQ49" s="552">
        <v>0</v>
      </c>
      <c r="AR49" s="554"/>
      <c r="AS49" s="555">
        <f t="shared" si="2"/>
        <v>0.1183</v>
      </c>
      <c r="AT49" s="555">
        <f t="shared" si="3"/>
        <v>5.0000000000000001E-3</v>
      </c>
      <c r="AU49" s="556"/>
      <c r="AV49" s="553">
        <f t="shared" si="15"/>
        <v>0.10637772600000001</v>
      </c>
      <c r="AW49" s="553">
        <f t="shared" si="15"/>
        <v>0.130439946</v>
      </c>
      <c r="AX49" s="553">
        <f t="shared" si="15"/>
        <v>33.187193493999999</v>
      </c>
      <c r="AY49" s="552">
        <f t="shared" si="5"/>
        <v>8.8894000000000015E-2</v>
      </c>
      <c r="AZ49" s="552">
        <f t="shared" si="16"/>
        <v>8.624999999999999E-3</v>
      </c>
      <c r="BA49" s="552">
        <f t="shared" si="16"/>
        <v>1.75</v>
      </c>
      <c r="BB49" s="557"/>
      <c r="BC49" s="552">
        <v>0</v>
      </c>
      <c r="BD49" s="552">
        <v>0</v>
      </c>
      <c r="BE49" s="552">
        <v>0</v>
      </c>
      <c r="BF49" s="552">
        <v>0</v>
      </c>
      <c r="BG49" s="554" t="str">
        <f>IFERROR(VLOOKUP(#REF!,#REF!,4,FALSE),"")</f>
        <v/>
      </c>
      <c r="BH49" s="552">
        <v>0.12</v>
      </c>
      <c r="BI49" s="552"/>
      <c r="BJ49" s="552"/>
      <c r="BK49" s="552"/>
      <c r="BL49" s="552"/>
      <c r="BM49" s="552"/>
      <c r="BN49" s="552"/>
      <c r="BO49" s="552"/>
      <c r="BP49" s="552"/>
      <c r="BQ49" s="552"/>
      <c r="BR49" s="552"/>
      <c r="BS49" s="552"/>
      <c r="BT49" s="552"/>
      <c r="BU49" s="552"/>
      <c r="BV49" s="552"/>
      <c r="BW49" s="552"/>
      <c r="BX49" s="552"/>
      <c r="BY49" s="552"/>
      <c r="BZ49" s="552"/>
      <c r="CA49" s="552">
        <f t="shared" si="12"/>
        <v>1.8E-3</v>
      </c>
      <c r="CB49" s="552">
        <f t="shared" si="12"/>
        <v>0</v>
      </c>
      <c r="CC49" s="552">
        <f t="shared" si="12"/>
        <v>0</v>
      </c>
      <c r="CD49" s="552">
        <f t="shared" si="12"/>
        <v>0</v>
      </c>
      <c r="CE49" s="552">
        <f t="shared" si="12"/>
        <v>0</v>
      </c>
      <c r="CF49" s="552">
        <f t="shared" ref="CF49:CP77" si="18">CF$4*BM49</f>
        <v>0</v>
      </c>
      <c r="CG49" s="552">
        <f t="shared" si="18"/>
        <v>0</v>
      </c>
      <c r="CH49" s="552">
        <f t="shared" si="18"/>
        <v>0</v>
      </c>
      <c r="CI49" s="552">
        <f t="shared" si="18"/>
        <v>0</v>
      </c>
      <c r="CJ49" s="552">
        <f t="shared" si="18"/>
        <v>0</v>
      </c>
      <c r="CK49" s="552">
        <f t="shared" si="18"/>
        <v>0</v>
      </c>
      <c r="CL49" s="552">
        <f t="shared" si="18"/>
        <v>0</v>
      </c>
      <c r="CM49" s="552">
        <f t="shared" si="18"/>
        <v>0</v>
      </c>
      <c r="CN49" s="552">
        <f t="shared" si="18"/>
        <v>0</v>
      </c>
      <c r="CO49" s="552">
        <f t="shared" si="18"/>
        <v>0</v>
      </c>
      <c r="CP49" s="552">
        <f t="shared" si="18"/>
        <v>0</v>
      </c>
      <c r="CQ49" s="552">
        <f t="shared" si="17"/>
        <v>0</v>
      </c>
      <c r="CR49" s="552">
        <f t="shared" si="17"/>
        <v>0</v>
      </c>
      <c r="CS49" s="552">
        <f t="shared" si="9"/>
        <v>1.8E-3</v>
      </c>
      <c r="CT49" s="552"/>
      <c r="CU49" s="552">
        <v>1</v>
      </c>
      <c r="CV49" s="552"/>
      <c r="CW49" s="552"/>
      <c r="CX49" s="552"/>
      <c r="CY49" s="552"/>
      <c r="CZ49" s="552"/>
      <c r="DA49" s="472"/>
      <c r="DB49" s="552">
        <f t="shared" si="14"/>
        <v>0.34040999999999999</v>
      </c>
      <c r="DC49" s="552">
        <f t="shared" si="14"/>
        <v>0</v>
      </c>
      <c r="DD49" s="552">
        <f t="shared" si="14"/>
        <v>0</v>
      </c>
      <c r="DE49" s="552">
        <f t="shared" si="14"/>
        <v>0</v>
      </c>
      <c r="DF49" s="552">
        <f t="shared" si="14"/>
        <v>0</v>
      </c>
      <c r="DG49" s="552">
        <f t="shared" si="14"/>
        <v>0</v>
      </c>
      <c r="DH49" s="552">
        <f t="shared" si="11"/>
        <v>0.34040999999999999</v>
      </c>
      <c r="DI49" s="554"/>
      <c r="DJ49" s="525">
        <f>IFERROR(VLOOKUP(A49,'Transp. Dre Rodovia'!$A$19:$D$29,4,FALSE),0)+IFERROR(VLOOKUP(A49,#REF!,4,FALSE),0)</f>
        <v>11</v>
      </c>
    </row>
    <row r="50" spans="1:114" ht="12.75" hidden="1" customHeight="1">
      <c r="A50" s="470">
        <v>41811</v>
      </c>
      <c r="B50" s="550" t="s">
        <v>481</v>
      </c>
      <c r="C50" s="551" t="s">
        <v>107</v>
      </c>
      <c r="D50" s="552">
        <v>0.3</v>
      </c>
      <c r="E50" s="552">
        <v>0.52600000000000002</v>
      </c>
      <c r="F50" s="552">
        <v>0.7</v>
      </c>
      <c r="G50" s="552">
        <v>0.89922000000000002</v>
      </c>
      <c r="H50" s="552">
        <v>1.1026199999999999</v>
      </c>
      <c r="I50" s="552">
        <v>280.53417999999999</v>
      </c>
      <c r="J50" s="552">
        <v>0</v>
      </c>
      <c r="K50" s="552">
        <v>0</v>
      </c>
      <c r="L50" s="552">
        <v>0</v>
      </c>
      <c r="M50" s="552">
        <v>0</v>
      </c>
      <c r="N50" s="553">
        <v>0</v>
      </c>
      <c r="O50" s="553">
        <v>0</v>
      </c>
      <c r="P50" s="552">
        <v>0</v>
      </c>
      <c r="Q50" s="552">
        <v>0</v>
      </c>
      <c r="R50" s="552">
        <v>0</v>
      </c>
      <c r="S50" s="552">
        <v>0</v>
      </c>
      <c r="T50" s="552">
        <v>0</v>
      </c>
      <c r="U50" s="552">
        <v>0</v>
      </c>
      <c r="V50" s="552">
        <v>0</v>
      </c>
      <c r="W50" s="552">
        <v>0</v>
      </c>
      <c r="X50" s="552">
        <v>0</v>
      </c>
      <c r="Y50" s="552">
        <v>0</v>
      </c>
      <c r="Z50" s="552">
        <v>0</v>
      </c>
      <c r="AA50" s="552">
        <v>0</v>
      </c>
      <c r="AB50" s="552">
        <v>0</v>
      </c>
      <c r="AC50" s="552">
        <v>0</v>
      </c>
      <c r="AD50" s="552">
        <v>0</v>
      </c>
      <c r="AE50" s="552">
        <v>0</v>
      </c>
      <c r="AF50" s="552">
        <v>0</v>
      </c>
      <c r="AG50" s="552">
        <v>0</v>
      </c>
      <c r="AH50" s="552">
        <v>7.0000000000000001E-3</v>
      </c>
      <c r="AI50" s="552">
        <v>1.7249999999999999</v>
      </c>
      <c r="AJ50" s="552">
        <v>350</v>
      </c>
      <c r="AK50" s="552">
        <v>0</v>
      </c>
      <c r="AL50" s="552">
        <v>0</v>
      </c>
      <c r="AM50" s="552">
        <v>0</v>
      </c>
      <c r="AN50" s="552">
        <v>0</v>
      </c>
      <c r="AO50" s="552">
        <v>0</v>
      </c>
      <c r="AP50" s="552">
        <v>0</v>
      </c>
      <c r="AQ50" s="552">
        <v>0</v>
      </c>
      <c r="AR50" s="554"/>
      <c r="AS50" s="555">
        <f t="shared" si="2"/>
        <v>0.21</v>
      </c>
      <c r="AT50" s="555">
        <f t="shared" si="3"/>
        <v>7.0000000000000001E-3</v>
      </c>
      <c r="AU50" s="556"/>
      <c r="AV50" s="553">
        <f t="shared" si="15"/>
        <v>0.18883620000000001</v>
      </c>
      <c r="AW50" s="553">
        <f t="shared" si="15"/>
        <v>0.23155019999999998</v>
      </c>
      <c r="AX50" s="553">
        <f t="shared" si="15"/>
        <v>58.912177799999995</v>
      </c>
      <c r="AY50" s="552">
        <f t="shared" si="5"/>
        <v>0.1578</v>
      </c>
      <c r="AZ50" s="552">
        <f t="shared" si="16"/>
        <v>1.2074999999999999E-2</v>
      </c>
      <c r="BA50" s="552">
        <f t="shared" si="16"/>
        <v>2.4500000000000002</v>
      </c>
      <c r="BB50" s="557"/>
      <c r="BC50" s="552">
        <v>0</v>
      </c>
      <c r="BD50" s="552">
        <v>0</v>
      </c>
      <c r="BE50" s="552">
        <v>0</v>
      </c>
      <c r="BF50" s="552">
        <v>0</v>
      </c>
      <c r="BG50" s="554" t="str">
        <f>IFERROR(VLOOKUP(#REF!,#REF!,4,FALSE),"")</f>
        <v/>
      </c>
      <c r="BH50" s="552"/>
      <c r="BI50" s="552"/>
      <c r="BJ50" s="552"/>
      <c r="BK50" s="552"/>
      <c r="BL50" s="552"/>
      <c r="BM50" s="552"/>
      <c r="BN50" s="552"/>
      <c r="BO50" s="552"/>
      <c r="BP50" s="552"/>
      <c r="BQ50" s="552"/>
      <c r="BR50" s="552"/>
      <c r="BS50" s="552"/>
      <c r="BT50" s="552"/>
      <c r="BU50" s="552"/>
      <c r="BV50" s="552"/>
      <c r="BW50" s="552"/>
      <c r="BX50" s="552"/>
      <c r="BY50" s="552"/>
      <c r="BZ50" s="552"/>
      <c r="CA50" s="552">
        <f t="shared" ref="CA50:CO66" si="19">CA$4*BH50</f>
        <v>0</v>
      </c>
      <c r="CB50" s="552">
        <f t="shared" si="19"/>
        <v>0</v>
      </c>
      <c r="CC50" s="552">
        <f t="shared" si="19"/>
        <v>0</v>
      </c>
      <c r="CD50" s="552">
        <f t="shared" si="19"/>
        <v>0</v>
      </c>
      <c r="CE50" s="552">
        <f t="shared" si="19"/>
        <v>0</v>
      </c>
      <c r="CF50" s="552">
        <f t="shared" si="19"/>
        <v>0</v>
      </c>
      <c r="CG50" s="552">
        <f t="shared" si="19"/>
        <v>0</v>
      </c>
      <c r="CH50" s="552">
        <f t="shared" si="19"/>
        <v>0</v>
      </c>
      <c r="CI50" s="552">
        <f t="shared" si="19"/>
        <v>0</v>
      </c>
      <c r="CJ50" s="552">
        <f t="shared" si="19"/>
        <v>0</v>
      </c>
      <c r="CK50" s="552">
        <f t="shared" si="19"/>
        <v>0</v>
      </c>
      <c r="CL50" s="552">
        <f t="shared" si="19"/>
        <v>0</v>
      </c>
      <c r="CM50" s="552">
        <f t="shared" si="19"/>
        <v>0</v>
      </c>
      <c r="CN50" s="552">
        <f t="shared" si="19"/>
        <v>0</v>
      </c>
      <c r="CO50" s="552">
        <f t="shared" si="19"/>
        <v>0</v>
      </c>
      <c r="CP50" s="552">
        <f t="shared" si="18"/>
        <v>0</v>
      </c>
      <c r="CQ50" s="552">
        <f t="shared" si="17"/>
        <v>0</v>
      </c>
      <c r="CR50" s="552">
        <f t="shared" si="17"/>
        <v>0</v>
      </c>
      <c r="CS50" s="552">
        <f t="shared" si="9"/>
        <v>0</v>
      </c>
      <c r="CT50" s="552"/>
      <c r="CU50" s="552"/>
      <c r="CV50" s="552">
        <v>1</v>
      </c>
      <c r="CW50" s="552"/>
      <c r="CX50" s="552"/>
      <c r="CY50" s="552"/>
      <c r="CZ50" s="552"/>
      <c r="DA50" s="472"/>
      <c r="DB50" s="552">
        <f t="shared" si="14"/>
        <v>0</v>
      </c>
      <c r="DC50" s="552">
        <f t="shared" si="14"/>
        <v>0.53493000000000002</v>
      </c>
      <c r="DD50" s="552">
        <f t="shared" si="14"/>
        <v>0</v>
      </c>
      <c r="DE50" s="552">
        <f t="shared" si="14"/>
        <v>0</v>
      </c>
      <c r="DF50" s="552">
        <f t="shared" si="14"/>
        <v>0</v>
      </c>
      <c r="DG50" s="552">
        <f t="shared" si="14"/>
        <v>0</v>
      </c>
      <c r="DH50" s="552">
        <f t="shared" si="11"/>
        <v>0.53493000000000002</v>
      </c>
      <c r="DI50" s="554"/>
      <c r="DJ50" s="525">
        <f>IFERROR(VLOOKUP(A50,'Transp. Dre Rodovia'!$A$19:$D$29,4,FALSE),0)+IFERROR(VLOOKUP(A50,#REF!,4,FALSE),0)</f>
        <v>0</v>
      </c>
    </row>
    <row r="51" spans="1:114" ht="12.75" customHeight="1">
      <c r="A51" s="470">
        <v>41816</v>
      </c>
      <c r="B51" s="550" t="s">
        <v>482</v>
      </c>
      <c r="C51" s="551" t="s">
        <v>107</v>
      </c>
      <c r="D51" s="552">
        <v>0.46</v>
      </c>
      <c r="E51" s="552">
        <v>0.52600000000000002</v>
      </c>
      <c r="F51" s="552">
        <v>0.7</v>
      </c>
      <c r="G51" s="552">
        <v>0.89922000000000002</v>
      </c>
      <c r="H51" s="552">
        <v>1.1026199999999999</v>
      </c>
      <c r="I51" s="552">
        <v>280.53417999999999</v>
      </c>
      <c r="J51" s="552">
        <v>0</v>
      </c>
      <c r="K51" s="552">
        <v>0</v>
      </c>
      <c r="L51" s="552">
        <v>0</v>
      </c>
      <c r="M51" s="552">
        <v>0</v>
      </c>
      <c r="N51" s="553">
        <v>0</v>
      </c>
      <c r="O51" s="553">
        <v>0</v>
      </c>
      <c r="P51" s="552">
        <v>0</v>
      </c>
      <c r="Q51" s="552">
        <v>0</v>
      </c>
      <c r="R51" s="552">
        <v>0</v>
      </c>
      <c r="S51" s="552">
        <v>0</v>
      </c>
      <c r="T51" s="552">
        <v>0</v>
      </c>
      <c r="U51" s="552">
        <v>0</v>
      </c>
      <c r="V51" s="552">
        <v>0</v>
      </c>
      <c r="W51" s="552">
        <v>0</v>
      </c>
      <c r="X51" s="552">
        <v>0</v>
      </c>
      <c r="Y51" s="552">
        <v>0</v>
      </c>
      <c r="Z51" s="552">
        <v>0</v>
      </c>
      <c r="AA51" s="552">
        <v>0</v>
      </c>
      <c r="AB51" s="552">
        <v>0</v>
      </c>
      <c r="AC51" s="552">
        <v>0</v>
      </c>
      <c r="AD51" s="552">
        <v>0</v>
      </c>
      <c r="AE51" s="552">
        <v>0</v>
      </c>
      <c r="AF51" s="552">
        <v>0</v>
      </c>
      <c r="AG51" s="552">
        <v>0</v>
      </c>
      <c r="AH51" s="552">
        <v>0.01</v>
      </c>
      <c r="AI51" s="552">
        <v>1.7249999999999999</v>
      </c>
      <c r="AJ51" s="552">
        <v>350</v>
      </c>
      <c r="AK51" s="552">
        <v>0</v>
      </c>
      <c r="AL51" s="552">
        <v>0</v>
      </c>
      <c r="AM51" s="552">
        <v>0</v>
      </c>
      <c r="AN51" s="552">
        <v>0</v>
      </c>
      <c r="AO51" s="552">
        <v>0</v>
      </c>
      <c r="AP51" s="552">
        <v>0</v>
      </c>
      <c r="AQ51" s="552">
        <v>0</v>
      </c>
      <c r="AR51" s="554"/>
      <c r="AS51" s="555">
        <f t="shared" si="2"/>
        <v>0.32200000000000001</v>
      </c>
      <c r="AT51" s="555">
        <f t="shared" si="3"/>
        <v>0.01</v>
      </c>
      <c r="AU51" s="556"/>
      <c r="AV51" s="553">
        <f t="shared" si="15"/>
        <v>0.28954884000000003</v>
      </c>
      <c r="AW51" s="553">
        <f t="shared" si="15"/>
        <v>0.35504363999999999</v>
      </c>
      <c r="AX51" s="553">
        <f t="shared" si="15"/>
        <v>90.332005960000004</v>
      </c>
      <c r="AY51" s="552">
        <f t="shared" si="5"/>
        <v>0.24196000000000001</v>
      </c>
      <c r="AZ51" s="552">
        <f t="shared" si="16"/>
        <v>1.7249999999999998E-2</v>
      </c>
      <c r="BA51" s="552">
        <f t="shared" si="16"/>
        <v>3.5</v>
      </c>
      <c r="BB51" s="558"/>
      <c r="BC51" s="552">
        <v>0</v>
      </c>
      <c r="BD51" s="552">
        <v>0</v>
      </c>
      <c r="BE51" s="552">
        <v>0</v>
      </c>
      <c r="BF51" s="552">
        <v>0</v>
      </c>
      <c r="BG51" s="554" t="str">
        <f>IFERROR(VLOOKUP(#REF!,#REF!,4,FALSE),"")</f>
        <v/>
      </c>
      <c r="BH51" s="552">
        <v>0.2</v>
      </c>
      <c r="BI51" s="552"/>
      <c r="BJ51" s="552"/>
      <c r="BK51" s="552"/>
      <c r="BL51" s="552"/>
      <c r="BM51" s="552"/>
      <c r="BN51" s="552"/>
      <c r="BO51" s="552"/>
      <c r="BP51" s="552"/>
      <c r="BQ51" s="552"/>
      <c r="BR51" s="552"/>
      <c r="BS51" s="552"/>
      <c r="BT51" s="552"/>
      <c r="BU51" s="552"/>
      <c r="BV51" s="552"/>
      <c r="BW51" s="552"/>
      <c r="BX51" s="552"/>
      <c r="BY51" s="552"/>
      <c r="BZ51" s="552"/>
      <c r="CA51" s="552">
        <f t="shared" si="19"/>
        <v>3.0000000000000001E-3</v>
      </c>
      <c r="CB51" s="552">
        <f t="shared" si="19"/>
        <v>0</v>
      </c>
      <c r="CC51" s="552">
        <f t="shared" si="19"/>
        <v>0</v>
      </c>
      <c r="CD51" s="552">
        <f t="shared" si="19"/>
        <v>0</v>
      </c>
      <c r="CE51" s="552">
        <f t="shared" si="19"/>
        <v>0</v>
      </c>
      <c r="CF51" s="552">
        <f t="shared" si="19"/>
        <v>0</v>
      </c>
      <c r="CG51" s="552">
        <f t="shared" si="19"/>
        <v>0</v>
      </c>
      <c r="CH51" s="552">
        <f t="shared" si="19"/>
        <v>0</v>
      </c>
      <c r="CI51" s="559">
        <f t="shared" si="19"/>
        <v>0</v>
      </c>
      <c r="CJ51" s="552">
        <f t="shared" si="19"/>
        <v>0</v>
      </c>
      <c r="CK51" s="559">
        <f t="shared" si="19"/>
        <v>0</v>
      </c>
      <c r="CL51" s="559">
        <f t="shared" si="19"/>
        <v>0</v>
      </c>
      <c r="CM51" s="559">
        <f t="shared" si="19"/>
        <v>0</v>
      </c>
      <c r="CN51" s="559">
        <f t="shared" si="19"/>
        <v>0</v>
      </c>
      <c r="CO51" s="552">
        <f t="shared" si="19"/>
        <v>0</v>
      </c>
      <c r="CP51" s="552">
        <f t="shared" si="18"/>
        <v>0</v>
      </c>
      <c r="CQ51" s="552">
        <f t="shared" si="17"/>
        <v>0</v>
      </c>
      <c r="CR51" s="552">
        <f t="shared" si="17"/>
        <v>0</v>
      </c>
      <c r="CS51" s="552">
        <f t="shared" si="9"/>
        <v>3.0000000000000001E-3</v>
      </c>
      <c r="CT51" s="552"/>
      <c r="CU51" s="552"/>
      <c r="CV51" s="552"/>
      <c r="CW51" s="552">
        <v>1</v>
      </c>
      <c r="CX51" s="552"/>
      <c r="CY51" s="552"/>
      <c r="CZ51" s="552"/>
      <c r="DA51" s="472"/>
      <c r="DB51" s="552">
        <f t="shared" si="14"/>
        <v>0</v>
      </c>
      <c r="DC51" s="552">
        <f t="shared" si="14"/>
        <v>0</v>
      </c>
      <c r="DD51" s="552">
        <f t="shared" si="14"/>
        <v>0.74890000000000001</v>
      </c>
      <c r="DE51" s="552">
        <f t="shared" si="14"/>
        <v>0</v>
      </c>
      <c r="DF51" s="552">
        <f t="shared" si="14"/>
        <v>0</v>
      </c>
      <c r="DG51" s="552">
        <f t="shared" si="14"/>
        <v>0</v>
      </c>
      <c r="DH51" s="552">
        <f t="shared" si="11"/>
        <v>0.74890000000000001</v>
      </c>
      <c r="DI51" s="554"/>
      <c r="DJ51" s="525">
        <f>IFERROR(VLOOKUP(A51,'Transp. Dre Rodovia'!$A$19:$D$29,4,FALSE),0)+IFERROR(VLOOKUP(A51,#REF!,4,FALSE),0)</f>
        <v>17</v>
      </c>
    </row>
    <row r="52" spans="1:114" ht="12.75" hidden="1" customHeight="1">
      <c r="A52" s="470">
        <v>41821</v>
      </c>
      <c r="B52" s="550" t="s">
        <v>483</v>
      </c>
      <c r="C52" s="551" t="s">
        <v>107</v>
      </c>
      <c r="D52" s="552">
        <v>0.63900000000000001</v>
      </c>
      <c r="E52" s="552">
        <v>0.52600000000000002</v>
      </c>
      <c r="F52" s="552">
        <v>0.7</v>
      </c>
      <c r="G52" s="552">
        <v>0.89922000000000002</v>
      </c>
      <c r="H52" s="552">
        <v>1.1026199999999999</v>
      </c>
      <c r="I52" s="552">
        <v>280.53417999999999</v>
      </c>
      <c r="J52" s="552">
        <v>0</v>
      </c>
      <c r="K52" s="552">
        <v>0</v>
      </c>
      <c r="L52" s="552">
        <v>0</v>
      </c>
      <c r="M52" s="552">
        <v>0</v>
      </c>
      <c r="N52" s="553">
        <v>0</v>
      </c>
      <c r="O52" s="553">
        <v>0</v>
      </c>
      <c r="P52" s="552">
        <v>0</v>
      </c>
      <c r="Q52" s="552">
        <v>0</v>
      </c>
      <c r="R52" s="552">
        <v>0</v>
      </c>
      <c r="S52" s="552">
        <v>0</v>
      </c>
      <c r="T52" s="552">
        <v>0</v>
      </c>
      <c r="U52" s="552">
        <v>0</v>
      </c>
      <c r="V52" s="552">
        <v>0</v>
      </c>
      <c r="W52" s="552">
        <v>0</v>
      </c>
      <c r="X52" s="552">
        <v>0</v>
      </c>
      <c r="Y52" s="552">
        <v>0</v>
      </c>
      <c r="Z52" s="552">
        <v>0</v>
      </c>
      <c r="AA52" s="552">
        <v>0</v>
      </c>
      <c r="AB52" s="552">
        <v>0</v>
      </c>
      <c r="AC52" s="552">
        <v>0</v>
      </c>
      <c r="AD52" s="552">
        <v>0</v>
      </c>
      <c r="AE52" s="552">
        <v>0</v>
      </c>
      <c r="AF52" s="552">
        <v>0</v>
      </c>
      <c r="AG52" s="552">
        <v>0</v>
      </c>
      <c r="AH52" s="552">
        <v>1.2E-2</v>
      </c>
      <c r="AI52" s="552">
        <v>1.7249999999999999</v>
      </c>
      <c r="AJ52" s="552">
        <v>350</v>
      </c>
      <c r="AK52" s="552">
        <v>0</v>
      </c>
      <c r="AL52" s="552">
        <v>0</v>
      </c>
      <c r="AM52" s="552">
        <v>0</v>
      </c>
      <c r="AN52" s="552">
        <v>0</v>
      </c>
      <c r="AO52" s="552">
        <v>0</v>
      </c>
      <c r="AP52" s="552">
        <v>0</v>
      </c>
      <c r="AQ52" s="552">
        <v>0</v>
      </c>
      <c r="AR52" s="554"/>
      <c r="AS52" s="555">
        <f t="shared" si="2"/>
        <v>0.44729999999999998</v>
      </c>
      <c r="AT52" s="555">
        <f t="shared" si="3"/>
        <v>1.2E-2</v>
      </c>
      <c r="AU52" s="556"/>
      <c r="AV52" s="553">
        <f t="shared" si="15"/>
        <v>0.40222110599999999</v>
      </c>
      <c r="AW52" s="553">
        <f t="shared" si="15"/>
        <v>0.49320192599999996</v>
      </c>
      <c r="AX52" s="553">
        <f t="shared" si="15"/>
        <v>125.48293871399999</v>
      </c>
      <c r="AY52" s="552">
        <f t="shared" si="5"/>
        <v>0.33611400000000002</v>
      </c>
      <c r="AZ52" s="552">
        <f t="shared" si="16"/>
        <v>2.07E-2</v>
      </c>
      <c r="BA52" s="552">
        <f t="shared" si="16"/>
        <v>4.2</v>
      </c>
      <c r="BB52" s="557"/>
      <c r="BC52" s="552">
        <v>0</v>
      </c>
      <c r="BD52" s="552">
        <v>0</v>
      </c>
      <c r="BE52" s="552">
        <v>0</v>
      </c>
      <c r="BF52" s="552">
        <v>0</v>
      </c>
      <c r="BG52" s="554" t="str">
        <f>IFERROR(VLOOKUP(#REF!,#REF!,4,FALSE),"")</f>
        <v/>
      </c>
      <c r="BH52" s="552"/>
      <c r="BI52" s="552"/>
      <c r="BJ52" s="552"/>
      <c r="BK52" s="552"/>
      <c r="BL52" s="552"/>
      <c r="BM52" s="552"/>
      <c r="BN52" s="552"/>
      <c r="BO52" s="552"/>
      <c r="BP52" s="552"/>
      <c r="BQ52" s="552"/>
      <c r="BR52" s="552"/>
      <c r="BS52" s="552"/>
      <c r="BT52" s="552"/>
      <c r="BU52" s="552"/>
      <c r="BV52" s="552"/>
      <c r="BW52" s="552"/>
      <c r="BX52" s="552"/>
      <c r="BY52" s="552"/>
      <c r="BZ52" s="552"/>
      <c r="CA52" s="552">
        <f t="shared" si="19"/>
        <v>0</v>
      </c>
      <c r="CB52" s="552">
        <f t="shared" si="19"/>
        <v>0</v>
      </c>
      <c r="CC52" s="552">
        <f t="shared" si="19"/>
        <v>0</v>
      </c>
      <c r="CD52" s="552">
        <f t="shared" si="19"/>
        <v>0</v>
      </c>
      <c r="CE52" s="552">
        <f t="shared" si="19"/>
        <v>0</v>
      </c>
      <c r="CF52" s="552">
        <f t="shared" si="19"/>
        <v>0</v>
      </c>
      <c r="CG52" s="552">
        <f t="shared" si="19"/>
        <v>0</v>
      </c>
      <c r="CH52" s="552">
        <f t="shared" si="19"/>
        <v>0</v>
      </c>
      <c r="CI52" s="552">
        <f t="shared" si="19"/>
        <v>0</v>
      </c>
      <c r="CJ52" s="552">
        <f t="shared" si="19"/>
        <v>0</v>
      </c>
      <c r="CK52" s="552">
        <f t="shared" si="19"/>
        <v>0</v>
      </c>
      <c r="CL52" s="552">
        <f t="shared" si="19"/>
        <v>0</v>
      </c>
      <c r="CM52" s="552">
        <f t="shared" si="19"/>
        <v>0</v>
      </c>
      <c r="CN52" s="552">
        <f t="shared" si="19"/>
        <v>0</v>
      </c>
      <c r="CO52" s="552">
        <f t="shared" si="19"/>
        <v>0</v>
      </c>
      <c r="CP52" s="552">
        <f t="shared" si="18"/>
        <v>0</v>
      </c>
      <c r="CQ52" s="552">
        <f t="shared" si="17"/>
        <v>0</v>
      </c>
      <c r="CR52" s="552">
        <f t="shared" si="17"/>
        <v>0</v>
      </c>
      <c r="CS52" s="552">
        <f t="shared" si="9"/>
        <v>0</v>
      </c>
      <c r="CT52" s="552"/>
      <c r="CU52" s="552"/>
      <c r="CV52" s="552"/>
      <c r="CW52" s="552"/>
      <c r="CX52" s="552">
        <v>1</v>
      </c>
      <c r="CY52" s="552"/>
      <c r="CZ52" s="552"/>
      <c r="DA52" s="472"/>
      <c r="DB52" s="552">
        <f t="shared" si="14"/>
        <v>0</v>
      </c>
      <c r="DC52" s="552">
        <f t="shared" si="14"/>
        <v>0</v>
      </c>
      <c r="DD52" s="552">
        <f t="shared" si="14"/>
        <v>0</v>
      </c>
      <c r="DE52" s="552">
        <f t="shared" si="14"/>
        <v>1.24817</v>
      </c>
      <c r="DF52" s="552">
        <f t="shared" si="14"/>
        <v>0</v>
      </c>
      <c r="DG52" s="552">
        <f t="shared" si="14"/>
        <v>0</v>
      </c>
      <c r="DH52" s="552">
        <f t="shared" si="11"/>
        <v>1.24817</v>
      </c>
      <c r="DI52" s="554"/>
      <c r="DJ52" s="525">
        <f>IFERROR(VLOOKUP(A52,'Transp. Dre Rodovia'!$A$19:$D$29,4,FALSE),0)+IFERROR(VLOOKUP(A52,#REF!,4,FALSE),0)</f>
        <v>0</v>
      </c>
    </row>
    <row r="53" spans="1:114" hidden="1">
      <c r="A53" s="470">
        <v>41826</v>
      </c>
      <c r="B53" s="560" t="s">
        <v>484</v>
      </c>
      <c r="C53" s="551" t="s">
        <v>107</v>
      </c>
      <c r="D53" s="552">
        <v>0.94699999999999995</v>
      </c>
      <c r="E53" s="552">
        <v>0.52600000000000002</v>
      </c>
      <c r="F53" s="552">
        <v>0.7</v>
      </c>
      <c r="G53" s="552">
        <v>0.89922000000000002</v>
      </c>
      <c r="H53" s="552">
        <v>1.1026199999999999</v>
      </c>
      <c r="I53" s="552">
        <v>280.53417999999999</v>
      </c>
      <c r="J53" s="552">
        <v>0</v>
      </c>
      <c r="K53" s="552">
        <v>0</v>
      </c>
      <c r="L53" s="552">
        <v>0</v>
      </c>
      <c r="M53" s="552">
        <v>0</v>
      </c>
      <c r="N53" s="553">
        <v>0</v>
      </c>
      <c r="O53" s="553">
        <v>0</v>
      </c>
      <c r="P53" s="552">
        <v>0</v>
      </c>
      <c r="Q53" s="552">
        <v>0</v>
      </c>
      <c r="R53" s="552">
        <v>0</v>
      </c>
      <c r="S53" s="552">
        <v>0</v>
      </c>
      <c r="T53" s="552">
        <v>0</v>
      </c>
      <c r="U53" s="552">
        <v>0</v>
      </c>
      <c r="V53" s="552">
        <v>0</v>
      </c>
      <c r="W53" s="552">
        <v>0</v>
      </c>
      <c r="X53" s="552">
        <v>0</v>
      </c>
      <c r="Y53" s="552">
        <v>0</v>
      </c>
      <c r="Z53" s="552">
        <v>0</v>
      </c>
      <c r="AA53" s="552">
        <v>0</v>
      </c>
      <c r="AB53" s="552">
        <v>0</v>
      </c>
      <c r="AC53" s="552">
        <v>0</v>
      </c>
      <c r="AD53" s="552">
        <v>0</v>
      </c>
      <c r="AE53" s="552">
        <v>0</v>
      </c>
      <c r="AF53" s="552">
        <v>0</v>
      </c>
      <c r="AG53" s="552">
        <v>0</v>
      </c>
      <c r="AH53" s="552">
        <v>1.4999999999999999E-2</v>
      </c>
      <c r="AI53" s="552">
        <v>1.7249999999999999</v>
      </c>
      <c r="AJ53" s="552">
        <v>350</v>
      </c>
      <c r="AK53" s="552">
        <v>0</v>
      </c>
      <c r="AL53" s="552">
        <v>0</v>
      </c>
      <c r="AM53" s="552">
        <v>0</v>
      </c>
      <c r="AN53" s="552">
        <v>0</v>
      </c>
      <c r="AO53" s="552">
        <v>0</v>
      </c>
      <c r="AP53" s="552">
        <v>0</v>
      </c>
      <c r="AQ53" s="552">
        <v>0</v>
      </c>
      <c r="AR53" s="554"/>
      <c r="AS53" s="555">
        <f t="shared" si="2"/>
        <v>0.66289999999999993</v>
      </c>
      <c r="AT53" s="555">
        <f t="shared" si="3"/>
        <v>1.4999999999999999E-2</v>
      </c>
      <c r="AU53" s="556"/>
      <c r="AV53" s="553">
        <f t="shared" si="15"/>
        <v>0.59609293799999996</v>
      </c>
      <c r="AW53" s="553">
        <f t="shared" si="15"/>
        <v>0.73092679799999993</v>
      </c>
      <c r="AX53" s="553">
        <f t="shared" si="15"/>
        <v>185.96610792199996</v>
      </c>
      <c r="AY53" s="552">
        <f t="shared" si="5"/>
        <v>0.49812200000000001</v>
      </c>
      <c r="AZ53" s="552">
        <f t="shared" si="16"/>
        <v>2.5874999999999999E-2</v>
      </c>
      <c r="BA53" s="552">
        <f t="shared" si="16"/>
        <v>5.25</v>
      </c>
      <c r="BB53" s="557"/>
      <c r="BC53" s="552">
        <v>0</v>
      </c>
      <c r="BD53" s="552">
        <v>0</v>
      </c>
      <c r="BE53" s="552">
        <v>0</v>
      </c>
      <c r="BF53" s="552">
        <v>0</v>
      </c>
      <c r="BG53" s="554" t="str">
        <f>IFERROR(VLOOKUP(#REF!,#REF!,4,FALSE),"")</f>
        <v/>
      </c>
      <c r="BH53" s="552">
        <v>0.28000000000000003</v>
      </c>
      <c r="BI53" s="552"/>
      <c r="BJ53" s="552"/>
      <c r="BK53" s="552"/>
      <c r="BL53" s="552"/>
      <c r="BM53" s="552"/>
      <c r="BN53" s="552"/>
      <c r="BO53" s="552"/>
      <c r="BP53" s="552"/>
      <c r="BQ53" s="552"/>
      <c r="BR53" s="552"/>
      <c r="BS53" s="552"/>
      <c r="BT53" s="552"/>
      <c r="BU53" s="552"/>
      <c r="BV53" s="552"/>
      <c r="BW53" s="552"/>
      <c r="BX53" s="552"/>
      <c r="BY53" s="552"/>
      <c r="BZ53" s="552"/>
      <c r="CA53" s="552">
        <f t="shared" si="19"/>
        <v>4.2000000000000006E-3</v>
      </c>
      <c r="CB53" s="552">
        <f t="shared" si="19"/>
        <v>0</v>
      </c>
      <c r="CC53" s="552">
        <f t="shared" si="19"/>
        <v>0</v>
      </c>
      <c r="CD53" s="552">
        <f t="shared" si="19"/>
        <v>0</v>
      </c>
      <c r="CE53" s="552">
        <f t="shared" si="19"/>
        <v>0</v>
      </c>
      <c r="CF53" s="552">
        <f t="shared" si="19"/>
        <v>0</v>
      </c>
      <c r="CG53" s="552">
        <f t="shared" si="19"/>
        <v>0</v>
      </c>
      <c r="CH53" s="552">
        <f t="shared" si="19"/>
        <v>0</v>
      </c>
      <c r="CI53" s="552">
        <f t="shared" si="19"/>
        <v>0</v>
      </c>
      <c r="CJ53" s="552">
        <f t="shared" si="19"/>
        <v>0</v>
      </c>
      <c r="CK53" s="552">
        <f t="shared" si="19"/>
        <v>0</v>
      </c>
      <c r="CL53" s="552">
        <f t="shared" si="19"/>
        <v>0</v>
      </c>
      <c r="CM53" s="552">
        <f t="shared" si="19"/>
        <v>0</v>
      </c>
      <c r="CN53" s="552">
        <f t="shared" si="19"/>
        <v>0</v>
      </c>
      <c r="CO53" s="552">
        <f t="shared" si="19"/>
        <v>0</v>
      </c>
      <c r="CP53" s="552">
        <f t="shared" si="18"/>
        <v>0</v>
      </c>
      <c r="CQ53" s="552">
        <f t="shared" si="17"/>
        <v>0</v>
      </c>
      <c r="CR53" s="552">
        <f t="shared" si="17"/>
        <v>0</v>
      </c>
      <c r="CS53" s="552">
        <f t="shared" si="9"/>
        <v>4.2000000000000006E-3</v>
      </c>
      <c r="CT53" s="552"/>
      <c r="CU53" s="552"/>
      <c r="CV53" s="552"/>
      <c r="CW53" s="552"/>
      <c r="CX53" s="552"/>
      <c r="CY53" s="552">
        <v>1</v>
      </c>
      <c r="CZ53" s="552">
        <v>1</v>
      </c>
      <c r="DA53" s="472"/>
      <c r="DB53" s="552">
        <f t="shared" si="14"/>
        <v>0</v>
      </c>
      <c r="DC53" s="552">
        <f t="shared" si="14"/>
        <v>0</v>
      </c>
      <c r="DD53" s="552">
        <f t="shared" si="14"/>
        <v>0</v>
      </c>
      <c r="DE53" s="552">
        <f t="shared" si="14"/>
        <v>0</v>
      </c>
      <c r="DF53" s="552">
        <f t="shared" si="14"/>
        <v>1.87225</v>
      </c>
      <c r="DG53" s="552">
        <f t="shared" si="14"/>
        <v>6.8799999999999998E-3</v>
      </c>
      <c r="DH53" s="552">
        <f t="shared" si="11"/>
        <v>1.87913</v>
      </c>
      <c r="DI53" s="554"/>
      <c r="DJ53" s="525">
        <f>IFERROR(VLOOKUP(A53,'Transp. Dre Rodovia'!$A$19:$D$29,4,FALSE),0)+IFERROR(VLOOKUP(A53,#REF!,4,FALSE),0)</f>
        <v>0</v>
      </c>
    </row>
    <row r="54" spans="1:114" ht="12.75" hidden="1" customHeight="1">
      <c r="A54" s="470">
        <v>41831</v>
      </c>
      <c r="B54" s="550" t="s">
        <v>485</v>
      </c>
      <c r="C54" s="551" t="s">
        <v>107</v>
      </c>
      <c r="D54" s="552">
        <v>0.92</v>
      </c>
      <c r="E54" s="552">
        <v>0.52600000000000002</v>
      </c>
      <c r="F54" s="552">
        <v>0.7</v>
      </c>
      <c r="G54" s="552">
        <v>0.89922000000000002</v>
      </c>
      <c r="H54" s="552">
        <v>1.1026199999999999</v>
      </c>
      <c r="I54" s="552">
        <v>280.53417999999999</v>
      </c>
      <c r="J54" s="552">
        <v>0</v>
      </c>
      <c r="K54" s="552">
        <v>0</v>
      </c>
      <c r="L54" s="552">
        <v>0</v>
      </c>
      <c r="M54" s="552">
        <v>0</v>
      </c>
      <c r="N54" s="553">
        <v>0</v>
      </c>
      <c r="O54" s="553">
        <v>0</v>
      </c>
      <c r="P54" s="552">
        <v>0</v>
      </c>
      <c r="Q54" s="552">
        <v>0</v>
      </c>
      <c r="R54" s="552">
        <v>0</v>
      </c>
      <c r="S54" s="552">
        <v>0</v>
      </c>
      <c r="T54" s="552">
        <v>0</v>
      </c>
      <c r="U54" s="552">
        <v>0</v>
      </c>
      <c r="V54" s="552">
        <v>0</v>
      </c>
      <c r="W54" s="552">
        <v>0</v>
      </c>
      <c r="X54" s="552">
        <v>0</v>
      </c>
      <c r="Y54" s="552">
        <v>0</v>
      </c>
      <c r="Z54" s="552">
        <v>0</v>
      </c>
      <c r="AA54" s="552">
        <v>0</v>
      </c>
      <c r="AB54" s="552">
        <v>0</v>
      </c>
      <c r="AC54" s="552">
        <v>0</v>
      </c>
      <c r="AD54" s="552">
        <v>0</v>
      </c>
      <c r="AE54" s="552">
        <v>0</v>
      </c>
      <c r="AF54" s="552">
        <v>0</v>
      </c>
      <c r="AG54" s="552">
        <v>0</v>
      </c>
      <c r="AH54" s="552">
        <v>0.02</v>
      </c>
      <c r="AI54" s="552">
        <v>1.7249999999999999</v>
      </c>
      <c r="AJ54" s="552">
        <v>350</v>
      </c>
      <c r="AK54" s="552">
        <v>0</v>
      </c>
      <c r="AL54" s="552">
        <v>0</v>
      </c>
      <c r="AM54" s="552">
        <v>0</v>
      </c>
      <c r="AN54" s="552">
        <v>0</v>
      </c>
      <c r="AO54" s="552">
        <v>0</v>
      </c>
      <c r="AP54" s="552">
        <v>0</v>
      </c>
      <c r="AQ54" s="552">
        <v>0</v>
      </c>
      <c r="AR54" s="554"/>
      <c r="AS54" s="555">
        <f t="shared" si="2"/>
        <v>0.64400000000000002</v>
      </c>
      <c r="AT54" s="555">
        <f t="shared" si="3"/>
        <v>0.02</v>
      </c>
      <c r="AU54" s="556"/>
      <c r="AV54" s="553">
        <f t="shared" si="15"/>
        <v>0.57909768000000006</v>
      </c>
      <c r="AW54" s="553">
        <f t="shared" si="15"/>
        <v>0.71008727999999999</v>
      </c>
      <c r="AX54" s="553">
        <f t="shared" si="15"/>
        <v>180.66401192000001</v>
      </c>
      <c r="AY54" s="552">
        <f t="shared" si="5"/>
        <v>0.48392000000000002</v>
      </c>
      <c r="AZ54" s="552">
        <f t="shared" si="16"/>
        <v>3.4499999999999996E-2</v>
      </c>
      <c r="BA54" s="552">
        <f t="shared" si="16"/>
        <v>7</v>
      </c>
      <c r="BB54" s="557"/>
      <c r="BC54" s="552">
        <v>0</v>
      </c>
      <c r="BD54" s="552">
        <v>0</v>
      </c>
      <c r="BE54" s="552">
        <v>0</v>
      </c>
      <c r="BF54" s="552">
        <v>0</v>
      </c>
      <c r="BG54" s="554" t="str">
        <f>IFERROR(VLOOKUP(#REF!,#REF!,4,FALSE),"")</f>
        <v/>
      </c>
      <c r="BH54" s="552"/>
      <c r="BI54" s="552"/>
      <c r="BJ54" s="552"/>
      <c r="BK54" s="552"/>
      <c r="BL54" s="552"/>
      <c r="BM54" s="552"/>
      <c r="BN54" s="552"/>
      <c r="BO54" s="552"/>
      <c r="BP54" s="552"/>
      <c r="BQ54" s="552"/>
      <c r="BR54" s="552"/>
      <c r="BS54" s="552"/>
      <c r="BT54" s="552"/>
      <c r="BU54" s="552"/>
      <c r="BV54" s="552"/>
      <c r="BW54" s="552"/>
      <c r="BX54" s="552"/>
      <c r="BY54" s="552"/>
      <c r="BZ54" s="552"/>
      <c r="CA54" s="552">
        <f t="shared" si="19"/>
        <v>0</v>
      </c>
      <c r="CB54" s="552">
        <f t="shared" si="19"/>
        <v>0</v>
      </c>
      <c r="CC54" s="552">
        <f t="shared" si="19"/>
        <v>0</v>
      </c>
      <c r="CD54" s="552">
        <f t="shared" si="19"/>
        <v>0</v>
      </c>
      <c r="CE54" s="552">
        <f t="shared" si="19"/>
        <v>0</v>
      </c>
      <c r="CF54" s="552">
        <f t="shared" si="19"/>
        <v>0</v>
      </c>
      <c r="CG54" s="552">
        <f t="shared" si="19"/>
        <v>0</v>
      </c>
      <c r="CH54" s="552">
        <f t="shared" si="19"/>
        <v>0</v>
      </c>
      <c r="CI54" s="552">
        <f t="shared" si="19"/>
        <v>0</v>
      </c>
      <c r="CJ54" s="552">
        <f t="shared" si="19"/>
        <v>0</v>
      </c>
      <c r="CK54" s="552">
        <f t="shared" si="19"/>
        <v>0</v>
      </c>
      <c r="CL54" s="552">
        <f t="shared" si="19"/>
        <v>0</v>
      </c>
      <c r="CM54" s="552">
        <f t="shared" si="19"/>
        <v>0</v>
      </c>
      <c r="CN54" s="552">
        <f t="shared" si="19"/>
        <v>0</v>
      </c>
      <c r="CO54" s="552">
        <f t="shared" si="19"/>
        <v>0</v>
      </c>
      <c r="CP54" s="552">
        <f t="shared" si="18"/>
        <v>0</v>
      </c>
      <c r="CQ54" s="552">
        <f t="shared" si="17"/>
        <v>0</v>
      </c>
      <c r="CR54" s="552">
        <f t="shared" si="17"/>
        <v>0</v>
      </c>
      <c r="CS54" s="552">
        <f t="shared" si="9"/>
        <v>0</v>
      </c>
      <c r="CT54" s="552"/>
      <c r="CU54" s="552"/>
      <c r="CV54" s="552"/>
      <c r="CW54" s="552">
        <v>2</v>
      </c>
      <c r="CX54" s="552"/>
      <c r="CY54" s="552"/>
      <c r="CZ54" s="552"/>
      <c r="DA54" s="472"/>
      <c r="DB54" s="552">
        <f t="shared" ref="DB54:DG85" si="20">CU54*DB$5</f>
        <v>0</v>
      </c>
      <c r="DC54" s="552">
        <f t="shared" si="20"/>
        <v>0</v>
      </c>
      <c r="DD54" s="552">
        <f t="shared" si="20"/>
        <v>1.4978</v>
      </c>
      <c r="DE54" s="552">
        <f t="shared" si="20"/>
        <v>0</v>
      </c>
      <c r="DF54" s="552">
        <f t="shared" si="20"/>
        <v>0</v>
      </c>
      <c r="DG54" s="552">
        <f t="shared" si="20"/>
        <v>0</v>
      </c>
      <c r="DH54" s="552">
        <f t="shared" si="11"/>
        <v>1.4978</v>
      </c>
      <c r="DI54" s="554"/>
      <c r="DJ54" s="525">
        <f>IFERROR(VLOOKUP(A54,'Transp. Dre Rodovia'!$A$19:$D$29,4,FALSE),0)+IFERROR(VLOOKUP(A54,#REF!,4,FALSE),0)</f>
        <v>0</v>
      </c>
    </row>
    <row r="55" spans="1:114" ht="12.75" hidden="1" customHeight="1">
      <c r="A55" s="470">
        <v>41836</v>
      </c>
      <c r="B55" s="550" t="s">
        <v>486</v>
      </c>
      <c r="C55" s="551" t="s">
        <v>107</v>
      </c>
      <c r="D55" s="552">
        <v>0.6</v>
      </c>
      <c r="E55" s="552">
        <v>0.52600000000000002</v>
      </c>
      <c r="F55" s="552">
        <v>0.7</v>
      </c>
      <c r="G55" s="552">
        <v>0.89922000000000002</v>
      </c>
      <c r="H55" s="552">
        <v>1.1026199999999999</v>
      </c>
      <c r="I55" s="552">
        <v>280.53417999999999</v>
      </c>
      <c r="J55" s="552">
        <v>0</v>
      </c>
      <c r="K55" s="552">
        <v>0</v>
      </c>
      <c r="L55" s="552">
        <v>0</v>
      </c>
      <c r="M55" s="552">
        <v>0</v>
      </c>
      <c r="N55" s="553">
        <v>0</v>
      </c>
      <c r="O55" s="553">
        <v>0</v>
      </c>
      <c r="P55" s="552">
        <v>0</v>
      </c>
      <c r="Q55" s="552">
        <v>0</v>
      </c>
      <c r="R55" s="552">
        <v>0</v>
      </c>
      <c r="S55" s="552">
        <v>0</v>
      </c>
      <c r="T55" s="552">
        <v>0</v>
      </c>
      <c r="U55" s="552">
        <v>0</v>
      </c>
      <c r="V55" s="552">
        <v>0</v>
      </c>
      <c r="W55" s="552">
        <v>0</v>
      </c>
      <c r="X55" s="552">
        <v>0</v>
      </c>
      <c r="Y55" s="552">
        <v>0</v>
      </c>
      <c r="Z55" s="552">
        <v>0</v>
      </c>
      <c r="AA55" s="552">
        <v>0</v>
      </c>
      <c r="AB55" s="552">
        <v>0</v>
      </c>
      <c r="AC55" s="552">
        <v>0</v>
      </c>
      <c r="AD55" s="552">
        <v>0</v>
      </c>
      <c r="AE55" s="552">
        <v>0</v>
      </c>
      <c r="AF55" s="552">
        <v>0</v>
      </c>
      <c r="AG55" s="552">
        <v>0</v>
      </c>
      <c r="AH55" s="552">
        <v>1.4E-2</v>
      </c>
      <c r="AI55" s="552">
        <v>1.7249999999999999</v>
      </c>
      <c r="AJ55" s="552">
        <v>350</v>
      </c>
      <c r="AK55" s="552">
        <v>0</v>
      </c>
      <c r="AL55" s="552">
        <v>0</v>
      </c>
      <c r="AM55" s="552">
        <v>0</v>
      </c>
      <c r="AN55" s="552">
        <v>0</v>
      </c>
      <c r="AO55" s="552">
        <v>0</v>
      </c>
      <c r="AP55" s="552">
        <v>0</v>
      </c>
      <c r="AQ55" s="552">
        <v>0</v>
      </c>
      <c r="AR55" s="554"/>
      <c r="AS55" s="555">
        <f t="shared" si="2"/>
        <v>0.42</v>
      </c>
      <c r="AT55" s="555">
        <f t="shared" si="3"/>
        <v>1.4E-2</v>
      </c>
      <c r="AU55" s="556"/>
      <c r="AV55" s="553">
        <f t="shared" si="15"/>
        <v>0.37767240000000002</v>
      </c>
      <c r="AW55" s="553">
        <f t="shared" si="15"/>
        <v>0.46310039999999997</v>
      </c>
      <c r="AX55" s="553">
        <f t="shared" si="15"/>
        <v>117.82435559999999</v>
      </c>
      <c r="AY55" s="552">
        <f t="shared" si="5"/>
        <v>0.31559999999999999</v>
      </c>
      <c r="AZ55" s="552">
        <f t="shared" si="16"/>
        <v>2.4149999999999998E-2</v>
      </c>
      <c r="BA55" s="552">
        <f t="shared" si="16"/>
        <v>4.9000000000000004</v>
      </c>
      <c r="BB55" s="557"/>
      <c r="BC55" s="552">
        <v>0</v>
      </c>
      <c r="BD55" s="552">
        <v>0</v>
      </c>
      <c r="BE55" s="552">
        <v>0</v>
      </c>
      <c r="BF55" s="552">
        <v>0</v>
      </c>
      <c r="BG55" s="554" t="str">
        <f>IFERROR(VLOOKUP(#REF!,#REF!,4,FALSE),"")</f>
        <v/>
      </c>
      <c r="BH55" s="552"/>
      <c r="BI55" s="552"/>
      <c r="BJ55" s="552"/>
      <c r="BK55" s="552"/>
      <c r="BL55" s="552"/>
      <c r="BM55" s="552"/>
      <c r="BN55" s="552"/>
      <c r="BO55" s="552"/>
      <c r="BP55" s="552"/>
      <c r="BQ55" s="552"/>
      <c r="BR55" s="552"/>
      <c r="BS55" s="552"/>
      <c r="BT55" s="552"/>
      <c r="BU55" s="552"/>
      <c r="BV55" s="552"/>
      <c r="BW55" s="552"/>
      <c r="BX55" s="552"/>
      <c r="BY55" s="552"/>
      <c r="BZ55" s="552"/>
      <c r="CA55" s="552">
        <f t="shared" si="19"/>
        <v>0</v>
      </c>
      <c r="CB55" s="552">
        <f t="shared" si="19"/>
        <v>0</v>
      </c>
      <c r="CC55" s="552">
        <f t="shared" si="19"/>
        <v>0</v>
      </c>
      <c r="CD55" s="552">
        <f t="shared" si="19"/>
        <v>0</v>
      </c>
      <c r="CE55" s="552">
        <f t="shared" si="19"/>
        <v>0</v>
      </c>
      <c r="CF55" s="552">
        <f t="shared" si="19"/>
        <v>0</v>
      </c>
      <c r="CG55" s="552">
        <f t="shared" si="19"/>
        <v>0</v>
      </c>
      <c r="CH55" s="552">
        <f t="shared" si="19"/>
        <v>0</v>
      </c>
      <c r="CI55" s="552">
        <f t="shared" si="19"/>
        <v>0</v>
      </c>
      <c r="CJ55" s="552">
        <f t="shared" si="19"/>
        <v>0</v>
      </c>
      <c r="CK55" s="552">
        <f t="shared" si="19"/>
        <v>0</v>
      </c>
      <c r="CL55" s="552">
        <f t="shared" si="19"/>
        <v>0</v>
      </c>
      <c r="CM55" s="552">
        <f t="shared" si="19"/>
        <v>0</v>
      </c>
      <c r="CN55" s="552">
        <f t="shared" si="19"/>
        <v>0</v>
      </c>
      <c r="CO55" s="552">
        <f t="shared" si="19"/>
        <v>0</v>
      </c>
      <c r="CP55" s="552">
        <f t="shared" si="18"/>
        <v>0</v>
      </c>
      <c r="CQ55" s="552">
        <f t="shared" si="17"/>
        <v>0</v>
      </c>
      <c r="CR55" s="552">
        <f t="shared" si="17"/>
        <v>0</v>
      </c>
      <c r="CS55" s="552">
        <f t="shared" si="9"/>
        <v>0</v>
      </c>
      <c r="CT55" s="552"/>
      <c r="CU55" s="552"/>
      <c r="CV55" s="552">
        <v>2</v>
      </c>
      <c r="CW55" s="552"/>
      <c r="CX55" s="552"/>
      <c r="CY55" s="552"/>
      <c r="CZ55" s="552"/>
      <c r="DA55" s="472"/>
      <c r="DB55" s="552">
        <f t="shared" si="20"/>
        <v>0</v>
      </c>
      <c r="DC55" s="552">
        <f t="shared" si="20"/>
        <v>1.06986</v>
      </c>
      <c r="DD55" s="552">
        <f t="shared" si="20"/>
        <v>0</v>
      </c>
      <c r="DE55" s="552">
        <f t="shared" si="20"/>
        <v>0</v>
      </c>
      <c r="DF55" s="552">
        <f t="shared" si="20"/>
        <v>0</v>
      </c>
      <c r="DG55" s="552">
        <f t="shared" si="20"/>
        <v>0</v>
      </c>
      <c r="DH55" s="552">
        <f t="shared" si="11"/>
        <v>1.06986</v>
      </c>
      <c r="DI55" s="554"/>
      <c r="DJ55" s="525">
        <f>IFERROR(VLOOKUP(A55,'Transp. Dre Rodovia'!$A$19:$D$29,4,FALSE),0)+IFERROR(VLOOKUP(A55,#REF!,4,FALSE),0)</f>
        <v>0</v>
      </c>
    </row>
    <row r="56" spans="1:114" ht="12.75" hidden="1" customHeight="1">
      <c r="A56" s="470">
        <v>41841</v>
      </c>
      <c r="B56" s="550" t="s">
        <v>487</v>
      </c>
      <c r="C56" s="551" t="s">
        <v>107</v>
      </c>
      <c r="D56" s="552">
        <v>1.38</v>
      </c>
      <c r="E56" s="552">
        <v>0.52600000000000002</v>
      </c>
      <c r="F56" s="552">
        <v>0.7</v>
      </c>
      <c r="G56" s="552">
        <v>0.89922000000000002</v>
      </c>
      <c r="H56" s="552">
        <v>1.1026199999999999</v>
      </c>
      <c r="I56" s="552">
        <v>280.53417999999999</v>
      </c>
      <c r="J56" s="552">
        <v>0</v>
      </c>
      <c r="K56" s="552">
        <v>0</v>
      </c>
      <c r="L56" s="552">
        <v>0</v>
      </c>
      <c r="M56" s="552">
        <v>0</v>
      </c>
      <c r="N56" s="553">
        <v>0</v>
      </c>
      <c r="O56" s="553">
        <v>0</v>
      </c>
      <c r="P56" s="552">
        <v>0</v>
      </c>
      <c r="Q56" s="552">
        <v>0</v>
      </c>
      <c r="R56" s="552">
        <v>0</v>
      </c>
      <c r="S56" s="552">
        <v>0</v>
      </c>
      <c r="T56" s="552">
        <v>0</v>
      </c>
      <c r="U56" s="552">
        <v>0</v>
      </c>
      <c r="V56" s="552">
        <v>0</v>
      </c>
      <c r="W56" s="552">
        <v>0</v>
      </c>
      <c r="X56" s="552">
        <v>0</v>
      </c>
      <c r="Y56" s="552">
        <v>0</v>
      </c>
      <c r="Z56" s="552">
        <v>0</v>
      </c>
      <c r="AA56" s="552">
        <v>0</v>
      </c>
      <c r="AB56" s="552">
        <v>0</v>
      </c>
      <c r="AC56" s="552">
        <v>0</v>
      </c>
      <c r="AD56" s="552">
        <v>0</v>
      </c>
      <c r="AE56" s="552">
        <v>0</v>
      </c>
      <c r="AF56" s="552">
        <v>0</v>
      </c>
      <c r="AG56" s="552">
        <v>0</v>
      </c>
      <c r="AH56" s="552">
        <v>0.03</v>
      </c>
      <c r="AI56" s="552">
        <v>1.7249999999999999</v>
      </c>
      <c r="AJ56" s="552">
        <v>350</v>
      </c>
      <c r="AK56" s="552">
        <v>0</v>
      </c>
      <c r="AL56" s="552">
        <v>0</v>
      </c>
      <c r="AM56" s="552">
        <v>0</v>
      </c>
      <c r="AN56" s="552">
        <v>0</v>
      </c>
      <c r="AO56" s="552">
        <v>0</v>
      </c>
      <c r="AP56" s="552">
        <v>0</v>
      </c>
      <c r="AQ56" s="552">
        <v>0</v>
      </c>
      <c r="AR56" s="554"/>
      <c r="AS56" s="555">
        <f t="shared" si="2"/>
        <v>0.96599999999999986</v>
      </c>
      <c r="AT56" s="555">
        <f t="shared" si="3"/>
        <v>0.03</v>
      </c>
      <c r="AU56" s="556"/>
      <c r="AV56" s="553">
        <f t="shared" si="15"/>
        <v>0.86864651999999987</v>
      </c>
      <c r="AW56" s="553">
        <f t="shared" si="15"/>
        <v>1.0651309199999999</v>
      </c>
      <c r="AX56" s="553">
        <f t="shared" si="15"/>
        <v>270.99601787999995</v>
      </c>
      <c r="AY56" s="552">
        <f t="shared" si="5"/>
        <v>0.72587999999999997</v>
      </c>
      <c r="AZ56" s="552">
        <f t="shared" si="16"/>
        <v>5.1749999999999997E-2</v>
      </c>
      <c r="BA56" s="552">
        <f t="shared" si="16"/>
        <v>10.5</v>
      </c>
      <c r="BB56" s="557"/>
      <c r="BC56" s="552">
        <v>0</v>
      </c>
      <c r="BD56" s="552">
        <v>0</v>
      </c>
      <c r="BE56" s="552">
        <v>0</v>
      </c>
      <c r="BF56" s="552">
        <v>0</v>
      </c>
      <c r="BG56" s="554" t="str">
        <f>IFERROR(VLOOKUP(#REF!,#REF!,4,FALSE),"")</f>
        <v/>
      </c>
      <c r="BH56" s="552"/>
      <c r="BI56" s="552"/>
      <c r="BJ56" s="552"/>
      <c r="BK56" s="552"/>
      <c r="BL56" s="552"/>
      <c r="BM56" s="552"/>
      <c r="BN56" s="552"/>
      <c r="BO56" s="552"/>
      <c r="BP56" s="552"/>
      <c r="BQ56" s="552"/>
      <c r="BR56" s="552"/>
      <c r="BS56" s="552"/>
      <c r="BT56" s="552"/>
      <c r="BU56" s="552"/>
      <c r="BV56" s="552"/>
      <c r="BW56" s="552"/>
      <c r="BX56" s="552"/>
      <c r="BY56" s="552"/>
      <c r="BZ56" s="552"/>
      <c r="CA56" s="552">
        <f t="shared" si="19"/>
        <v>0</v>
      </c>
      <c r="CB56" s="552">
        <f t="shared" si="19"/>
        <v>0</v>
      </c>
      <c r="CC56" s="552">
        <f t="shared" si="19"/>
        <v>0</v>
      </c>
      <c r="CD56" s="552">
        <f t="shared" si="19"/>
        <v>0</v>
      </c>
      <c r="CE56" s="552">
        <f t="shared" si="19"/>
        <v>0</v>
      </c>
      <c r="CF56" s="552">
        <f t="shared" si="19"/>
        <v>0</v>
      </c>
      <c r="CG56" s="552">
        <f t="shared" si="19"/>
        <v>0</v>
      </c>
      <c r="CH56" s="552">
        <f t="shared" si="19"/>
        <v>0</v>
      </c>
      <c r="CI56" s="552">
        <f t="shared" si="19"/>
        <v>0</v>
      </c>
      <c r="CJ56" s="552">
        <f t="shared" si="19"/>
        <v>0</v>
      </c>
      <c r="CK56" s="552">
        <f t="shared" si="19"/>
        <v>0</v>
      </c>
      <c r="CL56" s="552">
        <f t="shared" si="19"/>
        <v>0</v>
      </c>
      <c r="CM56" s="552">
        <f t="shared" si="19"/>
        <v>0</v>
      </c>
      <c r="CN56" s="552">
        <f t="shared" si="19"/>
        <v>0</v>
      </c>
      <c r="CO56" s="552">
        <f t="shared" si="19"/>
        <v>0</v>
      </c>
      <c r="CP56" s="552">
        <f t="shared" si="18"/>
        <v>0</v>
      </c>
      <c r="CQ56" s="552">
        <f t="shared" si="17"/>
        <v>0</v>
      </c>
      <c r="CR56" s="552">
        <f t="shared" si="17"/>
        <v>0</v>
      </c>
      <c r="CS56" s="552">
        <f t="shared" si="9"/>
        <v>0</v>
      </c>
      <c r="CT56" s="552"/>
      <c r="CU56" s="552"/>
      <c r="CV56" s="552"/>
      <c r="CW56" s="552">
        <v>3</v>
      </c>
      <c r="CX56" s="552"/>
      <c r="CY56" s="552"/>
      <c r="CZ56" s="552"/>
      <c r="DA56" s="472"/>
      <c r="DB56" s="552">
        <f t="shared" si="20"/>
        <v>0</v>
      </c>
      <c r="DC56" s="552">
        <f t="shared" si="20"/>
        <v>0</v>
      </c>
      <c r="DD56" s="552">
        <f t="shared" si="20"/>
        <v>2.2467000000000001</v>
      </c>
      <c r="DE56" s="552">
        <f t="shared" si="20"/>
        <v>0</v>
      </c>
      <c r="DF56" s="552">
        <f t="shared" si="20"/>
        <v>0</v>
      </c>
      <c r="DG56" s="552">
        <f t="shared" si="20"/>
        <v>0</v>
      </c>
      <c r="DH56" s="552">
        <f t="shared" si="11"/>
        <v>2.2467000000000001</v>
      </c>
      <c r="DI56" s="554"/>
      <c r="DJ56" s="525">
        <f>IFERROR(VLOOKUP(A56,'Transp. Dre Rodovia'!$A$19:$D$29,4,FALSE),0)+IFERROR(VLOOKUP(A56,#REF!,4,FALSE),0)</f>
        <v>0</v>
      </c>
    </row>
    <row r="57" spans="1:114" ht="12.75" hidden="1" customHeight="1">
      <c r="A57" s="470">
        <v>41445</v>
      </c>
      <c r="B57" s="550" t="s">
        <v>488</v>
      </c>
      <c r="C57" s="551" t="s">
        <v>107</v>
      </c>
      <c r="D57" s="552">
        <v>0</v>
      </c>
      <c r="E57" s="552">
        <v>0</v>
      </c>
      <c r="F57" s="552">
        <v>0</v>
      </c>
      <c r="G57" s="552">
        <v>0</v>
      </c>
      <c r="H57" s="552">
        <v>0</v>
      </c>
      <c r="I57" s="552">
        <v>0</v>
      </c>
      <c r="J57" s="552">
        <v>0</v>
      </c>
      <c r="K57" s="552">
        <v>0</v>
      </c>
      <c r="L57" s="552">
        <v>0</v>
      </c>
      <c r="M57" s="552">
        <v>0</v>
      </c>
      <c r="N57" s="553">
        <v>0</v>
      </c>
      <c r="O57" s="553">
        <v>0</v>
      </c>
      <c r="P57" s="552">
        <v>0</v>
      </c>
      <c r="Q57" s="552">
        <v>0</v>
      </c>
      <c r="R57" s="552">
        <v>0</v>
      </c>
      <c r="S57" s="552">
        <v>0</v>
      </c>
      <c r="T57" s="552">
        <v>0</v>
      </c>
      <c r="U57" s="552">
        <v>0</v>
      </c>
      <c r="V57" s="552">
        <v>0</v>
      </c>
      <c r="W57" s="552">
        <v>0</v>
      </c>
      <c r="X57" s="561">
        <v>0</v>
      </c>
      <c r="Y57" s="552">
        <v>0</v>
      </c>
      <c r="Z57" s="552">
        <v>0</v>
      </c>
      <c r="AA57" s="552">
        <v>0</v>
      </c>
      <c r="AB57" s="552">
        <v>0</v>
      </c>
      <c r="AC57" s="552">
        <v>0</v>
      </c>
      <c r="AD57" s="552">
        <v>0</v>
      </c>
      <c r="AE57" s="552">
        <v>0</v>
      </c>
      <c r="AF57" s="552">
        <v>0</v>
      </c>
      <c r="AG57" s="552">
        <v>0</v>
      </c>
      <c r="AH57" s="552">
        <v>0</v>
      </c>
      <c r="AI57" s="552">
        <v>0</v>
      </c>
      <c r="AJ57" s="552">
        <v>0</v>
      </c>
      <c r="AK57" s="552">
        <v>0</v>
      </c>
      <c r="AL57" s="552">
        <v>0</v>
      </c>
      <c r="AM57" s="552">
        <v>0</v>
      </c>
      <c r="AN57" s="552">
        <v>0</v>
      </c>
      <c r="AO57" s="552">
        <v>0</v>
      </c>
      <c r="AP57" s="552">
        <v>0</v>
      </c>
      <c r="AQ57" s="552">
        <v>0</v>
      </c>
      <c r="AR57" s="554"/>
      <c r="AS57" s="555">
        <f t="shared" si="2"/>
        <v>0</v>
      </c>
      <c r="AT57" s="555">
        <f t="shared" si="3"/>
        <v>0</v>
      </c>
      <c r="AU57" s="556"/>
      <c r="AV57" s="553">
        <f t="shared" si="15"/>
        <v>0</v>
      </c>
      <c r="AW57" s="553">
        <f t="shared" si="15"/>
        <v>0</v>
      </c>
      <c r="AX57" s="553">
        <f t="shared" si="15"/>
        <v>0</v>
      </c>
      <c r="AY57" s="552">
        <f t="shared" si="5"/>
        <v>0</v>
      </c>
      <c r="AZ57" s="552">
        <f t="shared" si="16"/>
        <v>0</v>
      </c>
      <c r="BA57" s="552">
        <f t="shared" si="16"/>
        <v>0</v>
      </c>
      <c r="BB57" s="557"/>
      <c r="BC57" s="552">
        <v>0.24</v>
      </c>
      <c r="BD57" s="552">
        <v>0</v>
      </c>
      <c r="BE57" s="552">
        <v>0</v>
      </c>
      <c r="BF57" s="552">
        <v>0</v>
      </c>
      <c r="BG57" s="554" t="str">
        <f>IFERROR(VLOOKUP(#REF!,#REF!,4,FALSE),"")</f>
        <v/>
      </c>
      <c r="BH57" s="552"/>
      <c r="BI57" s="552"/>
      <c r="BJ57" s="552"/>
      <c r="BK57" s="552"/>
      <c r="BL57" s="552"/>
      <c r="BM57" s="552"/>
      <c r="BN57" s="552"/>
      <c r="BO57" s="552"/>
      <c r="BP57" s="552"/>
      <c r="BQ57" s="552"/>
      <c r="BR57" s="552"/>
      <c r="BS57" s="552"/>
      <c r="BT57" s="552"/>
      <c r="BU57" s="552"/>
      <c r="BV57" s="552"/>
      <c r="BW57" s="552"/>
      <c r="BX57" s="552"/>
      <c r="BY57" s="552"/>
      <c r="BZ57" s="552"/>
      <c r="CA57" s="552">
        <f t="shared" si="19"/>
        <v>0</v>
      </c>
      <c r="CB57" s="552">
        <f t="shared" si="19"/>
        <v>0</v>
      </c>
      <c r="CC57" s="552">
        <f t="shared" si="19"/>
        <v>0</v>
      </c>
      <c r="CD57" s="552">
        <f t="shared" si="19"/>
        <v>0</v>
      </c>
      <c r="CE57" s="552">
        <f t="shared" si="19"/>
        <v>0</v>
      </c>
      <c r="CF57" s="552">
        <f t="shared" si="19"/>
        <v>0</v>
      </c>
      <c r="CG57" s="552">
        <f t="shared" si="19"/>
        <v>0</v>
      </c>
      <c r="CH57" s="552">
        <f t="shared" si="19"/>
        <v>0</v>
      </c>
      <c r="CI57" s="552">
        <f t="shared" si="19"/>
        <v>0</v>
      </c>
      <c r="CJ57" s="552">
        <f t="shared" si="19"/>
        <v>0</v>
      </c>
      <c r="CK57" s="552">
        <f t="shared" si="19"/>
        <v>0</v>
      </c>
      <c r="CL57" s="552">
        <f t="shared" si="19"/>
        <v>0</v>
      </c>
      <c r="CM57" s="552">
        <f t="shared" si="19"/>
        <v>0</v>
      </c>
      <c r="CN57" s="552">
        <f t="shared" si="19"/>
        <v>0</v>
      </c>
      <c r="CO57" s="552">
        <f t="shared" si="19"/>
        <v>0</v>
      </c>
      <c r="CP57" s="552">
        <f t="shared" si="18"/>
        <v>0</v>
      </c>
      <c r="CQ57" s="552">
        <f t="shared" si="17"/>
        <v>0</v>
      </c>
      <c r="CR57" s="552">
        <f t="shared" si="17"/>
        <v>0</v>
      </c>
      <c r="CS57" s="552">
        <f t="shared" si="9"/>
        <v>0</v>
      </c>
      <c r="CT57" s="552"/>
      <c r="CU57" s="552"/>
      <c r="CV57" s="552"/>
      <c r="CW57" s="552"/>
      <c r="CX57" s="552"/>
      <c r="CY57" s="552"/>
      <c r="CZ57" s="552"/>
      <c r="DA57" s="472"/>
      <c r="DB57" s="552">
        <f t="shared" si="20"/>
        <v>0</v>
      </c>
      <c r="DC57" s="552">
        <f t="shared" si="20"/>
        <v>0</v>
      </c>
      <c r="DD57" s="552">
        <f t="shared" si="20"/>
        <v>0</v>
      </c>
      <c r="DE57" s="552">
        <f t="shared" si="20"/>
        <v>0</v>
      </c>
      <c r="DF57" s="552">
        <f t="shared" si="20"/>
        <v>0</v>
      </c>
      <c r="DG57" s="552">
        <f t="shared" si="20"/>
        <v>0</v>
      </c>
      <c r="DH57" s="552">
        <f t="shared" si="11"/>
        <v>0</v>
      </c>
      <c r="DI57" s="554"/>
      <c r="DJ57" s="525">
        <f>IFERROR(VLOOKUP(A57,'Transp. Dre Rodovia'!$A$19:$D$29,4,FALSE),0)+IFERROR(VLOOKUP(A57,#REF!,4,FALSE),0)</f>
        <v>0</v>
      </c>
    </row>
    <row r="58" spans="1:114" ht="12.75" hidden="1" customHeight="1">
      <c r="A58" s="470">
        <v>41446</v>
      </c>
      <c r="B58" s="550" t="s">
        <v>489</v>
      </c>
      <c r="C58" s="551" t="s">
        <v>107</v>
      </c>
      <c r="D58" s="552">
        <v>0</v>
      </c>
      <c r="E58" s="552">
        <v>0</v>
      </c>
      <c r="F58" s="552">
        <v>0</v>
      </c>
      <c r="G58" s="552">
        <v>0</v>
      </c>
      <c r="H58" s="552">
        <v>0</v>
      </c>
      <c r="I58" s="552">
        <v>0</v>
      </c>
      <c r="J58" s="552">
        <v>0</v>
      </c>
      <c r="K58" s="552">
        <v>0</v>
      </c>
      <c r="L58" s="552">
        <v>0</v>
      </c>
      <c r="M58" s="552">
        <v>0</v>
      </c>
      <c r="N58" s="553">
        <v>0</v>
      </c>
      <c r="O58" s="553">
        <v>0</v>
      </c>
      <c r="P58" s="552">
        <v>0</v>
      </c>
      <c r="Q58" s="552">
        <v>0</v>
      </c>
      <c r="R58" s="552">
        <v>0</v>
      </c>
      <c r="S58" s="552">
        <v>0</v>
      </c>
      <c r="T58" s="552">
        <v>0</v>
      </c>
      <c r="U58" s="552">
        <v>0</v>
      </c>
      <c r="V58" s="552">
        <v>0</v>
      </c>
      <c r="W58" s="552">
        <v>0</v>
      </c>
      <c r="X58" s="561">
        <v>0</v>
      </c>
      <c r="Y58" s="552">
        <v>0</v>
      </c>
      <c r="Z58" s="552">
        <v>0</v>
      </c>
      <c r="AA58" s="552">
        <v>0</v>
      </c>
      <c r="AB58" s="552">
        <v>0</v>
      </c>
      <c r="AC58" s="552">
        <v>0</v>
      </c>
      <c r="AD58" s="552">
        <v>0</v>
      </c>
      <c r="AE58" s="552">
        <v>0</v>
      </c>
      <c r="AF58" s="552">
        <v>0</v>
      </c>
      <c r="AG58" s="552">
        <v>0</v>
      </c>
      <c r="AH58" s="552">
        <v>0</v>
      </c>
      <c r="AI58" s="552">
        <v>0</v>
      </c>
      <c r="AJ58" s="552">
        <v>0</v>
      </c>
      <c r="AK58" s="552">
        <v>0</v>
      </c>
      <c r="AL58" s="552">
        <v>0</v>
      </c>
      <c r="AM58" s="552">
        <v>0</v>
      </c>
      <c r="AN58" s="552">
        <v>0</v>
      </c>
      <c r="AO58" s="552">
        <v>0</v>
      </c>
      <c r="AP58" s="552">
        <v>0</v>
      </c>
      <c r="AQ58" s="552">
        <v>0</v>
      </c>
      <c r="AR58" s="554"/>
      <c r="AS58" s="555">
        <f t="shared" si="2"/>
        <v>0</v>
      </c>
      <c r="AT58" s="555">
        <f t="shared" si="3"/>
        <v>0</v>
      </c>
      <c r="AU58" s="556"/>
      <c r="AV58" s="553">
        <f t="shared" si="15"/>
        <v>0</v>
      </c>
      <c r="AW58" s="553">
        <f t="shared" si="15"/>
        <v>0</v>
      </c>
      <c r="AX58" s="553">
        <f t="shared" si="15"/>
        <v>0</v>
      </c>
      <c r="AY58" s="552">
        <f t="shared" si="5"/>
        <v>0</v>
      </c>
      <c r="AZ58" s="552">
        <f t="shared" si="16"/>
        <v>0</v>
      </c>
      <c r="BA58" s="552">
        <f t="shared" si="16"/>
        <v>0</v>
      </c>
      <c r="BB58" s="557"/>
      <c r="BC58" s="552">
        <v>0</v>
      </c>
      <c r="BD58" s="552">
        <v>0.24</v>
      </c>
      <c r="BE58" s="552">
        <v>0</v>
      </c>
      <c r="BF58" s="552">
        <v>0</v>
      </c>
      <c r="BG58" s="554" t="str">
        <f>IFERROR(VLOOKUP(#REF!,#REF!,4,FALSE),"")</f>
        <v/>
      </c>
      <c r="BH58" s="552"/>
      <c r="BI58" s="552"/>
      <c r="BJ58" s="552"/>
      <c r="BK58" s="552"/>
      <c r="BL58" s="552"/>
      <c r="BM58" s="552"/>
      <c r="BN58" s="552"/>
      <c r="BO58" s="552"/>
      <c r="BP58" s="552"/>
      <c r="BQ58" s="552"/>
      <c r="BR58" s="552"/>
      <c r="BS58" s="552"/>
      <c r="BT58" s="552"/>
      <c r="BU58" s="552"/>
      <c r="BV58" s="552"/>
      <c r="BW58" s="552"/>
      <c r="BX58" s="552"/>
      <c r="BY58" s="552"/>
      <c r="BZ58" s="552"/>
      <c r="CA58" s="552">
        <f t="shared" si="19"/>
        <v>0</v>
      </c>
      <c r="CB58" s="552">
        <f t="shared" si="19"/>
        <v>0</v>
      </c>
      <c r="CC58" s="552">
        <f t="shared" si="19"/>
        <v>0</v>
      </c>
      <c r="CD58" s="552">
        <f t="shared" si="19"/>
        <v>0</v>
      </c>
      <c r="CE58" s="552">
        <f t="shared" si="19"/>
        <v>0</v>
      </c>
      <c r="CF58" s="552">
        <f t="shared" si="19"/>
        <v>0</v>
      </c>
      <c r="CG58" s="552">
        <f t="shared" si="19"/>
        <v>0</v>
      </c>
      <c r="CH58" s="552">
        <f t="shared" si="19"/>
        <v>0</v>
      </c>
      <c r="CI58" s="552">
        <f t="shared" si="19"/>
        <v>0</v>
      </c>
      <c r="CJ58" s="552">
        <f t="shared" si="19"/>
        <v>0</v>
      </c>
      <c r="CK58" s="552">
        <f t="shared" si="19"/>
        <v>0</v>
      </c>
      <c r="CL58" s="552">
        <f t="shared" si="19"/>
        <v>0</v>
      </c>
      <c r="CM58" s="552">
        <f t="shared" si="19"/>
        <v>0</v>
      </c>
      <c r="CN58" s="552">
        <f t="shared" si="19"/>
        <v>0</v>
      </c>
      <c r="CO58" s="552">
        <f t="shared" si="19"/>
        <v>0</v>
      </c>
      <c r="CP58" s="552">
        <f t="shared" si="18"/>
        <v>0</v>
      </c>
      <c r="CQ58" s="552">
        <f t="shared" si="17"/>
        <v>0</v>
      </c>
      <c r="CR58" s="552">
        <f t="shared" si="17"/>
        <v>0</v>
      </c>
      <c r="CS58" s="552">
        <f t="shared" si="9"/>
        <v>0</v>
      </c>
      <c r="CT58" s="552"/>
      <c r="CU58" s="552"/>
      <c r="CV58" s="552"/>
      <c r="CW58" s="552"/>
      <c r="CX58" s="552"/>
      <c r="CY58" s="552"/>
      <c r="CZ58" s="552"/>
      <c r="DA58" s="472"/>
      <c r="DB58" s="552">
        <f t="shared" si="20"/>
        <v>0</v>
      </c>
      <c r="DC58" s="552">
        <f t="shared" si="20"/>
        <v>0</v>
      </c>
      <c r="DD58" s="552">
        <f t="shared" si="20"/>
        <v>0</v>
      </c>
      <c r="DE58" s="552">
        <f t="shared" si="20"/>
        <v>0</v>
      </c>
      <c r="DF58" s="552">
        <f t="shared" si="20"/>
        <v>0</v>
      </c>
      <c r="DG58" s="552">
        <f t="shared" si="20"/>
        <v>0</v>
      </c>
      <c r="DH58" s="552">
        <f t="shared" si="11"/>
        <v>0</v>
      </c>
      <c r="DI58" s="554"/>
      <c r="DJ58" s="525">
        <f>IFERROR(VLOOKUP(A58,'Transp. Dre Rodovia'!$A$19:$D$29,4,FALSE),0)+IFERROR(VLOOKUP(A58,#REF!,4,FALSE),0)</f>
        <v>0</v>
      </c>
    </row>
    <row r="59" spans="1:114" ht="12.75" hidden="1" customHeight="1">
      <c r="A59" s="470">
        <v>41447</v>
      </c>
      <c r="B59" s="550" t="s">
        <v>490</v>
      </c>
      <c r="C59" s="551" t="s">
        <v>107</v>
      </c>
      <c r="D59" s="552">
        <v>0</v>
      </c>
      <c r="E59" s="552">
        <v>0</v>
      </c>
      <c r="F59" s="552">
        <v>0</v>
      </c>
      <c r="G59" s="552">
        <v>0</v>
      </c>
      <c r="H59" s="552">
        <v>0</v>
      </c>
      <c r="I59" s="552">
        <v>0</v>
      </c>
      <c r="J59" s="552">
        <v>0</v>
      </c>
      <c r="K59" s="552">
        <v>0</v>
      </c>
      <c r="L59" s="552">
        <v>0</v>
      </c>
      <c r="M59" s="552">
        <v>0</v>
      </c>
      <c r="N59" s="553">
        <v>0</v>
      </c>
      <c r="O59" s="553">
        <v>0</v>
      </c>
      <c r="P59" s="552">
        <v>0</v>
      </c>
      <c r="Q59" s="552">
        <v>0</v>
      </c>
      <c r="R59" s="552">
        <v>0</v>
      </c>
      <c r="S59" s="552">
        <v>0</v>
      </c>
      <c r="T59" s="552">
        <v>0</v>
      </c>
      <c r="U59" s="552">
        <v>0</v>
      </c>
      <c r="V59" s="552">
        <v>0</v>
      </c>
      <c r="W59" s="552">
        <v>0</v>
      </c>
      <c r="X59" s="561">
        <v>0</v>
      </c>
      <c r="Y59" s="552">
        <v>0</v>
      </c>
      <c r="Z59" s="552">
        <v>0</v>
      </c>
      <c r="AA59" s="552">
        <v>0</v>
      </c>
      <c r="AB59" s="552">
        <v>0</v>
      </c>
      <c r="AC59" s="552">
        <v>0</v>
      </c>
      <c r="AD59" s="552">
        <v>0</v>
      </c>
      <c r="AE59" s="552">
        <v>0</v>
      </c>
      <c r="AF59" s="552">
        <v>0</v>
      </c>
      <c r="AG59" s="552">
        <v>0</v>
      </c>
      <c r="AH59" s="552">
        <v>0</v>
      </c>
      <c r="AI59" s="552">
        <v>0</v>
      </c>
      <c r="AJ59" s="552">
        <v>0</v>
      </c>
      <c r="AK59" s="552">
        <v>0</v>
      </c>
      <c r="AL59" s="552">
        <v>0</v>
      </c>
      <c r="AM59" s="552">
        <v>0</v>
      </c>
      <c r="AN59" s="552">
        <v>0</v>
      </c>
      <c r="AO59" s="552">
        <v>0</v>
      </c>
      <c r="AP59" s="552">
        <v>0</v>
      </c>
      <c r="AQ59" s="552">
        <v>0</v>
      </c>
      <c r="AR59" s="554"/>
      <c r="AS59" s="555">
        <f t="shared" si="2"/>
        <v>0</v>
      </c>
      <c r="AT59" s="555">
        <f t="shared" si="3"/>
        <v>0</v>
      </c>
      <c r="AU59" s="556"/>
      <c r="AV59" s="553">
        <f t="shared" si="15"/>
        <v>0</v>
      </c>
      <c r="AW59" s="553">
        <f t="shared" si="15"/>
        <v>0</v>
      </c>
      <c r="AX59" s="553">
        <f t="shared" si="15"/>
        <v>0</v>
      </c>
      <c r="AY59" s="552">
        <f t="shared" si="5"/>
        <v>0</v>
      </c>
      <c r="AZ59" s="552">
        <f t="shared" si="16"/>
        <v>0</v>
      </c>
      <c r="BA59" s="552">
        <f t="shared" si="16"/>
        <v>0</v>
      </c>
      <c r="BB59" s="557"/>
      <c r="BC59" s="552">
        <v>0</v>
      </c>
      <c r="BD59" s="552">
        <v>0.24</v>
      </c>
      <c r="BE59" s="552">
        <v>0</v>
      </c>
      <c r="BF59" s="552">
        <v>0</v>
      </c>
      <c r="BG59" s="554" t="str">
        <f>IFERROR(VLOOKUP(#REF!,#REF!,4,FALSE),"")</f>
        <v/>
      </c>
      <c r="BH59" s="552"/>
      <c r="BI59" s="552"/>
      <c r="BJ59" s="552"/>
      <c r="BK59" s="552"/>
      <c r="BL59" s="552"/>
      <c r="BM59" s="552"/>
      <c r="BN59" s="552"/>
      <c r="BO59" s="552"/>
      <c r="BP59" s="552"/>
      <c r="BQ59" s="552"/>
      <c r="BR59" s="552"/>
      <c r="BS59" s="552"/>
      <c r="BT59" s="552"/>
      <c r="BU59" s="552"/>
      <c r="BV59" s="552"/>
      <c r="BW59" s="552"/>
      <c r="BX59" s="552"/>
      <c r="BY59" s="552"/>
      <c r="BZ59" s="552"/>
      <c r="CA59" s="552">
        <f t="shared" si="19"/>
        <v>0</v>
      </c>
      <c r="CB59" s="552">
        <f t="shared" si="19"/>
        <v>0</v>
      </c>
      <c r="CC59" s="552">
        <f t="shared" si="19"/>
        <v>0</v>
      </c>
      <c r="CD59" s="552">
        <f t="shared" si="19"/>
        <v>0</v>
      </c>
      <c r="CE59" s="552">
        <f t="shared" si="19"/>
        <v>0</v>
      </c>
      <c r="CF59" s="552">
        <f t="shared" si="19"/>
        <v>0</v>
      </c>
      <c r="CG59" s="552">
        <f t="shared" si="19"/>
        <v>0</v>
      </c>
      <c r="CH59" s="552">
        <f t="shared" si="19"/>
        <v>0</v>
      </c>
      <c r="CI59" s="552">
        <f t="shared" si="19"/>
        <v>0</v>
      </c>
      <c r="CJ59" s="552">
        <f t="shared" si="19"/>
        <v>0</v>
      </c>
      <c r="CK59" s="552">
        <f t="shared" si="19"/>
        <v>0</v>
      </c>
      <c r="CL59" s="552">
        <f t="shared" si="19"/>
        <v>0</v>
      </c>
      <c r="CM59" s="552">
        <f t="shared" si="19"/>
        <v>0</v>
      </c>
      <c r="CN59" s="552">
        <f t="shared" si="19"/>
        <v>0</v>
      </c>
      <c r="CO59" s="552">
        <f t="shared" si="19"/>
        <v>0</v>
      </c>
      <c r="CP59" s="552">
        <f t="shared" si="18"/>
        <v>0</v>
      </c>
      <c r="CQ59" s="552">
        <f t="shared" si="17"/>
        <v>0</v>
      </c>
      <c r="CR59" s="552">
        <f t="shared" si="17"/>
        <v>0</v>
      </c>
      <c r="CS59" s="552">
        <f t="shared" si="9"/>
        <v>0</v>
      </c>
      <c r="CT59" s="552"/>
      <c r="CU59" s="552"/>
      <c r="CV59" s="552"/>
      <c r="CW59" s="552"/>
      <c r="CX59" s="552"/>
      <c r="CY59" s="552"/>
      <c r="CZ59" s="552"/>
      <c r="DA59" s="472"/>
      <c r="DB59" s="552">
        <f t="shared" si="20"/>
        <v>0</v>
      </c>
      <c r="DC59" s="552">
        <f t="shared" si="20"/>
        <v>0</v>
      </c>
      <c r="DD59" s="552">
        <f t="shared" si="20"/>
        <v>0</v>
      </c>
      <c r="DE59" s="552">
        <f t="shared" si="20"/>
        <v>0</v>
      </c>
      <c r="DF59" s="552">
        <f t="shared" si="20"/>
        <v>0</v>
      </c>
      <c r="DG59" s="552">
        <f t="shared" si="20"/>
        <v>0</v>
      </c>
      <c r="DH59" s="552">
        <f t="shared" si="11"/>
        <v>0</v>
      </c>
      <c r="DI59" s="554"/>
      <c r="DJ59" s="525">
        <f>IFERROR(VLOOKUP(A59,'Transp. Dre Rodovia'!$A$19:$D$29,4,FALSE),0)+IFERROR(VLOOKUP(A59,#REF!,4,FALSE),0)</f>
        <v>0</v>
      </c>
    </row>
    <row r="60" spans="1:114" ht="12.75" hidden="1" customHeight="1">
      <c r="A60" s="470">
        <v>41448</v>
      </c>
      <c r="B60" s="550" t="s">
        <v>491</v>
      </c>
      <c r="C60" s="551" t="s">
        <v>107</v>
      </c>
      <c r="D60" s="552">
        <v>0</v>
      </c>
      <c r="E60" s="552">
        <v>0</v>
      </c>
      <c r="F60" s="552">
        <v>0</v>
      </c>
      <c r="G60" s="552">
        <v>0</v>
      </c>
      <c r="H60" s="552">
        <v>0</v>
      </c>
      <c r="I60" s="552">
        <v>0</v>
      </c>
      <c r="J60" s="552">
        <v>0</v>
      </c>
      <c r="K60" s="552">
        <v>0</v>
      </c>
      <c r="L60" s="552">
        <v>0</v>
      </c>
      <c r="M60" s="552">
        <v>0</v>
      </c>
      <c r="N60" s="553">
        <v>0</v>
      </c>
      <c r="O60" s="553">
        <v>0</v>
      </c>
      <c r="P60" s="552">
        <v>0</v>
      </c>
      <c r="Q60" s="552">
        <v>0</v>
      </c>
      <c r="R60" s="552">
        <v>0</v>
      </c>
      <c r="S60" s="552">
        <v>0</v>
      </c>
      <c r="T60" s="552">
        <v>0</v>
      </c>
      <c r="U60" s="552">
        <v>0</v>
      </c>
      <c r="V60" s="552">
        <v>0</v>
      </c>
      <c r="W60" s="552">
        <v>0</v>
      </c>
      <c r="X60" s="561">
        <v>0</v>
      </c>
      <c r="Y60" s="552">
        <v>0</v>
      </c>
      <c r="Z60" s="552">
        <v>0</v>
      </c>
      <c r="AA60" s="552">
        <v>0</v>
      </c>
      <c r="AB60" s="552">
        <v>0</v>
      </c>
      <c r="AC60" s="552">
        <v>0</v>
      </c>
      <c r="AD60" s="552">
        <v>0</v>
      </c>
      <c r="AE60" s="552">
        <v>0</v>
      </c>
      <c r="AF60" s="552">
        <v>0</v>
      </c>
      <c r="AG60" s="552">
        <v>0</v>
      </c>
      <c r="AH60" s="552">
        <v>0</v>
      </c>
      <c r="AI60" s="552">
        <v>0</v>
      </c>
      <c r="AJ60" s="552">
        <v>0</v>
      </c>
      <c r="AK60" s="552">
        <v>0</v>
      </c>
      <c r="AL60" s="552">
        <v>0</v>
      </c>
      <c r="AM60" s="552">
        <v>0</v>
      </c>
      <c r="AN60" s="552">
        <v>0</v>
      </c>
      <c r="AO60" s="552">
        <v>0</v>
      </c>
      <c r="AP60" s="552">
        <v>0</v>
      </c>
      <c r="AQ60" s="552">
        <v>0</v>
      </c>
      <c r="AR60" s="554"/>
      <c r="AS60" s="555">
        <f t="shared" si="2"/>
        <v>0</v>
      </c>
      <c r="AT60" s="555">
        <f t="shared" si="3"/>
        <v>0</v>
      </c>
      <c r="AU60" s="556"/>
      <c r="AV60" s="553">
        <f t="shared" si="15"/>
        <v>0</v>
      </c>
      <c r="AW60" s="553">
        <f t="shared" si="15"/>
        <v>0</v>
      </c>
      <c r="AX60" s="553">
        <f t="shared" si="15"/>
        <v>0</v>
      </c>
      <c r="AY60" s="552">
        <f t="shared" si="5"/>
        <v>0</v>
      </c>
      <c r="AZ60" s="552">
        <f t="shared" si="16"/>
        <v>0</v>
      </c>
      <c r="BA60" s="552">
        <f t="shared" si="16"/>
        <v>0</v>
      </c>
      <c r="BB60" s="557"/>
      <c r="BC60" s="552">
        <v>0</v>
      </c>
      <c r="BD60" s="552">
        <v>0.24</v>
      </c>
      <c r="BE60" s="552">
        <v>0</v>
      </c>
      <c r="BF60" s="552">
        <v>0</v>
      </c>
      <c r="BG60" s="554" t="str">
        <f>IFERROR(VLOOKUP(#REF!,#REF!,4,FALSE),"")</f>
        <v/>
      </c>
      <c r="BH60" s="552"/>
      <c r="BI60" s="552"/>
      <c r="BJ60" s="552"/>
      <c r="BK60" s="552"/>
      <c r="BL60" s="552"/>
      <c r="BM60" s="552"/>
      <c r="BN60" s="552"/>
      <c r="BO60" s="552"/>
      <c r="BP60" s="552"/>
      <c r="BQ60" s="552"/>
      <c r="BR60" s="552"/>
      <c r="BS60" s="552"/>
      <c r="BT60" s="552"/>
      <c r="BU60" s="552"/>
      <c r="BV60" s="552"/>
      <c r="BW60" s="552"/>
      <c r="BX60" s="552"/>
      <c r="BY60" s="552"/>
      <c r="BZ60" s="552"/>
      <c r="CA60" s="552">
        <f t="shared" si="19"/>
        <v>0</v>
      </c>
      <c r="CB60" s="552">
        <f t="shared" si="19"/>
        <v>0</v>
      </c>
      <c r="CC60" s="552">
        <f t="shared" si="19"/>
        <v>0</v>
      </c>
      <c r="CD60" s="552">
        <f t="shared" si="19"/>
        <v>0</v>
      </c>
      <c r="CE60" s="552">
        <f t="shared" si="19"/>
        <v>0</v>
      </c>
      <c r="CF60" s="552">
        <f t="shared" si="19"/>
        <v>0</v>
      </c>
      <c r="CG60" s="552">
        <f t="shared" si="19"/>
        <v>0</v>
      </c>
      <c r="CH60" s="552">
        <f t="shared" si="19"/>
        <v>0</v>
      </c>
      <c r="CI60" s="552">
        <f t="shared" si="19"/>
        <v>0</v>
      </c>
      <c r="CJ60" s="552">
        <f t="shared" si="19"/>
        <v>0</v>
      </c>
      <c r="CK60" s="552">
        <f t="shared" si="19"/>
        <v>0</v>
      </c>
      <c r="CL60" s="552">
        <f t="shared" si="19"/>
        <v>0</v>
      </c>
      <c r="CM60" s="552">
        <f t="shared" si="19"/>
        <v>0</v>
      </c>
      <c r="CN60" s="552">
        <f t="shared" si="19"/>
        <v>0</v>
      </c>
      <c r="CO60" s="552">
        <f t="shared" si="19"/>
        <v>0</v>
      </c>
      <c r="CP60" s="552">
        <f t="shared" si="18"/>
        <v>0</v>
      </c>
      <c r="CQ60" s="552">
        <f t="shared" si="17"/>
        <v>0</v>
      </c>
      <c r="CR60" s="552">
        <f t="shared" si="17"/>
        <v>0</v>
      </c>
      <c r="CS60" s="552">
        <f t="shared" si="9"/>
        <v>0</v>
      </c>
      <c r="CT60" s="552"/>
      <c r="CU60" s="552"/>
      <c r="CV60" s="552"/>
      <c r="CW60" s="552"/>
      <c r="CX60" s="552"/>
      <c r="CY60" s="552"/>
      <c r="CZ60" s="552"/>
      <c r="DA60" s="472"/>
      <c r="DB60" s="552">
        <f t="shared" si="20"/>
        <v>0</v>
      </c>
      <c r="DC60" s="552">
        <f t="shared" si="20"/>
        <v>0</v>
      </c>
      <c r="DD60" s="552">
        <f t="shared" si="20"/>
        <v>0</v>
      </c>
      <c r="DE60" s="552">
        <f t="shared" si="20"/>
        <v>0</v>
      </c>
      <c r="DF60" s="552">
        <f t="shared" si="20"/>
        <v>0</v>
      </c>
      <c r="DG60" s="552">
        <f t="shared" si="20"/>
        <v>0</v>
      </c>
      <c r="DH60" s="552">
        <f t="shared" si="11"/>
        <v>0</v>
      </c>
      <c r="DI60" s="554"/>
      <c r="DJ60" s="525">
        <f>IFERROR(VLOOKUP(A60,'Transp. Dre Rodovia'!$A$19:$D$29,4,FALSE),0)+IFERROR(VLOOKUP(A60,#REF!,4,FALSE),0)</f>
        <v>0</v>
      </c>
    </row>
    <row r="61" spans="1:114" ht="12.75" hidden="1" customHeight="1">
      <c r="A61" s="470">
        <v>41449</v>
      </c>
      <c r="B61" s="550" t="s">
        <v>492</v>
      </c>
      <c r="C61" s="551" t="s">
        <v>107</v>
      </c>
      <c r="D61" s="552">
        <v>0</v>
      </c>
      <c r="E61" s="552">
        <v>0</v>
      </c>
      <c r="F61" s="552">
        <v>0</v>
      </c>
      <c r="G61" s="552">
        <v>0</v>
      </c>
      <c r="H61" s="552">
        <v>0</v>
      </c>
      <c r="I61" s="552">
        <v>0</v>
      </c>
      <c r="J61" s="552">
        <v>0</v>
      </c>
      <c r="K61" s="552">
        <v>0</v>
      </c>
      <c r="L61" s="552">
        <v>0</v>
      </c>
      <c r="M61" s="552">
        <v>0</v>
      </c>
      <c r="N61" s="553">
        <v>0</v>
      </c>
      <c r="O61" s="553">
        <v>0</v>
      </c>
      <c r="P61" s="552">
        <v>0</v>
      </c>
      <c r="Q61" s="552">
        <v>0</v>
      </c>
      <c r="R61" s="552">
        <v>0</v>
      </c>
      <c r="S61" s="552">
        <v>0</v>
      </c>
      <c r="T61" s="552">
        <v>0</v>
      </c>
      <c r="U61" s="552">
        <v>0</v>
      </c>
      <c r="V61" s="552">
        <v>0</v>
      </c>
      <c r="W61" s="552">
        <v>0</v>
      </c>
      <c r="X61" s="561">
        <v>0</v>
      </c>
      <c r="Y61" s="552">
        <v>0</v>
      </c>
      <c r="Z61" s="552">
        <v>0</v>
      </c>
      <c r="AA61" s="552">
        <v>0</v>
      </c>
      <c r="AB61" s="552">
        <v>0</v>
      </c>
      <c r="AC61" s="552">
        <v>0</v>
      </c>
      <c r="AD61" s="552">
        <v>0</v>
      </c>
      <c r="AE61" s="552">
        <v>0</v>
      </c>
      <c r="AF61" s="552">
        <v>0</v>
      </c>
      <c r="AG61" s="552">
        <v>0</v>
      </c>
      <c r="AH61" s="552">
        <v>0</v>
      </c>
      <c r="AI61" s="552">
        <v>0</v>
      </c>
      <c r="AJ61" s="552">
        <v>0</v>
      </c>
      <c r="AK61" s="552">
        <v>0</v>
      </c>
      <c r="AL61" s="552">
        <v>0</v>
      </c>
      <c r="AM61" s="552">
        <v>0</v>
      </c>
      <c r="AN61" s="552">
        <v>0</v>
      </c>
      <c r="AO61" s="552">
        <v>0</v>
      </c>
      <c r="AP61" s="552">
        <v>0</v>
      </c>
      <c r="AQ61" s="552">
        <v>0</v>
      </c>
      <c r="AR61" s="554"/>
      <c r="AS61" s="555">
        <f t="shared" si="2"/>
        <v>0</v>
      </c>
      <c r="AT61" s="555">
        <f t="shared" si="3"/>
        <v>0</v>
      </c>
      <c r="AU61" s="556"/>
      <c r="AV61" s="553">
        <f t="shared" si="15"/>
        <v>0</v>
      </c>
      <c r="AW61" s="553">
        <f t="shared" si="15"/>
        <v>0</v>
      </c>
      <c r="AX61" s="553">
        <f t="shared" si="15"/>
        <v>0</v>
      </c>
      <c r="AY61" s="552">
        <f t="shared" si="5"/>
        <v>0</v>
      </c>
      <c r="AZ61" s="552">
        <f t="shared" si="16"/>
        <v>0</v>
      </c>
      <c r="BA61" s="552">
        <f t="shared" si="16"/>
        <v>0</v>
      </c>
      <c r="BB61" s="557"/>
      <c r="BC61" s="552">
        <v>0.24</v>
      </c>
      <c r="BD61" s="552">
        <v>0</v>
      </c>
      <c r="BE61" s="552">
        <v>0</v>
      </c>
      <c r="BF61" s="552">
        <v>0</v>
      </c>
      <c r="BG61" s="554" t="str">
        <f>IFERROR(VLOOKUP(#REF!,#REF!,4,FALSE),"")</f>
        <v/>
      </c>
      <c r="BH61" s="552"/>
      <c r="BI61" s="552"/>
      <c r="BJ61" s="552"/>
      <c r="BK61" s="552"/>
      <c r="BL61" s="552"/>
      <c r="BM61" s="552"/>
      <c r="BN61" s="552"/>
      <c r="BO61" s="552"/>
      <c r="BP61" s="552"/>
      <c r="BQ61" s="552"/>
      <c r="BR61" s="552"/>
      <c r="BS61" s="552"/>
      <c r="BT61" s="552"/>
      <c r="BU61" s="552"/>
      <c r="BV61" s="552"/>
      <c r="BW61" s="552"/>
      <c r="BX61" s="552"/>
      <c r="BY61" s="552"/>
      <c r="BZ61" s="552"/>
      <c r="CA61" s="552">
        <f t="shared" si="19"/>
        <v>0</v>
      </c>
      <c r="CB61" s="552">
        <f t="shared" si="19"/>
        <v>0</v>
      </c>
      <c r="CC61" s="552">
        <f t="shared" si="19"/>
        <v>0</v>
      </c>
      <c r="CD61" s="552">
        <f t="shared" si="19"/>
        <v>0</v>
      </c>
      <c r="CE61" s="552">
        <f t="shared" si="19"/>
        <v>0</v>
      </c>
      <c r="CF61" s="552">
        <f t="shared" si="19"/>
        <v>0</v>
      </c>
      <c r="CG61" s="552">
        <f t="shared" si="19"/>
        <v>0</v>
      </c>
      <c r="CH61" s="552">
        <f t="shared" si="19"/>
        <v>0</v>
      </c>
      <c r="CI61" s="552">
        <f t="shared" si="19"/>
        <v>0</v>
      </c>
      <c r="CJ61" s="552">
        <f t="shared" si="19"/>
        <v>0</v>
      </c>
      <c r="CK61" s="552">
        <f t="shared" si="19"/>
        <v>0</v>
      </c>
      <c r="CL61" s="552">
        <f t="shared" si="19"/>
        <v>0</v>
      </c>
      <c r="CM61" s="552">
        <f t="shared" si="19"/>
        <v>0</v>
      </c>
      <c r="CN61" s="552">
        <f t="shared" si="19"/>
        <v>0</v>
      </c>
      <c r="CO61" s="552">
        <f t="shared" si="19"/>
        <v>0</v>
      </c>
      <c r="CP61" s="552">
        <f t="shared" si="18"/>
        <v>0</v>
      </c>
      <c r="CQ61" s="552">
        <f t="shared" si="17"/>
        <v>0</v>
      </c>
      <c r="CR61" s="552">
        <f t="shared" si="17"/>
        <v>0</v>
      </c>
      <c r="CS61" s="552">
        <f t="shared" si="9"/>
        <v>0</v>
      </c>
      <c r="CT61" s="552"/>
      <c r="CU61" s="552"/>
      <c r="CV61" s="552"/>
      <c r="CW61" s="552"/>
      <c r="CX61" s="552"/>
      <c r="CY61" s="552"/>
      <c r="CZ61" s="552"/>
      <c r="DA61" s="472"/>
      <c r="DB61" s="552">
        <f t="shared" si="20"/>
        <v>0</v>
      </c>
      <c r="DC61" s="552">
        <f t="shared" si="20"/>
        <v>0</v>
      </c>
      <c r="DD61" s="552">
        <f t="shared" si="20"/>
        <v>0</v>
      </c>
      <c r="DE61" s="552">
        <f t="shared" si="20"/>
        <v>0</v>
      </c>
      <c r="DF61" s="552">
        <f t="shared" si="20"/>
        <v>0</v>
      </c>
      <c r="DG61" s="552">
        <f t="shared" si="20"/>
        <v>0</v>
      </c>
      <c r="DH61" s="552">
        <f t="shared" si="11"/>
        <v>0</v>
      </c>
      <c r="DI61" s="554"/>
      <c r="DJ61" s="525">
        <f>IFERROR(VLOOKUP(A61,'Transp. Dre Rodovia'!$A$19:$D$29,4,FALSE),0)+IFERROR(VLOOKUP(A61,#REF!,4,FALSE),0)</f>
        <v>0</v>
      </c>
    </row>
    <row r="62" spans="1:114" ht="12.75" hidden="1" customHeight="1">
      <c r="A62" s="470">
        <v>41450</v>
      </c>
      <c r="B62" s="550" t="s">
        <v>493</v>
      </c>
      <c r="C62" s="551" t="s">
        <v>107</v>
      </c>
      <c r="D62" s="552">
        <v>0</v>
      </c>
      <c r="E62" s="552">
        <v>0</v>
      </c>
      <c r="F62" s="552">
        <v>0</v>
      </c>
      <c r="G62" s="552">
        <v>0</v>
      </c>
      <c r="H62" s="552">
        <v>0</v>
      </c>
      <c r="I62" s="552">
        <v>0</v>
      </c>
      <c r="J62" s="552">
        <v>0</v>
      </c>
      <c r="K62" s="552">
        <v>0</v>
      </c>
      <c r="L62" s="552">
        <v>0</v>
      </c>
      <c r="M62" s="552">
        <v>0</v>
      </c>
      <c r="N62" s="553">
        <v>0</v>
      </c>
      <c r="O62" s="553">
        <v>0</v>
      </c>
      <c r="P62" s="552">
        <v>0</v>
      </c>
      <c r="Q62" s="552">
        <v>0</v>
      </c>
      <c r="R62" s="552">
        <v>0</v>
      </c>
      <c r="S62" s="552">
        <v>0</v>
      </c>
      <c r="T62" s="552">
        <v>0</v>
      </c>
      <c r="U62" s="552">
        <v>0</v>
      </c>
      <c r="V62" s="552">
        <v>0</v>
      </c>
      <c r="W62" s="552">
        <v>0</v>
      </c>
      <c r="X62" s="561">
        <v>0</v>
      </c>
      <c r="Y62" s="552">
        <v>0</v>
      </c>
      <c r="Z62" s="552">
        <v>0</v>
      </c>
      <c r="AA62" s="552">
        <v>0</v>
      </c>
      <c r="AB62" s="552">
        <v>0</v>
      </c>
      <c r="AC62" s="552">
        <v>0</v>
      </c>
      <c r="AD62" s="552">
        <v>0</v>
      </c>
      <c r="AE62" s="552">
        <v>0</v>
      </c>
      <c r="AF62" s="552">
        <v>0</v>
      </c>
      <c r="AG62" s="552">
        <v>0</v>
      </c>
      <c r="AH62" s="552">
        <v>0</v>
      </c>
      <c r="AI62" s="552">
        <v>0</v>
      </c>
      <c r="AJ62" s="552">
        <v>0</v>
      </c>
      <c r="AK62" s="552">
        <v>0</v>
      </c>
      <c r="AL62" s="552">
        <v>0</v>
      </c>
      <c r="AM62" s="552">
        <v>0</v>
      </c>
      <c r="AN62" s="552">
        <v>0</v>
      </c>
      <c r="AO62" s="552">
        <v>0</v>
      </c>
      <c r="AP62" s="552">
        <v>0</v>
      </c>
      <c r="AQ62" s="552">
        <v>0</v>
      </c>
      <c r="AR62" s="554"/>
      <c r="AS62" s="555">
        <f t="shared" si="2"/>
        <v>0</v>
      </c>
      <c r="AT62" s="555">
        <f t="shared" si="3"/>
        <v>0</v>
      </c>
      <c r="AU62" s="556"/>
      <c r="AV62" s="553">
        <f t="shared" si="15"/>
        <v>0</v>
      </c>
      <c r="AW62" s="553">
        <f t="shared" si="15"/>
        <v>0</v>
      </c>
      <c r="AX62" s="553">
        <f t="shared" si="15"/>
        <v>0</v>
      </c>
      <c r="AY62" s="552">
        <f t="shared" si="5"/>
        <v>0</v>
      </c>
      <c r="AZ62" s="552">
        <f t="shared" si="16"/>
        <v>0</v>
      </c>
      <c r="BA62" s="552">
        <f t="shared" si="16"/>
        <v>0</v>
      </c>
      <c r="BB62" s="557"/>
      <c r="BC62" s="552">
        <v>0</v>
      </c>
      <c r="BD62" s="552">
        <v>0.24</v>
      </c>
      <c r="BE62" s="552">
        <v>0</v>
      </c>
      <c r="BF62" s="552">
        <v>0</v>
      </c>
      <c r="BG62" s="554" t="str">
        <f>IFERROR(VLOOKUP(#REF!,#REF!,4,FALSE),"")</f>
        <v/>
      </c>
      <c r="BH62" s="552"/>
      <c r="BI62" s="552"/>
      <c r="BJ62" s="552"/>
      <c r="BK62" s="552"/>
      <c r="BL62" s="552"/>
      <c r="BM62" s="552"/>
      <c r="BN62" s="552"/>
      <c r="BO62" s="552"/>
      <c r="BP62" s="552"/>
      <c r="BQ62" s="552"/>
      <c r="BR62" s="552"/>
      <c r="BS62" s="552"/>
      <c r="BT62" s="552"/>
      <c r="BU62" s="552"/>
      <c r="BV62" s="552"/>
      <c r="BW62" s="552"/>
      <c r="BX62" s="552"/>
      <c r="BY62" s="552"/>
      <c r="BZ62" s="552"/>
      <c r="CA62" s="552">
        <f t="shared" si="19"/>
        <v>0</v>
      </c>
      <c r="CB62" s="552">
        <f t="shared" si="19"/>
        <v>0</v>
      </c>
      <c r="CC62" s="552">
        <f t="shared" si="19"/>
        <v>0</v>
      </c>
      <c r="CD62" s="552">
        <f t="shared" si="19"/>
        <v>0</v>
      </c>
      <c r="CE62" s="552">
        <f t="shared" si="19"/>
        <v>0</v>
      </c>
      <c r="CF62" s="552">
        <f t="shared" si="19"/>
        <v>0</v>
      </c>
      <c r="CG62" s="552">
        <f t="shared" si="19"/>
        <v>0</v>
      </c>
      <c r="CH62" s="552">
        <f t="shared" si="19"/>
        <v>0</v>
      </c>
      <c r="CI62" s="552">
        <f t="shared" si="19"/>
        <v>0</v>
      </c>
      <c r="CJ62" s="552">
        <f t="shared" si="19"/>
        <v>0</v>
      </c>
      <c r="CK62" s="552">
        <f t="shared" si="19"/>
        <v>0</v>
      </c>
      <c r="CL62" s="552">
        <f t="shared" si="19"/>
        <v>0</v>
      </c>
      <c r="CM62" s="552">
        <f t="shared" si="19"/>
        <v>0</v>
      </c>
      <c r="CN62" s="552">
        <f t="shared" si="19"/>
        <v>0</v>
      </c>
      <c r="CO62" s="552">
        <f t="shared" si="19"/>
        <v>0</v>
      </c>
      <c r="CP62" s="552">
        <f t="shared" si="18"/>
        <v>0</v>
      </c>
      <c r="CQ62" s="552">
        <f t="shared" si="17"/>
        <v>0</v>
      </c>
      <c r="CR62" s="552">
        <f t="shared" si="17"/>
        <v>0</v>
      </c>
      <c r="CS62" s="552">
        <f t="shared" si="9"/>
        <v>0</v>
      </c>
      <c r="CT62" s="552"/>
      <c r="CU62" s="552"/>
      <c r="CV62" s="552"/>
      <c r="CW62" s="552"/>
      <c r="CX62" s="552"/>
      <c r="CY62" s="552"/>
      <c r="CZ62" s="552"/>
      <c r="DA62" s="472"/>
      <c r="DB62" s="552">
        <f t="shared" si="20"/>
        <v>0</v>
      </c>
      <c r="DC62" s="552">
        <f t="shared" si="20"/>
        <v>0</v>
      </c>
      <c r="DD62" s="552">
        <f t="shared" si="20"/>
        <v>0</v>
      </c>
      <c r="DE62" s="552">
        <f t="shared" si="20"/>
        <v>0</v>
      </c>
      <c r="DF62" s="552">
        <f t="shared" si="20"/>
        <v>0</v>
      </c>
      <c r="DG62" s="552">
        <f t="shared" si="20"/>
        <v>0</v>
      </c>
      <c r="DH62" s="552">
        <f t="shared" si="11"/>
        <v>0</v>
      </c>
      <c r="DI62" s="554"/>
      <c r="DJ62" s="525">
        <f>IFERROR(VLOOKUP(A62,'Transp. Dre Rodovia'!$A$19:$D$29,4,FALSE),0)+IFERROR(VLOOKUP(A62,#REF!,4,FALSE),0)</f>
        <v>0</v>
      </c>
    </row>
    <row r="63" spans="1:114" ht="12.75" hidden="1" customHeight="1">
      <c r="A63" s="470">
        <v>41454</v>
      </c>
      <c r="B63" s="550" t="s">
        <v>494</v>
      </c>
      <c r="C63" s="551" t="s">
        <v>374</v>
      </c>
      <c r="D63" s="552">
        <v>0</v>
      </c>
      <c r="E63" s="552">
        <v>0</v>
      </c>
      <c r="F63" s="552">
        <v>0</v>
      </c>
      <c r="G63" s="552">
        <v>0</v>
      </c>
      <c r="H63" s="552">
        <v>0</v>
      </c>
      <c r="I63" s="552">
        <v>0</v>
      </c>
      <c r="J63" s="552">
        <v>0.156</v>
      </c>
      <c r="K63" s="552">
        <v>0.90449999999999997</v>
      </c>
      <c r="L63" s="552">
        <v>0.85649999999999993</v>
      </c>
      <c r="M63" s="552">
        <v>332</v>
      </c>
      <c r="N63" s="553">
        <v>0</v>
      </c>
      <c r="O63" s="553">
        <v>0</v>
      </c>
      <c r="P63" s="552">
        <v>0</v>
      </c>
      <c r="Q63" s="552">
        <v>0</v>
      </c>
      <c r="R63" s="552">
        <v>0</v>
      </c>
      <c r="S63" s="552">
        <v>0</v>
      </c>
      <c r="T63" s="552">
        <v>0</v>
      </c>
      <c r="U63" s="552">
        <v>0</v>
      </c>
      <c r="V63" s="552">
        <v>0</v>
      </c>
      <c r="W63" s="552">
        <v>0</v>
      </c>
      <c r="X63" s="561">
        <v>0</v>
      </c>
      <c r="Y63" s="552">
        <v>0</v>
      </c>
      <c r="Z63" s="552">
        <v>0</v>
      </c>
      <c r="AA63" s="552">
        <v>0</v>
      </c>
      <c r="AB63" s="552">
        <v>0</v>
      </c>
      <c r="AC63" s="552">
        <v>0</v>
      </c>
      <c r="AD63" s="552">
        <v>0</v>
      </c>
      <c r="AE63" s="552">
        <v>0</v>
      </c>
      <c r="AF63" s="552">
        <v>0</v>
      </c>
      <c r="AG63" s="552">
        <v>0</v>
      </c>
      <c r="AH63" s="552">
        <v>0</v>
      </c>
      <c r="AI63" s="552">
        <v>0</v>
      </c>
      <c r="AJ63" s="552">
        <v>0</v>
      </c>
      <c r="AK63" s="552">
        <v>0</v>
      </c>
      <c r="AL63" s="552">
        <v>0</v>
      </c>
      <c r="AM63" s="552">
        <v>0</v>
      </c>
      <c r="AN63" s="552">
        <v>0</v>
      </c>
      <c r="AO63" s="552">
        <v>0</v>
      </c>
      <c r="AP63" s="552">
        <v>0</v>
      </c>
      <c r="AQ63" s="552">
        <v>0</v>
      </c>
      <c r="AR63" s="554"/>
      <c r="AS63" s="555">
        <f t="shared" si="2"/>
        <v>0.156</v>
      </c>
      <c r="AT63" s="555">
        <f t="shared" si="3"/>
        <v>0</v>
      </c>
      <c r="AU63" s="556"/>
      <c r="AV63" s="553">
        <f t="shared" si="15"/>
        <v>0.14110200000000001</v>
      </c>
      <c r="AW63" s="553">
        <f t="shared" si="15"/>
        <v>0.13361399999999998</v>
      </c>
      <c r="AX63" s="553">
        <f t="shared" si="15"/>
        <v>51.792000000000002</v>
      </c>
      <c r="AY63" s="552">
        <f t="shared" si="5"/>
        <v>0</v>
      </c>
      <c r="AZ63" s="552">
        <f t="shared" si="16"/>
        <v>0</v>
      </c>
      <c r="BA63" s="552">
        <f t="shared" si="16"/>
        <v>0</v>
      </c>
      <c r="BB63" s="557"/>
      <c r="BC63" s="552">
        <v>0</v>
      </c>
      <c r="BD63" s="552">
        <v>0</v>
      </c>
      <c r="BE63" s="552">
        <v>0</v>
      </c>
      <c r="BF63" s="552">
        <v>0</v>
      </c>
      <c r="BG63" s="554" t="str">
        <f>IFERROR(VLOOKUP(#REF!,#REF!,4,FALSE),"")</f>
        <v/>
      </c>
      <c r="BH63" s="552"/>
      <c r="BI63" s="552"/>
      <c r="BJ63" s="552"/>
      <c r="BK63" s="552"/>
      <c r="BL63" s="552"/>
      <c r="BM63" s="552"/>
      <c r="BN63" s="552"/>
      <c r="BO63" s="552"/>
      <c r="BP63" s="552"/>
      <c r="BQ63" s="552"/>
      <c r="BR63" s="552"/>
      <c r="BS63" s="552"/>
      <c r="BT63" s="552"/>
      <c r="BU63" s="552"/>
      <c r="BV63" s="552"/>
      <c r="BW63" s="552"/>
      <c r="BX63" s="552"/>
      <c r="BY63" s="552"/>
      <c r="BZ63" s="552"/>
      <c r="CA63" s="552">
        <f t="shared" si="19"/>
        <v>0</v>
      </c>
      <c r="CB63" s="552">
        <f t="shared" si="19"/>
        <v>0</v>
      </c>
      <c r="CC63" s="552">
        <f t="shared" si="19"/>
        <v>0</v>
      </c>
      <c r="CD63" s="552">
        <f t="shared" si="19"/>
        <v>0</v>
      </c>
      <c r="CE63" s="552">
        <f t="shared" si="19"/>
        <v>0</v>
      </c>
      <c r="CF63" s="552">
        <f t="shared" si="19"/>
        <v>0</v>
      </c>
      <c r="CG63" s="552">
        <f t="shared" si="19"/>
        <v>0</v>
      </c>
      <c r="CH63" s="552">
        <f t="shared" si="19"/>
        <v>0</v>
      </c>
      <c r="CI63" s="552">
        <f t="shared" si="19"/>
        <v>0</v>
      </c>
      <c r="CJ63" s="552">
        <f t="shared" si="19"/>
        <v>0</v>
      </c>
      <c r="CK63" s="552">
        <f t="shared" si="19"/>
        <v>0</v>
      </c>
      <c r="CL63" s="552">
        <f t="shared" si="19"/>
        <v>0</v>
      </c>
      <c r="CM63" s="552">
        <f t="shared" si="19"/>
        <v>0</v>
      </c>
      <c r="CN63" s="552">
        <f t="shared" si="19"/>
        <v>0</v>
      </c>
      <c r="CO63" s="552">
        <f t="shared" si="19"/>
        <v>0</v>
      </c>
      <c r="CP63" s="552">
        <f t="shared" si="18"/>
        <v>0</v>
      </c>
      <c r="CQ63" s="552">
        <f t="shared" si="17"/>
        <v>0</v>
      </c>
      <c r="CR63" s="552">
        <f t="shared" si="17"/>
        <v>0</v>
      </c>
      <c r="CS63" s="552">
        <f t="shared" si="9"/>
        <v>0</v>
      </c>
      <c r="CT63" s="552"/>
      <c r="CU63" s="552"/>
      <c r="CV63" s="552"/>
      <c r="CW63" s="552"/>
      <c r="CX63" s="552"/>
      <c r="CY63" s="552"/>
      <c r="CZ63" s="552"/>
      <c r="DA63" s="472"/>
      <c r="DB63" s="552">
        <f t="shared" si="20"/>
        <v>0</v>
      </c>
      <c r="DC63" s="552">
        <f t="shared" si="20"/>
        <v>0</v>
      </c>
      <c r="DD63" s="552">
        <f t="shared" si="20"/>
        <v>0</v>
      </c>
      <c r="DE63" s="552">
        <f t="shared" si="20"/>
        <v>0</v>
      </c>
      <c r="DF63" s="552">
        <f t="shared" si="20"/>
        <v>0</v>
      </c>
      <c r="DG63" s="552">
        <f t="shared" si="20"/>
        <v>0</v>
      </c>
      <c r="DH63" s="552">
        <f t="shared" si="11"/>
        <v>0</v>
      </c>
      <c r="DI63" s="554"/>
      <c r="DJ63" s="525">
        <f>IFERROR(VLOOKUP(A63,'Transp. Dre Rodovia'!$A$19:$D$29,4,FALSE),0)+IFERROR(VLOOKUP(A63,#REF!,4,FALSE),0)</f>
        <v>0</v>
      </c>
    </row>
    <row r="64" spans="1:114" ht="12.75" hidden="1" customHeight="1">
      <c r="A64" s="470">
        <v>41455</v>
      </c>
      <c r="B64" s="550" t="s">
        <v>495</v>
      </c>
      <c r="C64" s="551" t="s">
        <v>374</v>
      </c>
      <c r="D64" s="552">
        <v>0</v>
      </c>
      <c r="E64" s="552">
        <v>0</v>
      </c>
      <c r="F64" s="552">
        <v>0</v>
      </c>
      <c r="G64" s="552">
        <v>0</v>
      </c>
      <c r="H64" s="552">
        <v>0</v>
      </c>
      <c r="I64" s="552">
        <v>0</v>
      </c>
      <c r="J64" s="552">
        <v>0.20399999999999999</v>
      </c>
      <c r="K64" s="552">
        <v>0.90449999999999997</v>
      </c>
      <c r="L64" s="552">
        <v>0.85649999999999993</v>
      </c>
      <c r="M64" s="552">
        <v>332</v>
      </c>
      <c r="N64" s="553">
        <v>0</v>
      </c>
      <c r="O64" s="553">
        <v>0</v>
      </c>
      <c r="P64" s="552">
        <v>0</v>
      </c>
      <c r="Q64" s="552">
        <v>0</v>
      </c>
      <c r="R64" s="552">
        <v>0</v>
      </c>
      <c r="S64" s="552">
        <v>0</v>
      </c>
      <c r="T64" s="552">
        <v>0</v>
      </c>
      <c r="U64" s="552">
        <v>0</v>
      </c>
      <c r="V64" s="552">
        <v>0</v>
      </c>
      <c r="W64" s="552">
        <v>0</v>
      </c>
      <c r="X64" s="561">
        <v>0</v>
      </c>
      <c r="Y64" s="552">
        <v>0</v>
      </c>
      <c r="Z64" s="552">
        <v>0</v>
      </c>
      <c r="AA64" s="552">
        <v>0</v>
      </c>
      <c r="AB64" s="552">
        <v>0</v>
      </c>
      <c r="AC64" s="552">
        <v>0</v>
      </c>
      <c r="AD64" s="552">
        <v>0</v>
      </c>
      <c r="AE64" s="552">
        <v>0</v>
      </c>
      <c r="AF64" s="552">
        <v>0</v>
      </c>
      <c r="AG64" s="552">
        <v>0</v>
      </c>
      <c r="AH64" s="552">
        <v>0</v>
      </c>
      <c r="AI64" s="552">
        <v>0</v>
      </c>
      <c r="AJ64" s="552">
        <v>0</v>
      </c>
      <c r="AK64" s="552">
        <v>0</v>
      </c>
      <c r="AL64" s="552">
        <v>0</v>
      </c>
      <c r="AM64" s="552">
        <v>0</v>
      </c>
      <c r="AN64" s="552">
        <v>0</v>
      </c>
      <c r="AO64" s="552">
        <v>0</v>
      </c>
      <c r="AP64" s="552">
        <v>0</v>
      </c>
      <c r="AQ64" s="552">
        <v>0</v>
      </c>
      <c r="AR64" s="554"/>
      <c r="AS64" s="555">
        <f t="shared" si="2"/>
        <v>0.20399999999999999</v>
      </c>
      <c r="AT64" s="555">
        <f t="shared" si="3"/>
        <v>0</v>
      </c>
      <c r="AU64" s="556"/>
      <c r="AV64" s="553">
        <f t="shared" si="15"/>
        <v>0.18451799999999999</v>
      </c>
      <c r="AW64" s="553">
        <f t="shared" si="15"/>
        <v>0.17472599999999996</v>
      </c>
      <c r="AX64" s="553">
        <f t="shared" si="15"/>
        <v>67.727999999999994</v>
      </c>
      <c r="AY64" s="552">
        <f t="shared" si="5"/>
        <v>0</v>
      </c>
      <c r="AZ64" s="552">
        <f t="shared" si="16"/>
        <v>0</v>
      </c>
      <c r="BA64" s="552">
        <f t="shared" si="16"/>
        <v>0</v>
      </c>
      <c r="BB64" s="557"/>
      <c r="BC64" s="552">
        <v>0</v>
      </c>
      <c r="BD64" s="552">
        <v>0</v>
      </c>
      <c r="BE64" s="552">
        <v>0</v>
      </c>
      <c r="BF64" s="552">
        <v>0</v>
      </c>
      <c r="BG64" s="554" t="str">
        <f>IFERROR(VLOOKUP(#REF!,#REF!,4,FALSE),"")</f>
        <v/>
      </c>
      <c r="BH64" s="552"/>
      <c r="BI64" s="552"/>
      <c r="BJ64" s="552"/>
      <c r="BK64" s="552"/>
      <c r="BL64" s="552"/>
      <c r="BM64" s="552"/>
      <c r="BN64" s="552"/>
      <c r="BO64" s="552"/>
      <c r="BP64" s="552"/>
      <c r="BQ64" s="552"/>
      <c r="BR64" s="552"/>
      <c r="BS64" s="552"/>
      <c r="BT64" s="552"/>
      <c r="BU64" s="552"/>
      <c r="BV64" s="552"/>
      <c r="BW64" s="552"/>
      <c r="BX64" s="552"/>
      <c r="BY64" s="552"/>
      <c r="BZ64" s="552"/>
      <c r="CA64" s="552">
        <f t="shared" si="19"/>
        <v>0</v>
      </c>
      <c r="CB64" s="552">
        <f t="shared" si="19"/>
        <v>0</v>
      </c>
      <c r="CC64" s="552">
        <f t="shared" si="19"/>
        <v>0</v>
      </c>
      <c r="CD64" s="552">
        <f t="shared" si="19"/>
        <v>0</v>
      </c>
      <c r="CE64" s="552">
        <f t="shared" si="19"/>
        <v>0</v>
      </c>
      <c r="CF64" s="552">
        <f t="shared" si="19"/>
        <v>0</v>
      </c>
      <c r="CG64" s="552">
        <f t="shared" si="19"/>
        <v>0</v>
      </c>
      <c r="CH64" s="552">
        <f t="shared" si="19"/>
        <v>0</v>
      </c>
      <c r="CI64" s="552">
        <f t="shared" si="19"/>
        <v>0</v>
      </c>
      <c r="CJ64" s="552">
        <f t="shared" si="19"/>
        <v>0</v>
      </c>
      <c r="CK64" s="552">
        <f t="shared" si="19"/>
        <v>0</v>
      </c>
      <c r="CL64" s="552">
        <f t="shared" si="19"/>
        <v>0</v>
      </c>
      <c r="CM64" s="552">
        <f t="shared" si="19"/>
        <v>0</v>
      </c>
      <c r="CN64" s="552">
        <f t="shared" si="19"/>
        <v>0</v>
      </c>
      <c r="CO64" s="552">
        <f t="shared" si="19"/>
        <v>0</v>
      </c>
      <c r="CP64" s="552">
        <f t="shared" si="18"/>
        <v>0</v>
      </c>
      <c r="CQ64" s="552">
        <f t="shared" si="17"/>
        <v>0</v>
      </c>
      <c r="CR64" s="552">
        <f t="shared" si="17"/>
        <v>0</v>
      </c>
      <c r="CS64" s="552">
        <f t="shared" si="9"/>
        <v>0</v>
      </c>
      <c r="CT64" s="552"/>
      <c r="CU64" s="552"/>
      <c r="CV64" s="552"/>
      <c r="CW64" s="552"/>
      <c r="CX64" s="552"/>
      <c r="CY64" s="552"/>
      <c r="CZ64" s="552"/>
      <c r="DA64" s="472"/>
      <c r="DB64" s="552">
        <f t="shared" si="20"/>
        <v>0</v>
      </c>
      <c r="DC64" s="552">
        <f t="shared" si="20"/>
        <v>0</v>
      </c>
      <c r="DD64" s="552">
        <f t="shared" si="20"/>
        <v>0</v>
      </c>
      <c r="DE64" s="552">
        <f t="shared" si="20"/>
        <v>0</v>
      </c>
      <c r="DF64" s="552">
        <f t="shared" si="20"/>
        <v>0</v>
      </c>
      <c r="DG64" s="552">
        <f t="shared" si="20"/>
        <v>0</v>
      </c>
      <c r="DH64" s="552">
        <f t="shared" si="11"/>
        <v>0</v>
      </c>
      <c r="DI64" s="554"/>
      <c r="DJ64" s="525">
        <f>IFERROR(VLOOKUP(A64,'Transp. Dre Rodovia'!$A$19:$D$29,4,FALSE),0)+IFERROR(VLOOKUP(A64,#REF!,4,FALSE),0)</f>
        <v>0</v>
      </c>
    </row>
    <row r="65" spans="1:114" ht="12.75" hidden="1" customHeight="1">
      <c r="A65" s="470">
        <v>41456</v>
      </c>
      <c r="B65" s="550" t="s">
        <v>496</v>
      </c>
      <c r="C65" s="551" t="s">
        <v>374</v>
      </c>
      <c r="D65" s="552">
        <v>0</v>
      </c>
      <c r="E65" s="552">
        <v>0</v>
      </c>
      <c r="F65" s="552">
        <v>0</v>
      </c>
      <c r="G65" s="552">
        <v>0</v>
      </c>
      <c r="H65" s="552">
        <v>0</v>
      </c>
      <c r="I65" s="552">
        <v>0</v>
      </c>
      <c r="J65" s="552">
        <v>9.6000000000000002E-2</v>
      </c>
      <c r="K65" s="552">
        <v>0.90449999999999997</v>
      </c>
      <c r="L65" s="552">
        <v>0.85649999999999993</v>
      </c>
      <c r="M65" s="552">
        <v>332</v>
      </c>
      <c r="N65" s="553">
        <v>0</v>
      </c>
      <c r="O65" s="553">
        <v>0</v>
      </c>
      <c r="P65" s="552">
        <v>0</v>
      </c>
      <c r="Q65" s="552">
        <v>0</v>
      </c>
      <c r="R65" s="552">
        <v>0</v>
      </c>
      <c r="S65" s="552">
        <v>0</v>
      </c>
      <c r="T65" s="552">
        <v>0</v>
      </c>
      <c r="U65" s="552">
        <v>0</v>
      </c>
      <c r="V65" s="552">
        <v>0</v>
      </c>
      <c r="W65" s="552">
        <v>0</v>
      </c>
      <c r="X65" s="561">
        <v>0</v>
      </c>
      <c r="Y65" s="552">
        <v>0</v>
      </c>
      <c r="Z65" s="552">
        <v>0</v>
      </c>
      <c r="AA65" s="552">
        <v>0</v>
      </c>
      <c r="AB65" s="552">
        <v>0</v>
      </c>
      <c r="AC65" s="552">
        <v>0</v>
      </c>
      <c r="AD65" s="552">
        <v>0</v>
      </c>
      <c r="AE65" s="552">
        <v>0</v>
      </c>
      <c r="AF65" s="552">
        <v>0</v>
      </c>
      <c r="AG65" s="552">
        <v>0</v>
      </c>
      <c r="AH65" s="552">
        <v>0</v>
      </c>
      <c r="AI65" s="552">
        <v>0</v>
      </c>
      <c r="AJ65" s="552">
        <v>0</v>
      </c>
      <c r="AK65" s="552">
        <v>0</v>
      </c>
      <c r="AL65" s="552">
        <v>0</v>
      </c>
      <c r="AM65" s="552">
        <v>0</v>
      </c>
      <c r="AN65" s="552">
        <v>0</v>
      </c>
      <c r="AO65" s="552">
        <v>0</v>
      </c>
      <c r="AP65" s="552">
        <v>0</v>
      </c>
      <c r="AQ65" s="552">
        <v>0</v>
      </c>
      <c r="AR65" s="554"/>
      <c r="AS65" s="555">
        <f t="shared" si="2"/>
        <v>9.6000000000000002E-2</v>
      </c>
      <c r="AT65" s="555">
        <f t="shared" si="3"/>
        <v>0</v>
      </c>
      <c r="AU65" s="556"/>
      <c r="AV65" s="553">
        <f t="shared" si="15"/>
        <v>8.6831999999999993E-2</v>
      </c>
      <c r="AW65" s="553">
        <f t="shared" si="15"/>
        <v>8.2223999999999992E-2</v>
      </c>
      <c r="AX65" s="553">
        <f t="shared" si="15"/>
        <v>31.872</v>
      </c>
      <c r="AY65" s="552">
        <f t="shared" si="5"/>
        <v>0</v>
      </c>
      <c r="AZ65" s="552">
        <f t="shared" si="16"/>
        <v>0</v>
      </c>
      <c r="BA65" s="552">
        <f t="shared" si="16"/>
        <v>0</v>
      </c>
      <c r="BB65" s="557"/>
      <c r="BC65" s="552">
        <v>0</v>
      </c>
      <c r="BD65" s="552">
        <v>0</v>
      </c>
      <c r="BE65" s="552">
        <v>0</v>
      </c>
      <c r="BF65" s="552">
        <v>0</v>
      </c>
      <c r="BG65" s="554" t="str">
        <f>IFERROR(VLOOKUP(#REF!,#REF!,4,FALSE),"")</f>
        <v/>
      </c>
      <c r="BH65" s="552"/>
      <c r="BI65" s="552"/>
      <c r="BJ65" s="552"/>
      <c r="BK65" s="552"/>
      <c r="BL65" s="552"/>
      <c r="BM65" s="552"/>
      <c r="BN65" s="552"/>
      <c r="BO65" s="552"/>
      <c r="BP65" s="552"/>
      <c r="BQ65" s="552"/>
      <c r="BR65" s="552"/>
      <c r="BS65" s="552"/>
      <c r="BT65" s="552"/>
      <c r="BU65" s="552"/>
      <c r="BV65" s="552"/>
      <c r="BW65" s="552"/>
      <c r="BX65" s="552"/>
      <c r="BY65" s="552"/>
      <c r="BZ65" s="552"/>
      <c r="CA65" s="552">
        <f t="shared" si="19"/>
        <v>0</v>
      </c>
      <c r="CB65" s="552">
        <f t="shared" si="19"/>
        <v>0</v>
      </c>
      <c r="CC65" s="552">
        <f t="shared" si="19"/>
        <v>0</v>
      </c>
      <c r="CD65" s="552">
        <f t="shared" si="19"/>
        <v>0</v>
      </c>
      <c r="CE65" s="552">
        <f t="shared" si="19"/>
        <v>0</v>
      </c>
      <c r="CF65" s="552">
        <f t="shared" si="19"/>
        <v>0</v>
      </c>
      <c r="CG65" s="552">
        <f t="shared" si="19"/>
        <v>0</v>
      </c>
      <c r="CH65" s="552">
        <f t="shared" si="19"/>
        <v>0</v>
      </c>
      <c r="CI65" s="552">
        <f t="shared" si="19"/>
        <v>0</v>
      </c>
      <c r="CJ65" s="552">
        <f t="shared" si="19"/>
        <v>0</v>
      </c>
      <c r="CK65" s="552">
        <f t="shared" si="19"/>
        <v>0</v>
      </c>
      <c r="CL65" s="552">
        <f t="shared" si="19"/>
        <v>0</v>
      </c>
      <c r="CM65" s="552">
        <f t="shared" si="19"/>
        <v>0</v>
      </c>
      <c r="CN65" s="552">
        <f t="shared" si="19"/>
        <v>0</v>
      </c>
      <c r="CO65" s="552">
        <f t="shared" si="19"/>
        <v>0</v>
      </c>
      <c r="CP65" s="552">
        <f t="shared" si="18"/>
        <v>0</v>
      </c>
      <c r="CQ65" s="552">
        <f t="shared" si="17"/>
        <v>0</v>
      </c>
      <c r="CR65" s="552">
        <f t="shared" si="17"/>
        <v>0</v>
      </c>
      <c r="CS65" s="552">
        <f t="shared" si="9"/>
        <v>0</v>
      </c>
      <c r="CT65" s="552"/>
      <c r="CU65" s="552"/>
      <c r="CV65" s="552"/>
      <c r="CW65" s="552"/>
      <c r="CX65" s="552"/>
      <c r="CY65" s="552"/>
      <c r="CZ65" s="552"/>
      <c r="DA65" s="472"/>
      <c r="DB65" s="552">
        <f t="shared" si="20"/>
        <v>0</v>
      </c>
      <c r="DC65" s="552">
        <f t="shared" si="20"/>
        <v>0</v>
      </c>
      <c r="DD65" s="552">
        <f t="shared" si="20"/>
        <v>0</v>
      </c>
      <c r="DE65" s="552">
        <f t="shared" si="20"/>
        <v>0</v>
      </c>
      <c r="DF65" s="552">
        <f t="shared" si="20"/>
        <v>0</v>
      </c>
      <c r="DG65" s="552">
        <f t="shared" si="20"/>
        <v>0</v>
      </c>
      <c r="DH65" s="552">
        <f t="shared" si="11"/>
        <v>0</v>
      </c>
      <c r="DI65" s="554"/>
      <c r="DJ65" s="525">
        <f>IFERROR(VLOOKUP(A65,'Transp. Dre Rodovia'!$A$19:$D$29,4,FALSE),0)+IFERROR(VLOOKUP(A65,#REF!,4,FALSE),0)</f>
        <v>0</v>
      </c>
    </row>
    <row r="66" spans="1:114" ht="12.75" hidden="1" customHeight="1">
      <c r="A66" s="470">
        <v>41846</v>
      </c>
      <c r="B66" s="550" t="s">
        <v>497</v>
      </c>
      <c r="C66" s="551" t="s">
        <v>374</v>
      </c>
      <c r="D66" s="552">
        <v>1.47</v>
      </c>
      <c r="E66" s="552">
        <v>0.52600000000000002</v>
      </c>
      <c r="F66" s="552">
        <v>0.7</v>
      </c>
      <c r="G66" s="552">
        <v>0.89922000000000002</v>
      </c>
      <c r="H66" s="552">
        <v>1.1026199999999999</v>
      </c>
      <c r="I66" s="552">
        <v>280.53417999999999</v>
      </c>
      <c r="J66" s="552">
        <v>0</v>
      </c>
      <c r="K66" s="552">
        <v>0</v>
      </c>
      <c r="L66" s="552">
        <v>0</v>
      </c>
      <c r="M66" s="552">
        <v>0</v>
      </c>
      <c r="N66" s="553">
        <v>0</v>
      </c>
      <c r="O66" s="553">
        <v>0</v>
      </c>
      <c r="P66" s="552">
        <v>0</v>
      </c>
      <c r="Q66" s="552">
        <v>0</v>
      </c>
      <c r="R66" s="552">
        <v>0</v>
      </c>
      <c r="S66" s="552">
        <v>0</v>
      </c>
      <c r="T66" s="552">
        <v>0</v>
      </c>
      <c r="U66" s="552">
        <v>0</v>
      </c>
      <c r="V66" s="552">
        <v>0</v>
      </c>
      <c r="W66" s="552">
        <v>0</v>
      </c>
      <c r="X66" s="552">
        <v>0</v>
      </c>
      <c r="Y66" s="552">
        <v>0</v>
      </c>
      <c r="Z66" s="552">
        <v>0</v>
      </c>
      <c r="AA66" s="552">
        <v>0</v>
      </c>
      <c r="AB66" s="552">
        <v>0</v>
      </c>
      <c r="AC66" s="552">
        <v>0</v>
      </c>
      <c r="AD66" s="552">
        <v>0</v>
      </c>
      <c r="AE66" s="552">
        <v>0</v>
      </c>
      <c r="AF66" s="552">
        <v>0</v>
      </c>
      <c r="AG66" s="552">
        <v>0</v>
      </c>
      <c r="AH66" s="552">
        <v>0.04</v>
      </c>
      <c r="AI66" s="552">
        <v>1.7249999999999999</v>
      </c>
      <c r="AJ66" s="552">
        <v>350</v>
      </c>
      <c r="AK66" s="552">
        <v>0</v>
      </c>
      <c r="AL66" s="552">
        <v>0</v>
      </c>
      <c r="AM66" s="552">
        <v>0</v>
      </c>
      <c r="AN66" s="552">
        <v>0</v>
      </c>
      <c r="AO66" s="552">
        <v>0</v>
      </c>
      <c r="AP66" s="552">
        <v>0</v>
      </c>
      <c r="AQ66" s="552">
        <v>0</v>
      </c>
      <c r="AR66" s="554"/>
      <c r="AS66" s="555">
        <f t="shared" si="2"/>
        <v>1.0289999999999999</v>
      </c>
      <c r="AT66" s="555">
        <f t="shared" si="3"/>
        <v>0.04</v>
      </c>
      <c r="AU66" s="556"/>
      <c r="AV66" s="553">
        <f t="shared" si="15"/>
        <v>0.92529737999999995</v>
      </c>
      <c r="AW66" s="553">
        <f t="shared" si="15"/>
        <v>1.1345959799999998</v>
      </c>
      <c r="AX66" s="553">
        <f t="shared" si="15"/>
        <v>288.66967121999994</v>
      </c>
      <c r="AY66" s="552">
        <f t="shared" si="5"/>
        <v>0.77322000000000002</v>
      </c>
      <c r="AZ66" s="552">
        <f t="shared" si="16"/>
        <v>6.8999999999999992E-2</v>
      </c>
      <c r="BA66" s="552">
        <f t="shared" si="16"/>
        <v>14</v>
      </c>
      <c r="BB66" s="557"/>
      <c r="BC66" s="552">
        <v>0</v>
      </c>
      <c r="BD66" s="552">
        <v>0</v>
      </c>
      <c r="BE66" s="552">
        <v>0</v>
      </c>
      <c r="BF66" s="552">
        <v>0</v>
      </c>
      <c r="BG66" s="554" t="str">
        <f>IFERROR(VLOOKUP(#REF!,#REF!,4,FALSE),"")</f>
        <v/>
      </c>
      <c r="BH66" s="552"/>
      <c r="BI66" s="552"/>
      <c r="BJ66" s="552"/>
      <c r="BK66" s="552"/>
      <c r="BL66" s="552"/>
      <c r="BM66" s="552"/>
      <c r="BN66" s="552"/>
      <c r="BO66" s="552"/>
      <c r="BP66" s="552"/>
      <c r="BQ66" s="552"/>
      <c r="BR66" s="552"/>
      <c r="BS66" s="552"/>
      <c r="BT66" s="552"/>
      <c r="BU66" s="552"/>
      <c r="BV66" s="552"/>
      <c r="BW66" s="552"/>
      <c r="BX66" s="552"/>
      <c r="BY66" s="552"/>
      <c r="BZ66" s="552"/>
      <c r="CA66" s="552">
        <f t="shared" si="19"/>
        <v>0</v>
      </c>
      <c r="CB66" s="552">
        <f t="shared" si="19"/>
        <v>0</v>
      </c>
      <c r="CC66" s="552">
        <f t="shared" si="19"/>
        <v>0</v>
      </c>
      <c r="CD66" s="552">
        <f t="shared" si="19"/>
        <v>0</v>
      </c>
      <c r="CE66" s="552">
        <f t="shared" si="19"/>
        <v>0</v>
      </c>
      <c r="CF66" s="552">
        <f t="shared" si="19"/>
        <v>0</v>
      </c>
      <c r="CG66" s="552">
        <f t="shared" si="19"/>
        <v>0</v>
      </c>
      <c r="CH66" s="552">
        <f t="shared" si="19"/>
        <v>0</v>
      </c>
      <c r="CI66" s="552">
        <f t="shared" si="19"/>
        <v>0</v>
      </c>
      <c r="CJ66" s="552">
        <f t="shared" si="19"/>
        <v>0</v>
      </c>
      <c r="CK66" s="552">
        <f t="shared" si="19"/>
        <v>0</v>
      </c>
      <c r="CL66" s="552">
        <f t="shared" si="19"/>
        <v>0</v>
      </c>
      <c r="CM66" s="552">
        <f t="shared" si="19"/>
        <v>0</v>
      </c>
      <c r="CN66" s="552">
        <f t="shared" si="19"/>
        <v>0</v>
      </c>
      <c r="CO66" s="552">
        <f t="shared" si="19"/>
        <v>0</v>
      </c>
      <c r="CP66" s="552">
        <f t="shared" si="18"/>
        <v>0</v>
      </c>
      <c r="CQ66" s="552">
        <f t="shared" si="17"/>
        <v>0</v>
      </c>
      <c r="CR66" s="552">
        <f t="shared" si="17"/>
        <v>0</v>
      </c>
      <c r="CS66" s="552">
        <f t="shared" si="9"/>
        <v>0</v>
      </c>
      <c r="CT66" s="552"/>
      <c r="CU66" s="552"/>
      <c r="CV66" s="552"/>
      <c r="CW66" s="552"/>
      <c r="CX66" s="552"/>
      <c r="CY66" s="552"/>
      <c r="CZ66" s="552"/>
      <c r="DA66" s="472"/>
      <c r="DB66" s="552">
        <f t="shared" si="20"/>
        <v>0</v>
      </c>
      <c r="DC66" s="552">
        <f t="shared" si="20"/>
        <v>0</v>
      </c>
      <c r="DD66" s="552">
        <f t="shared" si="20"/>
        <v>0</v>
      </c>
      <c r="DE66" s="552">
        <f t="shared" si="20"/>
        <v>0</v>
      </c>
      <c r="DF66" s="552">
        <f t="shared" si="20"/>
        <v>0</v>
      </c>
      <c r="DG66" s="552">
        <f t="shared" si="20"/>
        <v>0</v>
      </c>
      <c r="DH66" s="552">
        <f t="shared" si="11"/>
        <v>0</v>
      </c>
      <c r="DI66" s="554"/>
      <c r="DJ66" s="525">
        <f>IFERROR(VLOOKUP(A66,'Transp. Dre Rodovia'!$A$19:$D$29,4,FALSE),0)+IFERROR(VLOOKUP(A66,#REF!,4,FALSE),0)</f>
        <v>0</v>
      </c>
    </row>
    <row r="67" spans="1:114" ht="13.5" hidden="1" customHeight="1">
      <c r="A67" s="470">
        <v>41851</v>
      </c>
      <c r="B67" s="550" t="s">
        <v>498</v>
      </c>
      <c r="C67" s="551" t="s">
        <v>374</v>
      </c>
      <c r="D67" s="552">
        <v>1.518</v>
      </c>
      <c r="E67" s="552">
        <v>0.52600000000000002</v>
      </c>
      <c r="F67" s="552">
        <v>0.7</v>
      </c>
      <c r="G67" s="552">
        <v>0.89922000000000002</v>
      </c>
      <c r="H67" s="552">
        <v>1.1026199999999999</v>
      </c>
      <c r="I67" s="552">
        <v>280.53417999999999</v>
      </c>
      <c r="J67" s="552">
        <v>0</v>
      </c>
      <c r="K67" s="552">
        <v>0</v>
      </c>
      <c r="L67" s="552">
        <v>0</v>
      </c>
      <c r="M67" s="552">
        <v>0</v>
      </c>
      <c r="N67" s="553">
        <v>0</v>
      </c>
      <c r="O67" s="553">
        <v>0</v>
      </c>
      <c r="P67" s="552">
        <v>0</v>
      </c>
      <c r="Q67" s="552">
        <v>0</v>
      </c>
      <c r="R67" s="552">
        <v>0</v>
      </c>
      <c r="S67" s="552">
        <v>0</v>
      </c>
      <c r="T67" s="552">
        <v>0</v>
      </c>
      <c r="U67" s="552">
        <v>0</v>
      </c>
      <c r="V67" s="552">
        <v>0</v>
      </c>
      <c r="W67" s="552">
        <v>0</v>
      </c>
      <c r="X67" s="552">
        <v>0</v>
      </c>
      <c r="Y67" s="552">
        <v>0</v>
      </c>
      <c r="Z67" s="552">
        <v>0</v>
      </c>
      <c r="AA67" s="552">
        <v>0</v>
      </c>
      <c r="AB67" s="552">
        <v>0</v>
      </c>
      <c r="AC67" s="552">
        <v>0</v>
      </c>
      <c r="AD67" s="552">
        <v>0</v>
      </c>
      <c r="AE67" s="552">
        <v>0</v>
      </c>
      <c r="AF67" s="552">
        <v>0</v>
      </c>
      <c r="AG67" s="552">
        <v>0</v>
      </c>
      <c r="AH67" s="552">
        <v>0.06</v>
      </c>
      <c r="AI67" s="552">
        <v>1.7249999999999999</v>
      </c>
      <c r="AJ67" s="552">
        <v>350</v>
      </c>
      <c r="AK67" s="552">
        <v>0</v>
      </c>
      <c r="AL67" s="552">
        <v>0</v>
      </c>
      <c r="AM67" s="552">
        <v>0</v>
      </c>
      <c r="AN67" s="552">
        <v>0</v>
      </c>
      <c r="AO67" s="552">
        <v>0</v>
      </c>
      <c r="AP67" s="552">
        <v>0</v>
      </c>
      <c r="AQ67" s="552">
        <v>0</v>
      </c>
      <c r="AR67" s="554"/>
      <c r="AS67" s="555">
        <f t="shared" si="2"/>
        <v>1.0626</v>
      </c>
      <c r="AT67" s="555">
        <f t="shared" si="3"/>
        <v>0.06</v>
      </c>
      <c r="AU67" s="556"/>
      <c r="AV67" s="553">
        <f t="shared" si="15"/>
        <v>0.95551117200000002</v>
      </c>
      <c r="AW67" s="553">
        <f t="shared" si="15"/>
        <v>1.171644012</v>
      </c>
      <c r="AX67" s="553">
        <f t="shared" si="15"/>
        <v>298.09561966799998</v>
      </c>
      <c r="AY67" s="552">
        <f t="shared" si="5"/>
        <v>0.79846800000000007</v>
      </c>
      <c r="AZ67" s="552">
        <f t="shared" si="16"/>
        <v>0.10349999999999999</v>
      </c>
      <c r="BA67" s="552">
        <f t="shared" si="16"/>
        <v>21</v>
      </c>
      <c r="BB67" s="557"/>
      <c r="BC67" s="552">
        <v>0</v>
      </c>
      <c r="BD67" s="552">
        <v>0</v>
      </c>
      <c r="BE67" s="552">
        <v>0</v>
      </c>
      <c r="BF67" s="552">
        <v>0</v>
      </c>
      <c r="BG67" s="554" t="str">
        <f>IFERROR(VLOOKUP(#REF!,#REF!,4,FALSE),"")</f>
        <v/>
      </c>
      <c r="BH67" s="552"/>
      <c r="BI67" s="552"/>
      <c r="BJ67" s="552"/>
      <c r="BK67" s="552"/>
      <c r="BL67" s="552"/>
      <c r="BM67" s="552"/>
      <c r="BN67" s="552"/>
      <c r="BO67" s="552"/>
      <c r="BP67" s="552"/>
      <c r="BQ67" s="552"/>
      <c r="BR67" s="552"/>
      <c r="BS67" s="552"/>
      <c r="BT67" s="552"/>
      <c r="BU67" s="552"/>
      <c r="BV67" s="552"/>
      <c r="BW67" s="552"/>
      <c r="BX67" s="552"/>
      <c r="BY67" s="552"/>
      <c r="BZ67" s="552"/>
      <c r="CA67" s="552">
        <f t="shared" ref="CA67:CP83" si="21">CA$4*BH67</f>
        <v>0</v>
      </c>
      <c r="CB67" s="552">
        <f t="shared" si="21"/>
        <v>0</v>
      </c>
      <c r="CC67" s="552">
        <f t="shared" si="21"/>
        <v>0</v>
      </c>
      <c r="CD67" s="552">
        <f t="shared" si="21"/>
        <v>0</v>
      </c>
      <c r="CE67" s="552">
        <f t="shared" si="21"/>
        <v>0</v>
      </c>
      <c r="CF67" s="552">
        <f t="shared" si="21"/>
        <v>0</v>
      </c>
      <c r="CG67" s="552">
        <f t="shared" si="21"/>
        <v>0</v>
      </c>
      <c r="CH67" s="552">
        <f t="shared" si="21"/>
        <v>0</v>
      </c>
      <c r="CI67" s="552">
        <f t="shared" si="21"/>
        <v>0</v>
      </c>
      <c r="CJ67" s="552">
        <f t="shared" si="21"/>
        <v>0</v>
      </c>
      <c r="CK67" s="552">
        <f t="shared" si="21"/>
        <v>0</v>
      </c>
      <c r="CL67" s="552">
        <f t="shared" si="21"/>
        <v>0</v>
      </c>
      <c r="CM67" s="552">
        <f t="shared" si="21"/>
        <v>0</v>
      </c>
      <c r="CN67" s="552">
        <f t="shared" si="21"/>
        <v>0</v>
      </c>
      <c r="CO67" s="552">
        <f t="shared" si="21"/>
        <v>0</v>
      </c>
      <c r="CP67" s="552">
        <f t="shared" si="18"/>
        <v>0</v>
      </c>
      <c r="CQ67" s="552">
        <f t="shared" si="17"/>
        <v>0</v>
      </c>
      <c r="CR67" s="552">
        <f t="shared" si="17"/>
        <v>0</v>
      </c>
      <c r="CS67" s="552">
        <f t="shared" si="9"/>
        <v>0</v>
      </c>
      <c r="CT67" s="552"/>
      <c r="CU67" s="552"/>
      <c r="CV67" s="552"/>
      <c r="CW67" s="552"/>
      <c r="CX67" s="552"/>
      <c r="CY67" s="552"/>
      <c r="CZ67" s="552"/>
      <c r="DA67" s="472"/>
      <c r="DB67" s="552">
        <f t="shared" si="20"/>
        <v>0</v>
      </c>
      <c r="DC67" s="552">
        <f t="shared" si="20"/>
        <v>0</v>
      </c>
      <c r="DD67" s="552">
        <f t="shared" si="20"/>
        <v>0</v>
      </c>
      <c r="DE67" s="552">
        <f t="shared" si="20"/>
        <v>0</v>
      </c>
      <c r="DF67" s="552">
        <f t="shared" si="20"/>
        <v>0</v>
      </c>
      <c r="DG67" s="552">
        <f t="shared" si="20"/>
        <v>0</v>
      </c>
      <c r="DH67" s="552">
        <f t="shared" si="11"/>
        <v>0</v>
      </c>
      <c r="DI67" s="554"/>
      <c r="DJ67" s="525">
        <f>IFERROR(VLOOKUP(A67,'Transp. Dre Rodovia'!$A$19:$D$29,4,FALSE),0)+IFERROR(VLOOKUP(A67,#REF!,4,FALSE),0)</f>
        <v>0</v>
      </c>
    </row>
    <row r="68" spans="1:114" ht="12.75" hidden="1" customHeight="1">
      <c r="A68" s="470">
        <v>41856</v>
      </c>
      <c r="B68" s="550" t="s">
        <v>499</v>
      </c>
      <c r="C68" s="551" t="s">
        <v>374</v>
      </c>
      <c r="D68" s="552">
        <v>2.278</v>
      </c>
      <c r="E68" s="552">
        <v>0.52600000000000002</v>
      </c>
      <c r="F68" s="552">
        <v>0.7</v>
      </c>
      <c r="G68" s="552">
        <v>0.89922000000000002</v>
      </c>
      <c r="H68" s="552">
        <v>1.1026199999999999</v>
      </c>
      <c r="I68" s="552">
        <v>280.53417999999999</v>
      </c>
      <c r="J68" s="552">
        <v>0</v>
      </c>
      <c r="K68" s="552">
        <v>0</v>
      </c>
      <c r="L68" s="552">
        <v>0</v>
      </c>
      <c r="M68" s="552">
        <v>0</v>
      </c>
      <c r="N68" s="553">
        <v>0</v>
      </c>
      <c r="O68" s="553">
        <v>0</v>
      </c>
      <c r="P68" s="552">
        <v>0</v>
      </c>
      <c r="Q68" s="552">
        <v>0</v>
      </c>
      <c r="R68" s="552">
        <v>0</v>
      </c>
      <c r="S68" s="552">
        <v>0</v>
      </c>
      <c r="T68" s="552">
        <v>0</v>
      </c>
      <c r="U68" s="552">
        <v>0</v>
      </c>
      <c r="V68" s="552">
        <v>0</v>
      </c>
      <c r="W68" s="552">
        <v>0</v>
      </c>
      <c r="X68" s="552">
        <v>0</v>
      </c>
      <c r="Y68" s="552">
        <v>0</v>
      </c>
      <c r="Z68" s="552">
        <v>0</v>
      </c>
      <c r="AA68" s="552">
        <v>0</v>
      </c>
      <c r="AB68" s="552">
        <v>0</v>
      </c>
      <c r="AC68" s="552">
        <v>0</v>
      </c>
      <c r="AD68" s="552">
        <v>0</v>
      </c>
      <c r="AE68" s="552">
        <v>0</v>
      </c>
      <c r="AF68" s="552">
        <v>0</v>
      </c>
      <c r="AG68" s="552">
        <v>0</v>
      </c>
      <c r="AH68" s="552">
        <v>0.06</v>
      </c>
      <c r="AI68" s="552">
        <v>1.7249999999999999</v>
      </c>
      <c r="AJ68" s="552">
        <v>350</v>
      </c>
      <c r="AK68" s="552">
        <v>0</v>
      </c>
      <c r="AL68" s="552">
        <v>0</v>
      </c>
      <c r="AM68" s="552">
        <v>0</v>
      </c>
      <c r="AN68" s="552">
        <v>0</v>
      </c>
      <c r="AO68" s="552">
        <v>0</v>
      </c>
      <c r="AP68" s="552">
        <v>0</v>
      </c>
      <c r="AQ68" s="552">
        <v>0</v>
      </c>
      <c r="AR68" s="554"/>
      <c r="AS68" s="555">
        <f t="shared" si="2"/>
        <v>1.5946</v>
      </c>
      <c r="AT68" s="555">
        <f t="shared" si="3"/>
        <v>0.06</v>
      </c>
      <c r="AU68" s="556"/>
      <c r="AV68" s="553">
        <f t="shared" si="15"/>
        <v>1.4338962120000001</v>
      </c>
      <c r="AW68" s="553">
        <f t="shared" si="15"/>
        <v>1.7582378519999999</v>
      </c>
      <c r="AX68" s="553">
        <f t="shared" si="15"/>
        <v>447.33980342799998</v>
      </c>
      <c r="AY68" s="552">
        <f t="shared" si="5"/>
        <v>1.1982280000000001</v>
      </c>
      <c r="AZ68" s="552">
        <f t="shared" si="16"/>
        <v>0.10349999999999999</v>
      </c>
      <c r="BA68" s="552">
        <f t="shared" si="16"/>
        <v>21</v>
      </c>
      <c r="BB68" s="557"/>
      <c r="BC68" s="552">
        <v>0</v>
      </c>
      <c r="BD68" s="552">
        <v>0</v>
      </c>
      <c r="BE68" s="552">
        <v>0</v>
      </c>
      <c r="BF68" s="552">
        <v>0</v>
      </c>
      <c r="BG68" s="554" t="str">
        <f>IFERROR(VLOOKUP(#REF!,#REF!,4,FALSE),"")</f>
        <v/>
      </c>
      <c r="BH68" s="552"/>
      <c r="BI68" s="552"/>
      <c r="BJ68" s="552"/>
      <c r="BK68" s="552"/>
      <c r="BL68" s="552"/>
      <c r="BM68" s="552"/>
      <c r="BN68" s="552"/>
      <c r="BO68" s="552"/>
      <c r="BP68" s="552"/>
      <c r="BQ68" s="552"/>
      <c r="BR68" s="552"/>
      <c r="BS68" s="552"/>
      <c r="BT68" s="552"/>
      <c r="BU68" s="552"/>
      <c r="BV68" s="552"/>
      <c r="BW68" s="552"/>
      <c r="BX68" s="552"/>
      <c r="BY68" s="552"/>
      <c r="BZ68" s="552"/>
      <c r="CA68" s="552">
        <f t="shared" si="21"/>
        <v>0</v>
      </c>
      <c r="CB68" s="552">
        <f t="shared" si="21"/>
        <v>0</v>
      </c>
      <c r="CC68" s="552">
        <f t="shared" si="21"/>
        <v>0</v>
      </c>
      <c r="CD68" s="552">
        <f t="shared" si="21"/>
        <v>0</v>
      </c>
      <c r="CE68" s="552">
        <f t="shared" si="21"/>
        <v>0</v>
      </c>
      <c r="CF68" s="552">
        <f t="shared" si="21"/>
        <v>0</v>
      </c>
      <c r="CG68" s="552">
        <f t="shared" si="21"/>
        <v>0</v>
      </c>
      <c r="CH68" s="552">
        <f t="shared" si="21"/>
        <v>0</v>
      </c>
      <c r="CI68" s="552">
        <f t="shared" si="21"/>
        <v>0</v>
      </c>
      <c r="CJ68" s="552">
        <f t="shared" si="21"/>
        <v>0</v>
      </c>
      <c r="CK68" s="552">
        <f t="shared" si="21"/>
        <v>0</v>
      </c>
      <c r="CL68" s="552">
        <f t="shared" si="21"/>
        <v>0</v>
      </c>
      <c r="CM68" s="552">
        <f t="shared" si="21"/>
        <v>0</v>
      </c>
      <c r="CN68" s="552">
        <f t="shared" si="21"/>
        <v>0</v>
      </c>
      <c r="CO68" s="552">
        <f t="shared" si="21"/>
        <v>0</v>
      </c>
      <c r="CP68" s="552">
        <f t="shared" si="18"/>
        <v>0</v>
      </c>
      <c r="CQ68" s="552">
        <f t="shared" si="17"/>
        <v>0</v>
      </c>
      <c r="CR68" s="552">
        <f t="shared" si="17"/>
        <v>0</v>
      </c>
      <c r="CS68" s="552">
        <f t="shared" si="9"/>
        <v>0</v>
      </c>
      <c r="CT68" s="552"/>
      <c r="CU68" s="552"/>
      <c r="CV68" s="552"/>
      <c r="CW68" s="552"/>
      <c r="CX68" s="552"/>
      <c r="CY68" s="552"/>
      <c r="CZ68" s="552"/>
      <c r="DA68" s="472"/>
      <c r="DB68" s="552">
        <f t="shared" si="20"/>
        <v>0</v>
      </c>
      <c r="DC68" s="552">
        <f t="shared" si="20"/>
        <v>0</v>
      </c>
      <c r="DD68" s="552">
        <f t="shared" si="20"/>
        <v>0</v>
      </c>
      <c r="DE68" s="552">
        <f t="shared" si="20"/>
        <v>0</v>
      </c>
      <c r="DF68" s="552">
        <f t="shared" si="20"/>
        <v>0</v>
      </c>
      <c r="DG68" s="552">
        <f t="shared" si="20"/>
        <v>0</v>
      </c>
      <c r="DH68" s="552">
        <f t="shared" si="11"/>
        <v>0</v>
      </c>
      <c r="DI68" s="554"/>
      <c r="DJ68" s="525">
        <f>IFERROR(VLOOKUP(A68,'Transp. Dre Rodovia'!$A$19:$D$29,4,FALSE),0)+IFERROR(VLOOKUP(A68,#REF!,4,FALSE),0)</f>
        <v>0</v>
      </c>
    </row>
    <row r="69" spans="1:114" hidden="1">
      <c r="A69" s="470">
        <v>41861</v>
      </c>
      <c r="B69" s="550" t="s">
        <v>500</v>
      </c>
      <c r="C69" s="551" t="s">
        <v>374</v>
      </c>
      <c r="D69" s="552">
        <v>3.0760000000000001</v>
      </c>
      <c r="E69" s="552">
        <v>0.52600000000000002</v>
      </c>
      <c r="F69" s="552">
        <v>0.7</v>
      </c>
      <c r="G69" s="552">
        <v>0.89922000000000002</v>
      </c>
      <c r="H69" s="552">
        <v>1.1026199999999999</v>
      </c>
      <c r="I69" s="552">
        <v>280.53417999999999</v>
      </c>
      <c r="J69" s="552">
        <v>0</v>
      </c>
      <c r="K69" s="552">
        <v>0</v>
      </c>
      <c r="L69" s="552">
        <v>0</v>
      </c>
      <c r="M69" s="552">
        <v>0</v>
      </c>
      <c r="N69" s="553">
        <v>0</v>
      </c>
      <c r="O69" s="553">
        <v>0</v>
      </c>
      <c r="P69" s="552">
        <v>0</v>
      </c>
      <c r="Q69" s="552">
        <v>0</v>
      </c>
      <c r="R69" s="552">
        <v>0</v>
      </c>
      <c r="S69" s="552">
        <v>0</v>
      </c>
      <c r="T69" s="552">
        <v>0</v>
      </c>
      <c r="U69" s="552">
        <v>0</v>
      </c>
      <c r="V69" s="552">
        <v>0</v>
      </c>
      <c r="W69" s="552">
        <v>0</v>
      </c>
      <c r="X69" s="552">
        <v>0</v>
      </c>
      <c r="Y69" s="552">
        <v>0</v>
      </c>
      <c r="Z69" s="552">
        <v>0</v>
      </c>
      <c r="AA69" s="552">
        <v>0</v>
      </c>
      <c r="AB69" s="552">
        <v>0</v>
      </c>
      <c r="AC69" s="552">
        <v>0</v>
      </c>
      <c r="AD69" s="552">
        <v>0</v>
      </c>
      <c r="AE69" s="552">
        <v>0</v>
      </c>
      <c r="AF69" s="552">
        <v>0</v>
      </c>
      <c r="AG69" s="552">
        <v>0</v>
      </c>
      <c r="AH69" s="552">
        <v>0.1</v>
      </c>
      <c r="AI69" s="552">
        <v>1.7249999999999999</v>
      </c>
      <c r="AJ69" s="552">
        <v>350</v>
      </c>
      <c r="AK69" s="552">
        <v>0</v>
      </c>
      <c r="AL69" s="552">
        <v>0</v>
      </c>
      <c r="AM69" s="552">
        <v>0</v>
      </c>
      <c r="AN69" s="552">
        <v>0</v>
      </c>
      <c r="AO69" s="552">
        <v>0</v>
      </c>
      <c r="AP69" s="552">
        <v>0</v>
      </c>
      <c r="AQ69" s="552">
        <v>0</v>
      </c>
      <c r="AR69" s="554"/>
      <c r="AS69" s="555">
        <f t="shared" si="2"/>
        <v>2.1532</v>
      </c>
      <c r="AT69" s="555">
        <f t="shared" si="3"/>
        <v>0.1</v>
      </c>
      <c r="AU69" s="556"/>
      <c r="AV69" s="553">
        <f t="shared" si="15"/>
        <v>1.9362005040000001</v>
      </c>
      <c r="AW69" s="553">
        <f t="shared" si="15"/>
        <v>2.3741613839999998</v>
      </c>
      <c r="AX69" s="553">
        <f t="shared" si="15"/>
        <v>604.04619637600001</v>
      </c>
      <c r="AY69" s="552">
        <f t="shared" si="5"/>
        <v>1.6179760000000001</v>
      </c>
      <c r="AZ69" s="552">
        <f t="shared" si="16"/>
        <v>0.17249999999999999</v>
      </c>
      <c r="BA69" s="552">
        <f t="shared" si="16"/>
        <v>35</v>
      </c>
      <c r="BB69" s="557"/>
      <c r="BC69" s="552">
        <v>0</v>
      </c>
      <c r="BD69" s="552">
        <v>0</v>
      </c>
      <c r="BE69" s="552">
        <v>0</v>
      </c>
      <c r="BF69" s="552">
        <v>0</v>
      </c>
      <c r="BG69" s="554" t="str">
        <f>IFERROR(VLOOKUP(#REF!,#REF!,4,FALSE),"")</f>
        <v/>
      </c>
      <c r="BH69" s="552">
        <v>5.82</v>
      </c>
      <c r="BI69" s="552"/>
      <c r="BJ69" s="552"/>
      <c r="BK69" s="552"/>
      <c r="BL69" s="552"/>
      <c r="BM69" s="552"/>
      <c r="BN69" s="552"/>
      <c r="BO69" s="552"/>
      <c r="BP69" s="552"/>
      <c r="BQ69" s="552"/>
      <c r="BR69" s="552"/>
      <c r="BS69" s="552"/>
      <c r="BT69" s="552"/>
      <c r="BU69" s="552"/>
      <c r="BV69" s="552"/>
      <c r="BW69" s="552"/>
      <c r="BX69" s="552"/>
      <c r="BY69" s="552"/>
      <c r="BZ69" s="552"/>
      <c r="CA69" s="552">
        <f t="shared" si="21"/>
        <v>8.7300000000000003E-2</v>
      </c>
      <c r="CB69" s="552">
        <f t="shared" si="21"/>
        <v>0</v>
      </c>
      <c r="CC69" s="552">
        <f t="shared" si="21"/>
        <v>0</v>
      </c>
      <c r="CD69" s="552">
        <f t="shared" si="21"/>
        <v>0</v>
      </c>
      <c r="CE69" s="552">
        <f t="shared" si="21"/>
        <v>0</v>
      </c>
      <c r="CF69" s="552">
        <f t="shared" si="21"/>
        <v>0</v>
      </c>
      <c r="CG69" s="552">
        <f t="shared" si="21"/>
        <v>0</v>
      </c>
      <c r="CH69" s="552">
        <f t="shared" si="21"/>
        <v>0</v>
      </c>
      <c r="CI69" s="552">
        <f t="shared" si="21"/>
        <v>0</v>
      </c>
      <c r="CJ69" s="552">
        <f t="shared" si="21"/>
        <v>0</v>
      </c>
      <c r="CK69" s="552">
        <f t="shared" si="21"/>
        <v>0</v>
      </c>
      <c r="CL69" s="552">
        <f t="shared" si="21"/>
        <v>0</v>
      </c>
      <c r="CM69" s="552">
        <f t="shared" si="21"/>
        <v>0</v>
      </c>
      <c r="CN69" s="552">
        <f t="shared" si="21"/>
        <v>0</v>
      </c>
      <c r="CO69" s="552">
        <f t="shared" si="21"/>
        <v>0</v>
      </c>
      <c r="CP69" s="552">
        <f t="shared" si="18"/>
        <v>0</v>
      </c>
      <c r="CQ69" s="552">
        <f t="shared" si="17"/>
        <v>0</v>
      </c>
      <c r="CR69" s="552">
        <f t="shared" si="17"/>
        <v>0</v>
      </c>
      <c r="CS69" s="552">
        <f t="shared" si="9"/>
        <v>8.7300000000000003E-2</v>
      </c>
      <c r="CT69" s="552"/>
      <c r="CU69" s="552"/>
      <c r="CV69" s="552"/>
      <c r="CW69" s="552"/>
      <c r="CX69" s="552"/>
      <c r="CY69" s="552"/>
      <c r="CZ69" s="552"/>
      <c r="DA69" s="472"/>
      <c r="DB69" s="552">
        <f t="shared" si="20"/>
        <v>0</v>
      </c>
      <c r="DC69" s="552">
        <f t="shared" si="20"/>
        <v>0</v>
      </c>
      <c r="DD69" s="552">
        <f t="shared" si="20"/>
        <v>0</v>
      </c>
      <c r="DE69" s="552">
        <f t="shared" si="20"/>
        <v>0</v>
      </c>
      <c r="DF69" s="552">
        <f t="shared" si="20"/>
        <v>0</v>
      </c>
      <c r="DG69" s="552">
        <f t="shared" si="20"/>
        <v>0</v>
      </c>
      <c r="DH69" s="552">
        <f t="shared" si="11"/>
        <v>0</v>
      </c>
      <c r="DI69" s="554"/>
      <c r="DJ69" s="525">
        <f>IFERROR(VLOOKUP(A69,'Transp. Dre Rodovia'!$A$19:$D$29,4,FALSE),0)+IFERROR(VLOOKUP(A69,#REF!,4,FALSE),0)</f>
        <v>0</v>
      </c>
    </row>
    <row r="70" spans="1:114" hidden="1">
      <c r="A70" s="470">
        <v>41866</v>
      </c>
      <c r="B70" s="550" t="s">
        <v>501</v>
      </c>
      <c r="C70" s="551" t="s">
        <v>374</v>
      </c>
      <c r="D70" s="552">
        <v>6.1760000000000002</v>
      </c>
      <c r="E70" s="552">
        <v>0.52600000000000002</v>
      </c>
      <c r="F70" s="552">
        <v>0.7</v>
      </c>
      <c r="G70" s="552">
        <v>0.89922000000000002</v>
      </c>
      <c r="H70" s="552">
        <v>1.1026199999999999</v>
      </c>
      <c r="I70" s="552">
        <v>280.53417999999999</v>
      </c>
      <c r="J70" s="552">
        <v>0</v>
      </c>
      <c r="K70" s="552">
        <v>0</v>
      </c>
      <c r="L70" s="552">
        <v>0</v>
      </c>
      <c r="M70" s="552">
        <v>0</v>
      </c>
      <c r="N70" s="553">
        <v>0</v>
      </c>
      <c r="O70" s="553">
        <v>0</v>
      </c>
      <c r="P70" s="552">
        <v>0</v>
      </c>
      <c r="Q70" s="552">
        <v>0</v>
      </c>
      <c r="R70" s="552">
        <v>0</v>
      </c>
      <c r="S70" s="552">
        <v>0</v>
      </c>
      <c r="T70" s="552">
        <v>0</v>
      </c>
      <c r="U70" s="552">
        <v>0</v>
      </c>
      <c r="V70" s="552">
        <v>0</v>
      </c>
      <c r="W70" s="552">
        <v>0</v>
      </c>
      <c r="X70" s="552">
        <v>0</v>
      </c>
      <c r="Y70" s="552">
        <v>0</v>
      </c>
      <c r="Z70" s="552">
        <v>0</v>
      </c>
      <c r="AA70" s="552">
        <v>0</v>
      </c>
      <c r="AB70" s="552">
        <v>0</v>
      </c>
      <c r="AC70" s="552">
        <v>0</v>
      </c>
      <c r="AD70" s="552">
        <v>0</v>
      </c>
      <c r="AE70" s="552">
        <v>0</v>
      </c>
      <c r="AF70" s="552">
        <v>0</v>
      </c>
      <c r="AG70" s="552">
        <v>0</v>
      </c>
      <c r="AH70" s="552">
        <v>0.12</v>
      </c>
      <c r="AI70" s="552">
        <v>1.7249999999999999</v>
      </c>
      <c r="AJ70" s="552">
        <v>350</v>
      </c>
      <c r="AK70" s="552">
        <v>0</v>
      </c>
      <c r="AL70" s="552">
        <v>0</v>
      </c>
      <c r="AM70" s="552">
        <v>0</v>
      </c>
      <c r="AN70" s="552">
        <v>0</v>
      </c>
      <c r="AO70" s="552">
        <v>0</v>
      </c>
      <c r="AP70" s="552">
        <v>0</v>
      </c>
      <c r="AQ70" s="552">
        <v>0</v>
      </c>
      <c r="AR70" s="554"/>
      <c r="AS70" s="555">
        <f t="shared" ref="AS70:AS94" si="22">SUM(IF(D70=0,F70,D70*F70),J70,IF(N70=0,P70,N70*P70),T70,X70,AB70,AN70,CI70*CK70)</f>
        <v>4.3231999999999999</v>
      </c>
      <c r="AT70" s="555">
        <f t="shared" ref="AT70:AT94" si="23">IF(AF70=0,AH70+AK70,AF70*AH70+AK70)</f>
        <v>0.12</v>
      </c>
      <c r="AU70" s="556"/>
      <c r="AV70" s="553">
        <f t="shared" ref="AV70:AX94" si="24">$J70*K70+IF($N70=0,$P70,$N70*$P70*Q70)+$T70*U70+$X70*Y70+$AB70*AC70+IF($D70=0,$F70*G70,$D70*$F70*G70)+$CI70*$CK70*CL70</f>
        <v>3.887507904</v>
      </c>
      <c r="AW70" s="553">
        <f t="shared" si="24"/>
        <v>4.7668467839999993</v>
      </c>
      <c r="AX70" s="553">
        <f t="shared" si="24"/>
        <v>1212.805366976</v>
      </c>
      <c r="AY70" s="552">
        <f t="shared" ref="AY70:AY94" si="25">D70*E70+AF70*AG70+N70*O70</f>
        <v>3.2485760000000004</v>
      </c>
      <c r="AZ70" s="552">
        <f t="shared" ref="AZ70:BA85" si="26">IF($AF70=0,$AH70*AI70+$AK70*AL70,$AF70*$AH70*AI70+$AK70*AL70)</f>
        <v>0.20699999999999999</v>
      </c>
      <c r="BA70" s="552">
        <f t="shared" si="26"/>
        <v>42</v>
      </c>
      <c r="BB70" s="557"/>
      <c r="BC70" s="552">
        <v>0</v>
      </c>
      <c r="BD70" s="552">
        <v>0</v>
      </c>
      <c r="BE70" s="552">
        <v>0</v>
      </c>
      <c r="BF70" s="552">
        <v>0</v>
      </c>
      <c r="BG70" s="554" t="str">
        <f>IFERROR(VLOOKUP(#REF!,#REF!,4,FALSE),"")</f>
        <v/>
      </c>
      <c r="BH70" s="552">
        <v>9.3000000000000007</v>
      </c>
      <c r="BI70" s="552"/>
      <c r="BJ70" s="552"/>
      <c r="BK70" s="552"/>
      <c r="BL70" s="552"/>
      <c r="BM70" s="552"/>
      <c r="BN70" s="552"/>
      <c r="BO70" s="552"/>
      <c r="BP70" s="552"/>
      <c r="BQ70" s="552"/>
      <c r="BR70" s="552"/>
      <c r="BS70" s="552"/>
      <c r="BT70" s="552"/>
      <c r="BU70" s="552"/>
      <c r="BV70" s="552"/>
      <c r="BW70" s="552"/>
      <c r="BX70" s="552"/>
      <c r="BY70" s="552"/>
      <c r="BZ70" s="552"/>
      <c r="CA70" s="552">
        <f t="shared" si="21"/>
        <v>0.13950000000000001</v>
      </c>
      <c r="CB70" s="552">
        <f t="shared" si="21"/>
        <v>0</v>
      </c>
      <c r="CC70" s="552">
        <f t="shared" si="21"/>
        <v>0</v>
      </c>
      <c r="CD70" s="552">
        <f t="shared" si="21"/>
        <v>0</v>
      </c>
      <c r="CE70" s="552">
        <f t="shared" si="21"/>
        <v>0</v>
      </c>
      <c r="CF70" s="552">
        <f t="shared" si="21"/>
        <v>0</v>
      </c>
      <c r="CG70" s="552">
        <f t="shared" si="21"/>
        <v>0</v>
      </c>
      <c r="CH70" s="552">
        <f t="shared" si="21"/>
        <v>0</v>
      </c>
      <c r="CI70" s="552">
        <f t="shared" si="21"/>
        <v>0</v>
      </c>
      <c r="CJ70" s="552">
        <f t="shared" si="21"/>
        <v>0</v>
      </c>
      <c r="CK70" s="552">
        <f t="shared" si="21"/>
        <v>0</v>
      </c>
      <c r="CL70" s="552">
        <f t="shared" si="21"/>
        <v>0</v>
      </c>
      <c r="CM70" s="552">
        <f t="shared" si="21"/>
        <v>0</v>
      </c>
      <c r="CN70" s="552">
        <f t="shared" si="21"/>
        <v>0</v>
      </c>
      <c r="CO70" s="552">
        <f t="shared" si="21"/>
        <v>0</v>
      </c>
      <c r="CP70" s="552">
        <f t="shared" si="18"/>
        <v>0</v>
      </c>
      <c r="CQ70" s="552">
        <f t="shared" si="17"/>
        <v>0</v>
      </c>
      <c r="CR70" s="552">
        <f t="shared" si="17"/>
        <v>0</v>
      </c>
      <c r="CS70" s="552">
        <f t="shared" ref="CS70:CS90" si="27">SUM(CA70:CR70)</f>
        <v>0.13950000000000001</v>
      </c>
      <c r="CT70" s="552"/>
      <c r="CU70" s="552"/>
      <c r="CV70" s="552"/>
      <c r="CW70" s="552"/>
      <c r="CX70" s="552"/>
      <c r="CY70" s="552"/>
      <c r="CZ70" s="552"/>
      <c r="DA70" s="472"/>
      <c r="DB70" s="552">
        <f t="shared" si="20"/>
        <v>0</v>
      </c>
      <c r="DC70" s="552">
        <f t="shared" si="20"/>
        <v>0</v>
      </c>
      <c r="DD70" s="552">
        <f t="shared" si="20"/>
        <v>0</v>
      </c>
      <c r="DE70" s="552">
        <f t="shared" si="20"/>
        <v>0</v>
      </c>
      <c r="DF70" s="552">
        <f t="shared" si="20"/>
        <v>0</v>
      </c>
      <c r="DG70" s="552">
        <f t="shared" si="20"/>
        <v>0</v>
      </c>
      <c r="DH70" s="552">
        <f t="shared" si="11"/>
        <v>0</v>
      </c>
      <c r="DI70" s="554"/>
      <c r="DJ70" s="525">
        <f>IFERROR(VLOOKUP(A70,'Transp. Dre Rodovia'!$A$19:$D$29,4,FALSE),0)+IFERROR(VLOOKUP(A70,#REF!,4,FALSE),0)</f>
        <v>0</v>
      </c>
    </row>
    <row r="71" spans="1:114" ht="12.75" hidden="1" customHeight="1">
      <c r="A71" s="470">
        <v>41871</v>
      </c>
      <c r="B71" s="550" t="s">
        <v>502</v>
      </c>
      <c r="C71" s="551" t="s">
        <v>374</v>
      </c>
      <c r="D71" s="552">
        <v>2.17</v>
      </c>
      <c r="E71" s="552">
        <v>0.52600000000000002</v>
      </c>
      <c r="F71" s="552">
        <v>0.7</v>
      </c>
      <c r="G71" s="552">
        <v>0.89922000000000002</v>
      </c>
      <c r="H71" s="552">
        <v>1.1026199999999999</v>
      </c>
      <c r="I71" s="552">
        <v>280.53417999999999</v>
      </c>
      <c r="J71" s="552">
        <v>0</v>
      </c>
      <c r="K71" s="552">
        <v>0</v>
      </c>
      <c r="L71" s="552">
        <v>0</v>
      </c>
      <c r="M71" s="552">
        <v>0</v>
      </c>
      <c r="N71" s="553">
        <v>0</v>
      </c>
      <c r="O71" s="553">
        <v>0</v>
      </c>
      <c r="P71" s="552">
        <v>0</v>
      </c>
      <c r="Q71" s="552">
        <v>0</v>
      </c>
      <c r="R71" s="552">
        <v>0</v>
      </c>
      <c r="S71" s="552">
        <v>0</v>
      </c>
      <c r="T71" s="552">
        <v>0</v>
      </c>
      <c r="U71" s="552">
        <v>0</v>
      </c>
      <c r="V71" s="552">
        <v>0</v>
      </c>
      <c r="W71" s="552">
        <v>0</v>
      </c>
      <c r="X71" s="552">
        <v>0</v>
      </c>
      <c r="Y71" s="552">
        <v>0</v>
      </c>
      <c r="Z71" s="552">
        <v>0</v>
      </c>
      <c r="AA71" s="552">
        <v>0</v>
      </c>
      <c r="AB71" s="552">
        <v>0</v>
      </c>
      <c r="AC71" s="552">
        <v>0</v>
      </c>
      <c r="AD71" s="552">
        <v>0</v>
      </c>
      <c r="AE71" s="552">
        <v>0</v>
      </c>
      <c r="AF71" s="552">
        <v>0</v>
      </c>
      <c r="AG71" s="552">
        <v>0</v>
      </c>
      <c r="AH71" s="552">
        <v>0.09</v>
      </c>
      <c r="AI71" s="552">
        <v>1.7249999999999999</v>
      </c>
      <c r="AJ71" s="552">
        <v>350</v>
      </c>
      <c r="AK71" s="552">
        <v>0</v>
      </c>
      <c r="AL71" s="552">
        <v>0</v>
      </c>
      <c r="AM71" s="552">
        <v>0</v>
      </c>
      <c r="AN71" s="552">
        <v>0</v>
      </c>
      <c r="AO71" s="552">
        <v>0</v>
      </c>
      <c r="AP71" s="552">
        <v>0</v>
      </c>
      <c r="AQ71" s="552">
        <v>0</v>
      </c>
      <c r="AR71" s="554"/>
      <c r="AS71" s="555">
        <f t="shared" si="22"/>
        <v>1.5189999999999999</v>
      </c>
      <c r="AT71" s="555">
        <f t="shared" si="23"/>
        <v>0.09</v>
      </c>
      <c r="AU71" s="556"/>
      <c r="AV71" s="553">
        <f t="shared" si="24"/>
        <v>1.36591518</v>
      </c>
      <c r="AW71" s="553">
        <f t="shared" si="24"/>
        <v>1.6748797799999997</v>
      </c>
      <c r="AX71" s="553">
        <f t="shared" si="24"/>
        <v>426.13141941999999</v>
      </c>
      <c r="AY71" s="552">
        <f t="shared" si="25"/>
        <v>1.1414200000000001</v>
      </c>
      <c r="AZ71" s="552">
        <f t="shared" si="26"/>
        <v>0.15524999999999997</v>
      </c>
      <c r="BA71" s="552">
        <f t="shared" si="26"/>
        <v>31.5</v>
      </c>
      <c r="BB71" s="557"/>
      <c r="BC71" s="552">
        <v>0</v>
      </c>
      <c r="BD71" s="552">
        <v>0</v>
      </c>
      <c r="BE71" s="552">
        <v>0</v>
      </c>
      <c r="BF71" s="552">
        <v>0</v>
      </c>
      <c r="BG71" s="554" t="str">
        <f>IFERROR(VLOOKUP(#REF!,#REF!,4,FALSE),"")</f>
        <v/>
      </c>
      <c r="BH71" s="552"/>
      <c r="BI71" s="552"/>
      <c r="BJ71" s="552"/>
      <c r="BK71" s="552"/>
      <c r="BL71" s="552"/>
      <c r="BM71" s="552"/>
      <c r="BN71" s="552"/>
      <c r="BO71" s="552"/>
      <c r="BP71" s="552"/>
      <c r="BQ71" s="552"/>
      <c r="BR71" s="552"/>
      <c r="BS71" s="552"/>
      <c r="BT71" s="552"/>
      <c r="BU71" s="552"/>
      <c r="BV71" s="552"/>
      <c r="BW71" s="552"/>
      <c r="BX71" s="552"/>
      <c r="BY71" s="552"/>
      <c r="BZ71" s="552"/>
      <c r="CA71" s="552">
        <f t="shared" si="21"/>
        <v>0</v>
      </c>
      <c r="CB71" s="552">
        <f t="shared" si="21"/>
        <v>0</v>
      </c>
      <c r="CC71" s="552">
        <f t="shared" si="21"/>
        <v>0</v>
      </c>
      <c r="CD71" s="552">
        <f t="shared" si="21"/>
        <v>0</v>
      </c>
      <c r="CE71" s="552">
        <f t="shared" si="21"/>
        <v>0</v>
      </c>
      <c r="CF71" s="552">
        <f t="shared" si="21"/>
        <v>0</v>
      </c>
      <c r="CG71" s="552">
        <f t="shared" si="21"/>
        <v>0</v>
      </c>
      <c r="CH71" s="552">
        <f t="shared" si="21"/>
        <v>0</v>
      </c>
      <c r="CI71" s="552">
        <f t="shared" si="21"/>
        <v>0</v>
      </c>
      <c r="CJ71" s="552">
        <f t="shared" si="21"/>
        <v>0</v>
      </c>
      <c r="CK71" s="552">
        <f t="shared" si="21"/>
        <v>0</v>
      </c>
      <c r="CL71" s="552">
        <f t="shared" si="21"/>
        <v>0</v>
      </c>
      <c r="CM71" s="552">
        <f t="shared" si="21"/>
        <v>0</v>
      </c>
      <c r="CN71" s="552">
        <f t="shared" si="21"/>
        <v>0</v>
      </c>
      <c r="CO71" s="552">
        <f t="shared" si="21"/>
        <v>0</v>
      </c>
      <c r="CP71" s="552">
        <f t="shared" si="18"/>
        <v>0</v>
      </c>
      <c r="CQ71" s="552">
        <f t="shared" si="17"/>
        <v>0</v>
      </c>
      <c r="CR71" s="552">
        <f t="shared" si="17"/>
        <v>0</v>
      </c>
      <c r="CS71" s="552">
        <f t="shared" si="27"/>
        <v>0</v>
      </c>
      <c r="CT71" s="552"/>
      <c r="CU71" s="552"/>
      <c r="CV71" s="552"/>
      <c r="CW71" s="552"/>
      <c r="CX71" s="552"/>
      <c r="CY71" s="552"/>
      <c r="CZ71" s="552"/>
      <c r="DA71" s="472"/>
      <c r="DB71" s="552">
        <f t="shared" si="20"/>
        <v>0</v>
      </c>
      <c r="DC71" s="552">
        <f t="shared" si="20"/>
        <v>0</v>
      </c>
      <c r="DD71" s="552">
        <f t="shared" si="20"/>
        <v>0</v>
      </c>
      <c r="DE71" s="552">
        <f t="shared" si="20"/>
        <v>0</v>
      </c>
      <c r="DF71" s="552">
        <f t="shared" si="20"/>
        <v>0</v>
      </c>
      <c r="DG71" s="552">
        <f t="shared" si="20"/>
        <v>0</v>
      </c>
      <c r="DH71" s="552">
        <f t="shared" ref="DH71:DH96" si="28">SUM(DB71:DG71)</f>
        <v>0</v>
      </c>
      <c r="DI71" s="554"/>
      <c r="DJ71" s="525">
        <f>IFERROR(VLOOKUP(A71,'Transp. Dre Rodovia'!$A$19:$D$29,4,FALSE),0)+IFERROR(VLOOKUP(A71,#REF!,4,FALSE),0)</f>
        <v>0</v>
      </c>
    </row>
    <row r="72" spans="1:114" ht="12.75" hidden="1" customHeight="1">
      <c r="A72" s="470">
        <v>41876</v>
      </c>
      <c r="B72" s="550" t="s">
        <v>503</v>
      </c>
      <c r="C72" s="551" t="s">
        <v>374</v>
      </c>
      <c r="D72" s="552">
        <v>3.2970000000000002</v>
      </c>
      <c r="E72" s="552">
        <v>0.52600000000000002</v>
      </c>
      <c r="F72" s="552">
        <v>0.7</v>
      </c>
      <c r="G72" s="552">
        <v>0.89922000000000002</v>
      </c>
      <c r="H72" s="552">
        <v>1.1026199999999999</v>
      </c>
      <c r="I72" s="552">
        <v>280.53417999999999</v>
      </c>
      <c r="J72" s="552">
        <v>0</v>
      </c>
      <c r="K72" s="552">
        <v>0</v>
      </c>
      <c r="L72" s="552">
        <v>0</v>
      </c>
      <c r="M72" s="552">
        <v>0</v>
      </c>
      <c r="N72" s="553">
        <v>0</v>
      </c>
      <c r="O72" s="553">
        <v>0</v>
      </c>
      <c r="P72" s="552">
        <v>0</v>
      </c>
      <c r="Q72" s="552">
        <v>0</v>
      </c>
      <c r="R72" s="552">
        <v>0</v>
      </c>
      <c r="S72" s="552">
        <v>0</v>
      </c>
      <c r="T72" s="552">
        <v>0</v>
      </c>
      <c r="U72" s="552">
        <v>0</v>
      </c>
      <c r="V72" s="552">
        <v>0</v>
      </c>
      <c r="W72" s="552">
        <v>0</v>
      </c>
      <c r="X72" s="552">
        <v>0</v>
      </c>
      <c r="Y72" s="552">
        <v>0</v>
      </c>
      <c r="Z72" s="552">
        <v>0</v>
      </c>
      <c r="AA72" s="552">
        <v>0</v>
      </c>
      <c r="AB72" s="552">
        <v>0</v>
      </c>
      <c r="AC72" s="552">
        <v>0</v>
      </c>
      <c r="AD72" s="552">
        <v>0</v>
      </c>
      <c r="AE72" s="552">
        <v>0</v>
      </c>
      <c r="AF72" s="552">
        <v>0</v>
      </c>
      <c r="AG72" s="552">
        <v>0</v>
      </c>
      <c r="AH72" s="552">
        <v>0.16</v>
      </c>
      <c r="AI72" s="552">
        <v>1.7249999999999999</v>
      </c>
      <c r="AJ72" s="552">
        <v>350</v>
      </c>
      <c r="AK72" s="552">
        <v>0</v>
      </c>
      <c r="AL72" s="552">
        <v>0</v>
      </c>
      <c r="AM72" s="552">
        <v>0</v>
      </c>
      <c r="AN72" s="552">
        <v>0</v>
      </c>
      <c r="AO72" s="552">
        <v>0</v>
      </c>
      <c r="AP72" s="552">
        <v>0</v>
      </c>
      <c r="AQ72" s="552">
        <v>0</v>
      </c>
      <c r="AR72" s="554"/>
      <c r="AS72" s="555">
        <f t="shared" si="22"/>
        <v>2.3079000000000001</v>
      </c>
      <c r="AT72" s="555">
        <f t="shared" si="23"/>
        <v>0.16</v>
      </c>
      <c r="AU72" s="556"/>
      <c r="AV72" s="553">
        <f t="shared" si="24"/>
        <v>2.0753098379999999</v>
      </c>
      <c r="AW72" s="553">
        <f t="shared" si="24"/>
        <v>2.5447366979999999</v>
      </c>
      <c r="AX72" s="553">
        <f t="shared" si="24"/>
        <v>647.44483402200001</v>
      </c>
      <c r="AY72" s="552">
        <f t="shared" si="25"/>
        <v>1.7342220000000002</v>
      </c>
      <c r="AZ72" s="552">
        <f t="shared" si="26"/>
        <v>0.27599999999999997</v>
      </c>
      <c r="BA72" s="552">
        <f t="shared" si="26"/>
        <v>56</v>
      </c>
      <c r="BB72" s="557"/>
      <c r="BC72" s="552">
        <v>0</v>
      </c>
      <c r="BD72" s="552">
        <v>0</v>
      </c>
      <c r="BE72" s="552">
        <v>0</v>
      </c>
      <c r="BF72" s="552">
        <v>0</v>
      </c>
      <c r="BG72" s="554" t="str">
        <f>IFERROR(VLOOKUP(#REF!,#REF!,4,FALSE),"")</f>
        <v/>
      </c>
      <c r="BH72" s="552"/>
      <c r="BI72" s="552"/>
      <c r="BJ72" s="552"/>
      <c r="BK72" s="552"/>
      <c r="BL72" s="552"/>
      <c r="BM72" s="552"/>
      <c r="BN72" s="552"/>
      <c r="BO72" s="552"/>
      <c r="BP72" s="552"/>
      <c r="BQ72" s="552"/>
      <c r="BR72" s="552"/>
      <c r="BS72" s="552"/>
      <c r="BT72" s="552"/>
      <c r="BU72" s="552"/>
      <c r="BV72" s="552"/>
      <c r="BW72" s="552"/>
      <c r="BX72" s="552"/>
      <c r="BY72" s="552"/>
      <c r="BZ72" s="552"/>
      <c r="CA72" s="552">
        <f t="shared" si="21"/>
        <v>0</v>
      </c>
      <c r="CB72" s="552">
        <f t="shared" si="21"/>
        <v>0</v>
      </c>
      <c r="CC72" s="552">
        <f t="shared" si="21"/>
        <v>0</v>
      </c>
      <c r="CD72" s="552">
        <f t="shared" si="21"/>
        <v>0</v>
      </c>
      <c r="CE72" s="552">
        <f t="shared" si="21"/>
        <v>0</v>
      </c>
      <c r="CF72" s="552">
        <f t="shared" si="21"/>
        <v>0</v>
      </c>
      <c r="CG72" s="552">
        <f t="shared" si="21"/>
        <v>0</v>
      </c>
      <c r="CH72" s="552">
        <f t="shared" si="21"/>
        <v>0</v>
      </c>
      <c r="CI72" s="552">
        <f t="shared" si="21"/>
        <v>0</v>
      </c>
      <c r="CJ72" s="552">
        <f t="shared" si="21"/>
        <v>0</v>
      </c>
      <c r="CK72" s="552">
        <f t="shared" si="21"/>
        <v>0</v>
      </c>
      <c r="CL72" s="552">
        <f t="shared" si="21"/>
        <v>0</v>
      </c>
      <c r="CM72" s="552">
        <f t="shared" si="21"/>
        <v>0</v>
      </c>
      <c r="CN72" s="552">
        <f t="shared" si="21"/>
        <v>0</v>
      </c>
      <c r="CO72" s="552">
        <f t="shared" si="21"/>
        <v>0</v>
      </c>
      <c r="CP72" s="552">
        <f t="shared" si="18"/>
        <v>0</v>
      </c>
      <c r="CQ72" s="552">
        <f t="shared" si="17"/>
        <v>0</v>
      </c>
      <c r="CR72" s="552">
        <f t="shared" si="17"/>
        <v>0</v>
      </c>
      <c r="CS72" s="552">
        <f t="shared" si="27"/>
        <v>0</v>
      </c>
      <c r="CT72" s="552"/>
      <c r="CU72" s="552"/>
      <c r="CV72" s="552"/>
      <c r="CW72" s="552"/>
      <c r="CX72" s="552"/>
      <c r="CY72" s="552"/>
      <c r="CZ72" s="552"/>
      <c r="DA72" s="472"/>
      <c r="DB72" s="552">
        <f t="shared" si="20"/>
        <v>0</v>
      </c>
      <c r="DC72" s="552">
        <f t="shared" si="20"/>
        <v>0</v>
      </c>
      <c r="DD72" s="552">
        <f t="shared" si="20"/>
        <v>0</v>
      </c>
      <c r="DE72" s="552">
        <f t="shared" si="20"/>
        <v>0</v>
      </c>
      <c r="DF72" s="552">
        <f t="shared" si="20"/>
        <v>0</v>
      </c>
      <c r="DG72" s="552">
        <f t="shared" si="20"/>
        <v>0</v>
      </c>
      <c r="DH72" s="552">
        <f t="shared" si="28"/>
        <v>0</v>
      </c>
      <c r="DI72" s="554"/>
      <c r="DJ72" s="525">
        <f>IFERROR(VLOOKUP(A72,'Transp. Dre Rodovia'!$A$19:$D$29,4,FALSE),0)+IFERROR(VLOOKUP(A72,#REF!,4,FALSE),0)</f>
        <v>0</v>
      </c>
    </row>
    <row r="73" spans="1:114" ht="12.75" hidden="1" customHeight="1">
      <c r="A73" s="470">
        <v>41881</v>
      </c>
      <c r="B73" s="550" t="s">
        <v>504</v>
      </c>
      <c r="C73" s="551" t="s">
        <v>374</v>
      </c>
      <c r="D73" s="552">
        <v>4.3159999999999998</v>
      </c>
      <c r="E73" s="552">
        <v>0.52600000000000002</v>
      </c>
      <c r="F73" s="552">
        <v>0.7</v>
      </c>
      <c r="G73" s="552">
        <v>0.89922000000000002</v>
      </c>
      <c r="H73" s="552">
        <v>1.1026199999999999</v>
      </c>
      <c r="I73" s="552">
        <v>280.53417999999999</v>
      </c>
      <c r="J73" s="552">
        <v>0</v>
      </c>
      <c r="K73" s="552">
        <v>0</v>
      </c>
      <c r="L73" s="552">
        <v>0</v>
      </c>
      <c r="M73" s="552">
        <v>0</v>
      </c>
      <c r="N73" s="553">
        <v>0</v>
      </c>
      <c r="O73" s="553">
        <v>0</v>
      </c>
      <c r="P73" s="552">
        <v>0</v>
      </c>
      <c r="Q73" s="552">
        <v>0</v>
      </c>
      <c r="R73" s="552">
        <v>0</v>
      </c>
      <c r="S73" s="552">
        <v>0</v>
      </c>
      <c r="T73" s="552">
        <v>0</v>
      </c>
      <c r="U73" s="552">
        <v>0</v>
      </c>
      <c r="V73" s="552">
        <v>0</v>
      </c>
      <c r="W73" s="552">
        <v>0</v>
      </c>
      <c r="X73" s="552">
        <v>0</v>
      </c>
      <c r="Y73" s="552">
        <v>0</v>
      </c>
      <c r="Z73" s="552">
        <v>0</v>
      </c>
      <c r="AA73" s="552">
        <v>0</v>
      </c>
      <c r="AB73" s="552">
        <v>0</v>
      </c>
      <c r="AC73" s="552">
        <v>0</v>
      </c>
      <c r="AD73" s="552">
        <v>0</v>
      </c>
      <c r="AE73" s="552">
        <v>0</v>
      </c>
      <c r="AF73" s="552">
        <v>0</v>
      </c>
      <c r="AG73" s="552">
        <v>0</v>
      </c>
      <c r="AH73" s="552">
        <v>0.23</v>
      </c>
      <c r="AI73" s="552">
        <v>1.7249999999999999</v>
      </c>
      <c r="AJ73" s="552">
        <v>350</v>
      </c>
      <c r="AK73" s="552">
        <v>0</v>
      </c>
      <c r="AL73" s="552">
        <v>0</v>
      </c>
      <c r="AM73" s="552">
        <v>0</v>
      </c>
      <c r="AN73" s="552">
        <v>0</v>
      </c>
      <c r="AO73" s="552">
        <v>0</v>
      </c>
      <c r="AP73" s="552">
        <v>0</v>
      </c>
      <c r="AQ73" s="552">
        <v>0</v>
      </c>
      <c r="AR73" s="554"/>
      <c r="AS73" s="555">
        <f t="shared" si="22"/>
        <v>3.0211999999999999</v>
      </c>
      <c r="AT73" s="555">
        <f t="shared" si="23"/>
        <v>0.23</v>
      </c>
      <c r="AU73" s="556"/>
      <c r="AV73" s="553">
        <f t="shared" si="24"/>
        <v>2.7167234639999998</v>
      </c>
      <c r="AW73" s="553">
        <f t="shared" si="24"/>
        <v>3.3312355439999997</v>
      </c>
      <c r="AX73" s="553">
        <f t="shared" si="24"/>
        <v>847.54986461599992</v>
      </c>
      <c r="AY73" s="552">
        <f t="shared" si="25"/>
        <v>2.270216</v>
      </c>
      <c r="AZ73" s="552">
        <f t="shared" si="26"/>
        <v>0.39674999999999999</v>
      </c>
      <c r="BA73" s="552">
        <f t="shared" si="26"/>
        <v>80.5</v>
      </c>
      <c r="BB73" s="557"/>
      <c r="BC73" s="552">
        <v>0</v>
      </c>
      <c r="BD73" s="552">
        <v>0</v>
      </c>
      <c r="BE73" s="552">
        <v>0</v>
      </c>
      <c r="BF73" s="552">
        <v>0</v>
      </c>
      <c r="BG73" s="554" t="str">
        <f>IFERROR(VLOOKUP(#REF!,#REF!,4,FALSE),"")</f>
        <v/>
      </c>
      <c r="BH73" s="552"/>
      <c r="BI73" s="552"/>
      <c r="BJ73" s="552"/>
      <c r="BK73" s="552"/>
      <c r="BL73" s="552"/>
      <c r="BM73" s="552"/>
      <c r="BN73" s="552"/>
      <c r="BO73" s="552"/>
      <c r="BP73" s="552"/>
      <c r="BQ73" s="552"/>
      <c r="BR73" s="552"/>
      <c r="BS73" s="552"/>
      <c r="BT73" s="552"/>
      <c r="BU73" s="552"/>
      <c r="BV73" s="552"/>
      <c r="BW73" s="552"/>
      <c r="BX73" s="552"/>
      <c r="BY73" s="552"/>
      <c r="BZ73" s="552"/>
      <c r="CA73" s="552">
        <f t="shared" si="21"/>
        <v>0</v>
      </c>
      <c r="CB73" s="552">
        <f t="shared" si="21"/>
        <v>0</v>
      </c>
      <c r="CC73" s="552">
        <f t="shared" si="21"/>
        <v>0</v>
      </c>
      <c r="CD73" s="552">
        <f t="shared" si="21"/>
        <v>0</v>
      </c>
      <c r="CE73" s="552">
        <f t="shared" si="21"/>
        <v>0</v>
      </c>
      <c r="CF73" s="552">
        <f t="shared" si="21"/>
        <v>0</v>
      </c>
      <c r="CG73" s="552">
        <f t="shared" si="21"/>
        <v>0</v>
      </c>
      <c r="CH73" s="552">
        <f t="shared" si="21"/>
        <v>0</v>
      </c>
      <c r="CI73" s="552">
        <f t="shared" si="21"/>
        <v>0</v>
      </c>
      <c r="CJ73" s="552">
        <f t="shared" si="21"/>
        <v>0</v>
      </c>
      <c r="CK73" s="552">
        <f t="shared" si="21"/>
        <v>0</v>
      </c>
      <c r="CL73" s="552">
        <f t="shared" si="21"/>
        <v>0</v>
      </c>
      <c r="CM73" s="552">
        <f t="shared" si="21"/>
        <v>0</v>
      </c>
      <c r="CN73" s="552">
        <f t="shared" si="21"/>
        <v>0</v>
      </c>
      <c r="CO73" s="552">
        <f t="shared" si="21"/>
        <v>0</v>
      </c>
      <c r="CP73" s="552">
        <f t="shared" si="18"/>
        <v>0</v>
      </c>
      <c r="CQ73" s="552">
        <f t="shared" si="17"/>
        <v>0</v>
      </c>
      <c r="CR73" s="552">
        <f t="shared" si="17"/>
        <v>0</v>
      </c>
      <c r="CS73" s="552">
        <f t="shared" si="27"/>
        <v>0</v>
      </c>
      <c r="CT73" s="552"/>
      <c r="CU73" s="552"/>
      <c r="CV73" s="552"/>
      <c r="CW73" s="552"/>
      <c r="CX73" s="552"/>
      <c r="CY73" s="552"/>
      <c r="CZ73" s="552"/>
      <c r="DA73" s="472"/>
      <c r="DB73" s="552">
        <f t="shared" si="20"/>
        <v>0</v>
      </c>
      <c r="DC73" s="552">
        <f t="shared" si="20"/>
        <v>0</v>
      </c>
      <c r="DD73" s="552">
        <f t="shared" si="20"/>
        <v>0</v>
      </c>
      <c r="DE73" s="552">
        <f t="shared" si="20"/>
        <v>0</v>
      </c>
      <c r="DF73" s="552">
        <f t="shared" si="20"/>
        <v>0</v>
      </c>
      <c r="DG73" s="552">
        <f t="shared" si="20"/>
        <v>0</v>
      </c>
      <c r="DH73" s="552">
        <f t="shared" si="28"/>
        <v>0</v>
      </c>
      <c r="DI73" s="554"/>
      <c r="DJ73" s="525">
        <f>IFERROR(VLOOKUP(A73,'Transp. Dre Rodovia'!$A$19:$D$29,4,FALSE),0)+IFERROR(VLOOKUP(A73,#REF!,4,FALSE),0)</f>
        <v>0</v>
      </c>
    </row>
    <row r="74" spans="1:114" hidden="1">
      <c r="A74" s="470">
        <v>45595</v>
      </c>
      <c r="B74" s="550" t="s">
        <v>505</v>
      </c>
      <c r="C74" s="551" t="s">
        <v>374</v>
      </c>
      <c r="D74" s="552"/>
      <c r="E74" s="552"/>
      <c r="F74" s="552"/>
      <c r="G74" s="552">
        <v>0</v>
      </c>
      <c r="H74" s="552">
        <v>0</v>
      </c>
      <c r="I74" s="552"/>
      <c r="J74" s="552"/>
      <c r="K74" s="552">
        <v>0</v>
      </c>
      <c r="L74" s="552">
        <v>0</v>
      </c>
      <c r="M74" s="552"/>
      <c r="N74" s="553">
        <v>0</v>
      </c>
      <c r="O74" s="553">
        <v>0</v>
      </c>
      <c r="P74" s="552"/>
      <c r="Q74" s="552">
        <v>0</v>
      </c>
      <c r="R74" s="552">
        <v>0</v>
      </c>
      <c r="S74" s="552"/>
      <c r="T74" s="552"/>
      <c r="U74" s="552">
        <v>0</v>
      </c>
      <c r="V74" s="552">
        <v>0</v>
      </c>
      <c r="W74" s="552"/>
      <c r="X74" s="552"/>
      <c r="Y74" s="552">
        <v>0</v>
      </c>
      <c r="Z74" s="552">
        <v>0</v>
      </c>
      <c r="AA74" s="552"/>
      <c r="AB74" s="552"/>
      <c r="AC74" s="552"/>
      <c r="AD74" s="552"/>
      <c r="AE74" s="552"/>
      <c r="AF74" s="552"/>
      <c r="AG74" s="552"/>
      <c r="AH74" s="552"/>
      <c r="AI74" s="552">
        <v>0</v>
      </c>
      <c r="AJ74" s="552"/>
      <c r="AK74" s="552"/>
      <c r="AL74" s="552">
        <v>0</v>
      </c>
      <c r="AM74" s="552"/>
      <c r="AN74" s="552"/>
      <c r="AO74" s="552">
        <v>0</v>
      </c>
      <c r="AP74" s="552">
        <v>0</v>
      </c>
      <c r="AQ74" s="552"/>
      <c r="AR74" s="554"/>
      <c r="AS74" s="555">
        <f t="shared" si="22"/>
        <v>0</v>
      </c>
      <c r="AT74" s="555">
        <f t="shared" si="23"/>
        <v>0</v>
      </c>
      <c r="AU74" s="556"/>
      <c r="AV74" s="553">
        <f t="shared" si="24"/>
        <v>0</v>
      </c>
      <c r="AW74" s="553">
        <f t="shared" si="24"/>
        <v>0</v>
      </c>
      <c r="AX74" s="553">
        <f t="shared" si="24"/>
        <v>0</v>
      </c>
      <c r="AY74" s="552">
        <f t="shared" si="25"/>
        <v>0</v>
      </c>
      <c r="AZ74" s="552">
        <f t="shared" si="26"/>
        <v>0</v>
      </c>
      <c r="BA74" s="552">
        <f t="shared" si="26"/>
        <v>0</v>
      </c>
      <c r="BB74" s="557"/>
      <c r="BC74" s="552">
        <v>0</v>
      </c>
      <c r="BD74" s="552">
        <v>0</v>
      </c>
      <c r="BE74" s="552"/>
      <c r="BF74" s="552"/>
      <c r="BG74" s="554" t="str">
        <f>IFERROR(VLOOKUP(#REF!,#REF!,4,FALSE),"")</f>
        <v/>
      </c>
      <c r="BH74" s="552"/>
      <c r="BI74" s="552">
        <v>0.17</v>
      </c>
      <c r="BJ74" s="552">
        <v>0.11</v>
      </c>
      <c r="BK74" s="552"/>
      <c r="BL74" s="552"/>
      <c r="BM74" s="552"/>
      <c r="BN74" s="552"/>
      <c r="BO74" s="552"/>
      <c r="BP74" s="552"/>
      <c r="BQ74" s="552"/>
      <c r="BR74" s="552"/>
      <c r="BS74" s="552"/>
      <c r="BT74" s="552"/>
      <c r="BU74" s="552"/>
      <c r="BV74" s="552"/>
      <c r="BW74" s="552"/>
      <c r="BX74" s="552"/>
      <c r="BY74" s="552"/>
      <c r="BZ74" s="552"/>
      <c r="CA74" s="552">
        <f t="shared" si="21"/>
        <v>0</v>
      </c>
      <c r="CB74" s="552">
        <f t="shared" si="21"/>
        <v>1.8699999999999999E-3</v>
      </c>
      <c r="CC74" s="552">
        <f t="shared" si="21"/>
        <v>9.8999999999999999E-4</v>
      </c>
      <c r="CD74" s="552">
        <f t="shared" si="21"/>
        <v>0</v>
      </c>
      <c r="CE74" s="552">
        <f t="shared" si="21"/>
        <v>0</v>
      </c>
      <c r="CF74" s="552">
        <f t="shared" si="21"/>
        <v>0</v>
      </c>
      <c r="CG74" s="552">
        <f t="shared" si="21"/>
        <v>0</v>
      </c>
      <c r="CH74" s="552">
        <f t="shared" si="21"/>
        <v>0</v>
      </c>
      <c r="CI74" s="552">
        <f t="shared" si="21"/>
        <v>0</v>
      </c>
      <c r="CJ74" s="552">
        <f t="shared" si="21"/>
        <v>0</v>
      </c>
      <c r="CK74" s="552">
        <f t="shared" si="21"/>
        <v>0</v>
      </c>
      <c r="CL74" s="552">
        <f t="shared" si="21"/>
        <v>0</v>
      </c>
      <c r="CM74" s="552">
        <f t="shared" si="21"/>
        <v>0</v>
      </c>
      <c r="CN74" s="552">
        <f t="shared" si="21"/>
        <v>0</v>
      </c>
      <c r="CO74" s="552">
        <f t="shared" si="21"/>
        <v>0</v>
      </c>
      <c r="CP74" s="552">
        <f t="shared" si="18"/>
        <v>0</v>
      </c>
      <c r="CQ74" s="552">
        <f t="shared" si="17"/>
        <v>0</v>
      </c>
      <c r="CR74" s="552">
        <f t="shared" si="17"/>
        <v>0</v>
      </c>
      <c r="CS74" s="552">
        <f t="shared" si="27"/>
        <v>2.8599999999999997E-3</v>
      </c>
      <c r="CT74" s="552"/>
      <c r="CU74" s="552"/>
      <c r="CV74" s="552"/>
      <c r="CW74" s="552"/>
      <c r="CX74" s="552"/>
      <c r="CY74" s="552"/>
      <c r="CZ74" s="552"/>
      <c r="DA74" s="472"/>
      <c r="DB74" s="552">
        <f t="shared" si="20"/>
        <v>0</v>
      </c>
      <c r="DC74" s="552">
        <f t="shared" si="20"/>
        <v>0</v>
      </c>
      <c r="DD74" s="552">
        <f t="shared" si="20"/>
        <v>0</v>
      </c>
      <c r="DE74" s="552">
        <f t="shared" si="20"/>
        <v>0</v>
      </c>
      <c r="DF74" s="552">
        <f t="shared" si="20"/>
        <v>0</v>
      </c>
      <c r="DG74" s="552">
        <f t="shared" si="20"/>
        <v>0</v>
      </c>
      <c r="DH74" s="552">
        <f t="shared" si="28"/>
        <v>0</v>
      </c>
      <c r="DI74" s="554"/>
      <c r="DJ74" s="525">
        <f>IFERROR(VLOOKUP(A74,'Transp. Dre Rodovia'!$A$19:$D$29,4,FALSE),0)+IFERROR(VLOOKUP(A74,#REF!,4,FALSE),0)</f>
        <v>0</v>
      </c>
    </row>
    <row r="75" spans="1:114" hidden="1">
      <c r="A75" s="470">
        <v>45530</v>
      </c>
      <c r="B75" s="550" t="s">
        <v>506</v>
      </c>
      <c r="C75" s="551" t="s">
        <v>107</v>
      </c>
      <c r="D75" s="552"/>
      <c r="E75" s="552"/>
      <c r="F75" s="552"/>
      <c r="G75" s="552">
        <v>0</v>
      </c>
      <c r="H75" s="552">
        <v>0</v>
      </c>
      <c r="I75" s="552"/>
      <c r="J75" s="552"/>
      <c r="K75" s="552">
        <v>0</v>
      </c>
      <c r="L75" s="552">
        <v>0</v>
      </c>
      <c r="M75" s="552"/>
      <c r="N75" s="553">
        <v>0</v>
      </c>
      <c r="O75" s="553">
        <v>0</v>
      </c>
      <c r="P75" s="552"/>
      <c r="Q75" s="552">
        <v>0</v>
      </c>
      <c r="R75" s="552">
        <v>0</v>
      </c>
      <c r="S75" s="552"/>
      <c r="T75" s="552"/>
      <c r="U75" s="552">
        <v>0</v>
      </c>
      <c r="V75" s="552">
        <v>0</v>
      </c>
      <c r="W75" s="552"/>
      <c r="X75" s="552"/>
      <c r="Y75" s="552">
        <v>0</v>
      </c>
      <c r="Z75" s="552">
        <v>0</v>
      </c>
      <c r="AA75" s="552"/>
      <c r="AB75" s="552"/>
      <c r="AC75" s="552"/>
      <c r="AD75" s="552"/>
      <c r="AE75" s="552"/>
      <c r="AF75" s="552"/>
      <c r="AG75" s="552"/>
      <c r="AH75" s="552"/>
      <c r="AI75" s="552">
        <v>0</v>
      </c>
      <c r="AJ75" s="552"/>
      <c r="AK75" s="552"/>
      <c r="AL75" s="552">
        <v>0</v>
      </c>
      <c r="AM75" s="552"/>
      <c r="AN75" s="552"/>
      <c r="AO75" s="552">
        <v>0</v>
      </c>
      <c r="AP75" s="552">
        <v>0</v>
      </c>
      <c r="AQ75" s="552"/>
      <c r="AR75" s="554"/>
      <c r="AS75" s="555">
        <f t="shared" si="22"/>
        <v>0</v>
      </c>
      <c r="AT75" s="555">
        <f t="shared" si="23"/>
        <v>0</v>
      </c>
      <c r="AU75" s="556"/>
      <c r="AV75" s="553">
        <f t="shared" si="24"/>
        <v>0</v>
      </c>
      <c r="AW75" s="553">
        <f t="shared" si="24"/>
        <v>0</v>
      </c>
      <c r="AX75" s="553">
        <f t="shared" si="24"/>
        <v>0</v>
      </c>
      <c r="AY75" s="552">
        <f t="shared" si="25"/>
        <v>0</v>
      </c>
      <c r="AZ75" s="552">
        <f t="shared" si="26"/>
        <v>0</v>
      </c>
      <c r="BA75" s="552">
        <f t="shared" si="26"/>
        <v>0</v>
      </c>
      <c r="BB75" s="557"/>
      <c r="BC75" s="552">
        <v>0</v>
      </c>
      <c r="BD75" s="552">
        <v>0</v>
      </c>
      <c r="BE75" s="552"/>
      <c r="BF75" s="552"/>
      <c r="BG75" s="554" t="str">
        <f>IFERROR(VLOOKUP(#REF!,#REF!,4,FALSE),"")</f>
        <v/>
      </c>
      <c r="BH75" s="552"/>
      <c r="BI75" s="552"/>
      <c r="BJ75" s="552"/>
      <c r="BK75" s="552">
        <v>2.4500000000000002</v>
      </c>
      <c r="BL75" s="552">
        <v>283</v>
      </c>
      <c r="BM75" s="552"/>
      <c r="BN75" s="552"/>
      <c r="BO75" s="552"/>
      <c r="BP75" s="552">
        <v>1</v>
      </c>
      <c r="BQ75" s="552">
        <v>64.5</v>
      </c>
      <c r="BR75" s="552">
        <v>0.23</v>
      </c>
      <c r="BS75" s="552">
        <v>0.90449999999999997</v>
      </c>
      <c r="BT75" s="552">
        <v>0.85650000000000004</v>
      </c>
      <c r="BU75" s="552">
        <v>332</v>
      </c>
      <c r="BV75" s="552"/>
      <c r="BW75" s="552"/>
      <c r="BX75" s="552"/>
      <c r="BY75" s="552"/>
      <c r="BZ75" s="552"/>
      <c r="CA75" s="552">
        <f t="shared" si="21"/>
        <v>0</v>
      </c>
      <c r="CB75" s="552">
        <f t="shared" si="21"/>
        <v>0</v>
      </c>
      <c r="CC75" s="552">
        <f t="shared" si="21"/>
        <v>0</v>
      </c>
      <c r="CD75" s="552">
        <f t="shared" si="21"/>
        <v>2.4500000000000004E-3</v>
      </c>
      <c r="CE75" s="552">
        <f t="shared" si="21"/>
        <v>0.65090000000000003</v>
      </c>
      <c r="CF75" s="552">
        <f t="shared" si="21"/>
        <v>0</v>
      </c>
      <c r="CG75" s="552">
        <f t="shared" si="21"/>
        <v>0</v>
      </c>
      <c r="CH75" s="552">
        <f t="shared" si="21"/>
        <v>0</v>
      </c>
      <c r="CI75" s="552">
        <f t="shared" si="21"/>
        <v>0</v>
      </c>
      <c r="CJ75" s="552">
        <f t="shared" si="21"/>
        <v>6.4500000000000002E-2</v>
      </c>
      <c r="CK75" s="552">
        <f t="shared" si="21"/>
        <v>0</v>
      </c>
      <c r="CL75" s="552">
        <f t="shared" si="21"/>
        <v>0</v>
      </c>
      <c r="CM75" s="552">
        <f t="shared" si="21"/>
        <v>0</v>
      </c>
      <c r="CN75" s="552">
        <f t="shared" si="21"/>
        <v>0</v>
      </c>
      <c r="CO75" s="552">
        <f t="shared" si="21"/>
        <v>0</v>
      </c>
      <c r="CP75" s="552">
        <f t="shared" si="18"/>
        <v>0</v>
      </c>
      <c r="CQ75" s="552">
        <f t="shared" si="17"/>
        <v>0</v>
      </c>
      <c r="CR75" s="552">
        <f t="shared" si="17"/>
        <v>0</v>
      </c>
      <c r="CS75" s="552">
        <f t="shared" si="27"/>
        <v>0.71784999999999999</v>
      </c>
      <c r="CT75" s="552"/>
      <c r="CU75" s="552"/>
      <c r="CV75" s="552"/>
      <c r="CW75" s="552"/>
      <c r="CX75" s="552"/>
      <c r="CY75" s="552"/>
      <c r="CZ75" s="552"/>
      <c r="DA75" s="472"/>
      <c r="DB75" s="552">
        <f t="shared" si="20"/>
        <v>0</v>
      </c>
      <c r="DC75" s="552">
        <f t="shared" si="20"/>
        <v>0</v>
      </c>
      <c r="DD75" s="552">
        <f t="shared" si="20"/>
        <v>0</v>
      </c>
      <c r="DE75" s="552">
        <f t="shared" si="20"/>
        <v>0</v>
      </c>
      <c r="DF75" s="552">
        <f t="shared" si="20"/>
        <v>0</v>
      </c>
      <c r="DG75" s="552">
        <f t="shared" si="20"/>
        <v>0</v>
      </c>
      <c r="DH75" s="552">
        <f t="shared" si="28"/>
        <v>0</v>
      </c>
      <c r="DI75" s="554"/>
      <c r="DJ75" s="525">
        <f>IFERROR(VLOOKUP(A75,'Transp. Dre Rodovia'!$A$19:$D$29,4,FALSE),0)+IFERROR(VLOOKUP(A75,#REF!,4,FALSE),0)</f>
        <v>0</v>
      </c>
    </row>
    <row r="76" spans="1:114" hidden="1">
      <c r="A76" s="470">
        <v>45520</v>
      </c>
      <c r="B76" s="550" t="s">
        <v>507</v>
      </c>
      <c r="C76" s="551" t="s">
        <v>374</v>
      </c>
      <c r="D76" s="552"/>
      <c r="E76" s="552"/>
      <c r="F76" s="552"/>
      <c r="G76" s="552">
        <v>0</v>
      </c>
      <c r="H76" s="552">
        <v>0</v>
      </c>
      <c r="I76" s="552"/>
      <c r="J76" s="552"/>
      <c r="K76" s="552">
        <v>0</v>
      </c>
      <c r="L76" s="552">
        <v>0</v>
      </c>
      <c r="M76" s="552"/>
      <c r="N76" s="553">
        <v>0</v>
      </c>
      <c r="O76" s="553">
        <v>0</v>
      </c>
      <c r="P76" s="552"/>
      <c r="Q76" s="552">
        <v>0</v>
      </c>
      <c r="R76" s="552">
        <v>0</v>
      </c>
      <c r="S76" s="552"/>
      <c r="T76" s="552"/>
      <c r="U76" s="552">
        <v>0</v>
      </c>
      <c r="V76" s="552">
        <v>0</v>
      </c>
      <c r="W76" s="552"/>
      <c r="X76" s="552"/>
      <c r="Y76" s="552">
        <v>0</v>
      </c>
      <c r="Z76" s="552">
        <v>0</v>
      </c>
      <c r="AA76" s="552"/>
      <c r="AB76" s="552"/>
      <c r="AC76" s="552"/>
      <c r="AD76" s="552"/>
      <c r="AE76" s="552"/>
      <c r="AF76" s="552"/>
      <c r="AG76" s="552"/>
      <c r="AH76" s="552"/>
      <c r="AI76" s="552">
        <v>0</v>
      </c>
      <c r="AJ76" s="552"/>
      <c r="AK76" s="552"/>
      <c r="AL76" s="552">
        <v>0</v>
      </c>
      <c r="AM76" s="552"/>
      <c r="AN76" s="552"/>
      <c r="AO76" s="552">
        <v>0</v>
      </c>
      <c r="AP76" s="552">
        <v>0</v>
      </c>
      <c r="AQ76" s="552"/>
      <c r="AR76" s="554"/>
      <c r="AS76" s="555">
        <f t="shared" si="22"/>
        <v>0</v>
      </c>
      <c r="AT76" s="555">
        <f t="shared" si="23"/>
        <v>0</v>
      </c>
      <c r="AU76" s="556"/>
      <c r="AV76" s="553">
        <f t="shared" si="24"/>
        <v>0</v>
      </c>
      <c r="AW76" s="553">
        <f t="shared" si="24"/>
        <v>0</v>
      </c>
      <c r="AX76" s="553">
        <f t="shared" si="24"/>
        <v>0</v>
      </c>
      <c r="AY76" s="552">
        <f t="shared" si="25"/>
        <v>0</v>
      </c>
      <c r="AZ76" s="552">
        <f t="shared" si="26"/>
        <v>0</v>
      </c>
      <c r="BA76" s="552">
        <f t="shared" si="26"/>
        <v>0</v>
      </c>
      <c r="BB76" s="557"/>
      <c r="BC76" s="552">
        <v>4.2</v>
      </c>
      <c r="BD76" s="552">
        <v>8.3998500000000007</v>
      </c>
      <c r="BE76" s="552">
        <v>1210</v>
      </c>
      <c r="BF76" s="552"/>
      <c r="BG76" s="554" t="str">
        <f>IFERROR(VLOOKUP(#REF!,#REF!,4,FALSE),"")</f>
        <v/>
      </c>
      <c r="BH76" s="552"/>
      <c r="BI76" s="552"/>
      <c r="BJ76" s="552"/>
      <c r="BK76" s="552">
        <v>264</v>
      </c>
      <c r="BL76" s="552">
        <v>1400</v>
      </c>
      <c r="BM76" s="552">
        <v>0.15</v>
      </c>
      <c r="BN76" s="552">
        <v>0.76</v>
      </c>
      <c r="BO76" s="552"/>
      <c r="BP76" s="552"/>
      <c r="BQ76" s="552"/>
      <c r="BR76" s="552"/>
      <c r="BS76" s="552"/>
      <c r="BT76" s="552"/>
      <c r="BU76" s="552"/>
      <c r="BV76" s="552"/>
      <c r="BW76" s="552"/>
      <c r="BX76" s="552"/>
      <c r="BY76" s="552"/>
      <c r="BZ76" s="552"/>
      <c r="CA76" s="552">
        <f t="shared" si="21"/>
        <v>0</v>
      </c>
      <c r="CB76" s="552">
        <f t="shared" si="21"/>
        <v>0</v>
      </c>
      <c r="CC76" s="552">
        <f t="shared" si="21"/>
        <v>0</v>
      </c>
      <c r="CD76" s="552">
        <f t="shared" si="21"/>
        <v>0.26400000000000001</v>
      </c>
      <c r="CE76" s="552">
        <f t="shared" si="21"/>
        <v>3.2199999999999998</v>
      </c>
      <c r="CF76" s="552">
        <f t="shared" si="21"/>
        <v>1.4999999999999999E-4</v>
      </c>
      <c r="CG76" s="552">
        <f t="shared" si="21"/>
        <v>3.0400000000000002E-3</v>
      </c>
      <c r="CH76" s="552">
        <f t="shared" si="21"/>
        <v>0</v>
      </c>
      <c r="CI76" s="552">
        <f t="shared" si="21"/>
        <v>0</v>
      </c>
      <c r="CJ76" s="552">
        <f t="shared" si="21"/>
        <v>0</v>
      </c>
      <c r="CK76" s="552">
        <f t="shared" si="21"/>
        <v>0</v>
      </c>
      <c r="CL76" s="552">
        <f t="shared" si="21"/>
        <v>0</v>
      </c>
      <c r="CM76" s="552">
        <f t="shared" si="21"/>
        <v>0</v>
      </c>
      <c r="CN76" s="552">
        <f t="shared" si="21"/>
        <v>0</v>
      </c>
      <c r="CO76" s="552">
        <f t="shared" si="21"/>
        <v>0</v>
      </c>
      <c r="CP76" s="552">
        <f t="shared" si="18"/>
        <v>0</v>
      </c>
      <c r="CQ76" s="552">
        <f t="shared" si="17"/>
        <v>0</v>
      </c>
      <c r="CR76" s="552">
        <f t="shared" si="17"/>
        <v>0</v>
      </c>
      <c r="CS76" s="552">
        <f t="shared" si="27"/>
        <v>3.48719</v>
      </c>
      <c r="CT76" s="552"/>
      <c r="CU76" s="552"/>
      <c r="CV76" s="552"/>
      <c r="CW76" s="552"/>
      <c r="CX76" s="552"/>
      <c r="CY76" s="552"/>
      <c r="CZ76" s="552"/>
      <c r="DA76" s="472"/>
      <c r="DB76" s="552">
        <f t="shared" si="20"/>
        <v>0</v>
      </c>
      <c r="DC76" s="552">
        <f t="shared" si="20"/>
        <v>0</v>
      </c>
      <c r="DD76" s="552">
        <f t="shared" si="20"/>
        <v>0</v>
      </c>
      <c r="DE76" s="552">
        <f t="shared" si="20"/>
        <v>0</v>
      </c>
      <c r="DF76" s="552">
        <f t="shared" si="20"/>
        <v>0</v>
      </c>
      <c r="DG76" s="552">
        <f t="shared" si="20"/>
        <v>0</v>
      </c>
      <c r="DH76" s="552">
        <f t="shared" si="28"/>
        <v>0</v>
      </c>
      <c r="DI76" s="554"/>
      <c r="DJ76" s="525">
        <f>IFERROR(VLOOKUP(A76,'Transp. Dre Rodovia'!$A$19:$D$29,4,FALSE),0)+IFERROR(VLOOKUP(A76,#REF!,4,FALSE),0)</f>
        <v>0</v>
      </c>
    </row>
    <row r="77" spans="1:114" s="476" customFormat="1" ht="12.75" hidden="1">
      <c r="A77" s="470">
        <v>45525</v>
      </c>
      <c r="B77" s="550" t="s">
        <v>508</v>
      </c>
      <c r="C77" s="551" t="s">
        <v>107</v>
      </c>
      <c r="D77" s="552"/>
      <c r="E77" s="552"/>
      <c r="F77" s="552"/>
      <c r="G77" s="552">
        <v>0</v>
      </c>
      <c r="H77" s="552">
        <v>0</v>
      </c>
      <c r="I77" s="552"/>
      <c r="J77" s="552"/>
      <c r="K77" s="552">
        <v>0</v>
      </c>
      <c r="L77" s="552">
        <v>0</v>
      </c>
      <c r="M77" s="552"/>
      <c r="N77" s="553">
        <v>0</v>
      </c>
      <c r="O77" s="553">
        <v>0</v>
      </c>
      <c r="P77" s="552"/>
      <c r="Q77" s="552">
        <v>0</v>
      </c>
      <c r="R77" s="552">
        <v>0</v>
      </c>
      <c r="S77" s="552"/>
      <c r="T77" s="552"/>
      <c r="U77" s="552">
        <v>0</v>
      </c>
      <c r="V77" s="552">
        <v>0</v>
      </c>
      <c r="W77" s="552"/>
      <c r="X77" s="552"/>
      <c r="Y77" s="552">
        <v>0</v>
      </c>
      <c r="Z77" s="552">
        <v>0</v>
      </c>
      <c r="AA77" s="552"/>
      <c r="AB77" s="552"/>
      <c r="AC77" s="552"/>
      <c r="AD77" s="552"/>
      <c r="AE77" s="552"/>
      <c r="AF77" s="552"/>
      <c r="AG77" s="552"/>
      <c r="AH77" s="555"/>
      <c r="AI77" s="552">
        <v>0</v>
      </c>
      <c r="AJ77" s="552"/>
      <c r="AK77" s="555"/>
      <c r="AL77" s="552">
        <v>0</v>
      </c>
      <c r="AM77" s="552"/>
      <c r="AN77" s="552"/>
      <c r="AO77" s="552">
        <v>0</v>
      </c>
      <c r="AP77" s="552">
        <v>0</v>
      </c>
      <c r="AQ77" s="552"/>
      <c r="AR77" s="554"/>
      <c r="AS77" s="555">
        <f t="shared" si="22"/>
        <v>0</v>
      </c>
      <c r="AT77" s="562">
        <f t="shared" si="23"/>
        <v>0</v>
      </c>
      <c r="AU77" s="563"/>
      <c r="AV77" s="553">
        <f t="shared" si="24"/>
        <v>0</v>
      </c>
      <c r="AW77" s="553">
        <f t="shared" si="24"/>
        <v>0</v>
      </c>
      <c r="AX77" s="553">
        <f t="shared" si="24"/>
        <v>0</v>
      </c>
      <c r="AY77" s="552">
        <f t="shared" si="25"/>
        <v>0</v>
      </c>
      <c r="AZ77" s="553">
        <f t="shared" si="26"/>
        <v>0</v>
      </c>
      <c r="BA77" s="553">
        <f t="shared" si="26"/>
        <v>0</v>
      </c>
      <c r="BB77" s="557"/>
      <c r="BC77" s="553">
        <v>1.59</v>
      </c>
      <c r="BD77" s="553">
        <v>0</v>
      </c>
      <c r="BE77" s="553">
        <v>346</v>
      </c>
      <c r="BF77" s="553">
        <v>0</v>
      </c>
      <c r="BG77" s="554" t="str">
        <f>IFERROR(VLOOKUP(#REF!,#REF!,4,FALSE),"")</f>
        <v/>
      </c>
      <c r="BH77" s="552"/>
      <c r="BI77" s="552"/>
      <c r="BJ77" s="552"/>
      <c r="BK77" s="552">
        <v>2.4500000000000002</v>
      </c>
      <c r="BL77" s="552">
        <v>2500</v>
      </c>
      <c r="BM77" s="552"/>
      <c r="BN77" s="552"/>
      <c r="BO77" s="552"/>
      <c r="BP77" s="552"/>
      <c r="BQ77" s="552"/>
      <c r="BR77" s="552"/>
      <c r="BS77" s="552"/>
      <c r="BT77" s="552"/>
      <c r="BU77" s="552"/>
      <c r="BV77" s="552"/>
      <c r="BW77" s="552"/>
      <c r="BX77" s="552"/>
      <c r="BY77" s="552"/>
      <c r="BZ77" s="552"/>
      <c r="CA77" s="552">
        <f t="shared" si="21"/>
        <v>0</v>
      </c>
      <c r="CB77" s="552">
        <f t="shared" si="21"/>
        <v>0</v>
      </c>
      <c r="CC77" s="552">
        <f t="shared" si="21"/>
        <v>0</v>
      </c>
      <c r="CD77" s="552">
        <f t="shared" si="21"/>
        <v>2.4500000000000004E-3</v>
      </c>
      <c r="CE77" s="552">
        <f t="shared" si="21"/>
        <v>5.75</v>
      </c>
      <c r="CF77" s="552">
        <f t="shared" si="21"/>
        <v>0</v>
      </c>
      <c r="CG77" s="552">
        <f t="shared" si="21"/>
        <v>0</v>
      </c>
      <c r="CH77" s="552">
        <f t="shared" si="21"/>
        <v>0</v>
      </c>
      <c r="CI77" s="552">
        <f t="shared" si="21"/>
        <v>0</v>
      </c>
      <c r="CJ77" s="552">
        <f t="shared" si="21"/>
        <v>0</v>
      </c>
      <c r="CK77" s="552">
        <f t="shared" si="21"/>
        <v>0</v>
      </c>
      <c r="CL77" s="552">
        <f t="shared" si="21"/>
        <v>0</v>
      </c>
      <c r="CM77" s="552">
        <f t="shared" si="21"/>
        <v>0</v>
      </c>
      <c r="CN77" s="552">
        <f t="shared" si="21"/>
        <v>0</v>
      </c>
      <c r="CO77" s="552">
        <f t="shared" si="21"/>
        <v>0</v>
      </c>
      <c r="CP77" s="552">
        <f t="shared" si="18"/>
        <v>0</v>
      </c>
      <c r="CQ77" s="552">
        <f t="shared" si="17"/>
        <v>0</v>
      </c>
      <c r="CR77" s="552">
        <f t="shared" si="17"/>
        <v>0</v>
      </c>
      <c r="CS77" s="552">
        <f t="shared" si="27"/>
        <v>5.7524499999999996</v>
      </c>
      <c r="CT77" s="552"/>
      <c r="CU77" s="552"/>
      <c r="CV77" s="552"/>
      <c r="CW77" s="552"/>
      <c r="CX77" s="552"/>
      <c r="CY77" s="552"/>
      <c r="CZ77" s="552"/>
      <c r="DB77" s="552">
        <f t="shared" si="20"/>
        <v>0</v>
      </c>
      <c r="DC77" s="552">
        <f t="shared" si="20"/>
        <v>0</v>
      </c>
      <c r="DD77" s="552">
        <f t="shared" si="20"/>
        <v>0</v>
      </c>
      <c r="DE77" s="552">
        <f t="shared" si="20"/>
        <v>0</v>
      </c>
      <c r="DF77" s="552">
        <f t="shared" si="20"/>
        <v>0</v>
      </c>
      <c r="DG77" s="552">
        <f t="shared" si="20"/>
        <v>0</v>
      </c>
      <c r="DH77" s="552">
        <f t="shared" si="28"/>
        <v>0</v>
      </c>
      <c r="DI77" s="554"/>
      <c r="DJ77" s="525">
        <f>IFERROR(VLOOKUP(A77,'Transp. Dre Rodovia'!$A$19:$D$29,4,FALSE),0)+IFERROR(VLOOKUP(A77,#REF!,4,FALSE),0)</f>
        <v>0</v>
      </c>
    </row>
    <row r="78" spans="1:114" hidden="1">
      <c r="A78" s="470">
        <v>45580</v>
      </c>
      <c r="B78" s="550" t="s">
        <v>509</v>
      </c>
      <c r="C78" s="551" t="s">
        <v>357</v>
      </c>
      <c r="D78" s="552"/>
      <c r="E78" s="552"/>
      <c r="F78" s="552"/>
      <c r="G78" s="552">
        <v>0</v>
      </c>
      <c r="H78" s="552">
        <v>0</v>
      </c>
      <c r="I78" s="552"/>
      <c r="J78" s="552"/>
      <c r="K78" s="552">
        <v>0</v>
      </c>
      <c r="L78" s="552">
        <v>0</v>
      </c>
      <c r="M78" s="552"/>
      <c r="N78" s="553">
        <v>0</v>
      </c>
      <c r="O78" s="553">
        <v>0</v>
      </c>
      <c r="P78" s="552"/>
      <c r="Q78" s="552">
        <v>0</v>
      </c>
      <c r="R78" s="552">
        <v>0</v>
      </c>
      <c r="S78" s="552"/>
      <c r="T78" s="552"/>
      <c r="U78" s="552">
        <v>0</v>
      </c>
      <c r="V78" s="552">
        <v>0</v>
      </c>
      <c r="W78" s="552"/>
      <c r="X78" s="552"/>
      <c r="Y78" s="552">
        <v>0</v>
      </c>
      <c r="Z78" s="552">
        <v>0</v>
      </c>
      <c r="AA78" s="552"/>
      <c r="AB78" s="552"/>
      <c r="AC78" s="552"/>
      <c r="AD78" s="552"/>
      <c r="AE78" s="552"/>
      <c r="AF78" s="552"/>
      <c r="AG78" s="552"/>
      <c r="AH78" s="552"/>
      <c r="AI78" s="552">
        <v>0</v>
      </c>
      <c r="AJ78" s="552"/>
      <c r="AK78" s="552"/>
      <c r="AL78" s="552">
        <v>0</v>
      </c>
      <c r="AM78" s="552"/>
      <c r="AN78" s="552"/>
      <c r="AO78" s="552">
        <v>0</v>
      </c>
      <c r="AP78" s="552">
        <v>0</v>
      </c>
      <c r="AQ78" s="552"/>
      <c r="AR78" s="554"/>
      <c r="AS78" s="555">
        <f t="shared" si="22"/>
        <v>0</v>
      </c>
      <c r="AT78" s="555">
        <f t="shared" si="23"/>
        <v>0</v>
      </c>
      <c r="AU78" s="556"/>
      <c r="AV78" s="553">
        <f t="shared" si="24"/>
        <v>0</v>
      </c>
      <c r="AW78" s="553">
        <f t="shared" si="24"/>
        <v>0</v>
      </c>
      <c r="AX78" s="553">
        <f t="shared" si="24"/>
        <v>0</v>
      </c>
      <c r="AY78" s="552">
        <f t="shared" si="25"/>
        <v>0</v>
      </c>
      <c r="AZ78" s="552">
        <f t="shared" si="26"/>
        <v>0</v>
      </c>
      <c r="BA78" s="552">
        <f t="shared" si="26"/>
        <v>0</v>
      </c>
      <c r="BB78" s="557"/>
      <c r="BC78" s="552">
        <v>0</v>
      </c>
      <c r="BD78" s="552">
        <v>1.575</v>
      </c>
      <c r="BE78" s="552"/>
      <c r="BF78" s="552"/>
      <c r="BG78" s="554" t="str">
        <f>IFERROR(VLOOKUP(#REF!,#REF!,4,FALSE),"")</f>
        <v/>
      </c>
      <c r="BH78" s="552"/>
      <c r="BI78" s="552"/>
      <c r="BJ78" s="552"/>
      <c r="BK78" s="552"/>
      <c r="BL78" s="552"/>
      <c r="BM78" s="552"/>
      <c r="BN78" s="552"/>
      <c r="BO78" s="552"/>
      <c r="BP78" s="552"/>
      <c r="BQ78" s="552"/>
      <c r="BR78" s="552"/>
      <c r="BS78" s="552"/>
      <c r="BT78" s="552"/>
      <c r="BU78" s="552"/>
      <c r="BV78" s="552"/>
      <c r="BW78" s="552"/>
      <c r="BX78" s="552"/>
      <c r="BY78" s="552"/>
      <c r="BZ78" s="552"/>
      <c r="CA78" s="552">
        <f t="shared" si="21"/>
        <v>0</v>
      </c>
      <c r="CB78" s="552">
        <f t="shared" si="21"/>
        <v>0</v>
      </c>
      <c r="CC78" s="552">
        <f t="shared" si="21"/>
        <v>0</v>
      </c>
      <c r="CD78" s="552">
        <f t="shared" si="21"/>
        <v>0</v>
      </c>
      <c r="CE78" s="552">
        <f t="shared" si="21"/>
        <v>0</v>
      </c>
      <c r="CF78" s="552">
        <f t="shared" si="21"/>
        <v>0</v>
      </c>
      <c r="CG78" s="552">
        <f t="shared" si="21"/>
        <v>0</v>
      </c>
      <c r="CH78" s="552">
        <f t="shared" si="21"/>
        <v>0</v>
      </c>
      <c r="CI78" s="552">
        <f t="shared" si="21"/>
        <v>0</v>
      </c>
      <c r="CJ78" s="552">
        <f t="shared" si="21"/>
        <v>0</v>
      </c>
      <c r="CK78" s="552">
        <f t="shared" si="21"/>
        <v>0</v>
      </c>
      <c r="CL78" s="552">
        <f t="shared" si="21"/>
        <v>0</v>
      </c>
      <c r="CM78" s="552">
        <f t="shared" si="21"/>
        <v>0</v>
      </c>
      <c r="CN78" s="552">
        <f t="shared" si="21"/>
        <v>0</v>
      </c>
      <c r="CO78" s="552">
        <f t="shared" si="21"/>
        <v>0</v>
      </c>
      <c r="CP78" s="552">
        <f t="shared" si="21"/>
        <v>0</v>
      </c>
      <c r="CQ78" s="552">
        <f t="shared" si="17"/>
        <v>0</v>
      </c>
      <c r="CR78" s="552">
        <f t="shared" si="17"/>
        <v>0</v>
      </c>
      <c r="CS78" s="552">
        <f t="shared" si="27"/>
        <v>0</v>
      </c>
      <c r="CT78" s="552"/>
      <c r="CU78" s="552"/>
      <c r="CV78" s="552"/>
      <c r="CW78" s="552"/>
      <c r="CX78" s="552"/>
      <c r="CY78" s="552"/>
      <c r="CZ78" s="552"/>
      <c r="DA78" s="472"/>
      <c r="DB78" s="552">
        <f t="shared" si="20"/>
        <v>0</v>
      </c>
      <c r="DC78" s="552">
        <f t="shared" si="20"/>
        <v>0</v>
      </c>
      <c r="DD78" s="552">
        <f t="shared" si="20"/>
        <v>0</v>
      </c>
      <c r="DE78" s="552">
        <f t="shared" si="20"/>
        <v>0</v>
      </c>
      <c r="DF78" s="552">
        <f t="shared" si="20"/>
        <v>0</v>
      </c>
      <c r="DG78" s="552">
        <f t="shared" si="20"/>
        <v>0</v>
      </c>
      <c r="DH78" s="552">
        <f t="shared" si="28"/>
        <v>0</v>
      </c>
      <c r="DI78" s="554"/>
      <c r="DJ78" s="525">
        <f>IFERROR(VLOOKUP(A78,'Transp. Dre Rodovia'!$A$19:$D$29,4,FALSE),0)+IFERROR(VLOOKUP(A78,#REF!,4,FALSE),0)</f>
        <v>0</v>
      </c>
    </row>
    <row r="79" spans="1:114" hidden="1">
      <c r="A79" s="470">
        <v>270105</v>
      </c>
      <c r="B79" s="550" t="s">
        <v>510</v>
      </c>
      <c r="C79" s="551" t="s">
        <v>146</v>
      </c>
      <c r="D79" s="552"/>
      <c r="E79" s="552"/>
      <c r="F79" s="552"/>
      <c r="G79" s="552">
        <v>0</v>
      </c>
      <c r="H79" s="552">
        <v>0</v>
      </c>
      <c r="I79" s="552"/>
      <c r="J79" s="552"/>
      <c r="K79" s="552">
        <v>0</v>
      </c>
      <c r="L79" s="552">
        <v>0</v>
      </c>
      <c r="M79" s="552"/>
      <c r="N79" s="553">
        <v>0</v>
      </c>
      <c r="O79" s="553">
        <v>0</v>
      </c>
      <c r="P79" s="552"/>
      <c r="Q79" s="552">
        <v>0</v>
      </c>
      <c r="R79" s="552">
        <v>0</v>
      </c>
      <c r="S79" s="552"/>
      <c r="T79" s="552"/>
      <c r="U79" s="552">
        <v>0</v>
      </c>
      <c r="V79" s="552">
        <v>0</v>
      </c>
      <c r="W79" s="552"/>
      <c r="X79" s="552"/>
      <c r="Y79" s="552">
        <v>0</v>
      </c>
      <c r="Z79" s="552">
        <v>0</v>
      </c>
      <c r="AA79" s="552"/>
      <c r="AB79" s="552"/>
      <c r="AC79" s="552"/>
      <c r="AD79" s="552"/>
      <c r="AE79" s="552"/>
      <c r="AF79" s="552"/>
      <c r="AG79" s="552"/>
      <c r="AH79" s="552"/>
      <c r="AI79" s="552">
        <v>0</v>
      </c>
      <c r="AJ79" s="552"/>
      <c r="AK79" s="552"/>
      <c r="AL79" s="552">
        <v>0</v>
      </c>
      <c r="AM79" s="552"/>
      <c r="AN79" s="552"/>
      <c r="AO79" s="552">
        <v>0</v>
      </c>
      <c r="AP79" s="552">
        <v>0</v>
      </c>
      <c r="AQ79" s="552"/>
      <c r="AR79" s="554"/>
      <c r="AS79" s="555">
        <f t="shared" si="22"/>
        <v>0</v>
      </c>
      <c r="AT79" s="555">
        <f t="shared" si="23"/>
        <v>0</v>
      </c>
      <c r="AU79" s="556"/>
      <c r="AV79" s="553">
        <f t="shared" si="24"/>
        <v>0</v>
      </c>
      <c r="AW79" s="553">
        <f t="shared" si="24"/>
        <v>0</v>
      </c>
      <c r="AX79" s="553">
        <f t="shared" si="24"/>
        <v>0</v>
      </c>
      <c r="AY79" s="552">
        <f t="shared" si="25"/>
        <v>0</v>
      </c>
      <c r="AZ79" s="552">
        <f t="shared" si="26"/>
        <v>0</v>
      </c>
      <c r="BA79" s="552">
        <f t="shared" si="26"/>
        <v>0</v>
      </c>
      <c r="BB79" s="557"/>
      <c r="BC79" s="552">
        <v>0</v>
      </c>
      <c r="BD79" s="552">
        <v>0</v>
      </c>
      <c r="BE79" s="552"/>
      <c r="BF79" s="552"/>
      <c r="BG79" s="554" t="str">
        <f>IFERROR(VLOOKUP(#REF!,#REF!,4,FALSE),"")</f>
        <v/>
      </c>
      <c r="BH79" s="552"/>
      <c r="BI79" s="552"/>
      <c r="BJ79" s="552"/>
      <c r="BK79" s="552"/>
      <c r="BL79" s="552"/>
      <c r="BM79" s="552"/>
      <c r="BN79" s="552"/>
      <c r="BO79" s="552"/>
      <c r="BP79" s="552"/>
      <c r="BQ79" s="552"/>
      <c r="BR79" s="552"/>
      <c r="BS79" s="552"/>
      <c r="BT79" s="552"/>
      <c r="BU79" s="552"/>
      <c r="BV79" s="552"/>
      <c r="BW79" s="552"/>
      <c r="BX79" s="552">
        <v>1</v>
      </c>
      <c r="BY79" s="552">
        <v>1</v>
      </c>
      <c r="BZ79" s="552"/>
      <c r="CA79" s="552">
        <f t="shared" si="21"/>
        <v>0</v>
      </c>
      <c r="CB79" s="552">
        <f t="shared" si="21"/>
        <v>0</v>
      </c>
      <c r="CC79" s="552">
        <f t="shared" si="21"/>
        <v>0</v>
      </c>
      <c r="CD79" s="552">
        <f t="shared" si="21"/>
        <v>0</v>
      </c>
      <c r="CE79" s="552">
        <f t="shared" si="21"/>
        <v>0</v>
      </c>
      <c r="CF79" s="552">
        <f t="shared" si="21"/>
        <v>0</v>
      </c>
      <c r="CG79" s="552">
        <f t="shared" si="21"/>
        <v>0</v>
      </c>
      <c r="CH79" s="552">
        <f t="shared" si="21"/>
        <v>0</v>
      </c>
      <c r="CI79" s="552">
        <f t="shared" si="21"/>
        <v>0</v>
      </c>
      <c r="CJ79" s="552">
        <f t="shared" si="21"/>
        <v>0</v>
      </c>
      <c r="CK79" s="552">
        <f t="shared" si="21"/>
        <v>0</v>
      </c>
      <c r="CL79" s="552">
        <f t="shared" si="21"/>
        <v>0</v>
      </c>
      <c r="CM79" s="552">
        <f t="shared" si="21"/>
        <v>0</v>
      </c>
      <c r="CN79" s="552">
        <f t="shared" si="21"/>
        <v>0</v>
      </c>
      <c r="CO79" s="552">
        <f t="shared" si="21"/>
        <v>0</v>
      </c>
      <c r="CP79" s="552">
        <f t="shared" si="21"/>
        <v>0</v>
      </c>
      <c r="CQ79" s="552">
        <f t="shared" si="17"/>
        <v>0.03</v>
      </c>
      <c r="CR79" s="552">
        <f t="shared" si="17"/>
        <v>2.4000000000000001E-4</v>
      </c>
      <c r="CS79" s="552">
        <f t="shared" si="27"/>
        <v>3.024E-2</v>
      </c>
      <c r="CT79" s="552"/>
      <c r="CU79" s="552"/>
      <c r="CV79" s="552"/>
      <c r="CW79" s="552"/>
      <c r="CX79" s="552"/>
      <c r="CY79" s="552"/>
      <c r="CZ79" s="552"/>
      <c r="DA79" s="472"/>
      <c r="DB79" s="552">
        <f t="shared" si="20"/>
        <v>0</v>
      </c>
      <c r="DC79" s="552">
        <f t="shared" si="20"/>
        <v>0</v>
      </c>
      <c r="DD79" s="552">
        <f t="shared" si="20"/>
        <v>0</v>
      </c>
      <c r="DE79" s="552">
        <f t="shared" si="20"/>
        <v>0</v>
      </c>
      <c r="DF79" s="552">
        <f t="shared" si="20"/>
        <v>0</v>
      </c>
      <c r="DG79" s="552">
        <f t="shared" si="20"/>
        <v>0</v>
      </c>
      <c r="DH79" s="552">
        <f t="shared" si="28"/>
        <v>0</v>
      </c>
      <c r="DI79" s="554"/>
      <c r="DJ79" s="525">
        <f>IFERROR(VLOOKUP(A79,'Transp. Dre Rodovia'!$A$19:$D$29,4,FALSE),0)+IFERROR(VLOOKUP(A79,#REF!,4,FALSE),0)</f>
        <v>0</v>
      </c>
    </row>
    <row r="80" spans="1:114" hidden="1">
      <c r="A80" s="470">
        <v>45445</v>
      </c>
      <c r="B80" s="550" t="s">
        <v>511</v>
      </c>
      <c r="C80" s="551" t="s">
        <v>107</v>
      </c>
      <c r="D80" s="552"/>
      <c r="E80" s="552"/>
      <c r="F80" s="552"/>
      <c r="G80" s="552">
        <v>0</v>
      </c>
      <c r="H80" s="552">
        <v>0</v>
      </c>
      <c r="I80" s="552"/>
      <c r="J80" s="552"/>
      <c r="K80" s="552">
        <v>0</v>
      </c>
      <c r="L80" s="552">
        <v>0</v>
      </c>
      <c r="M80" s="552"/>
      <c r="N80" s="553">
        <v>0</v>
      </c>
      <c r="O80" s="553">
        <v>0</v>
      </c>
      <c r="P80" s="552"/>
      <c r="Q80" s="552">
        <v>0</v>
      </c>
      <c r="R80" s="552">
        <v>0</v>
      </c>
      <c r="S80" s="552"/>
      <c r="T80" s="552"/>
      <c r="U80" s="552">
        <v>0</v>
      </c>
      <c r="V80" s="552">
        <v>0</v>
      </c>
      <c r="W80" s="552"/>
      <c r="X80" s="552"/>
      <c r="Y80" s="552">
        <v>0</v>
      </c>
      <c r="Z80" s="552">
        <v>0</v>
      </c>
      <c r="AA80" s="552"/>
      <c r="AB80" s="552"/>
      <c r="AC80" s="552"/>
      <c r="AD80" s="552"/>
      <c r="AE80" s="552"/>
      <c r="AF80" s="552"/>
      <c r="AG80" s="552"/>
      <c r="AH80" s="552"/>
      <c r="AI80" s="552">
        <v>0</v>
      </c>
      <c r="AJ80" s="552"/>
      <c r="AK80" s="552"/>
      <c r="AL80" s="552">
        <v>0</v>
      </c>
      <c r="AM80" s="552"/>
      <c r="AN80" s="552"/>
      <c r="AO80" s="552">
        <v>0</v>
      </c>
      <c r="AP80" s="552">
        <v>0</v>
      </c>
      <c r="AQ80" s="552"/>
      <c r="AR80" s="554"/>
      <c r="AS80" s="555">
        <f t="shared" si="22"/>
        <v>0</v>
      </c>
      <c r="AT80" s="555">
        <f t="shared" si="23"/>
        <v>0</v>
      </c>
      <c r="AU80" s="556"/>
      <c r="AV80" s="553">
        <f t="shared" si="24"/>
        <v>0</v>
      </c>
      <c r="AW80" s="553">
        <f t="shared" si="24"/>
        <v>0</v>
      </c>
      <c r="AX80" s="553">
        <f t="shared" si="24"/>
        <v>0</v>
      </c>
      <c r="AY80" s="552">
        <f t="shared" si="25"/>
        <v>0</v>
      </c>
      <c r="AZ80" s="552">
        <f t="shared" si="26"/>
        <v>0</v>
      </c>
      <c r="BA80" s="552">
        <f t="shared" si="26"/>
        <v>0</v>
      </c>
      <c r="BB80" s="557"/>
      <c r="BC80" s="552">
        <v>6.3E-3</v>
      </c>
      <c r="BD80" s="552">
        <v>0</v>
      </c>
      <c r="BE80" s="552">
        <v>1.85</v>
      </c>
      <c r="BF80" s="552"/>
      <c r="BG80" s="554" t="str">
        <f>IFERROR(VLOOKUP(#REF!,#REF!,4,FALSE),"")</f>
        <v/>
      </c>
      <c r="BH80" s="552"/>
      <c r="BI80" s="552"/>
      <c r="BJ80" s="552"/>
      <c r="BK80" s="552"/>
      <c r="BL80" s="552"/>
      <c r="BM80" s="552"/>
      <c r="BN80" s="552"/>
      <c r="BO80" s="552"/>
      <c r="BP80" s="552"/>
      <c r="BQ80" s="552"/>
      <c r="BR80" s="552"/>
      <c r="BS80" s="552"/>
      <c r="BT80" s="552"/>
      <c r="BU80" s="552"/>
      <c r="BV80" s="552"/>
      <c r="BW80" s="552"/>
      <c r="BX80" s="552"/>
      <c r="BY80" s="552"/>
      <c r="BZ80" s="552"/>
      <c r="CA80" s="552">
        <f t="shared" si="21"/>
        <v>0</v>
      </c>
      <c r="CB80" s="552">
        <f t="shared" si="21"/>
        <v>0</v>
      </c>
      <c r="CC80" s="552">
        <f t="shared" si="21"/>
        <v>0</v>
      </c>
      <c r="CD80" s="552">
        <f t="shared" si="21"/>
        <v>0</v>
      </c>
      <c r="CE80" s="552">
        <f t="shared" si="21"/>
        <v>0</v>
      </c>
      <c r="CF80" s="552">
        <f t="shared" si="21"/>
        <v>0</v>
      </c>
      <c r="CG80" s="552">
        <f t="shared" si="21"/>
        <v>0</v>
      </c>
      <c r="CH80" s="552">
        <f t="shared" si="21"/>
        <v>0</v>
      </c>
      <c r="CI80" s="552">
        <f t="shared" si="21"/>
        <v>0</v>
      </c>
      <c r="CJ80" s="552">
        <f t="shared" si="21"/>
        <v>0</v>
      </c>
      <c r="CK80" s="552">
        <f t="shared" si="21"/>
        <v>0</v>
      </c>
      <c r="CL80" s="552">
        <f t="shared" si="21"/>
        <v>0</v>
      </c>
      <c r="CM80" s="552">
        <f t="shared" si="21"/>
        <v>0</v>
      </c>
      <c r="CN80" s="552">
        <f t="shared" si="21"/>
        <v>0</v>
      </c>
      <c r="CO80" s="552">
        <f t="shared" si="21"/>
        <v>0</v>
      </c>
      <c r="CP80" s="552">
        <f t="shared" si="21"/>
        <v>0</v>
      </c>
      <c r="CQ80" s="552">
        <f t="shared" si="17"/>
        <v>0</v>
      </c>
      <c r="CR80" s="552">
        <f t="shared" si="17"/>
        <v>0</v>
      </c>
      <c r="CS80" s="552">
        <f t="shared" si="27"/>
        <v>0</v>
      </c>
      <c r="CT80" s="552"/>
      <c r="CU80" s="552">
        <v>1.05</v>
      </c>
      <c r="CV80" s="552"/>
      <c r="CW80" s="552"/>
      <c r="CX80" s="552"/>
      <c r="CY80" s="552"/>
      <c r="CZ80" s="552"/>
      <c r="DA80" s="472"/>
      <c r="DB80" s="552">
        <f t="shared" si="20"/>
        <v>0.35743049999999998</v>
      </c>
      <c r="DC80" s="552">
        <f t="shared" si="20"/>
        <v>0</v>
      </c>
      <c r="DD80" s="552">
        <f t="shared" si="20"/>
        <v>0</v>
      </c>
      <c r="DE80" s="552">
        <f t="shared" si="20"/>
        <v>0</v>
      </c>
      <c r="DF80" s="552">
        <f t="shared" si="20"/>
        <v>0</v>
      </c>
      <c r="DG80" s="552">
        <f t="shared" si="20"/>
        <v>0</v>
      </c>
      <c r="DH80" s="552">
        <f t="shared" si="28"/>
        <v>0.35743049999999998</v>
      </c>
      <c r="DI80" s="554"/>
      <c r="DJ80" s="525">
        <f>IFERROR(VLOOKUP(A80,'Transp. Dre Rodovia'!$A$19:$D$29,4,FALSE),0)+IFERROR(VLOOKUP(A80,#REF!,4,FALSE),0)</f>
        <v>0</v>
      </c>
    </row>
    <row r="81" spans="1:114" hidden="1">
      <c r="A81" s="470">
        <v>45480</v>
      </c>
      <c r="B81" s="550" t="s">
        <v>512</v>
      </c>
      <c r="C81" s="551" t="s">
        <v>374</v>
      </c>
      <c r="D81" s="552"/>
      <c r="E81" s="552"/>
      <c r="F81" s="552"/>
      <c r="G81" s="552">
        <v>0</v>
      </c>
      <c r="H81" s="552">
        <v>0</v>
      </c>
      <c r="I81" s="552"/>
      <c r="J81" s="552"/>
      <c r="K81" s="552">
        <v>0</v>
      </c>
      <c r="L81" s="552">
        <v>0</v>
      </c>
      <c r="M81" s="552"/>
      <c r="N81" s="553">
        <v>0</v>
      </c>
      <c r="O81" s="553">
        <v>0</v>
      </c>
      <c r="P81" s="552"/>
      <c r="Q81" s="552">
        <v>0</v>
      </c>
      <c r="R81" s="552">
        <v>0</v>
      </c>
      <c r="S81" s="552"/>
      <c r="T81" s="552"/>
      <c r="U81" s="552">
        <v>0</v>
      </c>
      <c r="V81" s="552">
        <v>0</v>
      </c>
      <c r="W81" s="552"/>
      <c r="X81" s="552"/>
      <c r="Y81" s="552">
        <v>0</v>
      </c>
      <c r="Z81" s="552">
        <v>0</v>
      </c>
      <c r="AA81" s="552"/>
      <c r="AB81" s="552"/>
      <c r="AC81" s="552"/>
      <c r="AD81" s="552"/>
      <c r="AE81" s="552"/>
      <c r="AF81" s="552"/>
      <c r="AG81" s="552"/>
      <c r="AH81" s="552"/>
      <c r="AI81" s="552">
        <v>0</v>
      </c>
      <c r="AJ81" s="552"/>
      <c r="AK81" s="552"/>
      <c r="AL81" s="552">
        <v>0</v>
      </c>
      <c r="AM81" s="552"/>
      <c r="AN81" s="552"/>
      <c r="AO81" s="552">
        <v>0</v>
      </c>
      <c r="AP81" s="552">
        <v>0</v>
      </c>
      <c r="AQ81" s="552"/>
      <c r="AR81" s="554"/>
      <c r="AS81" s="555">
        <f t="shared" si="22"/>
        <v>0</v>
      </c>
      <c r="AT81" s="555">
        <f t="shared" si="23"/>
        <v>0</v>
      </c>
      <c r="AU81" s="556"/>
      <c r="AV81" s="553">
        <f t="shared" si="24"/>
        <v>0</v>
      </c>
      <c r="AW81" s="553">
        <f t="shared" si="24"/>
        <v>0</v>
      </c>
      <c r="AX81" s="553">
        <f t="shared" si="24"/>
        <v>0</v>
      </c>
      <c r="AY81" s="552">
        <f t="shared" si="25"/>
        <v>0</v>
      </c>
      <c r="AZ81" s="552">
        <f t="shared" si="26"/>
        <v>0</v>
      </c>
      <c r="BA81" s="552">
        <f t="shared" si="26"/>
        <v>0</v>
      </c>
      <c r="BB81" s="557"/>
      <c r="BC81" s="552">
        <v>1.2</v>
      </c>
      <c r="BD81" s="552">
        <v>2.7</v>
      </c>
      <c r="BE81" s="552">
        <v>320</v>
      </c>
      <c r="BF81" s="552"/>
      <c r="BG81" s="554" t="str">
        <f>IFERROR(VLOOKUP(#REF!,#REF!,4,FALSE),"")</f>
        <v/>
      </c>
      <c r="BH81" s="552"/>
      <c r="BI81" s="552"/>
      <c r="BJ81" s="552"/>
      <c r="BK81" s="552"/>
      <c r="BL81" s="552">
        <v>530</v>
      </c>
      <c r="BM81" s="552">
        <v>0.05</v>
      </c>
      <c r="BN81" s="552">
        <v>0.23</v>
      </c>
      <c r="BO81" s="552"/>
      <c r="BP81" s="552"/>
      <c r="BQ81" s="552"/>
      <c r="BR81" s="552"/>
      <c r="BS81" s="552"/>
      <c r="BT81" s="552"/>
      <c r="BU81" s="552"/>
      <c r="BV81" s="552"/>
      <c r="BW81" s="552"/>
      <c r="BX81" s="552"/>
      <c r="BY81" s="552"/>
      <c r="BZ81" s="552"/>
      <c r="CA81" s="552">
        <f t="shared" si="21"/>
        <v>0</v>
      </c>
      <c r="CB81" s="552">
        <f t="shared" si="21"/>
        <v>0</v>
      </c>
      <c r="CC81" s="552">
        <f t="shared" si="21"/>
        <v>0</v>
      </c>
      <c r="CD81" s="552">
        <f t="shared" si="21"/>
        <v>0</v>
      </c>
      <c r="CE81" s="552">
        <f t="shared" si="21"/>
        <v>1.2190000000000001</v>
      </c>
      <c r="CF81" s="552">
        <f t="shared" si="21"/>
        <v>5.0000000000000002E-5</v>
      </c>
      <c r="CG81" s="552">
        <f t="shared" si="21"/>
        <v>9.2000000000000003E-4</v>
      </c>
      <c r="CH81" s="552">
        <f t="shared" si="21"/>
        <v>0</v>
      </c>
      <c r="CI81" s="552">
        <f t="shared" si="21"/>
        <v>0</v>
      </c>
      <c r="CJ81" s="552">
        <f t="shared" si="21"/>
        <v>0</v>
      </c>
      <c r="CK81" s="552">
        <f t="shared" si="21"/>
        <v>0</v>
      </c>
      <c r="CL81" s="552">
        <f t="shared" si="21"/>
        <v>0</v>
      </c>
      <c r="CM81" s="552">
        <f t="shared" si="21"/>
        <v>0</v>
      </c>
      <c r="CN81" s="552">
        <f t="shared" si="21"/>
        <v>0</v>
      </c>
      <c r="CO81" s="552">
        <f t="shared" si="21"/>
        <v>0</v>
      </c>
      <c r="CP81" s="552">
        <f t="shared" si="21"/>
        <v>0</v>
      </c>
      <c r="CQ81" s="552">
        <f t="shared" si="17"/>
        <v>0</v>
      </c>
      <c r="CR81" s="552">
        <f t="shared" si="17"/>
        <v>0</v>
      </c>
      <c r="CS81" s="552">
        <f t="shared" si="27"/>
        <v>1.2199700000000002</v>
      </c>
      <c r="CT81" s="552"/>
      <c r="CU81" s="552"/>
      <c r="CV81" s="552"/>
      <c r="CW81" s="552"/>
      <c r="CX81" s="552"/>
      <c r="CY81" s="552"/>
      <c r="CZ81" s="552"/>
      <c r="DA81" s="472"/>
      <c r="DB81" s="552">
        <f t="shared" si="20"/>
        <v>0</v>
      </c>
      <c r="DC81" s="552">
        <f t="shared" si="20"/>
        <v>0</v>
      </c>
      <c r="DD81" s="552">
        <f t="shared" si="20"/>
        <v>0</v>
      </c>
      <c r="DE81" s="552">
        <f t="shared" si="20"/>
        <v>0</v>
      </c>
      <c r="DF81" s="552">
        <f t="shared" si="20"/>
        <v>0</v>
      </c>
      <c r="DG81" s="552">
        <f t="shared" si="20"/>
        <v>0</v>
      </c>
      <c r="DH81" s="552">
        <f t="shared" si="28"/>
        <v>0</v>
      </c>
      <c r="DI81" s="554"/>
      <c r="DJ81" s="525">
        <f>IFERROR(VLOOKUP(A81,'Transp. Dre Rodovia'!$A$19:$D$29,4,FALSE),0)+IFERROR(VLOOKUP(A81,#REF!,4,FALSE),0)</f>
        <v>0</v>
      </c>
    </row>
    <row r="82" spans="1:114" hidden="1">
      <c r="A82" s="470">
        <v>45490</v>
      </c>
      <c r="B82" s="550" t="s">
        <v>513</v>
      </c>
      <c r="C82" s="551" t="s">
        <v>374</v>
      </c>
      <c r="D82" s="552"/>
      <c r="E82" s="552"/>
      <c r="F82" s="552"/>
      <c r="G82" s="552">
        <v>0</v>
      </c>
      <c r="H82" s="552">
        <v>0</v>
      </c>
      <c r="I82" s="552"/>
      <c r="J82" s="552"/>
      <c r="K82" s="552">
        <v>0</v>
      </c>
      <c r="L82" s="552">
        <v>0</v>
      </c>
      <c r="M82" s="552"/>
      <c r="N82" s="553">
        <v>0</v>
      </c>
      <c r="O82" s="553">
        <v>0</v>
      </c>
      <c r="P82" s="552"/>
      <c r="Q82" s="552">
        <v>0</v>
      </c>
      <c r="R82" s="552">
        <v>0</v>
      </c>
      <c r="S82" s="552"/>
      <c r="T82" s="552"/>
      <c r="U82" s="552">
        <v>0</v>
      </c>
      <c r="V82" s="552">
        <v>0</v>
      </c>
      <c r="W82" s="552"/>
      <c r="X82" s="552"/>
      <c r="Y82" s="552">
        <v>0</v>
      </c>
      <c r="Z82" s="552">
        <v>0</v>
      </c>
      <c r="AA82" s="552"/>
      <c r="AB82" s="552"/>
      <c r="AC82" s="552"/>
      <c r="AD82" s="552"/>
      <c r="AE82" s="552"/>
      <c r="AF82" s="552"/>
      <c r="AG82" s="552"/>
      <c r="AH82" s="552"/>
      <c r="AI82" s="552">
        <v>0</v>
      </c>
      <c r="AJ82" s="552"/>
      <c r="AK82" s="552"/>
      <c r="AL82" s="552">
        <v>0</v>
      </c>
      <c r="AM82" s="552"/>
      <c r="AN82" s="552"/>
      <c r="AO82" s="552">
        <v>0</v>
      </c>
      <c r="AP82" s="552">
        <v>0</v>
      </c>
      <c r="AQ82" s="552"/>
      <c r="AR82" s="554"/>
      <c r="AS82" s="555">
        <f t="shared" si="22"/>
        <v>0</v>
      </c>
      <c r="AT82" s="555">
        <f t="shared" si="23"/>
        <v>0</v>
      </c>
      <c r="AU82" s="556"/>
      <c r="AV82" s="553">
        <f t="shared" si="24"/>
        <v>0</v>
      </c>
      <c r="AW82" s="553">
        <f t="shared" si="24"/>
        <v>0</v>
      </c>
      <c r="AX82" s="553">
        <f t="shared" si="24"/>
        <v>0</v>
      </c>
      <c r="AY82" s="552">
        <f t="shared" si="25"/>
        <v>0</v>
      </c>
      <c r="AZ82" s="552">
        <f t="shared" si="26"/>
        <v>0</v>
      </c>
      <c r="BA82" s="552">
        <f t="shared" si="26"/>
        <v>0</v>
      </c>
      <c r="BB82" s="557"/>
      <c r="BC82" s="552">
        <v>2.5499999999999998</v>
      </c>
      <c r="BD82" s="552">
        <v>4.6500000000000004</v>
      </c>
      <c r="BE82" s="552">
        <v>720</v>
      </c>
      <c r="BF82" s="552"/>
      <c r="BG82" s="554" t="str">
        <f>IFERROR(VLOOKUP(#REF!,#REF!,4,FALSE),"")</f>
        <v/>
      </c>
      <c r="BH82" s="552"/>
      <c r="BI82" s="552"/>
      <c r="BJ82" s="552"/>
      <c r="BK82" s="552">
        <v>88.55</v>
      </c>
      <c r="BL82" s="552">
        <v>1120</v>
      </c>
      <c r="BM82" s="552">
        <v>0.11</v>
      </c>
      <c r="BN82" s="552">
        <v>0.54</v>
      </c>
      <c r="BO82" s="552"/>
      <c r="BP82" s="552"/>
      <c r="BQ82" s="552"/>
      <c r="BR82" s="552"/>
      <c r="BS82" s="552"/>
      <c r="BT82" s="552"/>
      <c r="BU82" s="552"/>
      <c r="BV82" s="552"/>
      <c r="BW82" s="552"/>
      <c r="BX82" s="552"/>
      <c r="BY82" s="552"/>
      <c r="BZ82" s="552"/>
      <c r="CA82" s="552">
        <f t="shared" si="21"/>
        <v>0</v>
      </c>
      <c r="CB82" s="552">
        <f t="shared" si="21"/>
        <v>0</v>
      </c>
      <c r="CC82" s="552">
        <f t="shared" si="21"/>
        <v>0</v>
      </c>
      <c r="CD82" s="552">
        <f t="shared" si="21"/>
        <v>8.8550000000000004E-2</v>
      </c>
      <c r="CE82" s="552">
        <f t="shared" si="21"/>
        <v>2.5760000000000001</v>
      </c>
      <c r="CF82" s="552">
        <f t="shared" si="21"/>
        <v>1.1E-4</v>
      </c>
      <c r="CG82" s="552">
        <f t="shared" si="21"/>
        <v>2.16E-3</v>
      </c>
      <c r="CH82" s="552">
        <f t="shared" si="21"/>
        <v>0</v>
      </c>
      <c r="CI82" s="552">
        <f t="shared" si="21"/>
        <v>0</v>
      </c>
      <c r="CJ82" s="552">
        <f t="shared" si="21"/>
        <v>0</v>
      </c>
      <c r="CK82" s="552">
        <f t="shared" si="21"/>
        <v>0</v>
      </c>
      <c r="CL82" s="552">
        <f t="shared" si="21"/>
        <v>0</v>
      </c>
      <c r="CM82" s="552">
        <f t="shared" si="21"/>
        <v>0</v>
      </c>
      <c r="CN82" s="552">
        <f t="shared" si="21"/>
        <v>0</v>
      </c>
      <c r="CO82" s="552">
        <f t="shared" si="21"/>
        <v>0</v>
      </c>
      <c r="CP82" s="552">
        <f t="shared" si="21"/>
        <v>0</v>
      </c>
      <c r="CQ82" s="552">
        <f t="shared" si="17"/>
        <v>0</v>
      </c>
      <c r="CR82" s="552">
        <f t="shared" si="17"/>
        <v>0</v>
      </c>
      <c r="CS82" s="552">
        <f t="shared" si="27"/>
        <v>2.66682</v>
      </c>
      <c r="CT82" s="552"/>
      <c r="CU82" s="552"/>
      <c r="CV82" s="552"/>
      <c r="CW82" s="552"/>
      <c r="CX82" s="552"/>
      <c r="CY82" s="552"/>
      <c r="CZ82" s="552"/>
      <c r="DA82" s="472"/>
      <c r="DB82" s="552">
        <f t="shared" si="20"/>
        <v>0</v>
      </c>
      <c r="DC82" s="552">
        <f t="shared" si="20"/>
        <v>0</v>
      </c>
      <c r="DD82" s="552">
        <f t="shared" si="20"/>
        <v>0</v>
      </c>
      <c r="DE82" s="552">
        <f t="shared" si="20"/>
        <v>0</v>
      </c>
      <c r="DF82" s="552">
        <f t="shared" si="20"/>
        <v>0</v>
      </c>
      <c r="DG82" s="552">
        <f t="shared" si="20"/>
        <v>0</v>
      </c>
      <c r="DH82" s="552">
        <f t="shared" si="28"/>
        <v>0</v>
      </c>
      <c r="DI82" s="554"/>
      <c r="DJ82" s="525">
        <f>IFERROR(VLOOKUP(A82,'Transp. Dre Rodovia'!$A$19:$D$29,4,FALSE),0)+IFERROR(VLOOKUP(A82,#REF!,4,FALSE),0)</f>
        <v>0</v>
      </c>
    </row>
    <row r="83" spans="1:114" hidden="1">
      <c r="A83" s="470">
        <v>45500</v>
      </c>
      <c r="B83" s="550" t="s">
        <v>514</v>
      </c>
      <c r="C83" s="551" t="s">
        <v>374</v>
      </c>
      <c r="D83" s="552"/>
      <c r="E83" s="552"/>
      <c r="F83" s="552"/>
      <c r="G83" s="552">
        <v>0</v>
      </c>
      <c r="H83" s="552">
        <v>0</v>
      </c>
      <c r="I83" s="552"/>
      <c r="J83" s="552"/>
      <c r="K83" s="552">
        <v>0</v>
      </c>
      <c r="L83" s="552">
        <v>0</v>
      </c>
      <c r="M83" s="552"/>
      <c r="N83" s="553">
        <v>0</v>
      </c>
      <c r="O83" s="553">
        <v>0</v>
      </c>
      <c r="P83" s="552"/>
      <c r="Q83" s="552">
        <v>0</v>
      </c>
      <c r="R83" s="552">
        <v>0</v>
      </c>
      <c r="S83" s="552"/>
      <c r="T83" s="552"/>
      <c r="U83" s="552">
        <v>0</v>
      </c>
      <c r="V83" s="552">
        <v>0</v>
      </c>
      <c r="W83" s="552"/>
      <c r="X83" s="552"/>
      <c r="Y83" s="552">
        <v>0</v>
      </c>
      <c r="Z83" s="552">
        <v>0</v>
      </c>
      <c r="AA83" s="552"/>
      <c r="AB83" s="552"/>
      <c r="AC83" s="552"/>
      <c r="AD83" s="552"/>
      <c r="AE83" s="552"/>
      <c r="AF83" s="552"/>
      <c r="AG83" s="552"/>
      <c r="AH83" s="552"/>
      <c r="AI83" s="552">
        <v>0</v>
      </c>
      <c r="AJ83" s="552"/>
      <c r="AK83" s="552"/>
      <c r="AL83" s="552">
        <v>0</v>
      </c>
      <c r="AM83" s="552"/>
      <c r="AN83" s="552"/>
      <c r="AO83" s="552">
        <v>0</v>
      </c>
      <c r="AP83" s="552">
        <v>0</v>
      </c>
      <c r="AQ83" s="552"/>
      <c r="AR83" s="554"/>
      <c r="AS83" s="555">
        <f t="shared" si="22"/>
        <v>0</v>
      </c>
      <c r="AT83" s="555">
        <f t="shared" si="23"/>
        <v>0</v>
      </c>
      <c r="AU83" s="556"/>
      <c r="AV83" s="553">
        <f t="shared" si="24"/>
        <v>0</v>
      </c>
      <c r="AW83" s="553">
        <f t="shared" si="24"/>
        <v>0</v>
      </c>
      <c r="AX83" s="553">
        <f t="shared" si="24"/>
        <v>0</v>
      </c>
      <c r="AY83" s="552">
        <f t="shared" si="25"/>
        <v>0</v>
      </c>
      <c r="AZ83" s="552">
        <f t="shared" si="26"/>
        <v>0</v>
      </c>
      <c r="BA83" s="552">
        <f t="shared" si="26"/>
        <v>0</v>
      </c>
      <c r="BB83" s="557"/>
      <c r="BC83" s="552">
        <v>3</v>
      </c>
      <c r="BD83" s="552">
        <v>5.4</v>
      </c>
      <c r="BE83" s="552">
        <v>840</v>
      </c>
      <c r="BF83" s="552"/>
      <c r="BG83" s="554" t="str">
        <f>IFERROR(VLOOKUP(#REF!,#REF!,4,FALSE),"")</f>
        <v/>
      </c>
      <c r="BH83" s="552"/>
      <c r="BI83" s="552"/>
      <c r="BJ83" s="552"/>
      <c r="BK83" s="552">
        <v>119.6</v>
      </c>
      <c r="BL83" s="552">
        <v>1240</v>
      </c>
      <c r="BM83" s="552">
        <v>0.12</v>
      </c>
      <c r="BN83" s="552">
        <v>0.59</v>
      </c>
      <c r="BO83" s="552"/>
      <c r="BP83" s="552"/>
      <c r="BQ83" s="552"/>
      <c r="BR83" s="552"/>
      <c r="BS83" s="552"/>
      <c r="BT83" s="552"/>
      <c r="BU83" s="552"/>
      <c r="BV83" s="552"/>
      <c r="BW83" s="552"/>
      <c r="BX83" s="552"/>
      <c r="BY83" s="552"/>
      <c r="BZ83" s="552"/>
      <c r="CA83" s="552">
        <f t="shared" si="21"/>
        <v>0</v>
      </c>
      <c r="CB83" s="552">
        <f t="shared" si="21"/>
        <v>0</v>
      </c>
      <c r="CC83" s="552">
        <f t="shared" si="21"/>
        <v>0</v>
      </c>
      <c r="CD83" s="552">
        <f t="shared" si="21"/>
        <v>0.1196</v>
      </c>
      <c r="CE83" s="552">
        <f t="shared" si="21"/>
        <v>2.8519999999999999</v>
      </c>
      <c r="CF83" s="552">
        <f t="shared" si="21"/>
        <v>1.2E-4</v>
      </c>
      <c r="CG83" s="552">
        <f t="shared" si="21"/>
        <v>2.3600000000000001E-3</v>
      </c>
      <c r="CH83" s="552">
        <f t="shared" si="21"/>
        <v>0</v>
      </c>
      <c r="CI83" s="552">
        <f t="shared" si="21"/>
        <v>0</v>
      </c>
      <c r="CJ83" s="552">
        <f t="shared" si="21"/>
        <v>0</v>
      </c>
      <c r="CK83" s="552">
        <f t="shared" ref="CK83:CP94" si="29">CK$4*BR83</f>
        <v>0</v>
      </c>
      <c r="CL83" s="552">
        <f t="shared" si="29"/>
        <v>0</v>
      </c>
      <c r="CM83" s="552">
        <f t="shared" si="29"/>
        <v>0</v>
      </c>
      <c r="CN83" s="552">
        <f t="shared" si="29"/>
        <v>0</v>
      </c>
      <c r="CO83" s="552">
        <f t="shared" si="29"/>
        <v>0</v>
      </c>
      <c r="CP83" s="552">
        <f t="shared" si="29"/>
        <v>0</v>
      </c>
      <c r="CQ83" s="552">
        <f t="shared" si="17"/>
        <v>0</v>
      </c>
      <c r="CR83" s="552">
        <f t="shared" si="17"/>
        <v>0</v>
      </c>
      <c r="CS83" s="552">
        <f t="shared" si="27"/>
        <v>2.9740799999999998</v>
      </c>
      <c r="CT83" s="552"/>
      <c r="CU83" s="552"/>
      <c r="CV83" s="552"/>
      <c r="CW83" s="552"/>
      <c r="CX83" s="552"/>
      <c r="CY83" s="552"/>
      <c r="CZ83" s="552"/>
      <c r="DA83" s="472"/>
      <c r="DB83" s="552">
        <f t="shared" si="20"/>
        <v>0</v>
      </c>
      <c r="DC83" s="552">
        <f t="shared" si="20"/>
        <v>0</v>
      </c>
      <c r="DD83" s="552">
        <f t="shared" si="20"/>
        <v>0</v>
      </c>
      <c r="DE83" s="552">
        <f t="shared" si="20"/>
        <v>0</v>
      </c>
      <c r="DF83" s="552">
        <f t="shared" si="20"/>
        <v>0</v>
      </c>
      <c r="DG83" s="552">
        <f t="shared" si="20"/>
        <v>0</v>
      </c>
      <c r="DH83" s="552">
        <f t="shared" si="28"/>
        <v>0</v>
      </c>
      <c r="DI83" s="554"/>
      <c r="DJ83" s="525">
        <f>IFERROR(VLOOKUP(A83,'Transp. Dre Rodovia'!$A$19:$D$29,4,FALSE),0)+IFERROR(VLOOKUP(A83,#REF!,4,FALSE),0)</f>
        <v>0</v>
      </c>
    </row>
    <row r="84" spans="1:114" hidden="1">
      <c r="A84" s="470">
        <v>45510</v>
      </c>
      <c r="B84" s="550" t="s">
        <v>515</v>
      </c>
      <c r="C84" s="551" t="s">
        <v>374</v>
      </c>
      <c r="D84" s="552"/>
      <c r="E84" s="552"/>
      <c r="F84" s="552"/>
      <c r="G84" s="552">
        <v>0</v>
      </c>
      <c r="H84" s="552">
        <v>0</v>
      </c>
      <c r="I84" s="552"/>
      <c r="J84" s="552"/>
      <c r="K84" s="552">
        <v>0</v>
      </c>
      <c r="L84" s="552">
        <v>0</v>
      </c>
      <c r="M84" s="552"/>
      <c r="N84" s="553">
        <v>0</v>
      </c>
      <c r="O84" s="553">
        <v>0</v>
      </c>
      <c r="P84" s="552"/>
      <c r="Q84" s="552">
        <v>0</v>
      </c>
      <c r="R84" s="552">
        <v>0</v>
      </c>
      <c r="S84" s="552"/>
      <c r="T84" s="552"/>
      <c r="U84" s="552">
        <v>0</v>
      </c>
      <c r="V84" s="552">
        <v>0</v>
      </c>
      <c r="W84" s="552"/>
      <c r="X84" s="552"/>
      <c r="Y84" s="552">
        <v>0</v>
      </c>
      <c r="Z84" s="552">
        <v>0</v>
      </c>
      <c r="AA84" s="552"/>
      <c r="AB84" s="552"/>
      <c r="AC84" s="552"/>
      <c r="AD84" s="552"/>
      <c r="AE84" s="552"/>
      <c r="AF84" s="552"/>
      <c r="AG84" s="552"/>
      <c r="AH84" s="552"/>
      <c r="AI84" s="552">
        <v>0</v>
      </c>
      <c r="AJ84" s="552"/>
      <c r="AK84" s="552"/>
      <c r="AL84" s="552">
        <v>0</v>
      </c>
      <c r="AM84" s="552"/>
      <c r="AN84" s="552"/>
      <c r="AO84" s="552">
        <v>0</v>
      </c>
      <c r="AP84" s="552">
        <v>0</v>
      </c>
      <c r="AQ84" s="552"/>
      <c r="AR84" s="554"/>
      <c r="AS84" s="555">
        <f t="shared" si="22"/>
        <v>0</v>
      </c>
      <c r="AT84" s="555">
        <f t="shared" si="23"/>
        <v>0</v>
      </c>
      <c r="AU84" s="556"/>
      <c r="AV84" s="553">
        <f t="shared" si="24"/>
        <v>0</v>
      </c>
      <c r="AW84" s="553">
        <f t="shared" si="24"/>
        <v>0</v>
      </c>
      <c r="AX84" s="553">
        <f t="shared" si="24"/>
        <v>0</v>
      </c>
      <c r="AY84" s="552">
        <f t="shared" si="25"/>
        <v>0</v>
      </c>
      <c r="AZ84" s="552">
        <f t="shared" si="26"/>
        <v>0</v>
      </c>
      <c r="BA84" s="552">
        <f t="shared" si="26"/>
        <v>0</v>
      </c>
      <c r="BB84" s="557"/>
      <c r="BC84" s="552">
        <v>345</v>
      </c>
      <c r="BD84" s="552">
        <v>6.8998499999999998</v>
      </c>
      <c r="BE84" s="552">
        <v>1000</v>
      </c>
      <c r="BF84" s="552"/>
      <c r="BG84" s="554" t="str">
        <f>IFERROR(VLOOKUP(#REF!,#REF!,4,FALSE),"")</f>
        <v/>
      </c>
      <c r="BH84" s="552"/>
      <c r="BI84" s="552"/>
      <c r="BJ84" s="552"/>
      <c r="BK84" s="552">
        <v>185</v>
      </c>
      <c r="BL84" s="552">
        <v>1420</v>
      </c>
      <c r="BM84" s="552">
        <v>0.13</v>
      </c>
      <c r="BN84" s="552">
        <v>0.67</v>
      </c>
      <c r="BO84" s="552"/>
      <c r="BP84" s="552"/>
      <c r="BQ84" s="552"/>
      <c r="BR84" s="552"/>
      <c r="BS84" s="552"/>
      <c r="BT84" s="552"/>
      <c r="BU84" s="552"/>
      <c r="BV84" s="552"/>
      <c r="BW84" s="552"/>
      <c r="BX84" s="552"/>
      <c r="BY84" s="552"/>
      <c r="BZ84" s="552"/>
      <c r="CA84" s="552">
        <f t="shared" ref="CA84:CO94" si="30">CA$4*BH84</f>
        <v>0</v>
      </c>
      <c r="CB84" s="552">
        <f t="shared" si="30"/>
        <v>0</v>
      </c>
      <c r="CC84" s="552">
        <f t="shared" si="30"/>
        <v>0</v>
      </c>
      <c r="CD84" s="552">
        <f t="shared" si="30"/>
        <v>0.185</v>
      </c>
      <c r="CE84" s="552">
        <f t="shared" si="30"/>
        <v>3.266</v>
      </c>
      <c r="CF84" s="552">
        <f t="shared" si="30"/>
        <v>1.3000000000000002E-4</v>
      </c>
      <c r="CG84" s="552">
        <f t="shared" si="30"/>
        <v>2.6800000000000001E-3</v>
      </c>
      <c r="CH84" s="552">
        <f t="shared" si="30"/>
        <v>0</v>
      </c>
      <c r="CI84" s="552">
        <f t="shared" si="30"/>
        <v>0</v>
      </c>
      <c r="CJ84" s="552">
        <f t="shared" si="30"/>
        <v>0</v>
      </c>
      <c r="CK84" s="552">
        <f t="shared" si="30"/>
        <v>0</v>
      </c>
      <c r="CL84" s="552">
        <f t="shared" si="30"/>
        <v>0</v>
      </c>
      <c r="CM84" s="552">
        <f t="shared" si="30"/>
        <v>0</v>
      </c>
      <c r="CN84" s="552">
        <f t="shared" si="30"/>
        <v>0</v>
      </c>
      <c r="CO84" s="552">
        <f t="shared" si="30"/>
        <v>0</v>
      </c>
      <c r="CP84" s="552">
        <f t="shared" si="29"/>
        <v>0</v>
      </c>
      <c r="CQ84" s="552">
        <f t="shared" si="17"/>
        <v>0</v>
      </c>
      <c r="CR84" s="552">
        <f t="shared" si="17"/>
        <v>0</v>
      </c>
      <c r="CS84" s="552">
        <f t="shared" si="27"/>
        <v>3.4538099999999998</v>
      </c>
      <c r="CT84" s="552"/>
      <c r="CU84" s="552"/>
      <c r="CV84" s="552"/>
      <c r="CW84" s="552"/>
      <c r="CX84" s="552"/>
      <c r="CY84" s="552"/>
      <c r="CZ84" s="552"/>
      <c r="DA84" s="472"/>
      <c r="DB84" s="552">
        <f t="shared" si="20"/>
        <v>0</v>
      </c>
      <c r="DC84" s="552">
        <f t="shared" si="20"/>
        <v>0</v>
      </c>
      <c r="DD84" s="552">
        <f t="shared" si="20"/>
        <v>0</v>
      </c>
      <c r="DE84" s="552">
        <f t="shared" si="20"/>
        <v>0</v>
      </c>
      <c r="DF84" s="552">
        <f t="shared" si="20"/>
        <v>0</v>
      </c>
      <c r="DG84" s="552">
        <f t="shared" si="20"/>
        <v>0</v>
      </c>
      <c r="DH84" s="552">
        <f t="shared" si="28"/>
        <v>0</v>
      </c>
      <c r="DI84" s="554"/>
      <c r="DJ84" s="525">
        <f>IFERROR(VLOOKUP(A84,'Transp. Dre Rodovia'!$A$19:$D$29,4,FALSE),0)+IFERROR(VLOOKUP(A84,#REF!,4,FALSE),0)</f>
        <v>0</v>
      </c>
    </row>
    <row r="85" spans="1:114" hidden="1">
      <c r="A85" s="470">
        <v>45485</v>
      </c>
      <c r="B85" s="550" t="s">
        <v>516</v>
      </c>
      <c r="C85" s="551" t="s">
        <v>107</v>
      </c>
      <c r="D85" s="552"/>
      <c r="E85" s="552"/>
      <c r="F85" s="552"/>
      <c r="G85" s="552">
        <v>0</v>
      </c>
      <c r="H85" s="552">
        <v>0</v>
      </c>
      <c r="I85" s="552"/>
      <c r="J85" s="552"/>
      <c r="K85" s="552">
        <v>0</v>
      </c>
      <c r="L85" s="552">
        <v>0</v>
      </c>
      <c r="M85" s="552"/>
      <c r="N85" s="553">
        <v>0</v>
      </c>
      <c r="O85" s="553">
        <v>0</v>
      </c>
      <c r="P85" s="552"/>
      <c r="Q85" s="552">
        <v>0</v>
      </c>
      <c r="R85" s="552">
        <v>0</v>
      </c>
      <c r="S85" s="552"/>
      <c r="T85" s="552"/>
      <c r="U85" s="552">
        <v>0</v>
      </c>
      <c r="V85" s="552">
        <v>0</v>
      </c>
      <c r="W85" s="552"/>
      <c r="X85" s="552"/>
      <c r="Y85" s="552">
        <v>0</v>
      </c>
      <c r="Z85" s="552">
        <v>0</v>
      </c>
      <c r="AA85" s="552"/>
      <c r="AB85" s="552"/>
      <c r="AC85" s="552"/>
      <c r="AD85" s="552"/>
      <c r="AE85" s="552"/>
      <c r="AF85" s="552"/>
      <c r="AG85" s="552"/>
      <c r="AH85" s="552"/>
      <c r="AI85" s="552">
        <v>0</v>
      </c>
      <c r="AJ85" s="552"/>
      <c r="AK85" s="552"/>
      <c r="AL85" s="552">
        <v>0</v>
      </c>
      <c r="AM85" s="552"/>
      <c r="AN85" s="552"/>
      <c r="AO85" s="552">
        <v>0</v>
      </c>
      <c r="AP85" s="552">
        <v>0</v>
      </c>
      <c r="AQ85" s="552"/>
      <c r="AR85" s="554"/>
      <c r="AS85" s="555">
        <f t="shared" si="22"/>
        <v>0</v>
      </c>
      <c r="AT85" s="555">
        <f t="shared" si="23"/>
        <v>0</v>
      </c>
      <c r="AU85" s="556"/>
      <c r="AV85" s="553">
        <f t="shared" si="24"/>
        <v>0</v>
      </c>
      <c r="AW85" s="553">
        <f t="shared" si="24"/>
        <v>0</v>
      </c>
      <c r="AX85" s="553">
        <f t="shared" si="24"/>
        <v>0</v>
      </c>
      <c r="AY85" s="552">
        <f t="shared" si="25"/>
        <v>0</v>
      </c>
      <c r="AZ85" s="552">
        <f t="shared" si="26"/>
        <v>0</v>
      </c>
      <c r="BA85" s="552">
        <f t="shared" si="26"/>
        <v>0</v>
      </c>
      <c r="BB85" s="557"/>
      <c r="BC85" s="552">
        <v>0.45</v>
      </c>
      <c r="BD85" s="552">
        <v>0</v>
      </c>
      <c r="BE85" s="552">
        <v>94</v>
      </c>
      <c r="BF85" s="552"/>
      <c r="BG85" s="554" t="str">
        <f>IFERROR(VLOOKUP(#REF!,#REF!,4,FALSE),"")</f>
        <v/>
      </c>
      <c r="BH85" s="552"/>
      <c r="BI85" s="552"/>
      <c r="BJ85" s="552"/>
      <c r="BK85" s="552">
        <v>2.4500000000000002</v>
      </c>
      <c r="BL85" s="552">
        <v>530</v>
      </c>
      <c r="BM85" s="552"/>
      <c r="BN85" s="552"/>
      <c r="BO85" s="552"/>
      <c r="BP85" s="552"/>
      <c r="BQ85" s="552"/>
      <c r="BR85" s="552"/>
      <c r="BS85" s="552"/>
      <c r="BT85" s="552"/>
      <c r="BU85" s="552"/>
      <c r="BV85" s="552"/>
      <c r="BW85" s="552"/>
      <c r="BX85" s="552"/>
      <c r="BY85" s="552"/>
      <c r="BZ85" s="552"/>
      <c r="CA85" s="552">
        <f t="shared" si="30"/>
        <v>0</v>
      </c>
      <c r="CB85" s="552">
        <f t="shared" si="30"/>
        <v>0</v>
      </c>
      <c r="CC85" s="552">
        <f t="shared" si="30"/>
        <v>0</v>
      </c>
      <c r="CD85" s="552">
        <f t="shared" si="30"/>
        <v>2.4500000000000004E-3</v>
      </c>
      <c r="CE85" s="552">
        <f t="shared" si="30"/>
        <v>1.2190000000000001</v>
      </c>
      <c r="CF85" s="552">
        <f t="shared" si="30"/>
        <v>0</v>
      </c>
      <c r="CG85" s="552">
        <f t="shared" si="30"/>
        <v>0</v>
      </c>
      <c r="CH85" s="552">
        <f t="shared" si="30"/>
        <v>0</v>
      </c>
      <c r="CI85" s="552">
        <f t="shared" si="30"/>
        <v>0</v>
      </c>
      <c r="CJ85" s="552">
        <f t="shared" si="30"/>
        <v>0</v>
      </c>
      <c r="CK85" s="552">
        <f t="shared" si="30"/>
        <v>0</v>
      </c>
      <c r="CL85" s="552">
        <f t="shared" si="30"/>
        <v>0</v>
      </c>
      <c r="CM85" s="552">
        <f t="shared" si="30"/>
        <v>0</v>
      </c>
      <c r="CN85" s="552">
        <f t="shared" si="30"/>
        <v>0</v>
      </c>
      <c r="CO85" s="552">
        <f t="shared" si="30"/>
        <v>0</v>
      </c>
      <c r="CP85" s="552">
        <f t="shared" si="29"/>
        <v>0</v>
      </c>
      <c r="CQ85" s="552">
        <f t="shared" si="17"/>
        <v>0</v>
      </c>
      <c r="CR85" s="552">
        <f t="shared" si="17"/>
        <v>0</v>
      </c>
      <c r="CS85" s="552">
        <f t="shared" si="27"/>
        <v>1.2214500000000001</v>
      </c>
      <c r="CT85" s="552"/>
      <c r="CU85" s="552"/>
      <c r="CV85" s="552"/>
      <c r="CW85" s="552"/>
      <c r="CX85" s="552"/>
      <c r="CY85" s="552"/>
      <c r="CZ85" s="552"/>
      <c r="DA85" s="472"/>
      <c r="DB85" s="552">
        <f t="shared" si="20"/>
        <v>0</v>
      </c>
      <c r="DC85" s="552">
        <f t="shared" si="20"/>
        <v>0</v>
      </c>
      <c r="DD85" s="552">
        <f t="shared" si="20"/>
        <v>0</v>
      </c>
      <c r="DE85" s="552">
        <f t="shared" si="20"/>
        <v>0</v>
      </c>
      <c r="DF85" s="552">
        <f t="shared" si="20"/>
        <v>0</v>
      </c>
      <c r="DG85" s="552">
        <f t="shared" si="20"/>
        <v>0</v>
      </c>
      <c r="DH85" s="552">
        <f t="shared" si="28"/>
        <v>0</v>
      </c>
      <c r="DI85" s="554"/>
      <c r="DJ85" s="525">
        <f>IFERROR(VLOOKUP(A85,'Transp. Dre Rodovia'!$A$19:$D$29,4,FALSE),0)+IFERROR(VLOOKUP(A85,#REF!,4,FALSE),0)</f>
        <v>0</v>
      </c>
    </row>
    <row r="86" spans="1:114" hidden="1">
      <c r="A86" s="564">
        <v>45495</v>
      </c>
      <c r="B86" s="565" t="s">
        <v>517</v>
      </c>
      <c r="C86" s="566" t="s">
        <v>107</v>
      </c>
      <c r="D86" s="552"/>
      <c r="E86" s="552"/>
      <c r="F86" s="552"/>
      <c r="G86" s="552">
        <v>0</v>
      </c>
      <c r="H86" s="552">
        <v>0</v>
      </c>
      <c r="I86" s="552"/>
      <c r="J86" s="552"/>
      <c r="K86" s="552">
        <v>0</v>
      </c>
      <c r="L86" s="552">
        <v>0</v>
      </c>
      <c r="M86" s="552"/>
      <c r="N86" s="553">
        <v>0</v>
      </c>
      <c r="O86" s="553">
        <v>0</v>
      </c>
      <c r="P86" s="552"/>
      <c r="Q86" s="552">
        <v>0</v>
      </c>
      <c r="R86" s="552">
        <v>0</v>
      </c>
      <c r="S86" s="552"/>
      <c r="T86" s="552"/>
      <c r="U86" s="552">
        <v>0</v>
      </c>
      <c r="V86" s="552">
        <v>0</v>
      </c>
      <c r="W86" s="552"/>
      <c r="X86" s="552"/>
      <c r="Y86" s="552">
        <v>0</v>
      </c>
      <c r="Z86" s="552">
        <v>0</v>
      </c>
      <c r="AA86" s="552"/>
      <c r="AB86" s="552"/>
      <c r="AC86" s="552"/>
      <c r="AD86" s="552"/>
      <c r="AE86" s="552"/>
      <c r="AF86" s="552"/>
      <c r="AG86" s="552"/>
      <c r="AH86" s="552"/>
      <c r="AI86" s="552">
        <v>0</v>
      </c>
      <c r="AJ86" s="552"/>
      <c r="AK86" s="552"/>
      <c r="AL86" s="552">
        <v>0</v>
      </c>
      <c r="AM86" s="552"/>
      <c r="AN86" s="552"/>
      <c r="AO86" s="552">
        <v>0</v>
      </c>
      <c r="AP86" s="552">
        <v>0</v>
      </c>
      <c r="AQ86" s="552"/>
      <c r="AR86" s="554"/>
      <c r="AS86" s="555">
        <f t="shared" si="22"/>
        <v>0</v>
      </c>
      <c r="AT86" s="555">
        <f t="shared" si="23"/>
        <v>0</v>
      </c>
      <c r="AU86" s="556"/>
      <c r="AV86" s="553">
        <f t="shared" si="24"/>
        <v>0</v>
      </c>
      <c r="AW86" s="553">
        <f t="shared" si="24"/>
        <v>0</v>
      </c>
      <c r="AX86" s="553">
        <f t="shared" si="24"/>
        <v>0</v>
      </c>
      <c r="AY86" s="552">
        <f t="shared" si="25"/>
        <v>0</v>
      </c>
      <c r="AZ86" s="552">
        <f t="shared" ref="AZ86:BA94" si="31">IF($AF86=0,$AH86*AI86+$AK86*AL86,$AF86*$AH86*AI86+$AK86*AL86)</f>
        <v>0</v>
      </c>
      <c r="BA86" s="552">
        <f t="shared" si="31"/>
        <v>0</v>
      </c>
      <c r="BB86" s="557"/>
      <c r="BC86" s="552">
        <v>0.9</v>
      </c>
      <c r="BD86" s="552">
        <v>0</v>
      </c>
      <c r="BE86" s="552">
        <v>200</v>
      </c>
      <c r="BF86" s="552"/>
      <c r="BG86" s="554" t="str">
        <f>IFERROR(VLOOKUP(#REF!,#REF!,4,FALSE),"")</f>
        <v/>
      </c>
      <c r="BH86" s="552"/>
      <c r="BI86" s="552"/>
      <c r="BJ86" s="552"/>
      <c r="BK86" s="552">
        <v>2.4500000000000002</v>
      </c>
      <c r="BL86" s="552">
        <v>1120</v>
      </c>
      <c r="BM86" s="552"/>
      <c r="BN86" s="552"/>
      <c r="BO86" s="552"/>
      <c r="BP86" s="552"/>
      <c r="BQ86" s="552"/>
      <c r="BR86" s="552"/>
      <c r="BS86" s="552"/>
      <c r="BT86" s="552"/>
      <c r="BU86" s="552"/>
      <c r="BV86" s="552"/>
      <c r="BW86" s="552"/>
      <c r="BX86" s="552"/>
      <c r="BY86" s="552"/>
      <c r="BZ86" s="552"/>
      <c r="CA86" s="552">
        <f t="shared" si="30"/>
        <v>0</v>
      </c>
      <c r="CB86" s="552">
        <f t="shared" si="30"/>
        <v>0</v>
      </c>
      <c r="CC86" s="552">
        <f t="shared" si="30"/>
        <v>0</v>
      </c>
      <c r="CD86" s="552">
        <f t="shared" si="30"/>
        <v>2.4500000000000004E-3</v>
      </c>
      <c r="CE86" s="552">
        <f t="shared" si="30"/>
        <v>2.5760000000000001</v>
      </c>
      <c r="CF86" s="552">
        <f t="shared" si="30"/>
        <v>0</v>
      </c>
      <c r="CG86" s="552">
        <f t="shared" si="30"/>
        <v>0</v>
      </c>
      <c r="CH86" s="552">
        <f t="shared" si="30"/>
        <v>0</v>
      </c>
      <c r="CI86" s="552">
        <f t="shared" si="30"/>
        <v>0</v>
      </c>
      <c r="CJ86" s="552">
        <f t="shared" si="30"/>
        <v>0</v>
      </c>
      <c r="CK86" s="552">
        <f t="shared" si="30"/>
        <v>0</v>
      </c>
      <c r="CL86" s="552">
        <f t="shared" si="30"/>
        <v>0</v>
      </c>
      <c r="CM86" s="552">
        <f t="shared" si="30"/>
        <v>0</v>
      </c>
      <c r="CN86" s="552">
        <f t="shared" si="30"/>
        <v>0</v>
      </c>
      <c r="CO86" s="552">
        <f t="shared" si="30"/>
        <v>0</v>
      </c>
      <c r="CP86" s="552">
        <f t="shared" si="29"/>
        <v>0</v>
      </c>
      <c r="CQ86" s="552">
        <f t="shared" si="17"/>
        <v>0</v>
      </c>
      <c r="CR86" s="552">
        <f t="shared" si="17"/>
        <v>0</v>
      </c>
      <c r="CS86" s="552">
        <f t="shared" si="27"/>
        <v>2.5784500000000001</v>
      </c>
      <c r="CT86" s="552"/>
      <c r="CU86" s="552"/>
      <c r="CV86" s="552"/>
      <c r="CW86" s="552"/>
      <c r="CX86" s="552"/>
      <c r="CY86" s="552"/>
      <c r="CZ86" s="552"/>
      <c r="DA86" s="472"/>
      <c r="DB86" s="552">
        <f t="shared" ref="DB86:DG95" si="32">CU86*DB$5</f>
        <v>0</v>
      </c>
      <c r="DC86" s="552">
        <f t="shared" si="32"/>
        <v>0</v>
      </c>
      <c r="DD86" s="552">
        <f t="shared" si="32"/>
        <v>0</v>
      </c>
      <c r="DE86" s="552">
        <f t="shared" si="32"/>
        <v>0</v>
      </c>
      <c r="DF86" s="552">
        <f t="shared" si="32"/>
        <v>0</v>
      </c>
      <c r="DG86" s="552">
        <f t="shared" si="32"/>
        <v>0</v>
      </c>
      <c r="DH86" s="552">
        <f t="shared" si="28"/>
        <v>0</v>
      </c>
      <c r="DI86" s="554"/>
      <c r="DJ86" s="525">
        <f>IFERROR(VLOOKUP(A86,'Transp. Dre Rodovia'!$A$19:$D$29,4,FALSE),0)+IFERROR(VLOOKUP(A86,#REF!,4,FALSE),0)</f>
        <v>0</v>
      </c>
    </row>
    <row r="87" spans="1:114" hidden="1">
      <c r="A87" s="470">
        <v>45505</v>
      </c>
      <c r="B87" s="550" t="s">
        <v>518</v>
      </c>
      <c r="C87" s="551" t="s">
        <v>107</v>
      </c>
      <c r="D87" s="552"/>
      <c r="E87" s="552"/>
      <c r="F87" s="552"/>
      <c r="G87" s="552">
        <v>0</v>
      </c>
      <c r="H87" s="552">
        <v>0</v>
      </c>
      <c r="I87" s="552"/>
      <c r="J87" s="552"/>
      <c r="K87" s="552">
        <v>0</v>
      </c>
      <c r="L87" s="552">
        <v>0</v>
      </c>
      <c r="M87" s="552"/>
      <c r="N87" s="553">
        <v>0</v>
      </c>
      <c r="O87" s="553">
        <v>0</v>
      </c>
      <c r="P87" s="552"/>
      <c r="Q87" s="552">
        <v>0</v>
      </c>
      <c r="R87" s="552">
        <v>0</v>
      </c>
      <c r="S87" s="552"/>
      <c r="T87" s="552"/>
      <c r="U87" s="552">
        <v>0</v>
      </c>
      <c r="V87" s="552">
        <v>0</v>
      </c>
      <c r="W87" s="552"/>
      <c r="X87" s="552"/>
      <c r="Y87" s="552">
        <v>0</v>
      </c>
      <c r="Z87" s="552">
        <v>0</v>
      </c>
      <c r="AA87" s="552"/>
      <c r="AB87" s="552"/>
      <c r="AC87" s="552"/>
      <c r="AD87" s="552"/>
      <c r="AE87" s="552"/>
      <c r="AF87" s="552"/>
      <c r="AG87" s="552"/>
      <c r="AH87" s="552"/>
      <c r="AI87" s="552">
        <v>0</v>
      </c>
      <c r="AJ87" s="552"/>
      <c r="AK87" s="552"/>
      <c r="AL87" s="552">
        <v>0</v>
      </c>
      <c r="AM87" s="552"/>
      <c r="AN87" s="552"/>
      <c r="AO87" s="552">
        <v>0</v>
      </c>
      <c r="AP87" s="552">
        <v>0</v>
      </c>
      <c r="AQ87" s="552"/>
      <c r="AR87" s="554"/>
      <c r="AS87" s="555">
        <f t="shared" si="22"/>
        <v>0</v>
      </c>
      <c r="AT87" s="555">
        <f t="shared" si="23"/>
        <v>0</v>
      </c>
      <c r="AU87" s="556"/>
      <c r="AV87" s="553">
        <f t="shared" si="24"/>
        <v>0</v>
      </c>
      <c r="AW87" s="553">
        <f t="shared" si="24"/>
        <v>0</v>
      </c>
      <c r="AX87" s="553">
        <f t="shared" si="24"/>
        <v>0</v>
      </c>
      <c r="AY87" s="552">
        <f t="shared" si="25"/>
        <v>0</v>
      </c>
      <c r="AZ87" s="552">
        <f t="shared" si="31"/>
        <v>0</v>
      </c>
      <c r="BA87" s="552">
        <f t="shared" si="31"/>
        <v>0</v>
      </c>
      <c r="BB87" s="557"/>
      <c r="BC87" s="552">
        <v>1.05</v>
      </c>
      <c r="BD87" s="552">
        <v>0</v>
      </c>
      <c r="BE87" s="552">
        <v>223</v>
      </c>
      <c r="BF87" s="552"/>
      <c r="BG87" s="554" t="str">
        <f>IFERROR(VLOOKUP(#REF!,#REF!,4,FALSE),"")</f>
        <v/>
      </c>
      <c r="BH87" s="552"/>
      <c r="BI87" s="552"/>
      <c r="BJ87" s="552"/>
      <c r="BK87" s="552">
        <v>2.4500000000000002</v>
      </c>
      <c r="BL87" s="552">
        <v>1240</v>
      </c>
      <c r="BM87" s="552"/>
      <c r="BN87" s="552"/>
      <c r="BO87" s="552"/>
      <c r="BP87" s="552"/>
      <c r="BQ87" s="552"/>
      <c r="BR87" s="552"/>
      <c r="BS87" s="552"/>
      <c r="BT87" s="552"/>
      <c r="BU87" s="552"/>
      <c r="BV87" s="552"/>
      <c r="BW87" s="552"/>
      <c r="BX87" s="552"/>
      <c r="BY87" s="552"/>
      <c r="BZ87" s="552"/>
      <c r="CA87" s="552">
        <f t="shared" si="30"/>
        <v>0</v>
      </c>
      <c r="CB87" s="552">
        <f t="shared" si="30"/>
        <v>0</v>
      </c>
      <c r="CC87" s="552">
        <f t="shared" si="30"/>
        <v>0</v>
      </c>
      <c r="CD87" s="552">
        <f t="shared" si="30"/>
        <v>2.4500000000000004E-3</v>
      </c>
      <c r="CE87" s="552">
        <f t="shared" si="30"/>
        <v>2.8519999999999999</v>
      </c>
      <c r="CF87" s="552">
        <f t="shared" si="30"/>
        <v>0</v>
      </c>
      <c r="CG87" s="552">
        <f t="shared" si="30"/>
        <v>0</v>
      </c>
      <c r="CH87" s="552">
        <f t="shared" si="30"/>
        <v>0</v>
      </c>
      <c r="CI87" s="552">
        <f t="shared" si="30"/>
        <v>0</v>
      </c>
      <c r="CJ87" s="552">
        <f t="shared" si="30"/>
        <v>0</v>
      </c>
      <c r="CK87" s="552">
        <f t="shared" si="30"/>
        <v>0</v>
      </c>
      <c r="CL87" s="552">
        <f t="shared" si="30"/>
        <v>0</v>
      </c>
      <c r="CM87" s="552">
        <f t="shared" si="30"/>
        <v>0</v>
      </c>
      <c r="CN87" s="552">
        <f t="shared" si="30"/>
        <v>0</v>
      </c>
      <c r="CO87" s="552">
        <f t="shared" si="30"/>
        <v>0</v>
      </c>
      <c r="CP87" s="552">
        <f t="shared" si="29"/>
        <v>0</v>
      </c>
      <c r="CQ87" s="552">
        <f t="shared" si="17"/>
        <v>0</v>
      </c>
      <c r="CR87" s="552">
        <f t="shared" si="17"/>
        <v>0</v>
      </c>
      <c r="CS87" s="552">
        <f t="shared" si="27"/>
        <v>2.8544499999999999</v>
      </c>
      <c r="CT87" s="552"/>
      <c r="CU87" s="552"/>
      <c r="CV87" s="552"/>
      <c r="CW87" s="552"/>
      <c r="CX87" s="552"/>
      <c r="CY87" s="552"/>
      <c r="CZ87" s="552"/>
      <c r="DA87" s="472"/>
      <c r="DB87" s="552">
        <f t="shared" si="32"/>
        <v>0</v>
      </c>
      <c r="DC87" s="552">
        <f t="shared" si="32"/>
        <v>0</v>
      </c>
      <c r="DD87" s="552">
        <f t="shared" si="32"/>
        <v>0</v>
      </c>
      <c r="DE87" s="552">
        <f t="shared" si="32"/>
        <v>0</v>
      </c>
      <c r="DF87" s="552">
        <f t="shared" si="32"/>
        <v>0</v>
      </c>
      <c r="DG87" s="552">
        <f t="shared" si="32"/>
        <v>0</v>
      </c>
      <c r="DH87" s="552">
        <f t="shared" si="28"/>
        <v>0</v>
      </c>
      <c r="DI87" s="554"/>
      <c r="DJ87" s="525">
        <f>IFERROR(VLOOKUP(A87,'Transp. Dre Rodovia'!$A$19:$D$29,4,FALSE),0)+IFERROR(VLOOKUP(A87,#REF!,4,FALSE),0)</f>
        <v>0</v>
      </c>
    </row>
    <row r="88" spans="1:114" hidden="1">
      <c r="A88" s="470">
        <v>45515</v>
      </c>
      <c r="B88" s="550" t="s">
        <v>519</v>
      </c>
      <c r="C88" s="551" t="s">
        <v>107</v>
      </c>
      <c r="D88" s="552"/>
      <c r="E88" s="552"/>
      <c r="F88" s="552"/>
      <c r="G88" s="552">
        <v>0</v>
      </c>
      <c r="H88" s="552">
        <v>0</v>
      </c>
      <c r="I88" s="552"/>
      <c r="J88" s="552"/>
      <c r="K88" s="552">
        <v>0</v>
      </c>
      <c r="L88" s="552">
        <v>0</v>
      </c>
      <c r="M88" s="552"/>
      <c r="N88" s="553">
        <v>0</v>
      </c>
      <c r="O88" s="553">
        <v>0</v>
      </c>
      <c r="P88" s="552"/>
      <c r="Q88" s="552">
        <v>0</v>
      </c>
      <c r="R88" s="552">
        <v>0</v>
      </c>
      <c r="S88" s="552"/>
      <c r="T88" s="552"/>
      <c r="U88" s="552">
        <v>0</v>
      </c>
      <c r="V88" s="552">
        <v>0</v>
      </c>
      <c r="W88" s="552"/>
      <c r="X88" s="552"/>
      <c r="Y88" s="552">
        <v>0</v>
      </c>
      <c r="Z88" s="552">
        <v>0</v>
      </c>
      <c r="AA88" s="552"/>
      <c r="AB88" s="552"/>
      <c r="AC88" s="552"/>
      <c r="AD88" s="552"/>
      <c r="AE88" s="552"/>
      <c r="AF88" s="552"/>
      <c r="AG88" s="552"/>
      <c r="AH88" s="552"/>
      <c r="AI88" s="552">
        <v>0</v>
      </c>
      <c r="AJ88" s="552"/>
      <c r="AK88" s="552"/>
      <c r="AL88" s="552">
        <v>0</v>
      </c>
      <c r="AM88" s="552"/>
      <c r="AN88" s="552"/>
      <c r="AO88" s="552">
        <v>0</v>
      </c>
      <c r="AP88" s="552">
        <v>0</v>
      </c>
      <c r="AQ88" s="552"/>
      <c r="AR88" s="554"/>
      <c r="AS88" s="555">
        <f t="shared" si="22"/>
        <v>0</v>
      </c>
      <c r="AT88" s="555">
        <f t="shared" si="23"/>
        <v>0</v>
      </c>
      <c r="AU88" s="556"/>
      <c r="AV88" s="553">
        <f t="shared" si="24"/>
        <v>0</v>
      </c>
      <c r="AW88" s="553">
        <f t="shared" si="24"/>
        <v>0</v>
      </c>
      <c r="AX88" s="553">
        <f t="shared" si="24"/>
        <v>0</v>
      </c>
      <c r="AY88" s="552">
        <f t="shared" si="25"/>
        <v>0</v>
      </c>
      <c r="AZ88" s="552">
        <f t="shared" si="31"/>
        <v>0</v>
      </c>
      <c r="BA88" s="552">
        <f t="shared" si="31"/>
        <v>0</v>
      </c>
      <c r="BB88" s="557"/>
      <c r="BC88" s="552">
        <v>1.35</v>
      </c>
      <c r="BD88" s="552">
        <v>0</v>
      </c>
      <c r="BE88" s="552">
        <v>295</v>
      </c>
      <c r="BF88" s="552"/>
      <c r="BG88" s="554" t="str">
        <f>IFERROR(VLOOKUP(#REF!,#REF!,4,FALSE),"")</f>
        <v/>
      </c>
      <c r="BH88" s="552"/>
      <c r="BI88" s="552"/>
      <c r="BJ88" s="552"/>
      <c r="BK88" s="552">
        <v>2.4500000000000002</v>
      </c>
      <c r="BL88" s="552">
        <v>2170</v>
      </c>
      <c r="BM88" s="552"/>
      <c r="BN88" s="552"/>
      <c r="BO88" s="552"/>
      <c r="BP88" s="552"/>
      <c r="BQ88" s="552"/>
      <c r="BR88" s="552"/>
      <c r="BS88" s="552"/>
      <c r="BT88" s="552"/>
      <c r="BU88" s="552"/>
      <c r="BV88" s="552"/>
      <c r="BW88" s="552"/>
      <c r="BX88" s="552"/>
      <c r="BY88" s="552"/>
      <c r="BZ88" s="552"/>
      <c r="CA88" s="552">
        <f t="shared" si="30"/>
        <v>0</v>
      </c>
      <c r="CB88" s="552">
        <f t="shared" si="30"/>
        <v>0</v>
      </c>
      <c r="CC88" s="552">
        <f t="shared" si="30"/>
        <v>0</v>
      </c>
      <c r="CD88" s="552">
        <f t="shared" si="30"/>
        <v>2.4500000000000004E-3</v>
      </c>
      <c r="CE88" s="552">
        <f t="shared" si="30"/>
        <v>4.9909999999999997</v>
      </c>
      <c r="CF88" s="552">
        <f t="shared" si="30"/>
        <v>0</v>
      </c>
      <c r="CG88" s="552">
        <f t="shared" si="30"/>
        <v>0</v>
      </c>
      <c r="CH88" s="552">
        <f t="shared" si="30"/>
        <v>0</v>
      </c>
      <c r="CI88" s="552">
        <f t="shared" si="30"/>
        <v>0</v>
      </c>
      <c r="CJ88" s="552">
        <f t="shared" si="30"/>
        <v>0</v>
      </c>
      <c r="CK88" s="552">
        <f t="shared" si="30"/>
        <v>0</v>
      </c>
      <c r="CL88" s="552">
        <f t="shared" si="30"/>
        <v>0</v>
      </c>
      <c r="CM88" s="552">
        <f t="shared" si="30"/>
        <v>0</v>
      </c>
      <c r="CN88" s="552">
        <f t="shared" si="30"/>
        <v>0</v>
      </c>
      <c r="CO88" s="552">
        <f t="shared" si="30"/>
        <v>0</v>
      </c>
      <c r="CP88" s="552">
        <f t="shared" si="29"/>
        <v>0</v>
      </c>
      <c r="CQ88" s="552">
        <f t="shared" si="17"/>
        <v>0</v>
      </c>
      <c r="CR88" s="552">
        <f t="shared" si="17"/>
        <v>0</v>
      </c>
      <c r="CS88" s="552">
        <f t="shared" si="27"/>
        <v>4.9934499999999993</v>
      </c>
      <c r="CT88" s="552"/>
      <c r="CU88" s="552"/>
      <c r="CV88" s="552"/>
      <c r="CW88" s="552"/>
      <c r="CX88" s="552"/>
      <c r="CY88" s="552"/>
      <c r="CZ88" s="552"/>
      <c r="DA88" s="472"/>
      <c r="DB88" s="552">
        <f t="shared" si="32"/>
        <v>0</v>
      </c>
      <c r="DC88" s="552">
        <f t="shared" si="32"/>
        <v>0</v>
      </c>
      <c r="DD88" s="552">
        <f t="shared" si="32"/>
        <v>0</v>
      </c>
      <c r="DE88" s="552">
        <f t="shared" si="32"/>
        <v>0</v>
      </c>
      <c r="DF88" s="552">
        <f t="shared" si="32"/>
        <v>0</v>
      </c>
      <c r="DG88" s="552">
        <f t="shared" si="32"/>
        <v>0</v>
      </c>
      <c r="DH88" s="552">
        <f t="shared" si="28"/>
        <v>0</v>
      </c>
      <c r="DI88" s="554"/>
      <c r="DJ88" s="525">
        <f>IFERROR(VLOOKUP(A88,'Transp. Dre Rodovia'!$A$19:$D$29,4,FALSE),0)+IFERROR(VLOOKUP(A88,#REF!,4,FALSE),0)</f>
        <v>0</v>
      </c>
    </row>
    <row r="89" spans="1:114" ht="12.75" hidden="1" customHeight="1">
      <c r="A89" s="470">
        <v>40105</v>
      </c>
      <c r="B89" s="550" t="s">
        <v>520</v>
      </c>
      <c r="C89" s="551" t="s">
        <v>357</v>
      </c>
      <c r="D89" s="552"/>
      <c r="E89" s="552"/>
      <c r="F89" s="552"/>
      <c r="G89" s="552">
        <v>0</v>
      </c>
      <c r="H89" s="552">
        <v>0</v>
      </c>
      <c r="I89" s="552"/>
      <c r="J89" s="552"/>
      <c r="K89" s="552">
        <v>0</v>
      </c>
      <c r="L89" s="552">
        <v>0</v>
      </c>
      <c r="M89" s="552"/>
      <c r="N89" s="553">
        <v>0</v>
      </c>
      <c r="O89" s="553">
        <v>0</v>
      </c>
      <c r="P89" s="552"/>
      <c r="Q89" s="552">
        <v>0</v>
      </c>
      <c r="R89" s="552">
        <v>0</v>
      </c>
      <c r="S89" s="552"/>
      <c r="T89" s="552"/>
      <c r="U89" s="552">
        <v>0</v>
      </c>
      <c r="V89" s="552">
        <v>0</v>
      </c>
      <c r="W89" s="552"/>
      <c r="X89" s="552"/>
      <c r="Y89" s="552">
        <v>0</v>
      </c>
      <c r="Z89" s="552">
        <v>0</v>
      </c>
      <c r="AA89" s="552"/>
      <c r="AB89" s="552"/>
      <c r="AC89" s="552"/>
      <c r="AD89" s="552"/>
      <c r="AE89" s="552"/>
      <c r="AF89" s="552"/>
      <c r="AG89" s="552"/>
      <c r="AH89" s="552"/>
      <c r="AI89" s="552">
        <v>0</v>
      </c>
      <c r="AJ89" s="552"/>
      <c r="AK89" s="552"/>
      <c r="AL89" s="552">
        <v>0</v>
      </c>
      <c r="AM89" s="552"/>
      <c r="AN89" s="552"/>
      <c r="AO89" s="552">
        <v>0</v>
      </c>
      <c r="AP89" s="552">
        <v>0</v>
      </c>
      <c r="AQ89" s="552"/>
      <c r="AR89" s="554"/>
      <c r="AS89" s="555">
        <f t="shared" si="22"/>
        <v>0</v>
      </c>
      <c r="AT89" s="555">
        <f t="shared" si="23"/>
        <v>0</v>
      </c>
      <c r="AU89" s="556"/>
      <c r="AV89" s="553">
        <f t="shared" si="24"/>
        <v>0</v>
      </c>
      <c r="AW89" s="553">
        <f t="shared" si="24"/>
        <v>0</v>
      </c>
      <c r="AX89" s="553">
        <f t="shared" si="24"/>
        <v>0</v>
      </c>
      <c r="AY89" s="552">
        <f t="shared" si="25"/>
        <v>0</v>
      </c>
      <c r="AZ89" s="552">
        <f t="shared" si="31"/>
        <v>0</v>
      </c>
      <c r="BA89" s="552">
        <f t="shared" si="31"/>
        <v>0</v>
      </c>
      <c r="BB89" s="557"/>
      <c r="BC89" s="552">
        <v>0</v>
      </c>
      <c r="BD89" s="552">
        <v>0</v>
      </c>
      <c r="BE89" s="552"/>
      <c r="BF89" s="552"/>
      <c r="BG89" s="554" t="str">
        <f>IFERROR(VLOOKUP(#REF!,#REF!,4,FALSE),"")</f>
        <v/>
      </c>
      <c r="BH89" s="552"/>
      <c r="BI89" s="552"/>
      <c r="BJ89" s="552"/>
      <c r="BK89" s="552"/>
      <c r="BL89" s="552"/>
      <c r="BM89" s="552"/>
      <c r="BN89" s="552"/>
      <c r="BO89" s="552"/>
      <c r="BP89" s="552"/>
      <c r="BQ89" s="552"/>
      <c r="BR89" s="552"/>
      <c r="BS89" s="552"/>
      <c r="BT89" s="552"/>
      <c r="BU89" s="552"/>
      <c r="BV89" s="552"/>
      <c r="BW89" s="552"/>
      <c r="BX89" s="552"/>
      <c r="BY89" s="552"/>
      <c r="BZ89" s="552"/>
      <c r="CA89" s="552">
        <f t="shared" si="30"/>
        <v>0</v>
      </c>
      <c r="CB89" s="552">
        <f t="shared" si="30"/>
        <v>0</v>
      </c>
      <c r="CC89" s="552">
        <f t="shared" si="30"/>
        <v>0</v>
      </c>
      <c r="CD89" s="552">
        <f t="shared" si="30"/>
        <v>0</v>
      </c>
      <c r="CE89" s="552">
        <f t="shared" si="30"/>
        <v>0</v>
      </c>
      <c r="CF89" s="552">
        <f t="shared" si="30"/>
        <v>0</v>
      </c>
      <c r="CG89" s="552">
        <f t="shared" si="30"/>
        <v>0</v>
      </c>
      <c r="CH89" s="552">
        <f t="shared" si="30"/>
        <v>0</v>
      </c>
      <c r="CI89" s="552">
        <f t="shared" si="30"/>
        <v>0</v>
      </c>
      <c r="CJ89" s="552">
        <f t="shared" si="30"/>
        <v>0</v>
      </c>
      <c r="CK89" s="552">
        <f t="shared" si="30"/>
        <v>0</v>
      </c>
      <c r="CL89" s="552">
        <f t="shared" si="30"/>
        <v>0</v>
      </c>
      <c r="CM89" s="552">
        <f t="shared" si="30"/>
        <v>0</v>
      </c>
      <c r="CN89" s="552">
        <f t="shared" si="30"/>
        <v>0</v>
      </c>
      <c r="CO89" s="552">
        <f t="shared" si="30"/>
        <v>0</v>
      </c>
      <c r="CP89" s="552">
        <f t="shared" si="29"/>
        <v>0</v>
      </c>
      <c r="CQ89" s="552">
        <f t="shared" si="17"/>
        <v>0</v>
      </c>
      <c r="CR89" s="552">
        <f t="shared" si="17"/>
        <v>0</v>
      </c>
      <c r="CS89" s="552">
        <f t="shared" si="27"/>
        <v>0</v>
      </c>
      <c r="CT89" s="552"/>
      <c r="CU89" s="552"/>
      <c r="CV89" s="552"/>
      <c r="CW89" s="552"/>
      <c r="CX89" s="552"/>
      <c r="CY89" s="552"/>
      <c r="CZ89" s="552"/>
      <c r="DA89" s="472"/>
      <c r="DB89" s="552">
        <f t="shared" si="32"/>
        <v>0</v>
      </c>
      <c r="DC89" s="552">
        <f t="shared" si="32"/>
        <v>0</v>
      </c>
      <c r="DD89" s="552">
        <f t="shared" si="32"/>
        <v>0</v>
      </c>
      <c r="DE89" s="552">
        <f t="shared" si="32"/>
        <v>0</v>
      </c>
      <c r="DF89" s="552">
        <f t="shared" si="32"/>
        <v>0</v>
      </c>
      <c r="DG89" s="552">
        <f t="shared" si="32"/>
        <v>0</v>
      </c>
      <c r="DH89" s="552">
        <f t="shared" si="28"/>
        <v>0</v>
      </c>
      <c r="DI89" s="554"/>
      <c r="DJ89" s="525">
        <f>IFERROR(VLOOKUP(A89,'Transp. Dre Rodovia'!$A$19:$D$29,4,FALSE),0)+IFERROR(VLOOKUP(A89,#REF!,4,FALSE),0)</f>
        <v>0</v>
      </c>
    </row>
    <row r="90" spans="1:114" hidden="1">
      <c r="A90" s="470">
        <v>41332</v>
      </c>
      <c r="B90" s="550" t="s">
        <v>521</v>
      </c>
      <c r="C90" s="551" t="s">
        <v>107</v>
      </c>
      <c r="D90" s="552"/>
      <c r="E90" s="552"/>
      <c r="F90" s="552"/>
      <c r="G90" s="552">
        <v>0</v>
      </c>
      <c r="H90" s="552">
        <v>0</v>
      </c>
      <c r="I90" s="552"/>
      <c r="J90" s="552"/>
      <c r="K90" s="552">
        <v>0</v>
      </c>
      <c r="L90" s="552">
        <v>0</v>
      </c>
      <c r="M90" s="552"/>
      <c r="N90" s="553">
        <v>0</v>
      </c>
      <c r="O90" s="553">
        <v>0</v>
      </c>
      <c r="P90" s="552">
        <v>4.2000000000000003E-2</v>
      </c>
      <c r="Q90" s="552">
        <v>0.88500000000000001</v>
      </c>
      <c r="R90" s="552">
        <v>0.86699999999999999</v>
      </c>
      <c r="S90" s="552">
        <v>364</v>
      </c>
      <c r="T90" s="552"/>
      <c r="U90" s="552">
        <v>0</v>
      </c>
      <c r="V90" s="552">
        <v>0</v>
      </c>
      <c r="W90" s="552"/>
      <c r="X90" s="552"/>
      <c r="Y90" s="552">
        <v>0</v>
      </c>
      <c r="Z90" s="552">
        <v>0</v>
      </c>
      <c r="AA90" s="552"/>
      <c r="AB90" s="552"/>
      <c r="AC90" s="552"/>
      <c r="AD90" s="552"/>
      <c r="AE90" s="552"/>
      <c r="AF90" s="552"/>
      <c r="AG90" s="552"/>
      <c r="AH90" s="552"/>
      <c r="AI90" s="552">
        <v>0</v>
      </c>
      <c r="AJ90" s="552"/>
      <c r="AK90" s="552"/>
      <c r="AL90" s="552">
        <v>0</v>
      </c>
      <c r="AM90" s="552"/>
      <c r="AN90" s="552"/>
      <c r="AO90" s="552">
        <v>0</v>
      </c>
      <c r="AP90" s="552">
        <v>0</v>
      </c>
      <c r="AQ90" s="552"/>
      <c r="AR90" s="554"/>
      <c r="AS90" s="555">
        <f t="shared" si="22"/>
        <v>4.2000000000000003E-2</v>
      </c>
      <c r="AT90" s="555">
        <f t="shared" si="23"/>
        <v>0</v>
      </c>
      <c r="AU90" s="556"/>
      <c r="AV90" s="553">
        <f t="shared" si="24"/>
        <v>4.2000000000000003E-2</v>
      </c>
      <c r="AW90" s="553">
        <f t="shared" si="24"/>
        <v>4.2000000000000003E-2</v>
      </c>
      <c r="AX90" s="553">
        <f t="shared" si="24"/>
        <v>4.2000000000000003E-2</v>
      </c>
      <c r="AY90" s="552">
        <f t="shared" si="25"/>
        <v>0</v>
      </c>
      <c r="AZ90" s="552">
        <f t="shared" si="31"/>
        <v>0</v>
      </c>
      <c r="BA90" s="552">
        <f t="shared" si="31"/>
        <v>0</v>
      </c>
      <c r="BB90" s="557"/>
      <c r="BC90" s="552">
        <v>0</v>
      </c>
      <c r="BD90" s="552">
        <v>0</v>
      </c>
      <c r="BE90" s="552"/>
      <c r="BF90" s="552"/>
      <c r="BG90" s="554" t="str">
        <f>IFERROR(VLOOKUP(#REF!,#REF!,4,FALSE),"")</f>
        <v/>
      </c>
      <c r="BH90" s="552"/>
      <c r="BI90" s="552"/>
      <c r="BJ90" s="552"/>
      <c r="BK90" s="552"/>
      <c r="BL90" s="552"/>
      <c r="BM90" s="552"/>
      <c r="BN90" s="552"/>
      <c r="BO90" s="552"/>
      <c r="BP90" s="552"/>
      <c r="BQ90" s="552"/>
      <c r="BR90" s="552"/>
      <c r="BS90" s="552"/>
      <c r="BT90" s="552"/>
      <c r="BU90" s="552"/>
      <c r="BV90" s="552"/>
      <c r="BW90" s="552"/>
      <c r="BX90" s="552"/>
      <c r="BY90" s="552"/>
      <c r="BZ90" s="552"/>
      <c r="CA90" s="552">
        <f t="shared" si="30"/>
        <v>0</v>
      </c>
      <c r="CB90" s="552">
        <f t="shared" si="30"/>
        <v>0</v>
      </c>
      <c r="CC90" s="552">
        <f t="shared" si="30"/>
        <v>0</v>
      </c>
      <c r="CD90" s="552">
        <f t="shared" si="30"/>
        <v>0</v>
      </c>
      <c r="CE90" s="552">
        <f t="shared" si="30"/>
        <v>0</v>
      </c>
      <c r="CF90" s="552">
        <f t="shared" si="30"/>
        <v>0</v>
      </c>
      <c r="CG90" s="552">
        <f t="shared" si="30"/>
        <v>0</v>
      </c>
      <c r="CH90" s="552">
        <f t="shared" si="30"/>
        <v>0</v>
      </c>
      <c r="CI90" s="552">
        <f t="shared" si="30"/>
        <v>0</v>
      </c>
      <c r="CJ90" s="552">
        <f t="shared" si="30"/>
        <v>0</v>
      </c>
      <c r="CK90" s="552">
        <f t="shared" si="30"/>
        <v>0</v>
      </c>
      <c r="CL90" s="552">
        <f t="shared" si="30"/>
        <v>0</v>
      </c>
      <c r="CM90" s="552">
        <f t="shared" si="30"/>
        <v>0</v>
      </c>
      <c r="CN90" s="552">
        <f t="shared" si="30"/>
        <v>0</v>
      </c>
      <c r="CO90" s="552">
        <f t="shared" si="30"/>
        <v>0</v>
      </c>
      <c r="CP90" s="552">
        <f t="shared" si="29"/>
        <v>0</v>
      </c>
      <c r="CQ90" s="552">
        <f t="shared" si="17"/>
        <v>0</v>
      </c>
      <c r="CR90" s="552">
        <f t="shared" si="17"/>
        <v>0</v>
      </c>
      <c r="CS90" s="552">
        <f t="shared" si="27"/>
        <v>0</v>
      </c>
      <c r="CT90" s="552"/>
      <c r="CU90" s="552"/>
      <c r="CV90" s="552"/>
      <c r="CW90" s="552"/>
      <c r="CX90" s="552"/>
      <c r="CY90" s="552"/>
      <c r="CZ90" s="552"/>
      <c r="DA90" s="472"/>
      <c r="DB90" s="552">
        <f t="shared" si="32"/>
        <v>0</v>
      </c>
      <c r="DC90" s="552">
        <f t="shared" si="32"/>
        <v>0</v>
      </c>
      <c r="DD90" s="552">
        <f t="shared" si="32"/>
        <v>0</v>
      </c>
      <c r="DE90" s="552">
        <f t="shared" si="32"/>
        <v>0</v>
      </c>
      <c r="DF90" s="552">
        <f t="shared" si="32"/>
        <v>0</v>
      </c>
      <c r="DG90" s="552">
        <f t="shared" si="32"/>
        <v>0</v>
      </c>
      <c r="DH90" s="552">
        <f t="shared" si="28"/>
        <v>0</v>
      </c>
      <c r="DI90" s="554"/>
      <c r="DJ90" s="525">
        <f>IFERROR(VLOOKUP(A90,'Transp. Dre Rodovia'!$A$19:$D$29,4,FALSE),0)+IFERROR(VLOOKUP(A90,#REF!,4,FALSE),0)</f>
        <v>0</v>
      </c>
    </row>
    <row r="91" spans="1:114" ht="12.75" customHeight="1">
      <c r="A91" s="470">
        <v>41309</v>
      </c>
      <c r="B91" s="550" t="s">
        <v>372</v>
      </c>
      <c r="C91" s="551" t="s">
        <v>107</v>
      </c>
      <c r="D91" s="552"/>
      <c r="E91" s="552"/>
      <c r="F91" s="552"/>
      <c r="G91" s="552">
        <v>0</v>
      </c>
      <c r="H91" s="552">
        <v>0</v>
      </c>
      <c r="I91" s="552"/>
      <c r="J91" s="552"/>
      <c r="K91" s="552">
        <v>0</v>
      </c>
      <c r="L91" s="552">
        <v>0</v>
      </c>
      <c r="M91" s="552"/>
      <c r="N91" s="553">
        <v>0</v>
      </c>
      <c r="O91" s="553">
        <v>0</v>
      </c>
      <c r="P91" s="552"/>
      <c r="Q91" s="552">
        <v>0</v>
      </c>
      <c r="R91" s="552">
        <v>0</v>
      </c>
      <c r="S91" s="552"/>
      <c r="T91" s="552"/>
      <c r="U91" s="552">
        <v>0</v>
      </c>
      <c r="V91" s="552">
        <v>0</v>
      </c>
      <c r="W91" s="552"/>
      <c r="X91" s="552"/>
      <c r="Y91" s="552">
        <v>0</v>
      </c>
      <c r="Z91" s="552">
        <v>0</v>
      </c>
      <c r="AA91" s="552"/>
      <c r="AB91" s="552"/>
      <c r="AC91" s="552"/>
      <c r="AD91" s="552"/>
      <c r="AE91" s="552"/>
      <c r="AF91" s="552"/>
      <c r="AG91" s="552"/>
      <c r="AH91" s="552"/>
      <c r="AI91" s="552">
        <v>0</v>
      </c>
      <c r="AJ91" s="552"/>
      <c r="AK91" s="552"/>
      <c r="AL91" s="552">
        <v>0</v>
      </c>
      <c r="AM91" s="552"/>
      <c r="AN91" s="552"/>
      <c r="AO91" s="552">
        <v>0</v>
      </c>
      <c r="AP91" s="552">
        <v>0</v>
      </c>
      <c r="AQ91" s="552"/>
      <c r="AR91" s="554"/>
      <c r="AS91" s="555">
        <f t="shared" si="22"/>
        <v>0</v>
      </c>
      <c r="AT91" s="555">
        <f t="shared" si="23"/>
        <v>0</v>
      </c>
      <c r="AU91" s="556"/>
      <c r="AV91" s="553">
        <f t="shared" si="24"/>
        <v>0</v>
      </c>
      <c r="AW91" s="553">
        <f t="shared" si="24"/>
        <v>0</v>
      </c>
      <c r="AX91" s="553">
        <f t="shared" si="24"/>
        <v>0</v>
      </c>
      <c r="AY91" s="552">
        <f t="shared" si="25"/>
        <v>0</v>
      </c>
      <c r="AZ91" s="552">
        <f t="shared" si="31"/>
        <v>0</v>
      </c>
      <c r="BA91" s="552">
        <f t="shared" si="31"/>
        <v>0</v>
      </c>
      <c r="BB91" s="557"/>
      <c r="BC91" s="552">
        <v>0</v>
      </c>
      <c r="BD91" s="552">
        <v>0.84</v>
      </c>
      <c r="BE91" s="552"/>
      <c r="BF91" s="552"/>
      <c r="BG91" s="554" t="str">
        <f>IFERROR(VLOOKUP(#REF!,#REF!,4,FALSE),"")</f>
        <v/>
      </c>
      <c r="BH91" s="552"/>
      <c r="BI91" s="552"/>
      <c r="BJ91" s="552"/>
      <c r="BK91" s="552"/>
      <c r="BL91" s="552"/>
      <c r="BM91" s="552"/>
      <c r="BN91" s="552"/>
      <c r="BO91" s="552"/>
      <c r="BP91" s="552"/>
      <c r="BQ91" s="552"/>
      <c r="BR91" s="552"/>
      <c r="BS91" s="552"/>
      <c r="BT91" s="552"/>
      <c r="BU91" s="552"/>
      <c r="BV91" s="552"/>
      <c r="BW91" s="552"/>
      <c r="BX91" s="552"/>
      <c r="BY91" s="552">
        <v>3.7</v>
      </c>
      <c r="BZ91" s="552"/>
      <c r="CA91" s="552">
        <f t="shared" si="30"/>
        <v>0</v>
      </c>
      <c r="CB91" s="552">
        <f t="shared" si="30"/>
        <v>0</v>
      </c>
      <c r="CC91" s="552">
        <f t="shared" si="30"/>
        <v>0</v>
      </c>
      <c r="CD91" s="552">
        <f t="shared" si="30"/>
        <v>0</v>
      </c>
      <c r="CE91" s="552">
        <f t="shared" si="30"/>
        <v>0</v>
      </c>
      <c r="CF91" s="552">
        <f t="shared" si="30"/>
        <v>0</v>
      </c>
      <c r="CG91" s="552">
        <f t="shared" si="30"/>
        <v>0</v>
      </c>
      <c r="CH91" s="552">
        <f t="shared" si="30"/>
        <v>0</v>
      </c>
      <c r="CI91" s="552">
        <f t="shared" si="30"/>
        <v>0</v>
      </c>
      <c r="CJ91" s="552">
        <f t="shared" si="30"/>
        <v>0</v>
      </c>
      <c r="CK91" s="552">
        <f t="shared" si="30"/>
        <v>0</v>
      </c>
      <c r="CL91" s="552">
        <f t="shared" si="30"/>
        <v>0</v>
      </c>
      <c r="CM91" s="552">
        <f t="shared" si="30"/>
        <v>0</v>
      </c>
      <c r="CN91" s="552">
        <f t="shared" si="30"/>
        <v>0</v>
      </c>
      <c r="CO91" s="552">
        <f t="shared" si="30"/>
        <v>0</v>
      </c>
      <c r="CP91" s="552">
        <f t="shared" si="29"/>
        <v>0</v>
      </c>
      <c r="CQ91" s="552">
        <f t="shared" si="17"/>
        <v>0</v>
      </c>
      <c r="CR91" s="552">
        <f t="shared" si="17"/>
        <v>8.8800000000000012E-4</v>
      </c>
      <c r="CS91" s="552">
        <f>SUM(CA91:CR91)</f>
        <v>8.8800000000000012E-4</v>
      </c>
      <c r="CT91" s="552"/>
      <c r="CU91" s="552"/>
      <c r="CV91" s="552"/>
      <c r="CW91" s="552"/>
      <c r="CX91" s="552"/>
      <c r="CY91" s="552"/>
      <c r="CZ91" s="552"/>
      <c r="DA91" s="472"/>
      <c r="DB91" s="552">
        <f t="shared" si="32"/>
        <v>0</v>
      </c>
      <c r="DC91" s="552">
        <f t="shared" si="32"/>
        <v>0</v>
      </c>
      <c r="DD91" s="552">
        <f t="shared" si="32"/>
        <v>0</v>
      </c>
      <c r="DE91" s="552">
        <f t="shared" si="32"/>
        <v>0</v>
      </c>
      <c r="DF91" s="552">
        <f t="shared" si="32"/>
        <v>0</v>
      </c>
      <c r="DG91" s="552">
        <f t="shared" si="32"/>
        <v>0</v>
      </c>
      <c r="DH91" s="552">
        <f t="shared" si="28"/>
        <v>0</v>
      </c>
      <c r="DI91" s="554"/>
      <c r="DJ91" s="525">
        <f>IFERROR(VLOOKUP(A91,'Transp. Dre Rodovia'!$A$19:$D$29,4,FALSE),0)+IFERROR(VLOOKUP(A91,#REF!,4,FALSE),0)</f>
        <v>793.07</v>
      </c>
    </row>
    <row r="92" spans="1:114" ht="12.75" hidden="1" customHeight="1">
      <c r="A92" s="470"/>
      <c r="B92" s="550"/>
      <c r="C92" s="551"/>
      <c r="D92" s="552"/>
      <c r="E92" s="552"/>
      <c r="F92" s="552"/>
      <c r="G92" s="552">
        <v>0</v>
      </c>
      <c r="H92" s="552">
        <v>0</v>
      </c>
      <c r="I92" s="552"/>
      <c r="J92" s="552"/>
      <c r="K92" s="552">
        <v>0</v>
      </c>
      <c r="L92" s="552">
        <v>0</v>
      </c>
      <c r="M92" s="552"/>
      <c r="N92" s="553">
        <v>0</v>
      </c>
      <c r="O92" s="553">
        <v>0</v>
      </c>
      <c r="P92" s="552"/>
      <c r="Q92" s="552">
        <v>0</v>
      </c>
      <c r="R92" s="552">
        <v>0</v>
      </c>
      <c r="S92" s="552"/>
      <c r="T92" s="552"/>
      <c r="U92" s="552">
        <v>0</v>
      </c>
      <c r="V92" s="552">
        <v>0</v>
      </c>
      <c r="W92" s="552"/>
      <c r="X92" s="552"/>
      <c r="Y92" s="552">
        <v>0</v>
      </c>
      <c r="Z92" s="552">
        <v>0</v>
      </c>
      <c r="AA92" s="552"/>
      <c r="AB92" s="552"/>
      <c r="AC92" s="552"/>
      <c r="AD92" s="552"/>
      <c r="AE92" s="552"/>
      <c r="AF92" s="552"/>
      <c r="AG92" s="552"/>
      <c r="AH92" s="552"/>
      <c r="AI92" s="552">
        <v>0</v>
      </c>
      <c r="AJ92" s="552"/>
      <c r="AK92" s="552"/>
      <c r="AL92" s="552">
        <v>0</v>
      </c>
      <c r="AM92" s="552"/>
      <c r="AN92" s="552"/>
      <c r="AO92" s="552">
        <v>0</v>
      </c>
      <c r="AP92" s="552">
        <v>0</v>
      </c>
      <c r="AQ92" s="552"/>
      <c r="AR92" s="554"/>
      <c r="AS92" s="555">
        <f t="shared" si="22"/>
        <v>0</v>
      </c>
      <c r="AT92" s="555">
        <f t="shared" si="23"/>
        <v>0</v>
      </c>
      <c r="AU92" s="556"/>
      <c r="AV92" s="553">
        <f t="shared" si="24"/>
        <v>0</v>
      </c>
      <c r="AW92" s="553">
        <f t="shared" si="24"/>
        <v>0</v>
      </c>
      <c r="AX92" s="553">
        <f t="shared" si="24"/>
        <v>0</v>
      </c>
      <c r="AY92" s="552">
        <f t="shared" si="25"/>
        <v>0</v>
      </c>
      <c r="AZ92" s="552">
        <f t="shared" si="31"/>
        <v>0</v>
      </c>
      <c r="BA92" s="552">
        <f t="shared" si="31"/>
        <v>0</v>
      </c>
      <c r="BB92" s="557"/>
      <c r="BC92" s="552">
        <v>0</v>
      </c>
      <c r="BD92" s="552">
        <v>0</v>
      </c>
      <c r="BE92" s="552"/>
      <c r="BF92" s="552"/>
      <c r="BG92" s="554" t="str">
        <f>IFERROR(VLOOKUP(#REF!,#REF!,4,FALSE),"")</f>
        <v/>
      </c>
      <c r="BH92" s="552"/>
      <c r="BI92" s="552"/>
      <c r="BJ92" s="552"/>
      <c r="BK92" s="552"/>
      <c r="BL92" s="552"/>
      <c r="BM92" s="552"/>
      <c r="BN92" s="552"/>
      <c r="BO92" s="552"/>
      <c r="BP92" s="552"/>
      <c r="BQ92" s="552"/>
      <c r="BR92" s="552"/>
      <c r="BS92" s="552"/>
      <c r="BT92" s="552"/>
      <c r="BU92" s="552"/>
      <c r="BV92" s="552"/>
      <c r="BW92" s="552"/>
      <c r="BX92" s="552"/>
      <c r="BY92" s="552"/>
      <c r="BZ92" s="552"/>
      <c r="CA92" s="552">
        <f t="shared" si="30"/>
        <v>0</v>
      </c>
      <c r="CB92" s="552">
        <f t="shared" si="30"/>
        <v>0</v>
      </c>
      <c r="CC92" s="552">
        <f t="shared" si="30"/>
        <v>0</v>
      </c>
      <c r="CD92" s="552">
        <f t="shared" si="30"/>
        <v>0</v>
      </c>
      <c r="CE92" s="552">
        <f t="shared" si="30"/>
        <v>0</v>
      </c>
      <c r="CF92" s="552">
        <f t="shared" si="30"/>
        <v>0</v>
      </c>
      <c r="CG92" s="552">
        <f t="shared" si="30"/>
        <v>0</v>
      </c>
      <c r="CH92" s="552">
        <f t="shared" si="30"/>
        <v>0</v>
      </c>
      <c r="CI92" s="552">
        <f t="shared" si="30"/>
        <v>0</v>
      </c>
      <c r="CJ92" s="552">
        <f t="shared" si="30"/>
        <v>0</v>
      </c>
      <c r="CK92" s="552">
        <f t="shared" si="30"/>
        <v>0</v>
      </c>
      <c r="CL92" s="552">
        <f t="shared" si="30"/>
        <v>0</v>
      </c>
      <c r="CM92" s="552">
        <f t="shared" si="30"/>
        <v>0</v>
      </c>
      <c r="CN92" s="552">
        <f t="shared" si="30"/>
        <v>0</v>
      </c>
      <c r="CO92" s="552">
        <f t="shared" si="30"/>
        <v>0</v>
      </c>
      <c r="CP92" s="552">
        <f t="shared" si="29"/>
        <v>0</v>
      </c>
      <c r="CQ92" s="552">
        <f t="shared" si="17"/>
        <v>0</v>
      </c>
      <c r="CR92" s="552">
        <f t="shared" si="17"/>
        <v>0</v>
      </c>
      <c r="CS92" s="552">
        <f t="shared" ref="CS92:CS94" si="33">SUM(CA92:CR92)</f>
        <v>0</v>
      </c>
      <c r="CT92" s="552"/>
      <c r="CU92" s="552"/>
      <c r="CV92" s="552"/>
      <c r="CW92" s="552"/>
      <c r="CX92" s="552"/>
      <c r="CY92" s="552"/>
      <c r="CZ92" s="552"/>
      <c r="DA92" s="472"/>
      <c r="DB92" s="552">
        <f t="shared" si="32"/>
        <v>0</v>
      </c>
      <c r="DC92" s="552">
        <f t="shared" si="32"/>
        <v>0</v>
      </c>
      <c r="DD92" s="552">
        <f t="shared" si="32"/>
        <v>0</v>
      </c>
      <c r="DE92" s="552">
        <f t="shared" si="32"/>
        <v>0</v>
      </c>
      <c r="DF92" s="552">
        <f t="shared" si="32"/>
        <v>0</v>
      </c>
      <c r="DG92" s="552">
        <f t="shared" si="32"/>
        <v>0</v>
      </c>
      <c r="DH92" s="552">
        <f t="shared" si="28"/>
        <v>0</v>
      </c>
      <c r="DI92" s="554"/>
      <c r="DJ92" s="525">
        <f>IFERROR(VLOOKUP(A92,'Transp. Dre Rodovia'!$A$19:$D$29,4,FALSE),0)+IFERROR(VLOOKUP(A92,#REF!,4,FALSE),0)</f>
        <v>0</v>
      </c>
    </row>
    <row r="93" spans="1:114" ht="12.75" hidden="1" customHeight="1">
      <c r="A93" s="470"/>
      <c r="B93" s="550"/>
      <c r="C93" s="551"/>
      <c r="D93" s="552"/>
      <c r="E93" s="552"/>
      <c r="F93" s="552"/>
      <c r="G93" s="552">
        <v>0</v>
      </c>
      <c r="H93" s="552">
        <v>0</v>
      </c>
      <c r="I93" s="552"/>
      <c r="J93" s="552"/>
      <c r="K93" s="552">
        <v>0</v>
      </c>
      <c r="L93" s="552">
        <v>0</v>
      </c>
      <c r="M93" s="552"/>
      <c r="N93" s="553">
        <v>0</v>
      </c>
      <c r="O93" s="553">
        <v>0</v>
      </c>
      <c r="P93" s="552"/>
      <c r="Q93" s="552">
        <v>0</v>
      </c>
      <c r="R93" s="552">
        <v>0</v>
      </c>
      <c r="S93" s="552"/>
      <c r="T93" s="552"/>
      <c r="U93" s="552">
        <v>0</v>
      </c>
      <c r="V93" s="552">
        <v>0</v>
      </c>
      <c r="W93" s="552"/>
      <c r="X93" s="552"/>
      <c r="Y93" s="552">
        <v>0</v>
      </c>
      <c r="Z93" s="552">
        <v>0</v>
      </c>
      <c r="AA93" s="552"/>
      <c r="AB93" s="552"/>
      <c r="AC93" s="552"/>
      <c r="AD93" s="552"/>
      <c r="AE93" s="552"/>
      <c r="AF93" s="552"/>
      <c r="AG93" s="552"/>
      <c r="AH93" s="552"/>
      <c r="AI93" s="552">
        <v>0</v>
      </c>
      <c r="AJ93" s="552"/>
      <c r="AK93" s="552"/>
      <c r="AL93" s="552">
        <v>0</v>
      </c>
      <c r="AM93" s="552"/>
      <c r="AN93" s="552"/>
      <c r="AO93" s="552">
        <v>0</v>
      </c>
      <c r="AP93" s="552">
        <v>0</v>
      </c>
      <c r="AQ93" s="552"/>
      <c r="AR93" s="554"/>
      <c r="AS93" s="555">
        <f t="shared" si="22"/>
        <v>0</v>
      </c>
      <c r="AT93" s="555">
        <f t="shared" si="23"/>
        <v>0</v>
      </c>
      <c r="AU93" s="556"/>
      <c r="AV93" s="553">
        <f t="shared" si="24"/>
        <v>0</v>
      </c>
      <c r="AW93" s="553">
        <f t="shared" si="24"/>
        <v>0</v>
      </c>
      <c r="AX93" s="553">
        <f t="shared" si="24"/>
        <v>0</v>
      </c>
      <c r="AY93" s="552">
        <f t="shared" si="25"/>
        <v>0</v>
      </c>
      <c r="AZ93" s="552">
        <f t="shared" si="31"/>
        <v>0</v>
      </c>
      <c r="BA93" s="552">
        <f t="shared" si="31"/>
        <v>0</v>
      </c>
      <c r="BB93" s="557"/>
      <c r="BC93" s="552">
        <v>0</v>
      </c>
      <c r="BD93" s="552">
        <v>0</v>
      </c>
      <c r="BE93" s="552"/>
      <c r="BF93" s="552"/>
      <c r="BG93" s="554" t="str">
        <f>IFERROR(VLOOKUP(#REF!,#REF!,4,FALSE),"")</f>
        <v/>
      </c>
      <c r="BH93" s="552"/>
      <c r="BI93" s="552"/>
      <c r="BJ93" s="552"/>
      <c r="BK93" s="552"/>
      <c r="BL93" s="552"/>
      <c r="BM93" s="552"/>
      <c r="BN93" s="552"/>
      <c r="BO93" s="552"/>
      <c r="BP93" s="552"/>
      <c r="BQ93" s="552"/>
      <c r="BR93" s="552"/>
      <c r="BS93" s="552"/>
      <c r="BT93" s="552"/>
      <c r="BU93" s="552"/>
      <c r="BV93" s="552"/>
      <c r="BW93" s="552"/>
      <c r="BX93" s="552"/>
      <c r="BY93" s="552"/>
      <c r="BZ93" s="552"/>
      <c r="CA93" s="552">
        <f t="shared" si="30"/>
        <v>0</v>
      </c>
      <c r="CB93" s="552">
        <f t="shared" si="30"/>
        <v>0</v>
      </c>
      <c r="CC93" s="552">
        <f t="shared" si="30"/>
        <v>0</v>
      </c>
      <c r="CD93" s="552">
        <f t="shared" si="30"/>
        <v>0</v>
      </c>
      <c r="CE93" s="552">
        <f t="shared" si="30"/>
        <v>0</v>
      </c>
      <c r="CF93" s="552">
        <f t="shared" si="30"/>
        <v>0</v>
      </c>
      <c r="CG93" s="552">
        <f t="shared" si="30"/>
        <v>0</v>
      </c>
      <c r="CH93" s="552">
        <f t="shared" si="30"/>
        <v>0</v>
      </c>
      <c r="CI93" s="552">
        <f t="shared" si="30"/>
        <v>0</v>
      </c>
      <c r="CJ93" s="552">
        <f t="shared" si="30"/>
        <v>0</v>
      </c>
      <c r="CK93" s="552">
        <f t="shared" si="30"/>
        <v>0</v>
      </c>
      <c r="CL93" s="552">
        <f t="shared" si="30"/>
        <v>0</v>
      </c>
      <c r="CM93" s="552">
        <f t="shared" si="30"/>
        <v>0</v>
      </c>
      <c r="CN93" s="552">
        <f t="shared" si="30"/>
        <v>0</v>
      </c>
      <c r="CO93" s="552">
        <f t="shared" si="30"/>
        <v>0</v>
      </c>
      <c r="CP93" s="552">
        <f t="shared" si="29"/>
        <v>0</v>
      </c>
      <c r="CQ93" s="552">
        <f t="shared" si="17"/>
        <v>0</v>
      </c>
      <c r="CR93" s="552">
        <f t="shared" si="17"/>
        <v>0</v>
      </c>
      <c r="CS93" s="552">
        <f t="shared" si="33"/>
        <v>0</v>
      </c>
      <c r="CT93" s="552"/>
      <c r="CU93" s="552"/>
      <c r="CV93" s="552"/>
      <c r="CW93" s="552"/>
      <c r="CX93" s="552"/>
      <c r="CY93" s="552"/>
      <c r="CZ93" s="552"/>
      <c r="DA93" s="472"/>
      <c r="DB93" s="552">
        <f t="shared" si="32"/>
        <v>0</v>
      </c>
      <c r="DC93" s="552">
        <f t="shared" si="32"/>
        <v>0</v>
      </c>
      <c r="DD93" s="552">
        <f t="shared" si="32"/>
        <v>0</v>
      </c>
      <c r="DE93" s="552">
        <f t="shared" si="32"/>
        <v>0</v>
      </c>
      <c r="DF93" s="552">
        <f t="shared" si="32"/>
        <v>0</v>
      </c>
      <c r="DG93" s="552">
        <f t="shared" si="32"/>
        <v>0</v>
      </c>
      <c r="DH93" s="552">
        <f t="shared" si="28"/>
        <v>0</v>
      </c>
      <c r="DI93" s="554"/>
      <c r="DJ93" s="525">
        <f>IFERROR(VLOOKUP(A93,'Transp. Dre Rodovia'!$A$19:$D$29,4,FALSE),0)+IFERROR(VLOOKUP(A93,#REF!,4,FALSE),0)</f>
        <v>0</v>
      </c>
    </row>
    <row r="94" spans="1:114" ht="12.75" hidden="1" customHeight="1">
      <c r="A94" s="470"/>
      <c r="B94" s="550"/>
      <c r="C94" s="551"/>
      <c r="D94" s="552"/>
      <c r="E94" s="552"/>
      <c r="F94" s="552"/>
      <c r="G94" s="552">
        <v>0</v>
      </c>
      <c r="H94" s="552">
        <v>0</v>
      </c>
      <c r="I94" s="552"/>
      <c r="J94" s="552"/>
      <c r="K94" s="552">
        <v>0</v>
      </c>
      <c r="L94" s="552">
        <v>0</v>
      </c>
      <c r="M94" s="552"/>
      <c r="N94" s="553">
        <v>0</v>
      </c>
      <c r="O94" s="553">
        <v>0</v>
      </c>
      <c r="P94" s="552"/>
      <c r="Q94" s="552">
        <v>0</v>
      </c>
      <c r="R94" s="552">
        <v>0</v>
      </c>
      <c r="S94" s="552"/>
      <c r="T94" s="552"/>
      <c r="U94" s="552">
        <v>0</v>
      </c>
      <c r="V94" s="552">
        <v>0</v>
      </c>
      <c r="W94" s="552"/>
      <c r="X94" s="552"/>
      <c r="Y94" s="552">
        <v>0</v>
      </c>
      <c r="Z94" s="552">
        <v>0</v>
      </c>
      <c r="AA94" s="552"/>
      <c r="AB94" s="552"/>
      <c r="AC94" s="552"/>
      <c r="AD94" s="552"/>
      <c r="AE94" s="552"/>
      <c r="AF94" s="552"/>
      <c r="AG94" s="552"/>
      <c r="AH94" s="552"/>
      <c r="AI94" s="552">
        <v>0</v>
      </c>
      <c r="AJ94" s="552"/>
      <c r="AK94" s="552"/>
      <c r="AL94" s="552">
        <v>0</v>
      </c>
      <c r="AM94" s="552"/>
      <c r="AN94" s="552"/>
      <c r="AO94" s="552">
        <v>0</v>
      </c>
      <c r="AP94" s="552">
        <v>0</v>
      </c>
      <c r="AQ94" s="552"/>
      <c r="AR94" s="554"/>
      <c r="AS94" s="555">
        <f t="shared" si="22"/>
        <v>0</v>
      </c>
      <c r="AT94" s="555">
        <f t="shared" si="23"/>
        <v>0</v>
      </c>
      <c r="AU94" s="556"/>
      <c r="AV94" s="553">
        <f t="shared" si="24"/>
        <v>0</v>
      </c>
      <c r="AW94" s="553">
        <f t="shared" si="24"/>
        <v>0</v>
      </c>
      <c r="AX94" s="553">
        <f t="shared" si="24"/>
        <v>0</v>
      </c>
      <c r="AY94" s="552">
        <f t="shared" si="25"/>
        <v>0</v>
      </c>
      <c r="AZ94" s="552">
        <f t="shared" si="31"/>
        <v>0</v>
      </c>
      <c r="BA94" s="552">
        <f t="shared" si="31"/>
        <v>0</v>
      </c>
      <c r="BB94" s="557"/>
      <c r="BC94" s="552">
        <v>0</v>
      </c>
      <c r="BD94" s="552">
        <v>0</v>
      </c>
      <c r="BE94" s="552"/>
      <c r="BF94" s="552"/>
      <c r="BG94" s="554" t="str">
        <f>IFERROR(VLOOKUP(#REF!,#REF!,4,FALSE),"")</f>
        <v/>
      </c>
      <c r="BH94" s="552"/>
      <c r="BI94" s="552"/>
      <c r="BJ94" s="552"/>
      <c r="BK94" s="552"/>
      <c r="BL94" s="552"/>
      <c r="BM94" s="552"/>
      <c r="BN94" s="552"/>
      <c r="BO94" s="552"/>
      <c r="BP94" s="552"/>
      <c r="BQ94" s="552"/>
      <c r="BR94" s="552"/>
      <c r="BS94" s="552"/>
      <c r="BT94" s="552"/>
      <c r="BU94" s="552"/>
      <c r="BV94" s="552"/>
      <c r="BW94" s="552"/>
      <c r="BX94" s="552"/>
      <c r="BY94" s="552"/>
      <c r="BZ94" s="552"/>
      <c r="CA94" s="552">
        <f t="shared" si="30"/>
        <v>0</v>
      </c>
      <c r="CB94" s="552">
        <f t="shared" si="30"/>
        <v>0</v>
      </c>
      <c r="CC94" s="552">
        <f t="shared" si="30"/>
        <v>0</v>
      </c>
      <c r="CD94" s="552">
        <f t="shared" si="30"/>
        <v>0</v>
      </c>
      <c r="CE94" s="552">
        <f t="shared" si="30"/>
        <v>0</v>
      </c>
      <c r="CF94" s="552">
        <f t="shared" si="30"/>
        <v>0</v>
      </c>
      <c r="CG94" s="552">
        <f t="shared" si="30"/>
        <v>0</v>
      </c>
      <c r="CH94" s="552">
        <f t="shared" si="30"/>
        <v>0</v>
      </c>
      <c r="CI94" s="552">
        <f t="shared" si="30"/>
        <v>0</v>
      </c>
      <c r="CJ94" s="552">
        <f t="shared" si="30"/>
        <v>0</v>
      </c>
      <c r="CK94" s="552">
        <f t="shared" si="30"/>
        <v>0</v>
      </c>
      <c r="CL94" s="552">
        <f t="shared" si="30"/>
        <v>0</v>
      </c>
      <c r="CM94" s="552">
        <f t="shared" si="30"/>
        <v>0</v>
      </c>
      <c r="CN94" s="552">
        <f t="shared" si="30"/>
        <v>0</v>
      </c>
      <c r="CO94" s="552">
        <f t="shared" si="30"/>
        <v>0</v>
      </c>
      <c r="CP94" s="552">
        <f t="shared" si="29"/>
        <v>0</v>
      </c>
      <c r="CQ94" s="552">
        <f t="shared" si="17"/>
        <v>0</v>
      </c>
      <c r="CR94" s="552">
        <f t="shared" si="17"/>
        <v>0</v>
      </c>
      <c r="CS94" s="552">
        <f t="shared" si="33"/>
        <v>0</v>
      </c>
      <c r="CT94" s="552"/>
      <c r="CU94" s="552"/>
      <c r="CV94" s="552"/>
      <c r="CW94" s="552"/>
      <c r="CX94" s="552"/>
      <c r="CY94" s="552"/>
      <c r="CZ94" s="552"/>
      <c r="DA94" s="472"/>
      <c r="DB94" s="552">
        <f t="shared" si="32"/>
        <v>0</v>
      </c>
      <c r="DC94" s="552">
        <f t="shared" si="32"/>
        <v>0</v>
      </c>
      <c r="DD94" s="552">
        <f t="shared" si="32"/>
        <v>0</v>
      </c>
      <c r="DE94" s="552">
        <f t="shared" si="32"/>
        <v>0</v>
      </c>
      <c r="DF94" s="552">
        <f t="shared" si="32"/>
        <v>0</v>
      </c>
      <c r="DG94" s="552">
        <f t="shared" si="32"/>
        <v>0</v>
      </c>
      <c r="DH94" s="552">
        <f t="shared" si="28"/>
        <v>0</v>
      </c>
      <c r="DI94" s="554"/>
      <c r="DJ94" s="525">
        <f>IFERROR(VLOOKUP(A94,'Transp. Dre Rodovia'!$A$19:$D$29,4,FALSE),0)+IFERROR(VLOOKUP(A94,#REF!,4,FALSE),0)</f>
        <v>0</v>
      </c>
    </row>
    <row r="95" spans="1:114" ht="12.75" hidden="1" customHeight="1">
      <c r="A95" s="470"/>
      <c r="B95" s="550"/>
      <c r="C95" s="551"/>
      <c r="D95" s="552"/>
      <c r="E95" s="552"/>
      <c r="F95" s="552"/>
      <c r="G95" s="552"/>
      <c r="H95" s="552"/>
      <c r="I95" s="552"/>
      <c r="J95" s="552"/>
      <c r="K95" s="552"/>
      <c r="L95" s="552"/>
      <c r="M95" s="552"/>
      <c r="N95" s="553"/>
      <c r="O95" s="553"/>
      <c r="P95" s="552"/>
      <c r="Q95" s="552"/>
      <c r="R95" s="552"/>
      <c r="S95" s="552"/>
      <c r="T95" s="552"/>
      <c r="U95" s="552"/>
      <c r="V95" s="552"/>
      <c r="W95" s="552"/>
      <c r="X95" s="552"/>
      <c r="Y95" s="552"/>
      <c r="Z95" s="552"/>
      <c r="AA95" s="552"/>
      <c r="AB95" s="552"/>
      <c r="AC95" s="552"/>
      <c r="AD95" s="552"/>
      <c r="AE95" s="552"/>
      <c r="AF95" s="552"/>
      <c r="AG95" s="552"/>
      <c r="AH95" s="552"/>
      <c r="AI95" s="552"/>
      <c r="AJ95" s="552"/>
      <c r="AK95" s="552"/>
      <c r="AL95" s="552"/>
      <c r="AM95" s="552"/>
      <c r="AN95" s="552"/>
      <c r="AO95" s="552"/>
      <c r="AP95" s="552"/>
      <c r="AQ95" s="552"/>
      <c r="AR95" s="554"/>
      <c r="AS95" s="555"/>
      <c r="AT95" s="555"/>
      <c r="AU95" s="556"/>
      <c r="AV95" s="553"/>
      <c r="AW95" s="553"/>
      <c r="AX95" s="553"/>
      <c r="AY95" s="552"/>
      <c r="AZ95" s="552"/>
      <c r="BA95" s="552"/>
      <c r="BB95" s="557"/>
      <c r="BC95" s="552"/>
      <c r="BD95" s="552"/>
      <c r="BE95" s="552"/>
      <c r="BF95" s="552"/>
      <c r="BG95" s="554" t="str">
        <f>IFERROR(VLOOKUP(#REF!,#REF!,4,FALSE),"")</f>
        <v/>
      </c>
      <c r="BH95" s="552"/>
      <c r="BI95" s="552"/>
      <c r="BJ95" s="552"/>
      <c r="BK95" s="552"/>
      <c r="BL95" s="552"/>
      <c r="BM95" s="552"/>
      <c r="BN95" s="552"/>
      <c r="BO95" s="552"/>
      <c r="BP95" s="552"/>
      <c r="BQ95" s="552"/>
      <c r="BR95" s="552"/>
      <c r="BS95" s="552"/>
      <c r="BT95" s="552"/>
      <c r="BU95" s="552"/>
      <c r="BV95" s="552"/>
      <c r="BW95" s="552"/>
      <c r="BX95" s="552"/>
      <c r="BY95" s="552"/>
      <c r="BZ95" s="552"/>
      <c r="CA95" s="552"/>
      <c r="CB95" s="552"/>
      <c r="CC95" s="552"/>
      <c r="CD95" s="552"/>
      <c r="CE95" s="552"/>
      <c r="CF95" s="552"/>
      <c r="CG95" s="552"/>
      <c r="CH95" s="552"/>
      <c r="CI95" s="552"/>
      <c r="CJ95" s="552"/>
      <c r="CK95" s="552"/>
      <c r="CL95" s="552"/>
      <c r="CM95" s="552"/>
      <c r="CN95" s="552"/>
      <c r="CO95" s="552"/>
      <c r="CP95" s="552"/>
      <c r="CQ95" s="552"/>
      <c r="CR95" s="552"/>
      <c r="CS95" s="552"/>
      <c r="CT95" s="552"/>
      <c r="CU95" s="552"/>
      <c r="CV95" s="552"/>
      <c r="CW95" s="552"/>
      <c r="CX95" s="552"/>
      <c r="CY95" s="552"/>
      <c r="CZ95" s="552"/>
      <c r="DA95" s="472"/>
      <c r="DB95" s="552">
        <f t="shared" si="32"/>
        <v>0</v>
      </c>
      <c r="DC95" s="552">
        <f>CV95*DC$5</f>
        <v>0</v>
      </c>
      <c r="DD95" s="552">
        <f>CW95*DD$5</f>
        <v>0</v>
      </c>
      <c r="DE95" s="552">
        <f>CX95*DE$5</f>
        <v>0</v>
      </c>
      <c r="DF95" s="552">
        <f t="shared" si="32"/>
        <v>0</v>
      </c>
      <c r="DG95" s="552">
        <f t="shared" si="32"/>
        <v>0</v>
      </c>
      <c r="DH95" s="552">
        <f t="shared" si="28"/>
        <v>0</v>
      </c>
      <c r="DI95" s="554"/>
      <c r="DJ95" s="525">
        <f>IFERROR(VLOOKUP(A95,'Transp. Dre Rodovia'!$A$19:$D$29,4,FALSE),0)+IFERROR(VLOOKUP(A95,#REF!,4,FALSE),0)</f>
        <v>0</v>
      </c>
    </row>
    <row r="96" spans="1:114" ht="18.75" hidden="1" customHeight="1">
      <c r="A96" s="567" t="s">
        <v>522</v>
      </c>
      <c r="B96" s="568"/>
      <c r="C96" s="568"/>
      <c r="D96" s="568"/>
      <c r="E96" s="568"/>
      <c r="F96" s="568"/>
      <c r="G96" s="568"/>
      <c r="H96" s="568"/>
      <c r="I96" s="568"/>
      <c r="J96" s="568"/>
      <c r="K96" s="568"/>
      <c r="L96" s="568"/>
      <c r="M96" s="568"/>
      <c r="N96" s="568"/>
      <c r="O96" s="568"/>
      <c r="P96" s="568"/>
      <c r="Q96" s="568"/>
      <c r="R96" s="568"/>
      <c r="S96" s="568"/>
      <c r="T96" s="568"/>
      <c r="U96" s="568"/>
      <c r="V96" s="568"/>
      <c r="W96" s="568"/>
      <c r="X96" s="568"/>
      <c r="Y96" s="568"/>
      <c r="Z96" s="568"/>
      <c r="AA96" s="568"/>
      <c r="AB96" s="568"/>
      <c r="AC96" s="568"/>
      <c r="AD96" s="568"/>
      <c r="AE96" s="568"/>
      <c r="AF96" s="568"/>
      <c r="AG96" s="568"/>
      <c r="AH96" s="568"/>
      <c r="AI96" s="568"/>
      <c r="AJ96" s="568"/>
      <c r="AK96" s="568"/>
      <c r="AL96" s="568"/>
      <c r="AM96" s="568"/>
      <c r="AN96" s="568"/>
      <c r="AO96" s="568"/>
      <c r="AP96" s="568"/>
      <c r="AQ96" s="568"/>
      <c r="AR96" s="568"/>
      <c r="AS96" s="568"/>
      <c r="AT96" s="568"/>
      <c r="AU96" s="568"/>
      <c r="AV96" s="568"/>
      <c r="AW96" s="568"/>
      <c r="AX96" s="568"/>
      <c r="AY96" s="568"/>
      <c r="AZ96" s="568"/>
      <c r="BA96" s="568"/>
      <c r="BB96" s="568"/>
      <c r="BC96" s="568"/>
      <c r="BD96" s="568"/>
      <c r="BE96" s="568"/>
      <c r="BF96" s="568"/>
      <c r="BG96" s="554" t="str">
        <f>IFERROR(VLOOKUP(#REF!,#REF!,4,FALSE),"")</f>
        <v/>
      </c>
      <c r="BH96" s="568"/>
      <c r="BI96" s="568"/>
      <c r="BJ96" s="568"/>
      <c r="BK96" s="568"/>
      <c r="BL96" s="568"/>
      <c r="BM96" s="568"/>
      <c r="BN96" s="568"/>
      <c r="BO96" s="568"/>
      <c r="BP96" s="568"/>
      <c r="BQ96" s="568"/>
      <c r="BR96" s="568"/>
      <c r="BS96" s="568"/>
      <c r="BT96" s="568"/>
      <c r="BU96" s="568"/>
      <c r="BV96" s="568"/>
      <c r="BW96" s="568"/>
      <c r="BX96" s="568"/>
      <c r="BY96" s="568"/>
      <c r="BZ96" s="568"/>
      <c r="CA96" s="568"/>
      <c r="CB96" s="568"/>
      <c r="CC96" s="568"/>
      <c r="CD96" s="568"/>
      <c r="CE96" s="568"/>
      <c r="CF96" s="568"/>
      <c r="CG96" s="568"/>
      <c r="CH96" s="568"/>
      <c r="CI96" s="568"/>
      <c r="CJ96" s="568"/>
      <c r="CK96" s="568"/>
      <c r="CL96" s="568"/>
      <c r="CM96" s="568"/>
      <c r="CN96" s="568"/>
      <c r="CO96" s="568"/>
      <c r="CP96" s="568"/>
      <c r="CQ96" s="568"/>
      <c r="CR96" s="568"/>
      <c r="CS96" s="568"/>
      <c r="CT96" s="568"/>
      <c r="CU96" s="568"/>
      <c r="CV96" s="568"/>
      <c r="CW96" s="568"/>
      <c r="CX96" s="568"/>
      <c r="CY96" s="568"/>
      <c r="CZ96" s="568"/>
      <c r="DA96" s="568"/>
      <c r="DB96" s="568"/>
      <c r="DC96" s="568"/>
      <c r="DD96" s="568"/>
      <c r="DE96" s="568"/>
      <c r="DF96" s="568"/>
      <c r="DG96" s="568"/>
      <c r="DH96" s="552">
        <f t="shared" si="28"/>
        <v>0</v>
      </c>
      <c r="DI96" s="554"/>
      <c r="DJ96" s="525">
        <f>IFERROR(VLOOKUP(A96,'Transp. Dre Rodovia'!$A$19:$D$29,4,FALSE),0)+IFERROR(VLOOKUP(A96,#REF!,4,FALSE),0)</f>
        <v>0</v>
      </c>
    </row>
    <row r="97" spans="1:114" hidden="1">
      <c r="A97" s="569">
        <v>804045</v>
      </c>
      <c r="B97" s="550" t="s">
        <v>523</v>
      </c>
      <c r="C97" s="551" t="s">
        <v>107</v>
      </c>
      <c r="D97" s="552">
        <v>0</v>
      </c>
      <c r="E97" s="552">
        <v>0.52600000000000002</v>
      </c>
      <c r="F97" s="552">
        <v>0</v>
      </c>
      <c r="G97" s="552">
        <v>0.89922000000000002</v>
      </c>
      <c r="H97" s="552">
        <v>1.1026199999999999</v>
      </c>
      <c r="I97" s="552">
        <v>280.53417999999999</v>
      </c>
      <c r="J97" s="552">
        <v>0</v>
      </c>
      <c r="K97" s="552">
        <v>0.90449999999999997</v>
      </c>
      <c r="L97" s="552">
        <v>0.85649999999999993</v>
      </c>
      <c r="M97" s="552">
        <v>332</v>
      </c>
      <c r="N97" s="552">
        <v>0.499</v>
      </c>
      <c r="O97" s="552">
        <v>0.52600000000000002</v>
      </c>
      <c r="P97" s="552">
        <v>0.7</v>
      </c>
      <c r="Q97" s="552">
        <v>0.88500000000000001</v>
      </c>
      <c r="R97" s="552">
        <v>0.86699999999999999</v>
      </c>
      <c r="S97" s="552">
        <v>364</v>
      </c>
      <c r="T97" s="552">
        <v>0</v>
      </c>
      <c r="U97" s="552">
        <v>0.90449999999999997</v>
      </c>
      <c r="V97" s="552">
        <v>0.85649999999999993</v>
      </c>
      <c r="W97" s="552">
        <v>332</v>
      </c>
      <c r="X97" s="561">
        <v>0</v>
      </c>
      <c r="Y97" s="552">
        <v>0.88500000000000001</v>
      </c>
      <c r="Z97" s="552">
        <v>0.86699999999999999</v>
      </c>
      <c r="AA97" s="552">
        <v>364</v>
      </c>
      <c r="AB97" s="552">
        <v>0</v>
      </c>
      <c r="AC97" s="552">
        <v>0.87749999999999995</v>
      </c>
      <c r="AD97" s="552">
        <v>0.88019999999999998</v>
      </c>
      <c r="AE97" s="552">
        <v>389</v>
      </c>
      <c r="AF97" s="552">
        <v>0</v>
      </c>
      <c r="AG97" s="552">
        <v>1.1499999999999999</v>
      </c>
      <c r="AH97" s="552">
        <v>1.252E-2</v>
      </c>
      <c r="AI97" s="552">
        <v>1.7249999999999999</v>
      </c>
      <c r="AJ97" s="552">
        <v>350</v>
      </c>
      <c r="AK97" s="561">
        <v>0</v>
      </c>
      <c r="AL97" s="552">
        <v>1.5065250000000001</v>
      </c>
      <c r="AM97" s="552">
        <v>458.01186999999999</v>
      </c>
      <c r="AN97" s="552">
        <v>0</v>
      </c>
      <c r="AO97" s="552">
        <v>0.89922000000000002</v>
      </c>
      <c r="AP97" s="552">
        <v>1.1026199999999999</v>
      </c>
      <c r="AQ97" s="552">
        <v>280.53417999999999</v>
      </c>
      <c r="AR97" s="554"/>
      <c r="AS97" s="555">
        <f t="shared" ref="AS97:AS112" si="34">SUM(IF(D97=0,F97,D97*F97),J97,IF(N97=0,P97,N97*P97),T97,X97,AB97,AN97,CI97*CK97)</f>
        <v>0.3493</v>
      </c>
      <c r="AT97" s="570">
        <f t="shared" ref="AT97:AT112" si="35">IF(AF97=0,AH97+AK97,AF97*AH97+AK97)</f>
        <v>1.252E-2</v>
      </c>
      <c r="AU97" s="563"/>
      <c r="AV97" s="553">
        <f t="shared" ref="AV97:AX112" si="36">$J97*K97+IF($N97=0,$P97,$N97*$P97*Q97)+$T97*U97+$X97*Y97+$AB97*AC97+IF($D97=0,$F97*G97,$D97*$F97*G97)+$CI97*$CK97*CL97</f>
        <v>0.30913050000000003</v>
      </c>
      <c r="AW97" s="553">
        <f t="shared" si="36"/>
        <v>0.30284309999999998</v>
      </c>
      <c r="AX97" s="553">
        <f t="shared" si="36"/>
        <v>127.1452</v>
      </c>
      <c r="AY97" s="552">
        <f t="shared" ref="AY97:AY112" si="37">D97*E97+AF97*AG97+N97*O97</f>
        <v>0.26247399999999999</v>
      </c>
      <c r="AZ97" s="571">
        <f t="shared" ref="AZ97:BA112" si="38">IF($AF97=0,$AH97*AI97+$AK97*AL97,$AF97*$AH97*AI97+$AK97*AL97)</f>
        <v>2.1596999999999998E-2</v>
      </c>
      <c r="BA97" s="571">
        <f t="shared" si="38"/>
        <v>4.3819999999999997</v>
      </c>
      <c r="BB97" s="557"/>
      <c r="BC97" s="553">
        <v>0</v>
      </c>
      <c r="BD97" s="553">
        <v>0</v>
      </c>
      <c r="BE97" s="553">
        <v>0</v>
      </c>
      <c r="BF97" s="553">
        <v>0</v>
      </c>
      <c r="BG97" s="554" t="str">
        <f>IFERROR(VLOOKUP(#REF!,#REF!,4,FALSE),"")</f>
        <v/>
      </c>
      <c r="BH97" s="552">
        <v>0.9</v>
      </c>
      <c r="BI97" s="552"/>
      <c r="BJ97" s="552"/>
      <c r="BK97" s="552"/>
      <c r="BL97" s="552"/>
      <c r="BM97" s="552"/>
      <c r="BN97" s="552"/>
      <c r="BO97" s="552"/>
      <c r="BP97" s="552"/>
      <c r="BQ97" s="552"/>
      <c r="BR97" s="552"/>
      <c r="BS97" s="552"/>
      <c r="BT97" s="552"/>
      <c r="BU97" s="552"/>
      <c r="BV97" s="552"/>
      <c r="BW97" s="552"/>
      <c r="BX97" s="552"/>
      <c r="BY97" s="552"/>
      <c r="BZ97" s="554"/>
      <c r="CA97" s="552">
        <f t="shared" ref="CA97:CP112" si="39">CA$4*BH97</f>
        <v>1.35E-2</v>
      </c>
      <c r="CB97" s="552">
        <f t="shared" si="39"/>
        <v>0</v>
      </c>
      <c r="CC97" s="552">
        <f t="shared" si="39"/>
        <v>0</v>
      </c>
      <c r="CD97" s="552">
        <f t="shared" si="39"/>
        <v>0</v>
      </c>
      <c r="CE97" s="552">
        <f t="shared" si="39"/>
        <v>0</v>
      </c>
      <c r="CF97" s="552">
        <f t="shared" si="39"/>
        <v>0</v>
      </c>
      <c r="CG97" s="552">
        <f t="shared" si="39"/>
        <v>0</v>
      </c>
      <c r="CH97" s="552">
        <f t="shared" si="39"/>
        <v>0</v>
      </c>
      <c r="CI97" s="552">
        <f t="shared" si="39"/>
        <v>0</v>
      </c>
      <c r="CJ97" s="552">
        <f t="shared" si="39"/>
        <v>0</v>
      </c>
      <c r="CK97" s="552">
        <f t="shared" si="39"/>
        <v>0</v>
      </c>
      <c r="CL97" s="552">
        <f t="shared" si="39"/>
        <v>0</v>
      </c>
      <c r="CM97" s="552">
        <f t="shared" si="39"/>
        <v>0</v>
      </c>
      <c r="CN97" s="552">
        <f t="shared" si="39"/>
        <v>0</v>
      </c>
      <c r="CO97" s="552">
        <f t="shared" si="39"/>
        <v>0</v>
      </c>
      <c r="CP97" s="552">
        <f t="shared" si="39"/>
        <v>0</v>
      </c>
      <c r="CQ97" s="552">
        <f t="shared" ref="CD97:CR112" si="40">CQ$4*BX97</f>
        <v>0</v>
      </c>
      <c r="CR97" s="552">
        <f t="shared" si="40"/>
        <v>0</v>
      </c>
      <c r="CS97" s="552">
        <f t="shared" ref="CS97:CS112" si="41">SUM(CA97:CR97)</f>
        <v>1.35E-2</v>
      </c>
      <c r="CT97" s="554"/>
      <c r="CU97" s="552"/>
      <c r="CV97" s="552"/>
      <c r="CW97" s="552"/>
      <c r="CX97" s="552">
        <v>1</v>
      </c>
      <c r="CY97" s="552"/>
      <c r="CZ97" s="552"/>
      <c r="DA97" s="472"/>
      <c r="DB97" s="552">
        <f t="shared" ref="DB97:DG112" si="42">CU97*DB$5</f>
        <v>0</v>
      </c>
      <c r="DC97" s="552">
        <f t="shared" si="42"/>
        <v>0</v>
      </c>
      <c r="DD97" s="552">
        <f t="shared" si="42"/>
        <v>0</v>
      </c>
      <c r="DE97" s="552">
        <f t="shared" si="42"/>
        <v>1.24817</v>
      </c>
      <c r="DF97" s="552">
        <f t="shared" si="42"/>
        <v>0</v>
      </c>
      <c r="DG97" s="552">
        <f t="shared" si="42"/>
        <v>0</v>
      </c>
      <c r="DH97" s="552">
        <f t="shared" ref="DH97" si="43">SUM(DB97:DG97)</f>
        <v>1.24817</v>
      </c>
      <c r="DI97" s="554"/>
      <c r="DJ97" s="525">
        <f>IFERROR(VLOOKUP(A97,'Transp. Dre Rodovia'!$A$19:$D$29,4,FALSE),0)+IFERROR(VLOOKUP(A97,#REF!,4,FALSE),0)</f>
        <v>0</v>
      </c>
    </row>
    <row r="98" spans="1:114" hidden="1">
      <c r="A98" s="569">
        <v>804309</v>
      </c>
      <c r="B98" s="550" t="s">
        <v>524</v>
      </c>
      <c r="C98" s="551" t="s">
        <v>107</v>
      </c>
      <c r="D98" s="552">
        <v>0</v>
      </c>
      <c r="E98" s="552">
        <v>0.52600000000000002</v>
      </c>
      <c r="F98" s="552">
        <v>0</v>
      </c>
      <c r="G98" s="552">
        <v>0.89922000000000002</v>
      </c>
      <c r="H98" s="552">
        <v>1.1026199999999999</v>
      </c>
      <c r="I98" s="552">
        <v>280.53417999999999</v>
      </c>
      <c r="J98" s="552">
        <v>0</v>
      </c>
      <c r="K98" s="552">
        <v>0.90449999999999997</v>
      </c>
      <c r="L98" s="552">
        <v>0.85649999999999993</v>
      </c>
      <c r="M98" s="552">
        <v>332</v>
      </c>
      <c r="N98" s="552">
        <v>2.0329999999999999</v>
      </c>
      <c r="O98" s="552">
        <v>0.52600000000000002</v>
      </c>
      <c r="P98" s="552">
        <v>0.7</v>
      </c>
      <c r="Q98" s="552">
        <v>0.88500000000000001</v>
      </c>
      <c r="R98" s="552">
        <v>0.86699999999999999</v>
      </c>
      <c r="S98" s="552">
        <v>364</v>
      </c>
      <c r="T98" s="552">
        <v>0</v>
      </c>
      <c r="U98" s="552">
        <v>0.90449999999999997</v>
      </c>
      <c r="V98" s="552">
        <v>0.85649999999999993</v>
      </c>
      <c r="W98" s="552">
        <v>332</v>
      </c>
      <c r="X98" s="561">
        <v>0</v>
      </c>
      <c r="Y98" s="552">
        <v>0.88500000000000001</v>
      </c>
      <c r="Z98" s="552">
        <v>0.86699999999999999</v>
      </c>
      <c r="AA98" s="552">
        <v>364</v>
      </c>
      <c r="AB98" s="552">
        <v>0</v>
      </c>
      <c r="AC98" s="552">
        <v>0.87749999999999995</v>
      </c>
      <c r="AD98" s="552">
        <v>0.88019999999999998</v>
      </c>
      <c r="AE98" s="552">
        <v>389</v>
      </c>
      <c r="AF98" s="552">
        <v>0</v>
      </c>
      <c r="AG98" s="552">
        <v>1.1499999999999999</v>
      </c>
      <c r="AH98" s="552">
        <v>6.3509999999999997E-2</v>
      </c>
      <c r="AI98" s="552">
        <v>1.7249999999999999</v>
      </c>
      <c r="AJ98" s="552">
        <v>350</v>
      </c>
      <c r="AK98" s="561">
        <v>0</v>
      </c>
      <c r="AL98" s="552">
        <v>1.5065250000000001</v>
      </c>
      <c r="AM98" s="552">
        <v>458.01186999999999</v>
      </c>
      <c r="AN98" s="552">
        <v>0</v>
      </c>
      <c r="AO98" s="552">
        <v>0.89922000000000002</v>
      </c>
      <c r="AP98" s="552">
        <v>1.1026199999999999</v>
      </c>
      <c r="AQ98" s="552">
        <v>281.53417999999999</v>
      </c>
      <c r="AR98" s="554"/>
      <c r="AS98" s="555">
        <f t="shared" si="34"/>
        <v>1.4230999999999998</v>
      </c>
      <c r="AT98" s="570">
        <f t="shared" si="35"/>
        <v>6.3509999999999997E-2</v>
      </c>
      <c r="AU98" s="563"/>
      <c r="AV98" s="553">
        <f t="shared" si="36"/>
        <v>1.2594434999999999</v>
      </c>
      <c r="AW98" s="553">
        <f t="shared" si="36"/>
        <v>1.2338276999999997</v>
      </c>
      <c r="AX98" s="553">
        <f t="shared" si="36"/>
        <v>518.00839999999994</v>
      </c>
      <c r="AY98" s="552">
        <f t="shared" si="37"/>
        <v>1.069358</v>
      </c>
      <c r="AZ98" s="571">
        <f t="shared" si="38"/>
        <v>0.10955474999999999</v>
      </c>
      <c r="BA98" s="571">
        <f t="shared" si="38"/>
        <v>22.2285</v>
      </c>
      <c r="BB98" s="557"/>
      <c r="BC98" s="553">
        <v>0</v>
      </c>
      <c r="BD98" s="553">
        <v>0</v>
      </c>
      <c r="BE98" s="553">
        <v>0</v>
      </c>
      <c r="BF98" s="553">
        <v>0</v>
      </c>
      <c r="BG98" s="554" t="str">
        <f>IFERROR(VLOOKUP(#REF!,#REF!,4,FALSE),"")</f>
        <v/>
      </c>
      <c r="BH98" s="552">
        <v>1</v>
      </c>
      <c r="BI98" s="552"/>
      <c r="BJ98" s="552"/>
      <c r="BK98" s="552"/>
      <c r="BL98" s="552"/>
      <c r="BM98" s="552"/>
      <c r="BN98" s="552"/>
      <c r="BO98" s="552"/>
      <c r="BP98" s="552"/>
      <c r="BQ98" s="552"/>
      <c r="BR98" s="552"/>
      <c r="BS98" s="552"/>
      <c r="BT98" s="552"/>
      <c r="BU98" s="552"/>
      <c r="BV98" s="552"/>
      <c r="BW98" s="552"/>
      <c r="BX98" s="552"/>
      <c r="BY98" s="552"/>
      <c r="BZ98" s="554"/>
      <c r="CA98" s="552">
        <f t="shared" si="39"/>
        <v>1.4999999999999999E-2</v>
      </c>
      <c r="CB98" s="552">
        <f t="shared" si="39"/>
        <v>0</v>
      </c>
      <c r="CC98" s="552">
        <f t="shared" si="39"/>
        <v>0</v>
      </c>
      <c r="CD98" s="552">
        <f t="shared" si="39"/>
        <v>0</v>
      </c>
      <c r="CE98" s="552">
        <f t="shared" si="39"/>
        <v>0</v>
      </c>
      <c r="CF98" s="552">
        <f t="shared" si="39"/>
        <v>0</v>
      </c>
      <c r="CG98" s="552">
        <f t="shared" si="39"/>
        <v>0</v>
      </c>
      <c r="CH98" s="552">
        <f t="shared" si="39"/>
        <v>0</v>
      </c>
      <c r="CI98" s="552">
        <f t="shared" si="39"/>
        <v>0</v>
      </c>
      <c r="CJ98" s="552">
        <f t="shared" si="39"/>
        <v>0</v>
      </c>
      <c r="CK98" s="552">
        <f t="shared" si="39"/>
        <v>0</v>
      </c>
      <c r="CL98" s="552">
        <f t="shared" si="39"/>
        <v>0</v>
      </c>
      <c r="CM98" s="552">
        <f t="shared" si="39"/>
        <v>0</v>
      </c>
      <c r="CN98" s="552">
        <f t="shared" si="39"/>
        <v>0</v>
      </c>
      <c r="CO98" s="552">
        <f t="shared" si="39"/>
        <v>0</v>
      </c>
      <c r="CP98" s="552">
        <f t="shared" si="39"/>
        <v>0</v>
      </c>
      <c r="CQ98" s="552">
        <f t="shared" si="40"/>
        <v>0</v>
      </c>
      <c r="CR98" s="552">
        <f t="shared" si="40"/>
        <v>0</v>
      </c>
      <c r="CS98" s="552">
        <f t="shared" si="41"/>
        <v>1.4999999999999999E-2</v>
      </c>
      <c r="CT98" s="554"/>
      <c r="CU98" s="552"/>
      <c r="CV98" s="552"/>
      <c r="CW98" s="552"/>
      <c r="CX98" s="552"/>
      <c r="CY98" s="552">
        <v>3</v>
      </c>
      <c r="CZ98" s="552"/>
      <c r="DA98" s="472"/>
      <c r="DB98" s="552">
        <f t="shared" si="42"/>
        <v>0</v>
      </c>
      <c r="DC98" s="552">
        <f t="shared" si="42"/>
        <v>0</v>
      </c>
      <c r="DD98" s="552">
        <f t="shared" si="42"/>
        <v>0</v>
      </c>
      <c r="DE98" s="552">
        <f t="shared" si="42"/>
        <v>0</v>
      </c>
      <c r="DF98" s="552">
        <f t="shared" si="42"/>
        <v>5.6167499999999997</v>
      </c>
      <c r="DG98" s="552">
        <f t="shared" si="42"/>
        <v>0</v>
      </c>
      <c r="DH98" s="552">
        <f>SUM(DB98:DG98)</f>
        <v>5.6167499999999997</v>
      </c>
      <c r="DI98" s="554"/>
      <c r="DJ98" s="525">
        <f>IFERROR(VLOOKUP(A98,'Transp. Dre Rodovia'!$A$19:$D$29,4,FALSE),0)+IFERROR(VLOOKUP(A98,#REF!,4,FALSE),0)</f>
        <v>0</v>
      </c>
    </row>
    <row r="99" spans="1:114" hidden="1">
      <c r="A99" s="569">
        <v>804357</v>
      </c>
      <c r="B99" s="550" t="s">
        <v>525</v>
      </c>
      <c r="C99" s="551" t="s">
        <v>374</v>
      </c>
      <c r="D99" s="552">
        <v>0</v>
      </c>
      <c r="E99" s="552">
        <v>0.52600000000000002</v>
      </c>
      <c r="F99" s="552">
        <v>0.7</v>
      </c>
      <c r="G99" s="552">
        <v>0.89922000000000002</v>
      </c>
      <c r="H99" s="552">
        <v>1.1026199999999999</v>
      </c>
      <c r="I99" s="552">
        <v>280.53417999999999</v>
      </c>
      <c r="J99" s="552">
        <v>0</v>
      </c>
      <c r="K99" s="552">
        <v>0.90449999999999997</v>
      </c>
      <c r="L99" s="552">
        <v>0.85649999999999993</v>
      </c>
      <c r="M99" s="552">
        <v>332</v>
      </c>
      <c r="N99" s="552">
        <v>9.7330000000000005</v>
      </c>
      <c r="O99" s="552">
        <v>0.52600000000000002</v>
      </c>
      <c r="P99" s="552">
        <v>9.7330000000000005</v>
      </c>
      <c r="Q99" s="552">
        <v>0.88500000000000001</v>
      </c>
      <c r="R99" s="552">
        <v>0.86699999999999999</v>
      </c>
      <c r="S99" s="552">
        <v>364</v>
      </c>
      <c r="T99" s="552">
        <v>0</v>
      </c>
      <c r="U99" s="552">
        <v>0.90449999999999997</v>
      </c>
      <c r="V99" s="552">
        <v>0.85649999999999993</v>
      </c>
      <c r="W99" s="552">
        <v>332</v>
      </c>
      <c r="X99" s="561">
        <v>0</v>
      </c>
      <c r="Y99" s="552">
        <v>0.88500000000000001</v>
      </c>
      <c r="Z99" s="552">
        <v>0.86699999999999999</v>
      </c>
      <c r="AA99" s="552">
        <v>364</v>
      </c>
      <c r="AB99" s="552">
        <v>0</v>
      </c>
      <c r="AC99" s="552">
        <v>0.87749999999999995</v>
      </c>
      <c r="AD99" s="552">
        <v>0.88019999999999998</v>
      </c>
      <c r="AE99" s="552">
        <v>389</v>
      </c>
      <c r="AF99" s="552">
        <v>0</v>
      </c>
      <c r="AG99" s="552">
        <v>1.1499999999999999</v>
      </c>
      <c r="AH99" s="552">
        <v>0</v>
      </c>
      <c r="AI99" s="552">
        <v>1.7249999999999999</v>
      </c>
      <c r="AJ99" s="552">
        <v>350</v>
      </c>
      <c r="AK99" s="561">
        <v>0</v>
      </c>
      <c r="AL99" s="552">
        <v>1.5065250000000001</v>
      </c>
      <c r="AM99" s="552">
        <v>458.01186999999999</v>
      </c>
      <c r="AN99" s="552">
        <v>0</v>
      </c>
      <c r="AO99" s="552">
        <v>0.89922000000000002</v>
      </c>
      <c r="AP99" s="552">
        <v>1.1026199999999999</v>
      </c>
      <c r="AQ99" s="552">
        <v>282.53417999999999</v>
      </c>
      <c r="AR99" s="554"/>
      <c r="AS99" s="555">
        <f t="shared" si="34"/>
        <v>95.431289000000007</v>
      </c>
      <c r="AT99" s="570">
        <f t="shared" si="35"/>
        <v>0</v>
      </c>
      <c r="AU99" s="563"/>
      <c r="AV99" s="553">
        <f t="shared" si="36"/>
        <v>84.466644764999998</v>
      </c>
      <c r="AW99" s="553">
        <f t="shared" si="36"/>
        <v>82.903861563000007</v>
      </c>
      <c r="AX99" s="553">
        <f t="shared" si="36"/>
        <v>34678.563122</v>
      </c>
      <c r="AY99" s="552">
        <f t="shared" si="37"/>
        <v>5.1195580000000005</v>
      </c>
      <c r="AZ99" s="571">
        <f t="shared" si="38"/>
        <v>0</v>
      </c>
      <c r="BA99" s="571">
        <f t="shared" si="38"/>
        <v>0</v>
      </c>
      <c r="BB99" s="557"/>
      <c r="BC99" s="553">
        <v>0</v>
      </c>
      <c r="BD99" s="553">
        <v>0</v>
      </c>
      <c r="BE99" s="553">
        <v>0</v>
      </c>
      <c r="BF99" s="553">
        <v>0</v>
      </c>
      <c r="BG99" s="554" t="str">
        <f>IFERROR(VLOOKUP(#REF!,#REF!,4,FALSE),"")</f>
        <v/>
      </c>
      <c r="BH99" s="552">
        <v>25.44</v>
      </c>
      <c r="BI99" s="552"/>
      <c r="BJ99" s="552"/>
      <c r="BK99" s="552"/>
      <c r="BL99" s="552"/>
      <c r="BM99" s="552"/>
      <c r="BN99" s="552"/>
      <c r="BO99" s="552"/>
      <c r="BP99" s="552"/>
      <c r="BQ99" s="552"/>
      <c r="BR99" s="552"/>
      <c r="BS99" s="552"/>
      <c r="BT99" s="552"/>
      <c r="BU99" s="552"/>
      <c r="BV99" s="552"/>
      <c r="BW99" s="552"/>
      <c r="BX99" s="552"/>
      <c r="BY99" s="552"/>
      <c r="BZ99" s="554"/>
      <c r="CA99" s="552">
        <f t="shared" si="39"/>
        <v>0.38159999999999999</v>
      </c>
      <c r="CB99" s="552">
        <f t="shared" si="39"/>
        <v>0</v>
      </c>
      <c r="CC99" s="552">
        <f t="shared" si="39"/>
        <v>0</v>
      </c>
      <c r="CD99" s="552">
        <f t="shared" si="39"/>
        <v>0</v>
      </c>
      <c r="CE99" s="552">
        <f t="shared" si="39"/>
        <v>0</v>
      </c>
      <c r="CF99" s="552">
        <f t="shared" si="39"/>
        <v>0</v>
      </c>
      <c r="CG99" s="552">
        <f t="shared" si="39"/>
        <v>0</v>
      </c>
      <c r="CH99" s="552">
        <f t="shared" si="39"/>
        <v>0</v>
      </c>
      <c r="CI99" s="552">
        <f t="shared" si="39"/>
        <v>0</v>
      </c>
      <c r="CJ99" s="552">
        <f t="shared" si="39"/>
        <v>0</v>
      </c>
      <c r="CK99" s="552">
        <f t="shared" si="39"/>
        <v>0</v>
      </c>
      <c r="CL99" s="552">
        <f t="shared" si="39"/>
        <v>0</v>
      </c>
      <c r="CM99" s="552">
        <f t="shared" si="39"/>
        <v>0</v>
      </c>
      <c r="CN99" s="552">
        <f t="shared" si="39"/>
        <v>0</v>
      </c>
      <c r="CO99" s="552">
        <f t="shared" si="39"/>
        <v>0</v>
      </c>
      <c r="CP99" s="552">
        <f t="shared" si="39"/>
        <v>0</v>
      </c>
      <c r="CQ99" s="552">
        <f t="shared" si="40"/>
        <v>0</v>
      </c>
      <c r="CR99" s="552">
        <f t="shared" si="40"/>
        <v>0</v>
      </c>
      <c r="CS99" s="552">
        <f t="shared" si="41"/>
        <v>0.38159999999999999</v>
      </c>
      <c r="CT99" s="554"/>
      <c r="CU99" s="552"/>
      <c r="CV99" s="552"/>
      <c r="CW99" s="552"/>
      <c r="CX99" s="552"/>
      <c r="CY99" s="552"/>
      <c r="CZ99" s="552"/>
      <c r="DA99" s="472"/>
      <c r="DB99" s="552">
        <f t="shared" si="42"/>
        <v>0</v>
      </c>
      <c r="DC99" s="552">
        <f t="shared" si="42"/>
        <v>0</v>
      </c>
      <c r="DD99" s="552">
        <f t="shared" si="42"/>
        <v>0</v>
      </c>
      <c r="DE99" s="552">
        <f t="shared" si="42"/>
        <v>0</v>
      </c>
      <c r="DF99" s="552">
        <f t="shared" si="42"/>
        <v>0</v>
      </c>
      <c r="DG99" s="552">
        <f t="shared" si="42"/>
        <v>0</v>
      </c>
      <c r="DH99" s="552">
        <f t="shared" ref="DH99:DH112" si="44">SUM(DB99:DG99)</f>
        <v>0</v>
      </c>
      <c r="DI99" s="554"/>
      <c r="DJ99" s="525">
        <f>IFERROR(VLOOKUP(A99,'Transp. Dre Rodovia'!$A$19:$D$29,4,FALSE),0)+IFERROR(VLOOKUP(A99,#REF!,4,FALSE),0)</f>
        <v>0</v>
      </c>
    </row>
    <row r="100" spans="1:114" hidden="1">
      <c r="A100" s="569">
        <v>2003459</v>
      </c>
      <c r="B100" s="550" t="s">
        <v>526</v>
      </c>
      <c r="C100" s="551" t="s">
        <v>374</v>
      </c>
      <c r="D100" s="552">
        <v>0</v>
      </c>
      <c r="E100" s="552">
        <v>0.52600000000000002</v>
      </c>
      <c r="F100" s="552">
        <v>0</v>
      </c>
      <c r="G100" s="552">
        <v>0.89922000000000002</v>
      </c>
      <c r="H100" s="552">
        <v>1.1026199999999999</v>
      </c>
      <c r="I100" s="552">
        <v>280.53417999999999</v>
      </c>
      <c r="J100" s="552">
        <v>0</v>
      </c>
      <c r="K100" s="552">
        <v>0.90449999999999997</v>
      </c>
      <c r="L100" s="552">
        <v>0.85649999999999993</v>
      </c>
      <c r="M100" s="552">
        <v>332</v>
      </c>
      <c r="N100" s="552">
        <v>2.7936000000000001</v>
      </c>
      <c r="O100" s="552">
        <v>0.52600000000000002</v>
      </c>
      <c r="P100" s="552">
        <v>2.7936000000000001</v>
      </c>
      <c r="Q100" s="552">
        <v>0.88500000000000001</v>
      </c>
      <c r="R100" s="552">
        <v>0.86699999999999999</v>
      </c>
      <c r="S100" s="552">
        <v>364</v>
      </c>
      <c r="T100" s="552">
        <v>0</v>
      </c>
      <c r="U100" s="552">
        <v>0.90449999999999997</v>
      </c>
      <c r="V100" s="552">
        <v>0.85649999999999993</v>
      </c>
      <c r="W100" s="552">
        <v>332</v>
      </c>
      <c r="X100" s="561">
        <v>0</v>
      </c>
      <c r="Y100" s="552">
        <v>0.88500000000000001</v>
      </c>
      <c r="Z100" s="552">
        <v>0.86699999999999999</v>
      </c>
      <c r="AA100" s="552">
        <v>364</v>
      </c>
      <c r="AB100" s="552">
        <v>0</v>
      </c>
      <c r="AC100" s="552">
        <v>0.87749999999999995</v>
      </c>
      <c r="AD100" s="552">
        <v>0.88019999999999998</v>
      </c>
      <c r="AE100" s="552">
        <v>389</v>
      </c>
      <c r="AF100" s="552">
        <v>0</v>
      </c>
      <c r="AG100" s="552">
        <v>1.1499999999999999</v>
      </c>
      <c r="AH100" s="552">
        <v>0</v>
      </c>
      <c r="AI100" s="552">
        <v>1.7249999999999999</v>
      </c>
      <c r="AJ100" s="552">
        <v>350</v>
      </c>
      <c r="AK100" s="561">
        <v>0</v>
      </c>
      <c r="AL100" s="552">
        <v>1.5065250000000001</v>
      </c>
      <c r="AM100" s="552">
        <v>458.01186999999999</v>
      </c>
      <c r="AN100" s="552">
        <v>0</v>
      </c>
      <c r="AO100" s="552">
        <v>0.89922000000000002</v>
      </c>
      <c r="AP100" s="552">
        <v>1.1026199999999999</v>
      </c>
      <c r="AQ100" s="552">
        <v>283.53417999999999</v>
      </c>
      <c r="AR100" s="554"/>
      <c r="AS100" s="555">
        <f t="shared" si="34"/>
        <v>7.8042009600000002</v>
      </c>
      <c r="AT100" s="570">
        <f t="shared" si="35"/>
        <v>0</v>
      </c>
      <c r="AU100" s="563"/>
      <c r="AV100" s="553">
        <f t="shared" si="36"/>
        <v>6.9067178496000006</v>
      </c>
      <c r="AW100" s="553">
        <f t="shared" si="36"/>
        <v>6.7662422323199998</v>
      </c>
      <c r="AX100" s="553">
        <f t="shared" si="36"/>
        <v>2840.7291494400001</v>
      </c>
      <c r="AY100" s="552">
        <f t="shared" si="37"/>
        <v>1.4694336000000001</v>
      </c>
      <c r="AZ100" s="571">
        <f t="shared" si="38"/>
        <v>0</v>
      </c>
      <c r="BA100" s="571">
        <f t="shared" si="38"/>
        <v>0</v>
      </c>
      <c r="BB100" s="557"/>
      <c r="BC100" s="553">
        <v>0</v>
      </c>
      <c r="BD100" s="553">
        <v>0</v>
      </c>
      <c r="BE100" s="553">
        <v>0</v>
      </c>
      <c r="BF100" s="553">
        <v>1.1815</v>
      </c>
      <c r="BG100" s="554" t="str">
        <f>IFERROR(VLOOKUP(#REF!,#REF!,4,FALSE),"")</f>
        <v/>
      </c>
      <c r="BH100" s="552">
        <v>7.4326999999999996</v>
      </c>
      <c r="BI100" s="552"/>
      <c r="BJ100" s="552"/>
      <c r="BK100" s="552"/>
      <c r="BL100" s="552"/>
      <c r="BM100" s="552"/>
      <c r="BN100" s="552"/>
      <c r="BO100" s="552"/>
      <c r="BP100" s="552"/>
      <c r="BQ100" s="552"/>
      <c r="BR100" s="552"/>
      <c r="BS100" s="552"/>
      <c r="BT100" s="552"/>
      <c r="BU100" s="552"/>
      <c r="BV100" s="552"/>
      <c r="BW100" s="552"/>
      <c r="BX100" s="552"/>
      <c r="BY100" s="552"/>
      <c r="BZ100" s="554"/>
      <c r="CA100" s="552">
        <f t="shared" si="39"/>
        <v>0.11149049999999999</v>
      </c>
      <c r="CB100" s="552">
        <f t="shared" si="39"/>
        <v>0</v>
      </c>
      <c r="CC100" s="552">
        <f t="shared" si="39"/>
        <v>0</v>
      </c>
      <c r="CD100" s="552">
        <f t="shared" si="39"/>
        <v>0</v>
      </c>
      <c r="CE100" s="552">
        <f t="shared" si="39"/>
        <v>0</v>
      </c>
      <c r="CF100" s="552">
        <f t="shared" si="39"/>
        <v>0</v>
      </c>
      <c r="CG100" s="552">
        <f t="shared" si="39"/>
        <v>0</v>
      </c>
      <c r="CH100" s="552">
        <f t="shared" si="39"/>
        <v>0</v>
      </c>
      <c r="CI100" s="552">
        <f t="shared" si="39"/>
        <v>0</v>
      </c>
      <c r="CJ100" s="552">
        <f t="shared" si="39"/>
        <v>0</v>
      </c>
      <c r="CK100" s="552">
        <f t="shared" si="39"/>
        <v>0</v>
      </c>
      <c r="CL100" s="552">
        <f t="shared" si="39"/>
        <v>0</v>
      </c>
      <c r="CM100" s="552">
        <f t="shared" si="39"/>
        <v>0</v>
      </c>
      <c r="CN100" s="552">
        <f t="shared" si="39"/>
        <v>0</v>
      </c>
      <c r="CO100" s="552">
        <f t="shared" si="39"/>
        <v>0</v>
      </c>
      <c r="CP100" s="552">
        <f t="shared" si="39"/>
        <v>0</v>
      </c>
      <c r="CQ100" s="552">
        <f t="shared" si="40"/>
        <v>0</v>
      </c>
      <c r="CR100" s="552">
        <f t="shared" si="40"/>
        <v>0</v>
      </c>
      <c r="CS100" s="552">
        <f t="shared" si="41"/>
        <v>0.11149049999999999</v>
      </c>
      <c r="CT100" s="554"/>
      <c r="CU100" s="552"/>
      <c r="CV100" s="552"/>
      <c r="CW100" s="552"/>
      <c r="CX100" s="552"/>
      <c r="CY100" s="552"/>
      <c r="CZ100" s="552"/>
      <c r="DA100" s="472"/>
      <c r="DB100" s="552">
        <f t="shared" si="42"/>
        <v>0</v>
      </c>
      <c r="DC100" s="552">
        <f t="shared" si="42"/>
        <v>0</v>
      </c>
      <c r="DD100" s="552">
        <f t="shared" si="42"/>
        <v>0</v>
      </c>
      <c r="DE100" s="552">
        <f t="shared" si="42"/>
        <v>0</v>
      </c>
      <c r="DF100" s="552">
        <f t="shared" si="42"/>
        <v>0</v>
      </c>
      <c r="DG100" s="552">
        <f t="shared" si="42"/>
        <v>0</v>
      </c>
      <c r="DH100" s="552">
        <f t="shared" si="44"/>
        <v>0</v>
      </c>
      <c r="DI100" s="554"/>
      <c r="DJ100" s="525">
        <f>IFERROR(VLOOKUP(A100,'Transp. Dre Rodovia'!$A$19:$D$29,4,FALSE),0)+IFERROR(VLOOKUP(A100,#REF!,4,FALSE),0)</f>
        <v>0</v>
      </c>
    </row>
    <row r="101" spans="1:114" hidden="1">
      <c r="A101" s="569">
        <v>2003461</v>
      </c>
      <c r="B101" s="550" t="s">
        <v>527</v>
      </c>
      <c r="C101" s="551" t="s">
        <v>374</v>
      </c>
      <c r="D101" s="552">
        <v>0</v>
      </c>
      <c r="E101" s="552">
        <v>0.52600000000000002</v>
      </c>
      <c r="F101" s="552">
        <v>0</v>
      </c>
      <c r="G101" s="552">
        <v>0.89922000000000002</v>
      </c>
      <c r="H101" s="552">
        <v>1.1026199999999999</v>
      </c>
      <c r="I101" s="552">
        <v>280.53417999999999</v>
      </c>
      <c r="J101" s="552">
        <v>0</v>
      </c>
      <c r="K101" s="552">
        <v>0.90449999999999997</v>
      </c>
      <c r="L101" s="552">
        <v>0.85649999999999993</v>
      </c>
      <c r="M101" s="552">
        <v>332</v>
      </c>
      <c r="N101" s="552">
        <v>4.4711999999999996</v>
      </c>
      <c r="O101" s="552">
        <v>0.52600000000000002</v>
      </c>
      <c r="P101" s="552">
        <v>4.4711999999999996</v>
      </c>
      <c r="Q101" s="552">
        <v>0.88500000000000001</v>
      </c>
      <c r="R101" s="552">
        <v>0.86699999999999999</v>
      </c>
      <c r="S101" s="552">
        <v>364</v>
      </c>
      <c r="T101" s="552">
        <v>0</v>
      </c>
      <c r="U101" s="552">
        <v>0.90449999999999997</v>
      </c>
      <c r="V101" s="552">
        <v>0.85649999999999993</v>
      </c>
      <c r="W101" s="552">
        <v>332</v>
      </c>
      <c r="X101" s="561">
        <v>0</v>
      </c>
      <c r="Y101" s="552">
        <v>0.88500000000000001</v>
      </c>
      <c r="Z101" s="552">
        <v>0.86699999999999999</v>
      </c>
      <c r="AA101" s="552">
        <v>364</v>
      </c>
      <c r="AB101" s="552">
        <v>0</v>
      </c>
      <c r="AC101" s="552">
        <v>0.87749999999999995</v>
      </c>
      <c r="AD101" s="552">
        <v>0.88019999999999998</v>
      </c>
      <c r="AE101" s="552">
        <v>389</v>
      </c>
      <c r="AF101" s="552">
        <v>0</v>
      </c>
      <c r="AG101" s="552">
        <v>1.1499999999999999</v>
      </c>
      <c r="AH101" s="552">
        <v>0</v>
      </c>
      <c r="AI101" s="552">
        <v>1.7249999999999999</v>
      </c>
      <c r="AJ101" s="552">
        <v>350</v>
      </c>
      <c r="AK101" s="561">
        <v>0</v>
      </c>
      <c r="AL101" s="552">
        <v>1.5065250000000001</v>
      </c>
      <c r="AM101" s="552">
        <v>458.01186999999999</v>
      </c>
      <c r="AN101" s="552">
        <v>0</v>
      </c>
      <c r="AO101" s="552">
        <v>0.89922000000000002</v>
      </c>
      <c r="AP101" s="552">
        <v>1.1026199999999999</v>
      </c>
      <c r="AQ101" s="552">
        <v>284.53417999999999</v>
      </c>
      <c r="AR101" s="554"/>
      <c r="AS101" s="555">
        <f t="shared" si="34"/>
        <v>19.991629439999997</v>
      </c>
      <c r="AT101" s="570">
        <f t="shared" si="35"/>
        <v>0</v>
      </c>
      <c r="AU101" s="563"/>
      <c r="AV101" s="553">
        <f t="shared" si="36"/>
        <v>17.692592054399999</v>
      </c>
      <c r="AW101" s="553">
        <f t="shared" si="36"/>
        <v>17.332742724479996</v>
      </c>
      <c r="AX101" s="553">
        <f t="shared" si="36"/>
        <v>7276.9531161599989</v>
      </c>
      <c r="AY101" s="552">
        <f t="shared" si="37"/>
        <v>2.3518512</v>
      </c>
      <c r="AZ101" s="571">
        <f t="shared" si="38"/>
        <v>0</v>
      </c>
      <c r="BA101" s="571">
        <f t="shared" si="38"/>
        <v>0</v>
      </c>
      <c r="BB101" s="557"/>
      <c r="BC101" s="553">
        <v>0</v>
      </c>
      <c r="BD101" s="553">
        <v>0</v>
      </c>
      <c r="BE101" s="553">
        <v>0</v>
      </c>
      <c r="BF101" s="553">
        <v>1.9786999999999999</v>
      </c>
      <c r="BG101" s="554" t="str">
        <f>IFERROR(VLOOKUP(#REF!,#REF!,4,FALSE),"")</f>
        <v/>
      </c>
      <c r="BH101" s="552">
        <v>9.3360000000000003</v>
      </c>
      <c r="BI101" s="552"/>
      <c r="BJ101" s="552"/>
      <c r="BK101" s="552"/>
      <c r="BL101" s="552"/>
      <c r="BM101" s="552"/>
      <c r="BN101" s="552"/>
      <c r="BO101" s="552"/>
      <c r="BP101" s="552"/>
      <c r="BQ101" s="552"/>
      <c r="BR101" s="552"/>
      <c r="BS101" s="552"/>
      <c r="BT101" s="552"/>
      <c r="BU101" s="552"/>
      <c r="BV101" s="552"/>
      <c r="BW101" s="552"/>
      <c r="BX101" s="552"/>
      <c r="BY101" s="552"/>
      <c r="BZ101" s="554"/>
      <c r="CA101" s="552">
        <f t="shared" si="39"/>
        <v>0.14004</v>
      </c>
      <c r="CB101" s="552">
        <f t="shared" si="39"/>
        <v>0</v>
      </c>
      <c r="CC101" s="552">
        <f t="shared" si="39"/>
        <v>0</v>
      </c>
      <c r="CD101" s="552">
        <f t="shared" si="39"/>
        <v>0</v>
      </c>
      <c r="CE101" s="552">
        <f t="shared" si="39"/>
        <v>0</v>
      </c>
      <c r="CF101" s="552">
        <f t="shared" si="39"/>
        <v>0</v>
      </c>
      <c r="CG101" s="552">
        <f t="shared" si="39"/>
        <v>0</v>
      </c>
      <c r="CH101" s="552">
        <f t="shared" si="39"/>
        <v>0</v>
      </c>
      <c r="CI101" s="552">
        <f t="shared" si="39"/>
        <v>0</v>
      </c>
      <c r="CJ101" s="552">
        <f t="shared" si="39"/>
        <v>0</v>
      </c>
      <c r="CK101" s="552">
        <f t="shared" si="39"/>
        <v>0</v>
      </c>
      <c r="CL101" s="552">
        <f t="shared" si="39"/>
        <v>0</v>
      </c>
      <c r="CM101" s="552">
        <f t="shared" si="39"/>
        <v>0</v>
      </c>
      <c r="CN101" s="552">
        <f t="shared" si="39"/>
        <v>0</v>
      </c>
      <c r="CO101" s="552">
        <f t="shared" si="39"/>
        <v>0</v>
      </c>
      <c r="CP101" s="552">
        <f t="shared" si="39"/>
        <v>0</v>
      </c>
      <c r="CQ101" s="552">
        <f t="shared" si="40"/>
        <v>0</v>
      </c>
      <c r="CR101" s="552">
        <f t="shared" si="40"/>
        <v>0</v>
      </c>
      <c r="CS101" s="552">
        <f t="shared" si="41"/>
        <v>0.14004</v>
      </c>
      <c r="CT101" s="554"/>
      <c r="CU101" s="552"/>
      <c r="CV101" s="552"/>
      <c r="CW101" s="552"/>
      <c r="CX101" s="552"/>
      <c r="CY101" s="552"/>
      <c r="CZ101" s="552"/>
      <c r="DA101" s="472"/>
      <c r="DB101" s="552">
        <f t="shared" si="42"/>
        <v>0</v>
      </c>
      <c r="DC101" s="552">
        <f t="shared" si="42"/>
        <v>0</v>
      </c>
      <c r="DD101" s="552">
        <f t="shared" si="42"/>
        <v>0</v>
      </c>
      <c r="DE101" s="552">
        <f t="shared" si="42"/>
        <v>0</v>
      </c>
      <c r="DF101" s="552">
        <f t="shared" si="42"/>
        <v>0</v>
      </c>
      <c r="DG101" s="552">
        <f t="shared" si="42"/>
        <v>0</v>
      </c>
      <c r="DH101" s="552">
        <f t="shared" si="44"/>
        <v>0</v>
      </c>
      <c r="DI101" s="554"/>
      <c r="DJ101" s="525">
        <f>IFERROR(VLOOKUP(A101,'Transp. Dre Rodovia'!$A$19:$D$29,4,FALSE),0)+IFERROR(VLOOKUP(A101,#REF!,4,FALSE),0)</f>
        <v>0</v>
      </c>
    </row>
    <row r="102" spans="1:114" hidden="1">
      <c r="A102" s="569">
        <v>2003473</v>
      </c>
      <c r="B102" s="550" t="s">
        <v>528</v>
      </c>
      <c r="C102" s="551" t="s">
        <v>374</v>
      </c>
      <c r="D102" s="552">
        <v>0</v>
      </c>
      <c r="E102" s="552">
        <v>0.52600000000000002</v>
      </c>
      <c r="F102" s="552">
        <v>0</v>
      </c>
      <c r="G102" s="552">
        <v>0.89922000000000002</v>
      </c>
      <c r="H102" s="552">
        <v>1.1026199999999999</v>
      </c>
      <c r="I102" s="552">
        <v>280.53417999999999</v>
      </c>
      <c r="J102" s="552">
        <v>0</v>
      </c>
      <c r="K102" s="552">
        <v>0.90449999999999997</v>
      </c>
      <c r="L102" s="552">
        <v>0.85649999999999993</v>
      </c>
      <c r="M102" s="552">
        <v>332</v>
      </c>
      <c r="N102" s="552">
        <v>7.5048000000000004</v>
      </c>
      <c r="O102" s="552">
        <v>0.52600000000000002</v>
      </c>
      <c r="P102" s="552">
        <v>7.5048000000000004</v>
      </c>
      <c r="Q102" s="552">
        <v>0.88500000000000001</v>
      </c>
      <c r="R102" s="552">
        <v>0.86699999999999999</v>
      </c>
      <c r="S102" s="552">
        <v>364</v>
      </c>
      <c r="T102" s="552">
        <v>0</v>
      </c>
      <c r="U102" s="552">
        <v>0.90449999999999997</v>
      </c>
      <c r="V102" s="552">
        <v>0.85649999999999993</v>
      </c>
      <c r="W102" s="552">
        <v>332</v>
      </c>
      <c r="X102" s="561">
        <v>0</v>
      </c>
      <c r="Y102" s="552">
        <v>0.88500000000000001</v>
      </c>
      <c r="Z102" s="552">
        <v>0.86699999999999999</v>
      </c>
      <c r="AA102" s="552">
        <v>364</v>
      </c>
      <c r="AB102" s="552">
        <v>0</v>
      </c>
      <c r="AC102" s="552">
        <v>0.87749999999999995</v>
      </c>
      <c r="AD102" s="552">
        <v>0.88019999999999998</v>
      </c>
      <c r="AE102" s="552">
        <v>389</v>
      </c>
      <c r="AF102" s="552">
        <v>0</v>
      </c>
      <c r="AG102" s="552">
        <v>1.1499999999999999</v>
      </c>
      <c r="AH102" s="552">
        <v>0</v>
      </c>
      <c r="AI102" s="552">
        <v>1.7249999999999999</v>
      </c>
      <c r="AJ102" s="552">
        <v>350</v>
      </c>
      <c r="AK102" s="561">
        <v>0</v>
      </c>
      <c r="AL102" s="552">
        <v>1.5065250000000001</v>
      </c>
      <c r="AM102" s="552">
        <v>458.01186999999999</v>
      </c>
      <c r="AN102" s="552">
        <v>0</v>
      </c>
      <c r="AO102" s="552">
        <v>0.89922000000000002</v>
      </c>
      <c r="AP102" s="552">
        <v>1.1026199999999999</v>
      </c>
      <c r="AQ102" s="552">
        <v>285.53417999999999</v>
      </c>
      <c r="AR102" s="554"/>
      <c r="AS102" s="555">
        <f t="shared" si="34"/>
        <v>56.322023040000005</v>
      </c>
      <c r="AT102" s="570">
        <f t="shared" si="35"/>
        <v>0</v>
      </c>
      <c r="AU102" s="563"/>
      <c r="AV102" s="553">
        <f t="shared" si="36"/>
        <v>49.844990390400007</v>
      </c>
      <c r="AW102" s="553">
        <f t="shared" si="36"/>
        <v>48.831193975680002</v>
      </c>
      <c r="AX102" s="553">
        <f t="shared" si="36"/>
        <v>20501.216386560001</v>
      </c>
      <c r="AY102" s="552">
        <f t="shared" si="37"/>
        <v>3.9475248000000005</v>
      </c>
      <c r="AZ102" s="571">
        <f t="shared" si="38"/>
        <v>0</v>
      </c>
      <c r="BA102" s="571">
        <f t="shared" si="38"/>
        <v>0</v>
      </c>
      <c r="BB102" s="557"/>
      <c r="BC102" s="553">
        <v>0</v>
      </c>
      <c r="BD102" s="553">
        <v>0</v>
      </c>
      <c r="BE102" s="553">
        <v>0</v>
      </c>
      <c r="BF102" s="553">
        <v>3.4340999999999999</v>
      </c>
      <c r="BG102" s="554" t="str">
        <f>IFERROR(VLOOKUP(#REF!,#REF!,4,FALSE),"")</f>
        <v/>
      </c>
      <c r="BH102" s="552">
        <v>11.766</v>
      </c>
      <c r="BI102" s="552"/>
      <c r="BJ102" s="552"/>
      <c r="BK102" s="552"/>
      <c r="BL102" s="552"/>
      <c r="BM102" s="552"/>
      <c r="BN102" s="552"/>
      <c r="BO102" s="552"/>
      <c r="BP102" s="552"/>
      <c r="BQ102" s="552"/>
      <c r="BR102" s="552"/>
      <c r="BS102" s="552"/>
      <c r="BT102" s="552"/>
      <c r="BU102" s="552"/>
      <c r="BV102" s="552"/>
      <c r="BW102" s="552"/>
      <c r="BX102" s="552"/>
      <c r="BY102" s="552"/>
      <c r="BZ102" s="554"/>
      <c r="CA102" s="552">
        <f t="shared" si="39"/>
        <v>0.17648999999999998</v>
      </c>
      <c r="CB102" s="552">
        <f t="shared" si="39"/>
        <v>0</v>
      </c>
      <c r="CC102" s="552">
        <f t="shared" si="39"/>
        <v>0</v>
      </c>
      <c r="CD102" s="552">
        <f t="shared" si="39"/>
        <v>0</v>
      </c>
      <c r="CE102" s="552">
        <f t="shared" si="39"/>
        <v>0</v>
      </c>
      <c r="CF102" s="552">
        <f t="shared" si="39"/>
        <v>0</v>
      </c>
      <c r="CG102" s="552">
        <f t="shared" si="39"/>
        <v>0</v>
      </c>
      <c r="CH102" s="552">
        <f t="shared" si="39"/>
        <v>0</v>
      </c>
      <c r="CI102" s="552">
        <f t="shared" si="39"/>
        <v>0</v>
      </c>
      <c r="CJ102" s="552">
        <f t="shared" si="39"/>
        <v>0</v>
      </c>
      <c r="CK102" s="552">
        <f t="shared" si="39"/>
        <v>0</v>
      </c>
      <c r="CL102" s="552">
        <f t="shared" si="39"/>
        <v>0</v>
      </c>
      <c r="CM102" s="552">
        <f t="shared" si="39"/>
        <v>0</v>
      </c>
      <c r="CN102" s="552">
        <f t="shared" si="39"/>
        <v>0</v>
      </c>
      <c r="CO102" s="552">
        <f t="shared" si="39"/>
        <v>0</v>
      </c>
      <c r="CP102" s="552">
        <f t="shared" si="39"/>
        <v>0</v>
      </c>
      <c r="CQ102" s="552">
        <f t="shared" si="40"/>
        <v>0</v>
      </c>
      <c r="CR102" s="552">
        <f t="shared" si="40"/>
        <v>0</v>
      </c>
      <c r="CS102" s="552">
        <f t="shared" si="41"/>
        <v>0.17648999999999998</v>
      </c>
      <c r="CT102" s="554"/>
      <c r="CU102" s="552"/>
      <c r="CV102" s="552"/>
      <c r="CW102" s="552"/>
      <c r="CX102" s="552"/>
      <c r="CY102" s="552"/>
      <c r="CZ102" s="552"/>
      <c r="DA102" s="472"/>
      <c r="DB102" s="552">
        <f t="shared" si="42"/>
        <v>0</v>
      </c>
      <c r="DC102" s="552">
        <f t="shared" si="42"/>
        <v>0</v>
      </c>
      <c r="DD102" s="552">
        <f t="shared" si="42"/>
        <v>0</v>
      </c>
      <c r="DE102" s="552">
        <f t="shared" si="42"/>
        <v>0</v>
      </c>
      <c r="DF102" s="552">
        <f t="shared" si="42"/>
        <v>0</v>
      </c>
      <c r="DG102" s="552">
        <f t="shared" si="42"/>
        <v>0</v>
      </c>
      <c r="DH102" s="552">
        <f t="shared" si="44"/>
        <v>0</v>
      </c>
      <c r="DI102" s="554"/>
      <c r="DJ102" s="525">
        <f>IFERROR(VLOOKUP(A102,'Transp. Dre Rodovia'!$A$19:$D$29,4,FALSE),0)+IFERROR(VLOOKUP(A102,#REF!,4,FALSE),0)</f>
        <v>0</v>
      </c>
    </row>
    <row r="103" spans="1:114" hidden="1">
      <c r="A103" s="569">
        <v>14360</v>
      </c>
      <c r="B103" s="550" t="s">
        <v>529</v>
      </c>
      <c r="C103" s="551" t="s">
        <v>146</v>
      </c>
      <c r="D103" s="552">
        <v>0</v>
      </c>
      <c r="E103" s="552">
        <v>0.52600000000000002</v>
      </c>
      <c r="F103" s="552">
        <v>0</v>
      </c>
      <c r="G103" s="552">
        <v>0.89922000000000002</v>
      </c>
      <c r="H103" s="552">
        <v>1.1026199999999999</v>
      </c>
      <c r="I103" s="552">
        <v>280.53417999999999</v>
      </c>
      <c r="J103" s="552">
        <v>0</v>
      </c>
      <c r="K103" s="552">
        <v>0.90449999999999997</v>
      </c>
      <c r="L103" s="552">
        <v>0.85649999999999993</v>
      </c>
      <c r="M103" s="552">
        <v>332</v>
      </c>
      <c r="N103" s="552">
        <v>0</v>
      </c>
      <c r="O103" s="552">
        <v>0.52600000000000002</v>
      </c>
      <c r="P103" s="552">
        <v>0</v>
      </c>
      <c r="Q103" s="552">
        <v>0.88500000000000001</v>
      </c>
      <c r="R103" s="552">
        <v>0.86699999999999999</v>
      </c>
      <c r="S103" s="552">
        <v>364</v>
      </c>
      <c r="T103" s="552">
        <v>0</v>
      </c>
      <c r="U103" s="552">
        <v>0.90449999999999997</v>
      </c>
      <c r="V103" s="552">
        <v>0.85649999999999993</v>
      </c>
      <c r="W103" s="552">
        <v>332</v>
      </c>
      <c r="X103" s="561">
        <v>0</v>
      </c>
      <c r="Y103" s="552">
        <v>0.88500000000000001</v>
      </c>
      <c r="Z103" s="552">
        <v>0.86699999999999999</v>
      </c>
      <c r="AA103" s="552">
        <v>364</v>
      </c>
      <c r="AB103" s="552">
        <v>0</v>
      </c>
      <c r="AC103" s="552">
        <v>0.87749999999999995</v>
      </c>
      <c r="AD103" s="552">
        <v>0.88019999999999998</v>
      </c>
      <c r="AE103" s="552">
        <v>389</v>
      </c>
      <c r="AF103" s="552">
        <v>0</v>
      </c>
      <c r="AG103" s="552">
        <v>1.1499999999999999</v>
      </c>
      <c r="AH103" s="552">
        <v>0</v>
      </c>
      <c r="AI103" s="552">
        <v>1.7249999999999999</v>
      </c>
      <c r="AJ103" s="552">
        <v>350</v>
      </c>
      <c r="AK103" s="561">
        <v>0</v>
      </c>
      <c r="AL103" s="552">
        <v>1.5065250000000001</v>
      </c>
      <c r="AM103" s="552">
        <v>458.01186999999999</v>
      </c>
      <c r="AN103" s="552">
        <v>0</v>
      </c>
      <c r="AO103" s="552">
        <v>0.89922000000000002</v>
      </c>
      <c r="AP103" s="552">
        <v>1.1026199999999999</v>
      </c>
      <c r="AQ103" s="552">
        <v>286.53417999999999</v>
      </c>
      <c r="AR103" s="554"/>
      <c r="AS103" s="555">
        <f t="shared" si="34"/>
        <v>0</v>
      </c>
      <c r="AT103" s="570">
        <f t="shared" si="35"/>
        <v>0</v>
      </c>
      <c r="AU103" s="563"/>
      <c r="AV103" s="553">
        <f t="shared" si="36"/>
        <v>0</v>
      </c>
      <c r="AW103" s="553">
        <f t="shared" si="36"/>
        <v>0</v>
      </c>
      <c r="AX103" s="553">
        <f t="shared" si="36"/>
        <v>0</v>
      </c>
      <c r="AY103" s="552">
        <f t="shared" si="37"/>
        <v>0</v>
      </c>
      <c r="AZ103" s="571">
        <f t="shared" si="38"/>
        <v>0</v>
      </c>
      <c r="BA103" s="571">
        <f t="shared" si="38"/>
        <v>0</v>
      </c>
      <c r="BB103" s="557"/>
      <c r="BC103" s="553">
        <v>2.6619000000000004E-2</v>
      </c>
      <c r="BD103" s="553">
        <v>0</v>
      </c>
      <c r="BE103" s="553">
        <v>2.5668000000000002</v>
      </c>
      <c r="BF103" s="553">
        <v>0</v>
      </c>
      <c r="BG103" s="554" t="str">
        <f>IFERROR(VLOOKUP(#REF!,#REF!,4,FALSE),"")</f>
        <v/>
      </c>
      <c r="BH103" s="552"/>
      <c r="BI103" s="552"/>
      <c r="BJ103" s="552"/>
      <c r="BK103" s="552"/>
      <c r="BL103" s="552"/>
      <c r="BM103" s="552"/>
      <c r="BN103" s="552"/>
      <c r="BO103" s="552">
        <v>13.13</v>
      </c>
      <c r="BP103" s="552"/>
      <c r="BQ103" s="552"/>
      <c r="BR103" s="552"/>
      <c r="BS103" s="552"/>
      <c r="BT103" s="552"/>
      <c r="BU103" s="552"/>
      <c r="BV103" s="552"/>
      <c r="BW103" s="552"/>
      <c r="BX103" s="552"/>
      <c r="BY103" s="552"/>
      <c r="BZ103" s="554"/>
      <c r="CA103" s="552">
        <f t="shared" si="39"/>
        <v>0</v>
      </c>
      <c r="CB103" s="552">
        <f t="shared" si="39"/>
        <v>0</v>
      </c>
      <c r="CC103" s="552">
        <f t="shared" si="39"/>
        <v>0</v>
      </c>
      <c r="CD103" s="552">
        <f t="shared" si="39"/>
        <v>0</v>
      </c>
      <c r="CE103" s="552">
        <f t="shared" si="39"/>
        <v>0</v>
      </c>
      <c r="CF103" s="552">
        <f t="shared" si="39"/>
        <v>0</v>
      </c>
      <c r="CG103" s="552">
        <f t="shared" si="39"/>
        <v>0</v>
      </c>
      <c r="CH103" s="552">
        <f t="shared" si="39"/>
        <v>0.18382000000000001</v>
      </c>
      <c r="CI103" s="552">
        <f t="shared" si="39"/>
        <v>0</v>
      </c>
      <c r="CJ103" s="552">
        <f t="shared" si="39"/>
        <v>0</v>
      </c>
      <c r="CK103" s="552">
        <f t="shared" si="39"/>
        <v>0</v>
      </c>
      <c r="CL103" s="552">
        <f t="shared" si="39"/>
        <v>0</v>
      </c>
      <c r="CM103" s="552">
        <f t="shared" si="39"/>
        <v>0</v>
      </c>
      <c r="CN103" s="552">
        <f t="shared" si="39"/>
        <v>0</v>
      </c>
      <c r="CO103" s="552">
        <f t="shared" si="39"/>
        <v>0</v>
      </c>
      <c r="CP103" s="552">
        <f t="shared" si="39"/>
        <v>0</v>
      </c>
      <c r="CQ103" s="552">
        <f t="shared" si="40"/>
        <v>0</v>
      </c>
      <c r="CR103" s="552">
        <f t="shared" si="40"/>
        <v>0</v>
      </c>
      <c r="CS103" s="552">
        <f t="shared" si="41"/>
        <v>0.18382000000000001</v>
      </c>
      <c r="CT103" s="554"/>
      <c r="CU103" s="552"/>
      <c r="CV103" s="552"/>
      <c r="CW103" s="552"/>
      <c r="CX103" s="552"/>
      <c r="CY103" s="552"/>
      <c r="CZ103" s="552"/>
      <c r="DA103" s="472"/>
      <c r="DB103" s="552">
        <f t="shared" si="42"/>
        <v>0</v>
      </c>
      <c r="DC103" s="552">
        <f t="shared" si="42"/>
        <v>0</v>
      </c>
      <c r="DD103" s="552">
        <f t="shared" si="42"/>
        <v>0</v>
      </c>
      <c r="DE103" s="552">
        <f t="shared" si="42"/>
        <v>0</v>
      </c>
      <c r="DF103" s="552">
        <f t="shared" si="42"/>
        <v>0</v>
      </c>
      <c r="DG103" s="552">
        <f t="shared" si="42"/>
        <v>0</v>
      </c>
      <c r="DH103" s="552">
        <f t="shared" si="44"/>
        <v>0</v>
      </c>
      <c r="DI103" s="554"/>
      <c r="DJ103" s="525">
        <f>IFERROR(VLOOKUP(A103,'Transp. Dre Rodovia'!$A$19:$D$29,4,FALSE),0)+IFERROR(VLOOKUP(A103,#REF!,4,FALSE),0)</f>
        <v>0</v>
      </c>
    </row>
    <row r="104" spans="1:114" s="476" customFormat="1" ht="12.75">
      <c r="A104" s="569">
        <v>2003517</v>
      </c>
      <c r="B104" s="550" t="s">
        <v>530</v>
      </c>
      <c r="C104" s="551" t="s">
        <v>374</v>
      </c>
      <c r="D104" s="552">
        <v>0</v>
      </c>
      <c r="E104" s="552">
        <v>0.52600000000000002</v>
      </c>
      <c r="F104" s="552">
        <v>0</v>
      </c>
      <c r="G104" s="552">
        <v>0.89922000000000002</v>
      </c>
      <c r="H104" s="552">
        <v>1.1026199999999999</v>
      </c>
      <c r="I104" s="552">
        <v>280.53417999999999</v>
      </c>
      <c r="J104" s="552">
        <v>0</v>
      </c>
      <c r="K104" s="552">
        <v>0.90449999999999997</v>
      </c>
      <c r="L104" s="552">
        <v>0.85649999999999993</v>
      </c>
      <c r="M104" s="552">
        <v>332</v>
      </c>
      <c r="N104" s="552">
        <v>0</v>
      </c>
      <c r="O104" s="552">
        <v>0.52600000000000002</v>
      </c>
      <c r="P104" s="552">
        <v>2.2934999999999999</v>
      </c>
      <c r="Q104" s="552">
        <v>0.88500000000000001</v>
      </c>
      <c r="R104" s="552">
        <v>0.86699999999999999</v>
      </c>
      <c r="S104" s="552">
        <v>364</v>
      </c>
      <c r="T104" s="552">
        <v>0</v>
      </c>
      <c r="U104" s="552">
        <v>0.90449999999999997</v>
      </c>
      <c r="V104" s="552">
        <v>0.85649999999999993</v>
      </c>
      <c r="W104" s="552">
        <v>332</v>
      </c>
      <c r="X104" s="561">
        <v>0</v>
      </c>
      <c r="Y104" s="552">
        <v>0.88500000000000001</v>
      </c>
      <c r="Z104" s="552">
        <v>0.86699999999999999</v>
      </c>
      <c r="AA104" s="552">
        <v>364</v>
      </c>
      <c r="AB104" s="552">
        <v>0</v>
      </c>
      <c r="AC104" s="552">
        <v>0.87749999999999995</v>
      </c>
      <c r="AD104" s="552">
        <v>0.88019999999999998</v>
      </c>
      <c r="AE104" s="552">
        <v>389</v>
      </c>
      <c r="AF104" s="552">
        <v>0</v>
      </c>
      <c r="AG104" s="552">
        <v>1.1499999999999999</v>
      </c>
      <c r="AH104" s="552">
        <v>0</v>
      </c>
      <c r="AI104" s="552">
        <v>1.7249999999999999</v>
      </c>
      <c r="AJ104" s="552">
        <v>350</v>
      </c>
      <c r="AK104" s="561">
        <v>0</v>
      </c>
      <c r="AL104" s="552">
        <v>1.5065250000000001</v>
      </c>
      <c r="AM104" s="552">
        <v>458.01186999999999</v>
      </c>
      <c r="AN104" s="552">
        <v>0.26879999999999998</v>
      </c>
      <c r="AO104" s="552">
        <v>0.89922000000000002</v>
      </c>
      <c r="AP104" s="552">
        <v>1.1026199999999999</v>
      </c>
      <c r="AQ104" s="552">
        <v>287.53417999999999</v>
      </c>
      <c r="AR104" s="554"/>
      <c r="AS104" s="555">
        <f t="shared" si="34"/>
        <v>2.5623</v>
      </c>
      <c r="AT104" s="570">
        <f t="shared" si="35"/>
        <v>0</v>
      </c>
      <c r="AU104" s="563"/>
      <c r="AV104" s="553">
        <f t="shared" si="36"/>
        <v>2.2934999999999999</v>
      </c>
      <c r="AW104" s="553">
        <f t="shared" si="36"/>
        <v>2.2934999999999999</v>
      </c>
      <c r="AX104" s="553">
        <f t="shared" si="36"/>
        <v>2.2934999999999999</v>
      </c>
      <c r="AY104" s="552">
        <f t="shared" si="37"/>
        <v>0</v>
      </c>
      <c r="AZ104" s="571">
        <f t="shared" si="38"/>
        <v>0</v>
      </c>
      <c r="BA104" s="571">
        <f t="shared" si="38"/>
        <v>0</v>
      </c>
      <c r="BB104" s="557"/>
      <c r="BC104" s="553">
        <v>0</v>
      </c>
      <c r="BD104" s="553">
        <v>0</v>
      </c>
      <c r="BE104" s="553">
        <v>0</v>
      </c>
      <c r="BF104" s="553">
        <v>0</v>
      </c>
      <c r="BG104" s="554" t="str">
        <f>IFERROR(VLOOKUP(#REF!,#REF!,4,FALSE),"")</f>
        <v/>
      </c>
      <c r="BH104" s="552">
        <v>19.930399999999999</v>
      </c>
      <c r="BI104" s="552"/>
      <c r="BJ104" s="552"/>
      <c r="BK104" s="552">
        <v>128.7433</v>
      </c>
      <c r="BL104" s="552"/>
      <c r="BM104" s="552"/>
      <c r="BN104" s="552"/>
      <c r="BO104" s="552"/>
      <c r="BP104" s="552"/>
      <c r="BQ104" s="552"/>
      <c r="BR104" s="552"/>
      <c r="BS104" s="552"/>
      <c r="BT104" s="552"/>
      <c r="BU104" s="552"/>
      <c r="BV104" s="552">
        <v>7.0000000000000007E-2</v>
      </c>
      <c r="BW104" s="552">
        <v>39.5627</v>
      </c>
      <c r="BX104" s="552"/>
      <c r="BY104" s="552"/>
      <c r="BZ104" s="552"/>
      <c r="CA104" s="552">
        <f t="shared" si="39"/>
        <v>0.29895599999999994</v>
      </c>
      <c r="CB104" s="552">
        <f t="shared" si="39"/>
        <v>0</v>
      </c>
      <c r="CC104" s="552">
        <f t="shared" si="39"/>
        <v>0</v>
      </c>
      <c r="CD104" s="552">
        <f t="shared" si="39"/>
        <v>0.1287433</v>
      </c>
      <c r="CE104" s="552">
        <f t="shared" si="39"/>
        <v>0</v>
      </c>
      <c r="CF104" s="552">
        <f t="shared" si="39"/>
        <v>0</v>
      </c>
      <c r="CG104" s="552">
        <f t="shared" si="39"/>
        <v>0</v>
      </c>
      <c r="CH104" s="552">
        <f t="shared" si="39"/>
        <v>0</v>
      </c>
      <c r="CI104" s="552">
        <f t="shared" si="39"/>
        <v>0</v>
      </c>
      <c r="CJ104" s="552">
        <f t="shared" si="39"/>
        <v>0</v>
      </c>
      <c r="CK104" s="552">
        <f t="shared" si="39"/>
        <v>0</v>
      </c>
      <c r="CL104" s="552">
        <f t="shared" si="39"/>
        <v>0</v>
      </c>
      <c r="CM104" s="552">
        <f t="shared" si="39"/>
        <v>0</v>
      </c>
      <c r="CN104" s="552">
        <f t="shared" si="39"/>
        <v>0</v>
      </c>
      <c r="CO104" s="552">
        <f t="shared" si="39"/>
        <v>2.1000000000000004E-4</v>
      </c>
      <c r="CP104" s="552">
        <f t="shared" si="39"/>
        <v>3.9562699999999999E-2</v>
      </c>
      <c r="CQ104" s="552">
        <f t="shared" si="40"/>
        <v>0</v>
      </c>
      <c r="CR104" s="552">
        <f t="shared" si="40"/>
        <v>0</v>
      </c>
      <c r="CS104" s="552">
        <f t="shared" si="41"/>
        <v>0.46747199999999994</v>
      </c>
      <c r="CT104" s="552"/>
      <c r="CU104" s="552"/>
      <c r="CV104" s="552"/>
      <c r="CW104" s="552"/>
      <c r="CX104" s="552"/>
      <c r="CY104" s="552"/>
      <c r="CZ104" s="552"/>
      <c r="DB104" s="552">
        <f t="shared" si="42"/>
        <v>0</v>
      </c>
      <c r="DC104" s="552">
        <f t="shared" si="42"/>
        <v>0</v>
      </c>
      <c r="DD104" s="552">
        <f t="shared" si="42"/>
        <v>0</v>
      </c>
      <c r="DE104" s="552">
        <f t="shared" si="42"/>
        <v>0</v>
      </c>
      <c r="DF104" s="552">
        <f t="shared" si="42"/>
        <v>0</v>
      </c>
      <c r="DG104" s="552">
        <f t="shared" si="42"/>
        <v>0</v>
      </c>
      <c r="DH104" s="552">
        <f t="shared" si="44"/>
        <v>0</v>
      </c>
      <c r="DI104" s="554"/>
      <c r="DJ104" s="525">
        <f>IFERROR(VLOOKUP(A104,'Transp. Dre Rodovia'!$A$19:$D$29,4,FALSE),0)+IFERROR(VLOOKUP(A104,#REF!,4,FALSE),0)</f>
        <v>1</v>
      </c>
    </row>
    <row r="105" spans="1:114" s="476" customFormat="1" ht="12.75">
      <c r="A105" s="470">
        <v>2003315</v>
      </c>
      <c r="B105" s="550" t="s">
        <v>1335</v>
      </c>
      <c r="C105" s="551" t="s">
        <v>107</v>
      </c>
      <c r="D105" s="552">
        <v>0</v>
      </c>
      <c r="E105" s="552">
        <v>0.52600000000000002</v>
      </c>
      <c r="F105" s="552">
        <v>0</v>
      </c>
      <c r="G105" s="552">
        <v>0.89922000000000002</v>
      </c>
      <c r="H105" s="552">
        <v>1.1026199999999999</v>
      </c>
      <c r="I105" s="552">
        <v>280.53417999999999</v>
      </c>
      <c r="J105" s="552">
        <v>0</v>
      </c>
      <c r="K105" s="552">
        <v>0.90449999999999997</v>
      </c>
      <c r="L105" s="552">
        <v>0.85649999999999993</v>
      </c>
      <c r="M105" s="552">
        <v>332</v>
      </c>
      <c r="N105" s="552">
        <v>0</v>
      </c>
      <c r="O105" s="552">
        <v>0.52600000000000002</v>
      </c>
      <c r="P105" s="552">
        <v>0.12759999999999999</v>
      </c>
      <c r="Q105" s="552">
        <v>0.88500000000000001</v>
      </c>
      <c r="R105" s="552">
        <v>0.86699999999999999</v>
      </c>
      <c r="S105" s="552">
        <v>364</v>
      </c>
      <c r="T105" s="552">
        <v>0</v>
      </c>
      <c r="U105" s="552">
        <v>0.90449999999999997</v>
      </c>
      <c r="V105" s="552">
        <v>0.85649999999999993</v>
      </c>
      <c r="W105" s="552">
        <v>332</v>
      </c>
      <c r="X105" s="561">
        <v>0</v>
      </c>
      <c r="Y105" s="552">
        <v>0.88500000000000001</v>
      </c>
      <c r="Z105" s="552">
        <v>0.86699999999999999</v>
      </c>
      <c r="AA105" s="552">
        <v>364</v>
      </c>
      <c r="AB105" s="552">
        <v>0</v>
      </c>
      <c r="AC105" s="552">
        <v>0.87749999999999995</v>
      </c>
      <c r="AD105" s="552">
        <v>0.88019999999999998</v>
      </c>
      <c r="AE105" s="552">
        <v>389</v>
      </c>
      <c r="AF105" s="552">
        <v>0</v>
      </c>
      <c r="AG105" s="552">
        <v>1.1499999999999999</v>
      </c>
      <c r="AH105" s="552">
        <v>0</v>
      </c>
      <c r="AI105" s="552">
        <v>1.7249999999999999</v>
      </c>
      <c r="AJ105" s="552">
        <v>350</v>
      </c>
      <c r="AK105" s="561">
        <v>1E-4</v>
      </c>
      <c r="AL105" s="552">
        <v>1.5065250000000001</v>
      </c>
      <c r="AM105" s="552">
        <v>458.01186999999999</v>
      </c>
      <c r="AN105" s="552">
        <v>0</v>
      </c>
      <c r="AO105" s="552">
        <v>0.89922000000000002</v>
      </c>
      <c r="AP105" s="552">
        <v>1.1026199999999999</v>
      </c>
      <c r="AQ105" s="552">
        <v>288.53417999999999</v>
      </c>
      <c r="AR105" s="554"/>
      <c r="AS105" s="555">
        <f t="shared" si="34"/>
        <v>0.12759999999999999</v>
      </c>
      <c r="AT105" s="570">
        <f t="shared" si="35"/>
        <v>1E-4</v>
      </c>
      <c r="AU105" s="563"/>
      <c r="AV105" s="553">
        <f t="shared" si="36"/>
        <v>0.12759999999999999</v>
      </c>
      <c r="AW105" s="553">
        <f t="shared" si="36"/>
        <v>0.12759999999999999</v>
      </c>
      <c r="AX105" s="553">
        <f t="shared" si="36"/>
        <v>0.12759999999999999</v>
      </c>
      <c r="AY105" s="552">
        <f t="shared" si="37"/>
        <v>0</v>
      </c>
      <c r="AZ105" s="571">
        <f t="shared" si="38"/>
        <v>1.5065250000000001E-4</v>
      </c>
      <c r="BA105" s="571">
        <f t="shared" si="38"/>
        <v>4.5801187E-2</v>
      </c>
      <c r="BB105" s="557"/>
      <c r="BC105" s="553">
        <v>0</v>
      </c>
      <c r="BD105" s="553">
        <v>0</v>
      </c>
      <c r="BE105" s="553">
        <v>0</v>
      </c>
      <c r="BF105" s="553">
        <v>0</v>
      </c>
      <c r="BG105" s="554" t="str">
        <f>IFERROR(VLOOKUP(#REF!,#REF!,4,FALSE),"")</f>
        <v/>
      </c>
      <c r="BH105" s="552"/>
      <c r="BI105" s="552"/>
      <c r="BJ105" s="552"/>
      <c r="BK105" s="552"/>
      <c r="BL105" s="552"/>
      <c r="BM105" s="552"/>
      <c r="BN105" s="552"/>
      <c r="BO105" s="552"/>
      <c r="BP105" s="552"/>
      <c r="BQ105" s="552"/>
      <c r="BR105" s="552"/>
      <c r="BS105" s="552"/>
      <c r="BT105" s="552"/>
      <c r="BU105" s="552"/>
      <c r="BV105" s="552"/>
      <c r="BW105" s="552"/>
      <c r="BX105" s="552"/>
      <c r="BY105" s="552"/>
      <c r="BZ105" s="552"/>
      <c r="CA105" s="552">
        <f t="shared" si="39"/>
        <v>0</v>
      </c>
      <c r="CB105" s="552">
        <f t="shared" si="39"/>
        <v>0</v>
      </c>
      <c r="CC105" s="552">
        <f t="shared" si="39"/>
        <v>0</v>
      </c>
      <c r="CD105" s="552">
        <f t="shared" si="39"/>
        <v>0</v>
      </c>
      <c r="CE105" s="552">
        <f t="shared" si="39"/>
        <v>0</v>
      </c>
      <c r="CF105" s="552">
        <f t="shared" si="39"/>
        <v>0</v>
      </c>
      <c r="CG105" s="552">
        <f t="shared" si="39"/>
        <v>0</v>
      </c>
      <c r="CH105" s="552">
        <f t="shared" si="39"/>
        <v>0</v>
      </c>
      <c r="CI105" s="552">
        <f t="shared" si="39"/>
        <v>0</v>
      </c>
      <c r="CJ105" s="552">
        <f t="shared" si="39"/>
        <v>0</v>
      </c>
      <c r="CK105" s="552">
        <f t="shared" si="39"/>
        <v>0</v>
      </c>
      <c r="CL105" s="552">
        <f t="shared" si="39"/>
        <v>0</v>
      </c>
      <c r="CM105" s="552">
        <f t="shared" si="39"/>
        <v>0</v>
      </c>
      <c r="CN105" s="552">
        <f t="shared" si="39"/>
        <v>0</v>
      </c>
      <c r="CO105" s="552">
        <f t="shared" si="39"/>
        <v>0</v>
      </c>
      <c r="CP105" s="552">
        <f t="shared" si="39"/>
        <v>0</v>
      </c>
      <c r="CQ105" s="552">
        <f t="shared" si="40"/>
        <v>0</v>
      </c>
      <c r="CR105" s="552">
        <f t="shared" si="40"/>
        <v>0</v>
      </c>
      <c r="CS105" s="552">
        <f t="shared" si="41"/>
        <v>0</v>
      </c>
      <c r="CT105" s="552"/>
      <c r="CU105" s="552"/>
      <c r="CV105" s="552"/>
      <c r="CW105" s="552"/>
      <c r="CX105" s="552"/>
      <c r="CY105" s="552"/>
      <c r="CZ105" s="552"/>
      <c r="DB105" s="552">
        <f t="shared" si="42"/>
        <v>0</v>
      </c>
      <c r="DC105" s="552">
        <f t="shared" si="42"/>
        <v>0</v>
      </c>
      <c r="DD105" s="552">
        <f t="shared" si="42"/>
        <v>0</v>
      </c>
      <c r="DE105" s="552">
        <f t="shared" si="42"/>
        <v>0</v>
      </c>
      <c r="DF105" s="552">
        <f t="shared" si="42"/>
        <v>0</v>
      </c>
      <c r="DG105" s="552">
        <f t="shared" si="42"/>
        <v>0</v>
      </c>
      <c r="DH105" s="552">
        <f t="shared" si="44"/>
        <v>0</v>
      </c>
      <c r="DI105" s="554"/>
      <c r="DJ105" s="525">
        <f>IFERROR(VLOOKUP(A105,'Transp. Dre Rodovia'!$A$19:$D$29,4,FALSE),0)+IFERROR(VLOOKUP(A105,#REF!,4,FALSE),0)</f>
        <v>1239.7</v>
      </c>
    </row>
    <row r="106" spans="1:114" s="476" customFormat="1" ht="12.75">
      <c r="A106" s="470">
        <v>2003601</v>
      </c>
      <c r="B106" s="550" t="s">
        <v>373</v>
      </c>
      <c r="C106" s="551" t="s">
        <v>374</v>
      </c>
      <c r="D106" s="552">
        <v>0</v>
      </c>
      <c r="E106" s="552">
        <v>0.52600000000000002</v>
      </c>
      <c r="F106" s="552">
        <v>0</v>
      </c>
      <c r="G106" s="552">
        <v>0.89922000000000002</v>
      </c>
      <c r="H106" s="552">
        <v>1.1026199999999999</v>
      </c>
      <c r="I106" s="552">
        <v>280.53417999999999</v>
      </c>
      <c r="J106" s="552">
        <v>0</v>
      </c>
      <c r="K106" s="552">
        <v>0.90449999999999997</v>
      </c>
      <c r="L106" s="552">
        <v>0.85649999999999993</v>
      </c>
      <c r="M106" s="552">
        <v>332</v>
      </c>
      <c r="N106" s="552">
        <v>0</v>
      </c>
      <c r="O106" s="552">
        <v>0.52600000000000002</v>
      </c>
      <c r="P106" s="552">
        <v>0.20399999999999999</v>
      </c>
      <c r="Q106" s="552">
        <v>0.88500000000000001</v>
      </c>
      <c r="R106" s="552">
        <v>0.86699999999999999</v>
      </c>
      <c r="S106" s="552">
        <v>364</v>
      </c>
      <c r="T106" s="552">
        <v>0</v>
      </c>
      <c r="U106" s="552">
        <v>0.90449999999999997</v>
      </c>
      <c r="V106" s="552">
        <v>0.85649999999999993</v>
      </c>
      <c r="W106" s="552">
        <v>332</v>
      </c>
      <c r="X106" s="561">
        <v>0</v>
      </c>
      <c r="Y106" s="552">
        <v>0.88500000000000001</v>
      </c>
      <c r="Z106" s="552">
        <v>0.86699999999999999</v>
      </c>
      <c r="AA106" s="552">
        <v>364</v>
      </c>
      <c r="AB106" s="552">
        <v>0</v>
      </c>
      <c r="AC106" s="552">
        <v>0.87749999999999995</v>
      </c>
      <c r="AD106" s="552">
        <v>0.88019999999999998</v>
      </c>
      <c r="AE106" s="552">
        <v>389</v>
      </c>
      <c r="AF106" s="552">
        <v>0</v>
      </c>
      <c r="AG106" s="552">
        <v>1.1499999999999999</v>
      </c>
      <c r="AH106" s="552">
        <v>0</v>
      </c>
      <c r="AI106" s="552">
        <v>1.7249999999999999</v>
      </c>
      <c r="AJ106" s="552">
        <v>350</v>
      </c>
      <c r="AK106" s="561">
        <v>0</v>
      </c>
      <c r="AL106" s="552">
        <v>1.5065250000000001</v>
      </c>
      <c r="AM106" s="552">
        <v>458.01186999999999</v>
      </c>
      <c r="AN106" s="552">
        <v>0</v>
      </c>
      <c r="AO106" s="552">
        <v>0.89922000000000002</v>
      </c>
      <c r="AP106" s="552">
        <v>1.1026199999999999</v>
      </c>
      <c r="AQ106" s="552">
        <v>290.53417999999999</v>
      </c>
      <c r="AR106" s="554"/>
      <c r="AS106" s="555">
        <f t="shared" si="34"/>
        <v>0.20399999999999999</v>
      </c>
      <c r="AT106" s="570">
        <f t="shared" si="35"/>
        <v>0</v>
      </c>
      <c r="AU106" s="563"/>
      <c r="AV106" s="553">
        <f t="shared" si="36"/>
        <v>0.20399999999999999</v>
      </c>
      <c r="AW106" s="553">
        <f t="shared" si="36"/>
        <v>0.20399999999999999</v>
      </c>
      <c r="AX106" s="553">
        <f t="shared" si="36"/>
        <v>0.20399999999999999</v>
      </c>
      <c r="AY106" s="552">
        <f t="shared" si="37"/>
        <v>0</v>
      </c>
      <c r="AZ106" s="571">
        <f t="shared" si="38"/>
        <v>0</v>
      </c>
      <c r="BA106" s="571">
        <f t="shared" si="38"/>
        <v>0</v>
      </c>
      <c r="BB106" s="557"/>
      <c r="BC106" s="553">
        <v>0</v>
      </c>
      <c r="BD106" s="553">
        <v>0</v>
      </c>
      <c r="BE106" s="553">
        <v>0</v>
      </c>
      <c r="BF106" s="553">
        <v>0</v>
      </c>
      <c r="BG106" s="554" t="str">
        <f>IFERROR(VLOOKUP(#REF!,#REF!,4,FALSE),"")</f>
        <v/>
      </c>
      <c r="BH106" s="552">
        <v>2.16</v>
      </c>
      <c r="BI106" s="552"/>
      <c r="BJ106" s="552"/>
      <c r="BK106" s="552"/>
      <c r="BL106" s="552"/>
      <c r="BM106" s="552"/>
      <c r="BN106" s="552"/>
      <c r="BO106" s="552"/>
      <c r="BP106" s="552"/>
      <c r="BQ106" s="552"/>
      <c r="BR106" s="552"/>
      <c r="BS106" s="552"/>
      <c r="BT106" s="552"/>
      <c r="BU106" s="552"/>
      <c r="BV106" s="552"/>
      <c r="BW106" s="552"/>
      <c r="BX106" s="552"/>
      <c r="BY106" s="552"/>
      <c r="BZ106" s="552"/>
      <c r="CA106" s="552">
        <f t="shared" si="39"/>
        <v>3.2399999999999998E-2</v>
      </c>
      <c r="CB106" s="552">
        <f t="shared" si="39"/>
        <v>0</v>
      </c>
      <c r="CC106" s="552">
        <f t="shared" si="39"/>
        <v>0</v>
      </c>
      <c r="CD106" s="552">
        <f t="shared" si="39"/>
        <v>0</v>
      </c>
      <c r="CE106" s="552">
        <f t="shared" si="39"/>
        <v>0</v>
      </c>
      <c r="CF106" s="552">
        <f t="shared" si="39"/>
        <v>0</v>
      </c>
      <c r="CG106" s="552">
        <f t="shared" si="39"/>
        <v>0</v>
      </c>
      <c r="CH106" s="552">
        <f t="shared" si="39"/>
        <v>0</v>
      </c>
      <c r="CI106" s="552">
        <f t="shared" si="39"/>
        <v>0</v>
      </c>
      <c r="CJ106" s="552">
        <f t="shared" si="39"/>
        <v>0</v>
      </c>
      <c r="CK106" s="552">
        <f t="shared" si="39"/>
        <v>0</v>
      </c>
      <c r="CL106" s="552">
        <f t="shared" si="39"/>
        <v>0</v>
      </c>
      <c r="CM106" s="552">
        <f t="shared" si="39"/>
        <v>0</v>
      </c>
      <c r="CN106" s="552">
        <f t="shared" si="39"/>
        <v>0</v>
      </c>
      <c r="CO106" s="552">
        <f t="shared" si="39"/>
        <v>0</v>
      </c>
      <c r="CP106" s="552">
        <f t="shared" si="39"/>
        <v>0</v>
      </c>
      <c r="CQ106" s="552">
        <f t="shared" si="40"/>
        <v>0</v>
      </c>
      <c r="CR106" s="552">
        <f t="shared" si="40"/>
        <v>0</v>
      </c>
      <c r="CS106" s="552">
        <f t="shared" si="41"/>
        <v>3.2399999999999998E-2</v>
      </c>
      <c r="CT106" s="552"/>
      <c r="CU106" s="552"/>
      <c r="CV106" s="552"/>
      <c r="CW106" s="552"/>
      <c r="CX106" s="552"/>
      <c r="CY106" s="552"/>
      <c r="CZ106" s="552"/>
      <c r="DB106" s="552">
        <f t="shared" si="42"/>
        <v>0</v>
      </c>
      <c r="DC106" s="552">
        <f t="shared" si="42"/>
        <v>0</v>
      </c>
      <c r="DD106" s="552">
        <f t="shared" si="42"/>
        <v>0</v>
      </c>
      <c r="DE106" s="552">
        <f t="shared" si="42"/>
        <v>0</v>
      </c>
      <c r="DF106" s="552">
        <f t="shared" si="42"/>
        <v>0</v>
      </c>
      <c r="DG106" s="552">
        <f t="shared" si="42"/>
        <v>0</v>
      </c>
      <c r="DH106" s="552">
        <f t="shared" si="44"/>
        <v>0</v>
      </c>
      <c r="DI106" s="554"/>
      <c r="DJ106" s="525">
        <f>IFERROR(VLOOKUP(A106,'Transp. Dre Rodovia'!$A$19:$D$29,4,FALSE),0)+IFERROR(VLOOKUP(A106,#REF!,4,FALSE),0)</f>
        <v>1</v>
      </c>
    </row>
    <row r="107" spans="1:114" s="476" customFormat="1" ht="12.75">
      <c r="A107" s="470">
        <v>2003325</v>
      </c>
      <c r="B107" s="550" t="s">
        <v>1457</v>
      </c>
      <c r="C107" s="551" t="s">
        <v>107</v>
      </c>
      <c r="D107" s="552">
        <v>0</v>
      </c>
      <c r="E107" s="552">
        <v>0.52600000000000002</v>
      </c>
      <c r="F107" s="552">
        <v>0</v>
      </c>
      <c r="G107" s="552">
        <v>0.89922000000000002</v>
      </c>
      <c r="H107" s="552">
        <v>1.1026199999999999</v>
      </c>
      <c r="I107" s="552">
        <v>280.53417999999999</v>
      </c>
      <c r="J107" s="552">
        <v>0</v>
      </c>
      <c r="K107" s="552">
        <v>0.90449999999999997</v>
      </c>
      <c r="L107" s="552">
        <v>0.85649999999999993</v>
      </c>
      <c r="M107" s="552">
        <v>332</v>
      </c>
      <c r="N107" s="552">
        <v>0</v>
      </c>
      <c r="O107" s="552">
        <v>0.52600000000000002</v>
      </c>
      <c r="P107" s="552">
        <v>7.1800000000000003E-2</v>
      </c>
      <c r="Q107" s="552">
        <v>0.88500000000000001</v>
      </c>
      <c r="R107" s="552">
        <v>0.86699999999999999</v>
      </c>
      <c r="S107" s="552">
        <v>364</v>
      </c>
      <c r="T107" s="552">
        <v>0</v>
      </c>
      <c r="U107" s="552">
        <v>0.90449999999999997</v>
      </c>
      <c r="V107" s="552">
        <v>0.85649999999999993</v>
      </c>
      <c r="W107" s="552">
        <v>332</v>
      </c>
      <c r="X107" s="561">
        <v>0</v>
      </c>
      <c r="Y107" s="552">
        <v>0.88500000000000001</v>
      </c>
      <c r="Z107" s="552">
        <v>0.86699999999999999</v>
      </c>
      <c r="AA107" s="552">
        <v>364</v>
      </c>
      <c r="AB107" s="552">
        <v>0</v>
      </c>
      <c r="AC107" s="552">
        <v>0.87749999999999995</v>
      </c>
      <c r="AD107" s="552">
        <v>0.88019999999999998</v>
      </c>
      <c r="AE107" s="552">
        <v>389</v>
      </c>
      <c r="AF107" s="552">
        <v>0</v>
      </c>
      <c r="AG107" s="552">
        <v>1.1499999999999999</v>
      </c>
      <c r="AH107" s="552">
        <v>0</v>
      </c>
      <c r="AI107" s="552">
        <v>1.7249999999999999</v>
      </c>
      <c r="AJ107" s="552">
        <v>350</v>
      </c>
      <c r="AK107" s="561">
        <v>0</v>
      </c>
      <c r="AL107" s="552">
        <v>1.5065250000000001</v>
      </c>
      <c r="AM107" s="552">
        <v>458.01186999999999</v>
      </c>
      <c r="AN107" s="552">
        <v>0</v>
      </c>
      <c r="AO107" s="552">
        <v>0.89922000000000002</v>
      </c>
      <c r="AP107" s="552">
        <v>1.1026199999999999</v>
      </c>
      <c r="AQ107" s="552">
        <v>291.53417999999999</v>
      </c>
      <c r="AR107" s="554"/>
      <c r="AS107" s="555">
        <f t="shared" si="34"/>
        <v>7.1800000000000003E-2</v>
      </c>
      <c r="AT107" s="570">
        <f t="shared" si="35"/>
        <v>0</v>
      </c>
      <c r="AU107" s="563"/>
      <c r="AV107" s="553">
        <f t="shared" si="36"/>
        <v>7.1800000000000003E-2</v>
      </c>
      <c r="AW107" s="553">
        <f t="shared" si="36"/>
        <v>7.1800000000000003E-2</v>
      </c>
      <c r="AX107" s="553">
        <f t="shared" si="36"/>
        <v>7.1800000000000003E-2</v>
      </c>
      <c r="AY107" s="552">
        <f t="shared" si="37"/>
        <v>0</v>
      </c>
      <c r="AZ107" s="571">
        <f t="shared" si="38"/>
        <v>0</v>
      </c>
      <c r="BA107" s="571">
        <f t="shared" si="38"/>
        <v>0</v>
      </c>
      <c r="BB107" s="557"/>
      <c r="BC107" s="553">
        <v>0</v>
      </c>
      <c r="BD107" s="553">
        <v>0</v>
      </c>
      <c r="BE107" s="553">
        <v>0</v>
      </c>
      <c r="BF107" s="553">
        <v>0</v>
      </c>
      <c r="BG107" s="554" t="str">
        <f>IFERROR(VLOOKUP(#REF!,#REF!,4,FALSE),"")</f>
        <v/>
      </c>
      <c r="BH107" s="552"/>
      <c r="BI107" s="552"/>
      <c r="BJ107" s="552"/>
      <c r="BK107" s="552"/>
      <c r="BL107" s="552"/>
      <c r="BM107" s="552"/>
      <c r="BN107" s="552"/>
      <c r="BO107" s="552"/>
      <c r="BP107" s="552"/>
      <c r="BQ107" s="552"/>
      <c r="BR107" s="552"/>
      <c r="BS107" s="552"/>
      <c r="BT107" s="552"/>
      <c r="BU107" s="552"/>
      <c r="BV107" s="552"/>
      <c r="BW107" s="552"/>
      <c r="BX107" s="552"/>
      <c r="BY107" s="552"/>
      <c r="BZ107" s="552"/>
      <c r="CA107" s="552">
        <f t="shared" si="39"/>
        <v>0</v>
      </c>
      <c r="CB107" s="552">
        <f t="shared" si="39"/>
        <v>0</v>
      </c>
      <c r="CC107" s="552">
        <f t="shared" si="39"/>
        <v>0</v>
      </c>
      <c r="CD107" s="552">
        <f t="shared" si="39"/>
        <v>0</v>
      </c>
      <c r="CE107" s="552">
        <f t="shared" si="39"/>
        <v>0</v>
      </c>
      <c r="CF107" s="552">
        <f t="shared" si="39"/>
        <v>0</v>
      </c>
      <c r="CG107" s="552">
        <f t="shared" si="39"/>
        <v>0</v>
      </c>
      <c r="CH107" s="552">
        <f t="shared" si="39"/>
        <v>0</v>
      </c>
      <c r="CI107" s="552">
        <f t="shared" si="39"/>
        <v>0</v>
      </c>
      <c r="CJ107" s="552">
        <f t="shared" si="39"/>
        <v>0</v>
      </c>
      <c r="CK107" s="552">
        <f t="shared" si="39"/>
        <v>0</v>
      </c>
      <c r="CL107" s="552">
        <f t="shared" si="39"/>
        <v>0</v>
      </c>
      <c r="CM107" s="552">
        <f t="shared" si="39"/>
        <v>0</v>
      </c>
      <c r="CN107" s="552">
        <f t="shared" si="39"/>
        <v>0</v>
      </c>
      <c r="CO107" s="552">
        <f t="shared" si="39"/>
        <v>0</v>
      </c>
      <c r="CP107" s="552">
        <f t="shared" si="39"/>
        <v>0</v>
      </c>
      <c r="CQ107" s="552">
        <f t="shared" si="40"/>
        <v>0</v>
      </c>
      <c r="CR107" s="552">
        <f t="shared" si="40"/>
        <v>0</v>
      </c>
      <c r="CS107" s="552">
        <f t="shared" si="41"/>
        <v>0</v>
      </c>
      <c r="CT107" s="552"/>
      <c r="CU107" s="552"/>
      <c r="CV107" s="552"/>
      <c r="CW107" s="552"/>
      <c r="CX107" s="552"/>
      <c r="CY107" s="552"/>
      <c r="CZ107" s="552"/>
      <c r="DB107" s="552">
        <f t="shared" si="42"/>
        <v>0</v>
      </c>
      <c r="DC107" s="552">
        <f t="shared" si="42"/>
        <v>0</v>
      </c>
      <c r="DD107" s="552">
        <f t="shared" si="42"/>
        <v>0</v>
      </c>
      <c r="DE107" s="552">
        <f t="shared" si="42"/>
        <v>0</v>
      </c>
      <c r="DF107" s="552">
        <f t="shared" si="42"/>
        <v>0</v>
      </c>
      <c r="DG107" s="552">
        <f t="shared" si="42"/>
        <v>0</v>
      </c>
      <c r="DH107" s="552">
        <f t="shared" si="44"/>
        <v>0</v>
      </c>
      <c r="DI107" s="554"/>
      <c r="DJ107" s="525">
        <f>IFERROR(VLOOKUP(A107,'Transp. Dre Rodovia'!$A$19:$D$29,4,FALSE),0)+IFERROR(VLOOKUP(A107,#REF!,4,FALSE),0)</f>
        <v>481.59</v>
      </c>
    </row>
    <row r="108" spans="1:114" s="476" customFormat="1" ht="12.75">
      <c r="A108" s="470">
        <v>2003441</v>
      </c>
      <c r="B108" s="550" t="s">
        <v>1458</v>
      </c>
      <c r="C108" s="551" t="s">
        <v>374</v>
      </c>
      <c r="D108" s="552">
        <v>0</v>
      </c>
      <c r="E108" s="552">
        <v>0.52600000000000002</v>
      </c>
      <c r="F108" s="552">
        <v>0</v>
      </c>
      <c r="G108" s="552">
        <v>0.89922000000000002</v>
      </c>
      <c r="H108" s="552">
        <v>1.1026199999999999</v>
      </c>
      <c r="I108" s="552">
        <v>280.53417999999999</v>
      </c>
      <c r="J108" s="552">
        <v>0</v>
      </c>
      <c r="K108" s="552">
        <v>0.90449999999999997</v>
      </c>
      <c r="L108" s="552">
        <v>0.85649999999999993</v>
      </c>
      <c r="M108" s="552">
        <v>332</v>
      </c>
      <c r="N108" s="552">
        <v>0</v>
      </c>
      <c r="O108" s="552">
        <v>0.52600000000000002</v>
      </c>
      <c r="P108" s="552">
        <v>0</v>
      </c>
      <c r="Q108" s="552">
        <v>0.88500000000000001</v>
      </c>
      <c r="R108" s="552">
        <v>0.86699999999999999</v>
      </c>
      <c r="S108" s="552">
        <v>364</v>
      </c>
      <c r="T108" s="552">
        <v>0</v>
      </c>
      <c r="U108" s="552">
        <v>0.90449999999999997</v>
      </c>
      <c r="V108" s="552">
        <v>0.85649999999999993</v>
      </c>
      <c r="W108" s="552">
        <v>332</v>
      </c>
      <c r="X108" s="561">
        <v>0</v>
      </c>
      <c r="Y108" s="552">
        <v>0.88500000000000001</v>
      </c>
      <c r="Z108" s="552">
        <v>0.86699999999999999</v>
      </c>
      <c r="AA108" s="552">
        <v>364</v>
      </c>
      <c r="AB108" s="552">
        <v>0</v>
      </c>
      <c r="AC108" s="552">
        <v>0.87749999999999995</v>
      </c>
      <c r="AD108" s="552">
        <v>0.88019999999999998</v>
      </c>
      <c r="AE108" s="552">
        <v>389</v>
      </c>
      <c r="AF108" s="552">
        <v>0</v>
      </c>
      <c r="AG108" s="552">
        <v>1.1499999999999999</v>
      </c>
      <c r="AH108" s="552">
        <v>0</v>
      </c>
      <c r="AI108" s="552">
        <v>1.7249999999999999</v>
      </c>
      <c r="AJ108" s="552">
        <v>350</v>
      </c>
      <c r="AK108" s="561">
        <v>0</v>
      </c>
      <c r="AL108" s="552">
        <v>1.5065250000000001</v>
      </c>
      <c r="AM108" s="552">
        <v>458.01186999999999</v>
      </c>
      <c r="AN108" s="552">
        <v>0</v>
      </c>
      <c r="AO108" s="552">
        <v>0.89922000000000002</v>
      </c>
      <c r="AP108" s="552">
        <v>1.1026199999999999</v>
      </c>
      <c r="AQ108" s="552">
        <v>292.53417999999999</v>
      </c>
      <c r="AR108" s="554"/>
      <c r="AS108" s="555">
        <f t="shared" si="34"/>
        <v>0</v>
      </c>
      <c r="AT108" s="570">
        <f t="shared" si="35"/>
        <v>0</v>
      </c>
      <c r="AU108" s="563"/>
      <c r="AV108" s="553">
        <f t="shared" si="36"/>
        <v>0</v>
      </c>
      <c r="AW108" s="553">
        <f t="shared" si="36"/>
        <v>0</v>
      </c>
      <c r="AX108" s="553">
        <f t="shared" si="36"/>
        <v>0</v>
      </c>
      <c r="AY108" s="552">
        <f t="shared" si="37"/>
        <v>0</v>
      </c>
      <c r="AZ108" s="571">
        <f t="shared" si="38"/>
        <v>0</v>
      </c>
      <c r="BA108" s="571">
        <f t="shared" si="38"/>
        <v>0</v>
      </c>
      <c r="BB108" s="557"/>
      <c r="BC108" s="553">
        <v>0</v>
      </c>
      <c r="BD108" s="553">
        <v>0</v>
      </c>
      <c r="BE108" s="553">
        <v>0</v>
      </c>
      <c r="BF108" s="553">
        <v>0.48</v>
      </c>
      <c r="BG108" s="554" t="str">
        <f>IFERROR(VLOOKUP(#REF!,#REF!,4,FALSE),"")</f>
        <v/>
      </c>
      <c r="BH108" s="552"/>
      <c r="BI108" s="552"/>
      <c r="BJ108" s="552"/>
      <c r="BK108" s="552"/>
      <c r="BL108" s="552"/>
      <c r="BM108" s="552"/>
      <c r="BN108" s="552"/>
      <c r="BO108" s="552"/>
      <c r="BP108" s="552"/>
      <c r="BQ108" s="552"/>
      <c r="BR108" s="552"/>
      <c r="BS108" s="552"/>
      <c r="BT108" s="552"/>
      <c r="BU108" s="552"/>
      <c r="BV108" s="552"/>
      <c r="BW108" s="552"/>
      <c r="BX108" s="552"/>
      <c r="BY108" s="552"/>
      <c r="BZ108" s="552"/>
      <c r="CA108" s="552">
        <f t="shared" si="39"/>
        <v>0</v>
      </c>
      <c r="CB108" s="552">
        <f t="shared" si="39"/>
        <v>0</v>
      </c>
      <c r="CC108" s="552">
        <f t="shared" si="39"/>
        <v>0</v>
      </c>
      <c r="CD108" s="552">
        <f t="shared" si="39"/>
        <v>0</v>
      </c>
      <c r="CE108" s="552">
        <f t="shared" si="39"/>
        <v>0</v>
      </c>
      <c r="CF108" s="552">
        <f t="shared" si="39"/>
        <v>0</v>
      </c>
      <c r="CG108" s="552">
        <f t="shared" si="39"/>
        <v>0</v>
      </c>
      <c r="CH108" s="552">
        <f t="shared" si="39"/>
        <v>0</v>
      </c>
      <c r="CI108" s="552">
        <f t="shared" si="39"/>
        <v>0</v>
      </c>
      <c r="CJ108" s="552">
        <f t="shared" si="39"/>
        <v>0</v>
      </c>
      <c r="CK108" s="552">
        <f t="shared" si="39"/>
        <v>0</v>
      </c>
      <c r="CL108" s="552">
        <f t="shared" si="39"/>
        <v>0</v>
      </c>
      <c r="CM108" s="552">
        <f t="shared" si="39"/>
        <v>0</v>
      </c>
      <c r="CN108" s="552">
        <f t="shared" si="39"/>
        <v>0</v>
      </c>
      <c r="CO108" s="552">
        <f t="shared" si="39"/>
        <v>0</v>
      </c>
      <c r="CP108" s="552">
        <f t="shared" si="39"/>
        <v>0</v>
      </c>
      <c r="CQ108" s="552">
        <f t="shared" si="40"/>
        <v>0</v>
      </c>
      <c r="CR108" s="552">
        <f t="shared" si="40"/>
        <v>0</v>
      </c>
      <c r="CS108" s="552">
        <f t="shared" si="41"/>
        <v>0</v>
      </c>
      <c r="CT108" s="552"/>
      <c r="CU108" s="552"/>
      <c r="CV108" s="552"/>
      <c r="CW108" s="552"/>
      <c r="CX108" s="552"/>
      <c r="CY108" s="552"/>
      <c r="CZ108" s="552"/>
      <c r="DB108" s="552">
        <f t="shared" si="42"/>
        <v>0</v>
      </c>
      <c r="DC108" s="552">
        <f t="shared" si="42"/>
        <v>0</v>
      </c>
      <c r="DD108" s="552">
        <f t="shared" si="42"/>
        <v>0</v>
      </c>
      <c r="DE108" s="552">
        <f t="shared" si="42"/>
        <v>0</v>
      </c>
      <c r="DF108" s="552">
        <f t="shared" si="42"/>
        <v>0</v>
      </c>
      <c r="DG108" s="552">
        <f t="shared" si="42"/>
        <v>0</v>
      </c>
      <c r="DH108" s="552">
        <f t="shared" si="44"/>
        <v>0</v>
      </c>
      <c r="DI108" s="554"/>
      <c r="DJ108" s="525">
        <f>IFERROR(VLOOKUP(A108,'Transp. Dre Rodovia'!$A$19:$D$29,4,FALSE),0)+IFERROR(VLOOKUP(A108,#REF!,4,FALSE),0)</f>
        <v>1</v>
      </c>
    </row>
    <row r="109" spans="1:114" s="476" customFormat="1" ht="12.75">
      <c r="A109" s="470">
        <v>2003367</v>
      </c>
      <c r="B109" s="550" t="s">
        <v>1459</v>
      </c>
      <c r="C109" s="551" t="s">
        <v>107</v>
      </c>
      <c r="D109" s="552">
        <v>0</v>
      </c>
      <c r="E109" s="552">
        <v>0.52600000000000002</v>
      </c>
      <c r="F109" s="552">
        <v>0</v>
      </c>
      <c r="G109" s="552">
        <v>0.89922000000000002</v>
      </c>
      <c r="H109" s="552">
        <v>1.1026199999999999</v>
      </c>
      <c r="I109" s="552">
        <v>280.53417999999999</v>
      </c>
      <c r="J109" s="552">
        <v>0</v>
      </c>
      <c r="K109" s="552">
        <v>0.90449999999999997</v>
      </c>
      <c r="L109" s="552">
        <v>0.85649999999999993</v>
      </c>
      <c r="M109" s="552">
        <v>332</v>
      </c>
      <c r="N109" s="552">
        <v>0</v>
      </c>
      <c r="O109" s="552">
        <v>0.52600000000000002</v>
      </c>
      <c r="P109" s="552">
        <v>0.16</v>
      </c>
      <c r="Q109" s="552">
        <v>0.88500000000000001</v>
      </c>
      <c r="R109" s="552">
        <v>0.86699999999999999</v>
      </c>
      <c r="S109" s="552">
        <v>364</v>
      </c>
      <c r="T109" s="552">
        <v>0</v>
      </c>
      <c r="U109" s="552">
        <v>0.90449999999999997</v>
      </c>
      <c r="V109" s="552">
        <v>0.85649999999999993</v>
      </c>
      <c r="W109" s="552">
        <v>332</v>
      </c>
      <c r="X109" s="561">
        <v>0</v>
      </c>
      <c r="Y109" s="552">
        <v>0.88500000000000001</v>
      </c>
      <c r="Z109" s="552">
        <v>0.86699999999999999</v>
      </c>
      <c r="AA109" s="552">
        <v>364</v>
      </c>
      <c r="AB109" s="552">
        <v>0.11</v>
      </c>
      <c r="AC109" s="552">
        <v>0.87749999999999995</v>
      </c>
      <c r="AD109" s="552">
        <v>0.88019999999999998</v>
      </c>
      <c r="AE109" s="552">
        <v>389</v>
      </c>
      <c r="AF109" s="552">
        <v>0</v>
      </c>
      <c r="AG109" s="552">
        <v>1.1499999999999999</v>
      </c>
      <c r="AH109" s="552">
        <v>0</v>
      </c>
      <c r="AI109" s="552">
        <v>1.7249999999999999</v>
      </c>
      <c r="AJ109" s="552">
        <v>350</v>
      </c>
      <c r="AK109" s="561">
        <v>0</v>
      </c>
      <c r="AL109" s="552">
        <v>1.5065250000000001</v>
      </c>
      <c r="AM109" s="552">
        <v>458.01186999999999</v>
      </c>
      <c r="AN109" s="552">
        <v>0</v>
      </c>
      <c r="AO109" s="552">
        <v>0.89922000000000002</v>
      </c>
      <c r="AP109" s="552">
        <v>1.1026199999999999</v>
      </c>
      <c r="AQ109" s="552">
        <v>293.53417999999999</v>
      </c>
      <c r="AR109" s="554"/>
      <c r="AS109" s="555">
        <f t="shared" si="34"/>
        <v>0.27</v>
      </c>
      <c r="AT109" s="570">
        <f t="shared" si="35"/>
        <v>0</v>
      </c>
      <c r="AU109" s="563"/>
      <c r="AV109" s="553">
        <f t="shared" si="36"/>
        <v>0.256525</v>
      </c>
      <c r="AW109" s="553">
        <f t="shared" si="36"/>
        <v>0.25682199999999999</v>
      </c>
      <c r="AX109" s="553">
        <f t="shared" si="36"/>
        <v>42.949999999999996</v>
      </c>
      <c r="AY109" s="552">
        <f t="shared" si="37"/>
        <v>0</v>
      </c>
      <c r="AZ109" s="571">
        <f t="shared" si="38"/>
        <v>0</v>
      </c>
      <c r="BA109" s="571">
        <f t="shared" si="38"/>
        <v>0</v>
      </c>
      <c r="BB109" s="557"/>
      <c r="BC109" s="553">
        <v>0</v>
      </c>
      <c r="BD109" s="553">
        <v>0</v>
      </c>
      <c r="BE109" s="553">
        <v>0</v>
      </c>
      <c r="BF109" s="553">
        <v>0</v>
      </c>
      <c r="BG109" s="554" t="str">
        <f>IFERROR(VLOOKUP(#REF!,#REF!,4,FALSE),"")</f>
        <v/>
      </c>
      <c r="BH109" s="552">
        <v>1.52</v>
      </c>
      <c r="BI109" s="552"/>
      <c r="BJ109" s="552"/>
      <c r="BK109" s="552">
        <v>10.47</v>
      </c>
      <c r="BL109" s="552"/>
      <c r="BM109" s="552"/>
      <c r="BN109" s="552"/>
      <c r="BO109" s="552"/>
      <c r="BP109" s="552"/>
      <c r="BQ109" s="552"/>
      <c r="BR109" s="552"/>
      <c r="BS109" s="552"/>
      <c r="BT109" s="552"/>
      <c r="BU109" s="552"/>
      <c r="BV109" s="552"/>
      <c r="BW109" s="552"/>
      <c r="BX109" s="552"/>
      <c r="BY109" s="552"/>
      <c r="BZ109" s="552"/>
      <c r="CA109" s="552">
        <f t="shared" si="39"/>
        <v>2.2800000000000001E-2</v>
      </c>
      <c r="CB109" s="552">
        <f t="shared" si="39"/>
        <v>0</v>
      </c>
      <c r="CC109" s="552">
        <f t="shared" si="39"/>
        <v>0</v>
      </c>
      <c r="CD109" s="552">
        <f t="shared" si="39"/>
        <v>1.047E-2</v>
      </c>
      <c r="CE109" s="552">
        <f t="shared" si="39"/>
        <v>0</v>
      </c>
      <c r="CF109" s="552">
        <f t="shared" si="39"/>
        <v>0</v>
      </c>
      <c r="CG109" s="552">
        <f t="shared" si="39"/>
        <v>0</v>
      </c>
      <c r="CH109" s="552">
        <f t="shared" si="39"/>
        <v>0</v>
      </c>
      <c r="CI109" s="552">
        <f t="shared" si="39"/>
        <v>0</v>
      </c>
      <c r="CJ109" s="552">
        <f t="shared" si="39"/>
        <v>0</v>
      </c>
      <c r="CK109" s="552">
        <f t="shared" si="39"/>
        <v>0</v>
      </c>
      <c r="CL109" s="552">
        <f t="shared" si="39"/>
        <v>0</v>
      </c>
      <c r="CM109" s="552">
        <f t="shared" si="39"/>
        <v>0</v>
      </c>
      <c r="CN109" s="552">
        <f t="shared" si="39"/>
        <v>0</v>
      </c>
      <c r="CO109" s="552">
        <f t="shared" si="39"/>
        <v>0</v>
      </c>
      <c r="CP109" s="552">
        <f t="shared" si="39"/>
        <v>0</v>
      </c>
      <c r="CQ109" s="552">
        <f t="shared" si="40"/>
        <v>0</v>
      </c>
      <c r="CR109" s="552">
        <f t="shared" si="40"/>
        <v>0</v>
      </c>
      <c r="CS109" s="552">
        <f t="shared" si="41"/>
        <v>3.3270000000000001E-2</v>
      </c>
      <c r="CT109" s="552"/>
      <c r="CU109" s="552"/>
      <c r="CV109" s="552"/>
      <c r="CW109" s="552"/>
      <c r="CX109" s="552"/>
      <c r="CY109" s="552"/>
      <c r="CZ109" s="552"/>
      <c r="DB109" s="552">
        <f t="shared" si="42"/>
        <v>0</v>
      </c>
      <c r="DC109" s="552">
        <f t="shared" si="42"/>
        <v>0</v>
      </c>
      <c r="DD109" s="552">
        <f t="shared" si="42"/>
        <v>0</v>
      </c>
      <c r="DE109" s="552">
        <f t="shared" si="42"/>
        <v>0</v>
      </c>
      <c r="DF109" s="552">
        <f t="shared" si="42"/>
        <v>0</v>
      </c>
      <c r="DG109" s="552">
        <f t="shared" si="42"/>
        <v>0</v>
      </c>
      <c r="DH109" s="552">
        <f t="shared" si="44"/>
        <v>0</v>
      </c>
      <c r="DI109" s="554"/>
      <c r="DJ109" s="525">
        <f>IFERROR(VLOOKUP(A109,'Transp. Dre Rodovia'!$A$19:$D$29,4,FALSE),0)+IFERROR(VLOOKUP(A109,#REF!,4,FALSE),0)</f>
        <v>38</v>
      </c>
    </row>
    <row r="110" spans="1:114" s="476" customFormat="1" ht="12.75" hidden="1">
      <c r="A110" s="572"/>
      <c r="B110" s="573"/>
      <c r="C110" s="574"/>
      <c r="D110" s="559">
        <v>0</v>
      </c>
      <c r="E110" s="575">
        <v>0.52600000000000002</v>
      </c>
      <c r="F110" s="559">
        <v>0</v>
      </c>
      <c r="G110" s="575">
        <v>0.89922000000000002</v>
      </c>
      <c r="H110" s="575">
        <v>1.1026199999999999</v>
      </c>
      <c r="I110" s="575">
        <v>280.53417999999999</v>
      </c>
      <c r="J110" s="559">
        <v>0</v>
      </c>
      <c r="K110" s="575">
        <v>0.90449999999999997</v>
      </c>
      <c r="L110" s="575">
        <v>0.85649999999999993</v>
      </c>
      <c r="M110" s="575">
        <v>332</v>
      </c>
      <c r="N110" s="559">
        <v>0</v>
      </c>
      <c r="O110" s="575">
        <v>0.52600000000000002</v>
      </c>
      <c r="P110" s="559">
        <v>0</v>
      </c>
      <c r="Q110" s="575">
        <v>0.88500000000000001</v>
      </c>
      <c r="R110" s="575">
        <v>0.86699999999999999</v>
      </c>
      <c r="S110" s="575">
        <v>364</v>
      </c>
      <c r="T110" s="559">
        <v>0</v>
      </c>
      <c r="U110" s="575">
        <v>0.90449999999999997</v>
      </c>
      <c r="V110" s="575">
        <v>0.85649999999999993</v>
      </c>
      <c r="W110" s="575">
        <v>332</v>
      </c>
      <c r="X110" s="576">
        <v>0</v>
      </c>
      <c r="Y110" s="575">
        <v>0.88500000000000001</v>
      </c>
      <c r="Z110" s="575">
        <v>0.86699999999999999</v>
      </c>
      <c r="AA110" s="575">
        <v>364</v>
      </c>
      <c r="AB110" s="559">
        <v>0</v>
      </c>
      <c r="AC110" s="575">
        <v>0.87749999999999995</v>
      </c>
      <c r="AD110" s="575">
        <v>0.88019999999999998</v>
      </c>
      <c r="AE110" s="575">
        <v>389</v>
      </c>
      <c r="AF110" s="559">
        <v>0</v>
      </c>
      <c r="AG110" s="552">
        <v>1.1499999999999999</v>
      </c>
      <c r="AH110" s="559">
        <v>0</v>
      </c>
      <c r="AI110" s="575">
        <v>1.7249999999999999</v>
      </c>
      <c r="AJ110" s="575">
        <v>350</v>
      </c>
      <c r="AK110" s="576">
        <v>0</v>
      </c>
      <c r="AL110" s="575">
        <v>1.5065250000000001</v>
      </c>
      <c r="AM110" s="575">
        <v>458.01186999999999</v>
      </c>
      <c r="AN110" s="559">
        <v>0</v>
      </c>
      <c r="AO110" s="552">
        <v>0.89922000000000002</v>
      </c>
      <c r="AP110" s="552">
        <v>1.1026199999999999</v>
      </c>
      <c r="AQ110" s="552">
        <v>294.53417999999999</v>
      </c>
      <c r="AR110" s="554"/>
      <c r="AS110" s="555">
        <f t="shared" si="34"/>
        <v>0</v>
      </c>
      <c r="AT110" s="570">
        <f t="shared" si="35"/>
        <v>0</v>
      </c>
      <c r="AU110" s="563"/>
      <c r="AV110" s="553">
        <f t="shared" si="36"/>
        <v>0</v>
      </c>
      <c r="AW110" s="553">
        <f t="shared" si="36"/>
        <v>0</v>
      </c>
      <c r="AX110" s="553">
        <f t="shared" si="36"/>
        <v>0</v>
      </c>
      <c r="AY110" s="552">
        <f t="shared" si="37"/>
        <v>0</v>
      </c>
      <c r="AZ110" s="571">
        <f t="shared" si="38"/>
        <v>0</v>
      </c>
      <c r="BA110" s="571">
        <f t="shared" si="38"/>
        <v>0</v>
      </c>
      <c r="BB110" s="557"/>
      <c r="BC110" s="577">
        <v>0</v>
      </c>
      <c r="BD110" s="577">
        <v>0</v>
      </c>
      <c r="BE110" s="577">
        <v>0</v>
      </c>
      <c r="BF110" s="577">
        <v>0</v>
      </c>
      <c r="BG110" s="554" t="str">
        <f>IFERROR(VLOOKUP(#REF!,#REF!,4,FALSE),"")</f>
        <v/>
      </c>
      <c r="BH110" s="552"/>
      <c r="BI110" s="552"/>
      <c r="BJ110" s="552"/>
      <c r="BK110" s="552"/>
      <c r="BL110" s="552"/>
      <c r="BM110" s="552"/>
      <c r="BN110" s="552"/>
      <c r="BO110" s="552"/>
      <c r="BP110" s="552"/>
      <c r="BQ110" s="552"/>
      <c r="BR110" s="552"/>
      <c r="BS110" s="552"/>
      <c r="BT110" s="552"/>
      <c r="BU110" s="552"/>
      <c r="BV110" s="552"/>
      <c r="BW110" s="552"/>
      <c r="BX110" s="552"/>
      <c r="BY110" s="552"/>
      <c r="BZ110" s="552"/>
      <c r="CA110" s="552">
        <f t="shared" si="39"/>
        <v>0</v>
      </c>
      <c r="CB110" s="552">
        <f t="shared" si="39"/>
        <v>0</v>
      </c>
      <c r="CC110" s="552">
        <f t="shared" si="39"/>
        <v>0</v>
      </c>
      <c r="CD110" s="552">
        <f t="shared" si="39"/>
        <v>0</v>
      </c>
      <c r="CE110" s="552">
        <f t="shared" si="39"/>
        <v>0</v>
      </c>
      <c r="CF110" s="552">
        <f t="shared" si="39"/>
        <v>0</v>
      </c>
      <c r="CG110" s="552">
        <f t="shared" si="39"/>
        <v>0</v>
      </c>
      <c r="CH110" s="552">
        <f t="shared" si="39"/>
        <v>0</v>
      </c>
      <c r="CI110" s="552">
        <f t="shared" si="39"/>
        <v>0</v>
      </c>
      <c r="CJ110" s="552">
        <f t="shared" si="39"/>
        <v>0</v>
      </c>
      <c r="CK110" s="552">
        <f t="shared" si="39"/>
        <v>0</v>
      </c>
      <c r="CL110" s="552">
        <f t="shared" si="39"/>
        <v>0</v>
      </c>
      <c r="CM110" s="552">
        <f t="shared" si="39"/>
        <v>0</v>
      </c>
      <c r="CN110" s="552">
        <f t="shared" si="39"/>
        <v>0</v>
      </c>
      <c r="CO110" s="552">
        <f t="shared" si="39"/>
        <v>0</v>
      </c>
      <c r="CP110" s="552">
        <f t="shared" si="39"/>
        <v>0</v>
      </c>
      <c r="CQ110" s="552">
        <f t="shared" si="40"/>
        <v>0</v>
      </c>
      <c r="CR110" s="552">
        <f t="shared" si="40"/>
        <v>0</v>
      </c>
      <c r="CS110" s="552">
        <f t="shared" si="41"/>
        <v>0</v>
      </c>
      <c r="CT110" s="552"/>
      <c r="CU110" s="552"/>
      <c r="CV110" s="552"/>
      <c r="CW110" s="552"/>
      <c r="CX110" s="552"/>
      <c r="CY110" s="552"/>
      <c r="CZ110" s="552"/>
      <c r="DB110" s="552">
        <f t="shared" si="42"/>
        <v>0</v>
      </c>
      <c r="DC110" s="552">
        <f t="shared" si="42"/>
        <v>0</v>
      </c>
      <c r="DD110" s="552">
        <f t="shared" si="42"/>
        <v>0</v>
      </c>
      <c r="DE110" s="552">
        <f t="shared" si="42"/>
        <v>0</v>
      </c>
      <c r="DF110" s="552">
        <f t="shared" si="42"/>
        <v>0</v>
      </c>
      <c r="DG110" s="552">
        <f t="shared" si="42"/>
        <v>0</v>
      </c>
      <c r="DH110" s="552">
        <f t="shared" si="44"/>
        <v>0</v>
      </c>
      <c r="DI110" s="554"/>
      <c r="DJ110" s="525">
        <f>IFERROR(VLOOKUP(A110,'Transp. Dre Rodovia'!$A$19:$D$29,4,FALSE),0)+IFERROR(VLOOKUP(A110,#REF!,4,FALSE),0)</f>
        <v>0</v>
      </c>
    </row>
    <row r="111" spans="1:114" s="476" customFormat="1" ht="12.75" hidden="1">
      <c r="A111" s="572"/>
      <c r="B111" s="573"/>
      <c r="C111" s="574"/>
      <c r="D111" s="559">
        <v>0</v>
      </c>
      <c r="E111" s="575">
        <v>0.52600000000000002</v>
      </c>
      <c r="F111" s="559">
        <v>0</v>
      </c>
      <c r="G111" s="575">
        <v>0.89922000000000002</v>
      </c>
      <c r="H111" s="575">
        <v>1.1026199999999999</v>
      </c>
      <c r="I111" s="575">
        <v>280.53417999999999</v>
      </c>
      <c r="J111" s="559">
        <v>0</v>
      </c>
      <c r="K111" s="575">
        <v>0.90449999999999997</v>
      </c>
      <c r="L111" s="575">
        <v>0.85649999999999993</v>
      </c>
      <c r="M111" s="575">
        <v>332</v>
      </c>
      <c r="N111" s="559">
        <v>0</v>
      </c>
      <c r="O111" s="575">
        <v>0.52600000000000002</v>
      </c>
      <c r="P111" s="559">
        <v>0</v>
      </c>
      <c r="Q111" s="575">
        <v>0.88500000000000001</v>
      </c>
      <c r="R111" s="575">
        <v>0.86699999999999999</v>
      </c>
      <c r="S111" s="575">
        <v>364</v>
      </c>
      <c r="T111" s="559">
        <v>0</v>
      </c>
      <c r="U111" s="575">
        <v>0.90449999999999997</v>
      </c>
      <c r="V111" s="575">
        <v>0.85649999999999993</v>
      </c>
      <c r="W111" s="575">
        <v>332</v>
      </c>
      <c r="X111" s="576">
        <v>0</v>
      </c>
      <c r="Y111" s="575">
        <v>0.88500000000000001</v>
      </c>
      <c r="Z111" s="575">
        <v>0.86699999999999999</v>
      </c>
      <c r="AA111" s="575">
        <v>364</v>
      </c>
      <c r="AB111" s="559">
        <v>0</v>
      </c>
      <c r="AC111" s="575">
        <v>0.87749999999999995</v>
      </c>
      <c r="AD111" s="575">
        <v>0.88019999999999998</v>
      </c>
      <c r="AE111" s="575">
        <v>389</v>
      </c>
      <c r="AF111" s="559">
        <v>0</v>
      </c>
      <c r="AG111" s="552">
        <v>1.1499999999999999</v>
      </c>
      <c r="AH111" s="559">
        <v>0</v>
      </c>
      <c r="AI111" s="575">
        <v>1.7249999999999999</v>
      </c>
      <c r="AJ111" s="575">
        <v>350</v>
      </c>
      <c r="AK111" s="576">
        <v>0</v>
      </c>
      <c r="AL111" s="575">
        <v>1.5065250000000001</v>
      </c>
      <c r="AM111" s="575">
        <v>458.01186999999999</v>
      </c>
      <c r="AN111" s="559">
        <v>0</v>
      </c>
      <c r="AO111" s="552">
        <v>0.89922000000000002</v>
      </c>
      <c r="AP111" s="552">
        <v>1.1026199999999999</v>
      </c>
      <c r="AQ111" s="552">
        <v>295.53417999999999</v>
      </c>
      <c r="AR111" s="554"/>
      <c r="AS111" s="555">
        <f t="shared" si="34"/>
        <v>0</v>
      </c>
      <c r="AT111" s="570">
        <f t="shared" si="35"/>
        <v>0</v>
      </c>
      <c r="AU111" s="563"/>
      <c r="AV111" s="553">
        <f t="shared" si="36"/>
        <v>0</v>
      </c>
      <c r="AW111" s="553">
        <f t="shared" si="36"/>
        <v>0</v>
      </c>
      <c r="AX111" s="553">
        <f t="shared" si="36"/>
        <v>0</v>
      </c>
      <c r="AY111" s="552">
        <f t="shared" si="37"/>
        <v>0</v>
      </c>
      <c r="AZ111" s="571">
        <f t="shared" si="38"/>
        <v>0</v>
      </c>
      <c r="BA111" s="571">
        <f t="shared" si="38"/>
        <v>0</v>
      </c>
      <c r="BB111" s="557"/>
      <c r="BC111" s="577">
        <v>0</v>
      </c>
      <c r="BD111" s="577">
        <v>0</v>
      </c>
      <c r="BE111" s="577">
        <v>0</v>
      </c>
      <c r="BF111" s="577">
        <v>0</v>
      </c>
      <c r="BG111" s="554" t="str">
        <f>IFERROR(VLOOKUP(#REF!,#REF!,4,FALSE),"")</f>
        <v/>
      </c>
      <c r="BH111" s="552"/>
      <c r="BI111" s="552"/>
      <c r="BJ111" s="552"/>
      <c r="BK111" s="552"/>
      <c r="BL111" s="552"/>
      <c r="BM111" s="552"/>
      <c r="BN111" s="552"/>
      <c r="BO111" s="552"/>
      <c r="BP111" s="552"/>
      <c r="BQ111" s="552"/>
      <c r="BR111" s="552"/>
      <c r="BS111" s="552"/>
      <c r="BT111" s="552"/>
      <c r="BU111" s="552"/>
      <c r="BV111" s="552"/>
      <c r="BW111" s="552"/>
      <c r="BX111" s="552"/>
      <c r="BY111" s="552"/>
      <c r="BZ111" s="552"/>
      <c r="CA111" s="552">
        <f t="shared" si="39"/>
        <v>0</v>
      </c>
      <c r="CB111" s="552">
        <f t="shared" si="39"/>
        <v>0</v>
      </c>
      <c r="CC111" s="552">
        <f t="shared" si="39"/>
        <v>0</v>
      </c>
      <c r="CD111" s="552">
        <f t="shared" si="39"/>
        <v>0</v>
      </c>
      <c r="CE111" s="552">
        <f t="shared" si="39"/>
        <v>0</v>
      </c>
      <c r="CF111" s="552">
        <f t="shared" si="39"/>
        <v>0</v>
      </c>
      <c r="CG111" s="552">
        <f t="shared" si="39"/>
        <v>0</v>
      </c>
      <c r="CH111" s="552">
        <f t="shared" si="39"/>
        <v>0</v>
      </c>
      <c r="CI111" s="552">
        <f t="shared" si="39"/>
        <v>0</v>
      </c>
      <c r="CJ111" s="552">
        <f t="shared" si="39"/>
        <v>0</v>
      </c>
      <c r="CK111" s="552">
        <f t="shared" si="39"/>
        <v>0</v>
      </c>
      <c r="CL111" s="552">
        <f t="shared" si="39"/>
        <v>0</v>
      </c>
      <c r="CM111" s="552">
        <f t="shared" si="39"/>
        <v>0</v>
      </c>
      <c r="CN111" s="552">
        <f t="shared" si="39"/>
        <v>0</v>
      </c>
      <c r="CO111" s="552">
        <f t="shared" si="39"/>
        <v>0</v>
      </c>
      <c r="CP111" s="552">
        <f t="shared" si="39"/>
        <v>0</v>
      </c>
      <c r="CQ111" s="552">
        <f t="shared" si="40"/>
        <v>0</v>
      </c>
      <c r="CR111" s="552">
        <f t="shared" si="40"/>
        <v>0</v>
      </c>
      <c r="CS111" s="552">
        <f t="shared" si="41"/>
        <v>0</v>
      </c>
      <c r="CT111" s="552"/>
      <c r="CU111" s="552"/>
      <c r="CV111" s="552"/>
      <c r="CW111" s="552"/>
      <c r="CX111" s="552"/>
      <c r="CY111" s="552"/>
      <c r="CZ111" s="552"/>
      <c r="DB111" s="552">
        <f t="shared" si="42"/>
        <v>0</v>
      </c>
      <c r="DC111" s="552">
        <f t="shared" si="42"/>
        <v>0</v>
      </c>
      <c r="DD111" s="552">
        <f t="shared" si="42"/>
        <v>0</v>
      </c>
      <c r="DE111" s="552">
        <f t="shared" si="42"/>
        <v>0</v>
      </c>
      <c r="DF111" s="552">
        <f t="shared" si="42"/>
        <v>0</v>
      </c>
      <c r="DG111" s="552">
        <f t="shared" si="42"/>
        <v>0</v>
      </c>
      <c r="DH111" s="552">
        <f t="shared" si="44"/>
        <v>0</v>
      </c>
      <c r="DI111" s="554"/>
      <c r="DJ111" s="525">
        <f>IFERROR(VLOOKUP(A111,'Transp. Dre Rodovia'!$A$19:$D$29,4,FALSE),0)+IFERROR(VLOOKUP(A111,#REF!,4,FALSE),0)</f>
        <v>0</v>
      </c>
    </row>
    <row r="112" spans="1:114" s="476" customFormat="1" ht="12.75" hidden="1">
      <c r="A112" s="572"/>
      <c r="B112" s="573"/>
      <c r="C112" s="574"/>
      <c r="D112" s="559">
        <v>0</v>
      </c>
      <c r="E112" s="575">
        <v>0.52600000000000002</v>
      </c>
      <c r="F112" s="559">
        <v>0</v>
      </c>
      <c r="G112" s="575">
        <v>0.89922000000000002</v>
      </c>
      <c r="H112" s="575">
        <v>1.1026199999999999</v>
      </c>
      <c r="I112" s="575">
        <v>280.53417999999999</v>
      </c>
      <c r="J112" s="559">
        <v>0</v>
      </c>
      <c r="K112" s="575">
        <v>0.90449999999999997</v>
      </c>
      <c r="L112" s="575">
        <v>0.85649999999999993</v>
      </c>
      <c r="M112" s="575">
        <v>332</v>
      </c>
      <c r="N112" s="559">
        <v>0</v>
      </c>
      <c r="O112" s="575">
        <v>0.52600000000000002</v>
      </c>
      <c r="P112" s="559">
        <v>0</v>
      </c>
      <c r="Q112" s="575">
        <v>0.88500000000000001</v>
      </c>
      <c r="R112" s="575">
        <v>0.86699999999999999</v>
      </c>
      <c r="S112" s="575">
        <v>364</v>
      </c>
      <c r="T112" s="559">
        <v>0</v>
      </c>
      <c r="U112" s="575">
        <v>0.90449999999999997</v>
      </c>
      <c r="V112" s="575">
        <v>0.85649999999999993</v>
      </c>
      <c r="W112" s="575">
        <v>332</v>
      </c>
      <c r="X112" s="576">
        <v>0</v>
      </c>
      <c r="Y112" s="575">
        <v>0.88500000000000001</v>
      </c>
      <c r="Z112" s="575">
        <v>0.86699999999999999</v>
      </c>
      <c r="AA112" s="575">
        <v>364</v>
      </c>
      <c r="AB112" s="559">
        <v>0</v>
      </c>
      <c r="AC112" s="575">
        <v>0.87749999999999995</v>
      </c>
      <c r="AD112" s="575">
        <v>0.88019999999999998</v>
      </c>
      <c r="AE112" s="575">
        <v>389</v>
      </c>
      <c r="AF112" s="559">
        <v>0</v>
      </c>
      <c r="AG112" s="552">
        <v>1.1499999999999999</v>
      </c>
      <c r="AH112" s="559">
        <v>0</v>
      </c>
      <c r="AI112" s="575">
        <v>1.7249999999999999</v>
      </c>
      <c r="AJ112" s="575">
        <v>350</v>
      </c>
      <c r="AK112" s="576">
        <v>0</v>
      </c>
      <c r="AL112" s="575">
        <v>1.5065250000000001</v>
      </c>
      <c r="AM112" s="575">
        <v>458.01186999999999</v>
      </c>
      <c r="AN112" s="559">
        <v>0</v>
      </c>
      <c r="AO112" s="552">
        <v>0.89922000000000002</v>
      </c>
      <c r="AP112" s="552">
        <v>1.1026199999999999</v>
      </c>
      <c r="AQ112" s="552">
        <v>296.53417999999999</v>
      </c>
      <c r="AR112" s="554"/>
      <c r="AS112" s="555">
        <f t="shared" si="34"/>
        <v>0</v>
      </c>
      <c r="AT112" s="570">
        <f t="shared" si="35"/>
        <v>0</v>
      </c>
      <c r="AU112" s="563"/>
      <c r="AV112" s="553">
        <f t="shared" si="36"/>
        <v>0</v>
      </c>
      <c r="AW112" s="553">
        <f t="shared" si="36"/>
        <v>0</v>
      </c>
      <c r="AX112" s="553">
        <f t="shared" si="36"/>
        <v>0</v>
      </c>
      <c r="AY112" s="552">
        <f t="shared" si="37"/>
        <v>0</v>
      </c>
      <c r="AZ112" s="571">
        <f t="shared" si="38"/>
        <v>0</v>
      </c>
      <c r="BA112" s="571">
        <f t="shared" si="38"/>
        <v>0</v>
      </c>
      <c r="BB112" s="557"/>
      <c r="BC112" s="577">
        <v>0</v>
      </c>
      <c r="BD112" s="577">
        <v>0</v>
      </c>
      <c r="BE112" s="577">
        <v>0</v>
      </c>
      <c r="BF112" s="577">
        <v>0</v>
      </c>
      <c r="BG112" s="554" t="str">
        <f>IFERROR(VLOOKUP(#REF!,#REF!,4,FALSE),"")</f>
        <v/>
      </c>
      <c r="BH112" s="552"/>
      <c r="BI112" s="552"/>
      <c r="BJ112" s="552"/>
      <c r="BK112" s="552"/>
      <c r="BL112" s="552"/>
      <c r="BM112" s="552"/>
      <c r="BN112" s="552"/>
      <c r="BO112" s="552"/>
      <c r="BP112" s="552"/>
      <c r="BQ112" s="552"/>
      <c r="BR112" s="552"/>
      <c r="BS112" s="552"/>
      <c r="BT112" s="552"/>
      <c r="BU112" s="552"/>
      <c r="BV112" s="552"/>
      <c r="BW112" s="552"/>
      <c r="BX112" s="552"/>
      <c r="BY112" s="552"/>
      <c r="BZ112" s="552"/>
      <c r="CA112" s="552">
        <f t="shared" si="39"/>
        <v>0</v>
      </c>
      <c r="CB112" s="552">
        <f t="shared" si="39"/>
        <v>0</v>
      </c>
      <c r="CC112" s="552">
        <f t="shared" si="39"/>
        <v>0</v>
      </c>
      <c r="CD112" s="552">
        <f t="shared" si="40"/>
        <v>0</v>
      </c>
      <c r="CE112" s="552">
        <f t="shared" si="40"/>
        <v>0</v>
      </c>
      <c r="CF112" s="552">
        <f t="shared" si="40"/>
        <v>0</v>
      </c>
      <c r="CG112" s="552">
        <f t="shared" si="40"/>
        <v>0</v>
      </c>
      <c r="CH112" s="552">
        <f t="shared" si="40"/>
        <v>0</v>
      </c>
      <c r="CI112" s="552">
        <f t="shared" si="40"/>
        <v>0</v>
      </c>
      <c r="CJ112" s="552">
        <f t="shared" si="40"/>
        <v>0</v>
      </c>
      <c r="CK112" s="552">
        <f t="shared" si="40"/>
        <v>0</v>
      </c>
      <c r="CL112" s="552">
        <f t="shared" si="40"/>
        <v>0</v>
      </c>
      <c r="CM112" s="552">
        <f t="shared" si="40"/>
        <v>0</v>
      </c>
      <c r="CN112" s="552">
        <f t="shared" si="40"/>
        <v>0</v>
      </c>
      <c r="CO112" s="552">
        <f t="shared" si="40"/>
        <v>0</v>
      </c>
      <c r="CP112" s="552">
        <f t="shared" si="40"/>
        <v>0</v>
      </c>
      <c r="CQ112" s="552">
        <f t="shared" si="40"/>
        <v>0</v>
      </c>
      <c r="CR112" s="552">
        <f t="shared" si="40"/>
        <v>0</v>
      </c>
      <c r="CS112" s="552">
        <f t="shared" si="41"/>
        <v>0</v>
      </c>
      <c r="CT112" s="552"/>
      <c r="CU112" s="552"/>
      <c r="CV112" s="552"/>
      <c r="CW112" s="552"/>
      <c r="CX112" s="552"/>
      <c r="CY112" s="552"/>
      <c r="CZ112" s="552"/>
      <c r="DB112" s="552">
        <f t="shared" si="42"/>
        <v>0</v>
      </c>
      <c r="DC112" s="552">
        <f t="shared" si="42"/>
        <v>0</v>
      </c>
      <c r="DD112" s="552">
        <f t="shared" si="42"/>
        <v>0</v>
      </c>
      <c r="DE112" s="552">
        <f t="shared" si="42"/>
        <v>0</v>
      </c>
      <c r="DF112" s="552">
        <f t="shared" si="42"/>
        <v>0</v>
      </c>
      <c r="DG112" s="552">
        <f t="shared" si="42"/>
        <v>0</v>
      </c>
      <c r="DH112" s="552">
        <f t="shared" si="44"/>
        <v>0</v>
      </c>
      <c r="DI112" s="554"/>
      <c r="DJ112" s="525">
        <f>IFERROR(VLOOKUP(A112,'Transp. Dre Rodovia'!$A$19:$D$29,4,FALSE),0)+IFERROR(VLOOKUP(A112,#REF!,4,FALSE),0)</f>
        <v>0</v>
      </c>
    </row>
  </sheetData>
  <autoFilter ref="C5:DJ112" xr:uid="{9A453892-7D55-4482-A9DC-425613FD3419}">
    <filterColumn colId="111">
      <filters>
        <filter val="1"/>
        <filter val="11"/>
        <filter val="1240"/>
        <filter val="17"/>
        <filter val="38"/>
        <filter val="482"/>
        <filter val="793"/>
      </filters>
    </filterColumn>
  </autoFilter>
  <mergeCells count="15">
    <mergeCell ref="CU2:CY2"/>
    <mergeCell ref="DB2:DH2"/>
    <mergeCell ref="DH3:DH4"/>
    <mergeCell ref="AK2:AK3"/>
    <mergeCell ref="AL2:AM2"/>
    <mergeCell ref="AN2:AN3"/>
    <mergeCell ref="AO2:AQ2"/>
    <mergeCell ref="AV2:AY2"/>
    <mergeCell ref="AZ2:BA2"/>
    <mergeCell ref="AI2:AJ2"/>
    <mergeCell ref="A2:A5"/>
    <mergeCell ref="B2:B5"/>
    <mergeCell ref="D2:AE2"/>
    <mergeCell ref="AF2:AG2"/>
    <mergeCell ref="AH2:AH3"/>
  </mergeCells>
  <conditionalFormatting sqref="A1:A85 A87:A106 A110:A1048576">
    <cfRule type="duplicateValues" dxfId="142" priority="22"/>
  </conditionalFormatting>
  <conditionalFormatting sqref="A1:A106 A110:A1048576">
    <cfRule type="duplicateValues" dxfId="141" priority="19"/>
  </conditionalFormatting>
  <conditionalFormatting sqref="A73">
    <cfRule type="duplicateValues" dxfId="140" priority="112"/>
    <cfRule type="duplicateValues" dxfId="139" priority="113"/>
    <cfRule type="duplicateValues" dxfId="138" priority="114"/>
  </conditionalFormatting>
  <conditionalFormatting sqref="A74">
    <cfRule type="duplicateValues" dxfId="137" priority="106"/>
    <cfRule type="duplicateValues" dxfId="136" priority="107"/>
  </conditionalFormatting>
  <conditionalFormatting sqref="A75">
    <cfRule type="duplicateValues" dxfId="135" priority="104"/>
    <cfRule type="duplicateValues" dxfId="134" priority="105"/>
  </conditionalFormatting>
  <conditionalFormatting sqref="A76">
    <cfRule type="duplicateValues" dxfId="133" priority="102"/>
    <cfRule type="duplicateValues" dxfId="132" priority="103"/>
  </conditionalFormatting>
  <conditionalFormatting sqref="A77">
    <cfRule type="duplicateValues" dxfId="131" priority="94"/>
    <cfRule type="duplicateValues" dxfId="130" priority="95"/>
    <cfRule type="duplicateValues" dxfId="129" priority="96"/>
  </conditionalFormatting>
  <conditionalFormatting sqref="A78">
    <cfRule type="duplicateValues" dxfId="128" priority="108"/>
    <cfRule type="duplicateValues" dxfId="127" priority="109"/>
  </conditionalFormatting>
  <conditionalFormatting sqref="A79">
    <cfRule type="duplicateValues" dxfId="126" priority="23"/>
    <cfRule type="duplicateValues" dxfId="125" priority="24"/>
    <cfRule type="duplicateValues" dxfId="124" priority="25"/>
    <cfRule type="duplicateValues" dxfId="123" priority="26"/>
    <cfRule type="duplicateValues" dxfId="122" priority="27"/>
  </conditionalFormatting>
  <conditionalFormatting sqref="A80">
    <cfRule type="duplicateValues" dxfId="121" priority="28"/>
    <cfRule type="duplicateValues" dxfId="120" priority="29"/>
    <cfRule type="duplicateValues" dxfId="119" priority="30"/>
    <cfRule type="duplicateValues" dxfId="118" priority="31"/>
    <cfRule type="duplicateValues" dxfId="117" priority="32"/>
  </conditionalFormatting>
  <conditionalFormatting sqref="A81">
    <cfRule type="duplicateValues" dxfId="116" priority="33"/>
    <cfRule type="duplicateValues" dxfId="115" priority="34"/>
    <cfRule type="duplicateValues" dxfId="114" priority="35"/>
    <cfRule type="duplicateValues" dxfId="113" priority="36"/>
    <cfRule type="duplicateValues" dxfId="112" priority="37"/>
  </conditionalFormatting>
  <conditionalFormatting sqref="A82">
    <cfRule type="duplicateValues" dxfId="111" priority="38"/>
    <cfRule type="duplicateValues" dxfId="110" priority="39"/>
    <cfRule type="duplicateValues" dxfId="109" priority="40"/>
    <cfRule type="duplicateValues" dxfId="108" priority="41"/>
    <cfRule type="duplicateValues" dxfId="107" priority="42"/>
  </conditionalFormatting>
  <conditionalFormatting sqref="A83">
    <cfRule type="duplicateValues" dxfId="106" priority="43"/>
    <cfRule type="duplicateValues" dxfId="105" priority="44"/>
    <cfRule type="duplicateValues" dxfId="104" priority="45"/>
    <cfRule type="duplicateValues" dxfId="103" priority="46"/>
    <cfRule type="duplicateValues" dxfId="102" priority="47"/>
  </conditionalFormatting>
  <conditionalFormatting sqref="A84">
    <cfRule type="duplicateValues" dxfId="101" priority="48"/>
    <cfRule type="duplicateValues" dxfId="100" priority="49"/>
    <cfRule type="duplicateValues" dxfId="99" priority="50"/>
    <cfRule type="duplicateValues" dxfId="98" priority="51"/>
    <cfRule type="duplicateValues" dxfId="97" priority="52"/>
  </conditionalFormatting>
  <conditionalFormatting sqref="A85">
    <cfRule type="duplicateValues" dxfId="96" priority="53"/>
    <cfRule type="duplicateValues" dxfId="95" priority="54"/>
    <cfRule type="duplicateValues" dxfId="94" priority="55"/>
    <cfRule type="duplicateValues" dxfId="93" priority="56"/>
    <cfRule type="duplicateValues" dxfId="92" priority="57"/>
  </conditionalFormatting>
  <conditionalFormatting sqref="A86">
    <cfRule type="duplicateValues" dxfId="91" priority="20"/>
    <cfRule type="duplicateValues" dxfId="90" priority="21"/>
  </conditionalFormatting>
  <conditionalFormatting sqref="A87">
    <cfRule type="duplicateValues" dxfId="89" priority="58"/>
    <cfRule type="duplicateValues" dxfId="88" priority="59"/>
    <cfRule type="duplicateValues" dxfId="87" priority="60"/>
    <cfRule type="duplicateValues" dxfId="86" priority="61"/>
    <cfRule type="duplicateValues" dxfId="85" priority="62"/>
  </conditionalFormatting>
  <conditionalFormatting sqref="A88">
    <cfRule type="duplicateValues" dxfId="84" priority="63"/>
    <cfRule type="duplicateValues" dxfId="83" priority="64"/>
    <cfRule type="duplicateValues" dxfId="82" priority="65"/>
    <cfRule type="duplicateValues" dxfId="81" priority="66"/>
    <cfRule type="duplicateValues" dxfId="80" priority="67"/>
  </conditionalFormatting>
  <conditionalFormatting sqref="A89">
    <cfRule type="duplicateValues" dxfId="79" priority="68"/>
    <cfRule type="duplicateValues" dxfId="78" priority="69"/>
    <cfRule type="duplicateValues" dxfId="77" priority="70"/>
    <cfRule type="duplicateValues" dxfId="76" priority="71"/>
    <cfRule type="duplicateValues" dxfId="75" priority="72"/>
  </conditionalFormatting>
  <conditionalFormatting sqref="A90">
    <cfRule type="duplicateValues" dxfId="74" priority="73"/>
    <cfRule type="duplicateValues" dxfId="73" priority="74"/>
    <cfRule type="duplicateValues" dxfId="72" priority="75"/>
    <cfRule type="duplicateValues" dxfId="71" priority="76"/>
    <cfRule type="duplicateValues" dxfId="70" priority="77"/>
  </conditionalFormatting>
  <conditionalFormatting sqref="A91">
    <cfRule type="duplicateValues" dxfId="69" priority="78"/>
    <cfRule type="duplicateValues" dxfId="68" priority="79"/>
    <cfRule type="duplicateValues" dxfId="67" priority="80"/>
    <cfRule type="duplicateValues" dxfId="66" priority="81"/>
    <cfRule type="duplicateValues" dxfId="65" priority="82"/>
  </conditionalFormatting>
  <conditionalFormatting sqref="A92">
    <cfRule type="duplicateValues" dxfId="64" priority="83"/>
    <cfRule type="duplicateValues" dxfId="63" priority="84"/>
    <cfRule type="duplicateValues" dxfId="62" priority="85"/>
    <cfRule type="duplicateValues" dxfId="61" priority="86"/>
    <cfRule type="duplicateValues" dxfId="60" priority="87"/>
  </conditionalFormatting>
  <conditionalFormatting sqref="A93">
    <cfRule type="duplicateValues" dxfId="59" priority="88"/>
    <cfRule type="duplicateValues" dxfId="58" priority="89"/>
    <cfRule type="duplicateValues" dxfId="57" priority="90"/>
    <cfRule type="duplicateValues" dxfId="56" priority="91"/>
    <cfRule type="duplicateValues" dxfId="55" priority="92"/>
  </conditionalFormatting>
  <conditionalFormatting sqref="A94">
    <cfRule type="duplicateValues" dxfId="54" priority="110"/>
    <cfRule type="duplicateValues" dxfId="53" priority="111"/>
  </conditionalFormatting>
  <conditionalFormatting sqref="A94:A106 A1:A76 A78 A110:A1048576">
    <cfRule type="duplicateValues" dxfId="52" priority="97"/>
  </conditionalFormatting>
  <conditionalFormatting sqref="A94:A106 A1:A78 A110:A1048576">
    <cfRule type="duplicateValues" dxfId="51" priority="93"/>
  </conditionalFormatting>
  <conditionalFormatting sqref="A97">
    <cfRule type="duplicateValues" dxfId="50" priority="100"/>
  </conditionalFormatting>
  <conditionalFormatting sqref="A97:A103">
    <cfRule type="duplicateValues" dxfId="49" priority="98"/>
  </conditionalFormatting>
  <conditionalFormatting sqref="A98:A103">
    <cfRule type="duplicateValues" dxfId="48" priority="99"/>
  </conditionalFormatting>
  <conditionalFormatting sqref="A104:A106 A1:A76 A78 A94:A96 A110:A1048576">
    <cfRule type="duplicateValues" dxfId="47" priority="101"/>
  </conditionalFormatting>
  <conditionalFormatting sqref="A104:A106 A110:A111">
    <cfRule type="duplicateValues" dxfId="46" priority="124"/>
  </conditionalFormatting>
  <conditionalFormatting sqref="A107">
    <cfRule type="duplicateValues" dxfId="45" priority="13"/>
    <cfRule type="duplicateValues" dxfId="44" priority="14"/>
    <cfRule type="duplicateValues" dxfId="43" priority="15"/>
    <cfRule type="duplicateValues" dxfId="42" priority="16"/>
    <cfRule type="duplicateValues" dxfId="41" priority="17"/>
    <cfRule type="duplicateValues" dxfId="40" priority="18"/>
  </conditionalFormatting>
  <conditionalFormatting sqref="A108">
    <cfRule type="duplicateValues" dxfId="39" priority="7"/>
    <cfRule type="duplicateValues" dxfId="38" priority="8"/>
    <cfRule type="duplicateValues" dxfId="37" priority="9"/>
    <cfRule type="duplicateValues" dxfId="36" priority="10"/>
    <cfRule type="duplicateValues" dxfId="35" priority="11"/>
    <cfRule type="duplicateValues" dxfId="34" priority="12"/>
  </conditionalFormatting>
  <conditionalFormatting sqref="A109">
    <cfRule type="duplicateValues" dxfId="33" priority="1"/>
    <cfRule type="duplicateValues" dxfId="32" priority="2"/>
    <cfRule type="duplicateValues" dxfId="31" priority="3"/>
    <cfRule type="duplicateValues" dxfId="30" priority="4"/>
    <cfRule type="duplicateValues" dxfId="29" priority="5"/>
    <cfRule type="duplicateValues" dxfId="28" priority="6"/>
  </conditionalFormatting>
  <conditionalFormatting sqref="A110">
    <cfRule type="duplicateValues" dxfId="27" priority="120"/>
  </conditionalFormatting>
  <conditionalFormatting sqref="A110:A111">
    <cfRule type="duplicateValues" dxfId="26" priority="118"/>
  </conditionalFormatting>
  <conditionalFormatting sqref="A110:A1048576 A95:A96 A1:A72">
    <cfRule type="duplicateValues" dxfId="25" priority="115"/>
  </conditionalFormatting>
  <conditionalFormatting sqref="A111">
    <cfRule type="duplicateValues" dxfId="24" priority="121"/>
  </conditionalFormatting>
  <conditionalFormatting sqref="A112:A1048576 A1:A72 A95:A96">
    <cfRule type="duplicateValues" dxfId="23" priority="123"/>
  </conditionalFormatting>
  <conditionalFormatting sqref="A112:A1048576">
    <cfRule type="duplicateValues" dxfId="22" priority="122"/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AD66C-023A-4FA7-A0FD-77D41DA2BBEA}">
  <sheetPr>
    <tabColor rgb="FFFFC000"/>
  </sheetPr>
  <dimension ref="A1:BY30"/>
  <sheetViews>
    <sheetView showGridLines="0" topLeftCell="A2" zoomScaleNormal="100" workbookViewId="0">
      <pane xSplit="6" topLeftCell="G1" activePane="topRight" state="frozen"/>
      <selection activeCell="K33" sqref="K33"/>
      <selection pane="topRight" activeCell="G19" sqref="G19"/>
    </sheetView>
  </sheetViews>
  <sheetFormatPr defaultColWidth="9.140625" defaultRowHeight="15"/>
  <cols>
    <col min="1" max="1" width="19" customWidth="1"/>
    <col min="2" max="2" width="67.5703125" customWidth="1"/>
    <col min="3" max="3" width="9.140625" customWidth="1"/>
    <col min="4" max="4" width="13.140625" customWidth="1"/>
    <col min="5" max="5" width="15.140625" hidden="1" customWidth="1"/>
    <col min="6" max="6" width="13.140625" hidden="1" customWidth="1"/>
    <col min="7" max="7" width="19.42578125" customWidth="1"/>
    <col min="8" max="12" width="12.7109375" customWidth="1"/>
    <col min="13" max="13" width="12.7109375" hidden="1" customWidth="1"/>
    <col min="14" max="14" width="12.7109375" customWidth="1"/>
    <col min="15" max="15" width="12.7109375" hidden="1" customWidth="1"/>
    <col min="16" max="17" width="12.7109375" customWidth="1"/>
    <col min="18" max="18" width="12.7109375" hidden="1" customWidth="1"/>
    <col min="19" max="19" width="12.7109375" customWidth="1"/>
    <col min="20" max="20" width="12.7109375" hidden="1" customWidth="1"/>
    <col min="21" max="22" width="12.7109375" customWidth="1"/>
    <col min="23" max="23" width="12.7109375" hidden="1" customWidth="1"/>
    <col min="24" max="24" width="12.7109375" customWidth="1"/>
    <col min="25" max="25" width="12.7109375" hidden="1" customWidth="1"/>
    <col min="26" max="27" width="12.7109375" customWidth="1"/>
    <col min="28" max="31" width="12.7109375" hidden="1" customWidth="1"/>
    <col min="32" max="46" width="12.7109375" customWidth="1"/>
    <col min="47" max="51" width="12.7109375" hidden="1" customWidth="1"/>
    <col min="52" max="56" width="12.7109375" customWidth="1"/>
    <col min="57" max="61" width="12.7109375" hidden="1" customWidth="1"/>
    <col min="62" max="71" width="12.7109375" customWidth="1"/>
    <col min="72" max="72" width="0" hidden="1" customWidth="1"/>
    <col min="73" max="77" width="12.7109375" customWidth="1"/>
  </cols>
  <sheetData>
    <row r="1" spans="1:77" hidden="1">
      <c r="A1" s="578"/>
      <c r="B1" s="579"/>
      <c r="C1" s="578"/>
      <c r="D1" s="578"/>
      <c r="E1" s="578"/>
      <c r="F1" s="578"/>
      <c r="G1" s="580">
        <f>'Consumos Drenagem'!AS1</f>
        <v>45</v>
      </c>
      <c r="H1" s="581"/>
      <c r="I1" s="581"/>
      <c r="J1" s="581"/>
      <c r="K1" s="581"/>
      <c r="L1" s="580">
        <f>'Consumos Drenagem'!AV1</f>
        <v>48</v>
      </c>
      <c r="M1" s="580"/>
      <c r="N1" s="581"/>
      <c r="O1" s="581"/>
      <c r="P1" s="581"/>
      <c r="Q1" s="580">
        <f>'Consumos Drenagem'!AW1</f>
        <v>49</v>
      </c>
      <c r="R1" s="581"/>
      <c r="S1" s="581"/>
      <c r="T1" s="581"/>
      <c r="U1" s="581"/>
      <c r="V1" s="580">
        <f>'Consumos Drenagem'!AX1</f>
        <v>50</v>
      </c>
      <c r="W1" s="581"/>
      <c r="X1" s="581"/>
      <c r="Y1" s="581"/>
      <c r="Z1" s="581"/>
      <c r="AA1" s="580">
        <f>'Consumos Drenagem'!AT1</f>
        <v>46</v>
      </c>
      <c r="AB1" s="581"/>
      <c r="AC1" s="581"/>
      <c r="AD1" s="581"/>
      <c r="AE1" s="581"/>
      <c r="AF1" s="580">
        <f>'Consumos Drenagem'!AZ1</f>
        <v>52</v>
      </c>
      <c r="AG1" s="581"/>
      <c r="AH1" s="581"/>
      <c r="AI1" s="581"/>
      <c r="AJ1" s="581"/>
      <c r="AK1" s="580">
        <f>'Consumos Drenagem'!BA1</f>
        <v>53</v>
      </c>
      <c r="AL1" s="581"/>
      <c r="AM1" s="581"/>
      <c r="AN1" s="581"/>
      <c r="AO1" s="581"/>
      <c r="AP1" s="580">
        <f>'Consumos Drenagem'!AY1</f>
        <v>51</v>
      </c>
      <c r="AQ1" s="581"/>
      <c r="AR1" s="581"/>
      <c r="AS1" s="581"/>
      <c r="AT1" s="581"/>
      <c r="AU1" s="580">
        <f>'Consumos Drenagem'!BC1</f>
        <v>55</v>
      </c>
      <c r="AV1" s="581"/>
      <c r="AW1" s="581"/>
      <c r="AX1" s="581"/>
      <c r="AY1" s="581"/>
      <c r="AZ1" s="580">
        <f>'Consumos Drenagem'!BD1</f>
        <v>56</v>
      </c>
      <c r="BA1" s="581"/>
      <c r="BB1" s="581"/>
      <c r="BC1" s="581"/>
      <c r="BD1" s="581"/>
      <c r="BE1" s="580">
        <f>'Consumos Drenagem'!BE1</f>
        <v>57</v>
      </c>
      <c r="BF1" s="581"/>
      <c r="BG1" s="581"/>
      <c r="BH1" s="581"/>
      <c r="BI1" s="578"/>
      <c r="BJ1" s="582">
        <f>'Consumos Drenagem'!BF1</f>
        <v>58</v>
      </c>
      <c r="BK1" s="583"/>
      <c r="BL1" s="583"/>
      <c r="BM1" s="583"/>
      <c r="BN1" s="583"/>
      <c r="BO1" s="582">
        <f>'Consumos Drenagem'!DH1</f>
        <v>112</v>
      </c>
      <c r="BP1" s="583"/>
      <c r="BQ1" s="583"/>
      <c r="BR1" s="583"/>
      <c r="BS1" s="583"/>
      <c r="BT1" s="583"/>
      <c r="BU1" s="582">
        <f>'Consumos Drenagem'!$CS$1</f>
        <v>97</v>
      </c>
      <c r="BV1" s="583"/>
      <c r="BW1" s="583"/>
      <c r="BX1" s="583"/>
      <c r="BY1" s="583"/>
    </row>
    <row r="2" spans="1:77" s="587" customFormat="1" ht="12.75">
      <c r="A2" s="584">
        <v>40449</v>
      </c>
      <c r="B2" s="585" t="s">
        <v>80</v>
      </c>
      <c r="C2" s="584" t="s">
        <v>81</v>
      </c>
      <c r="D2" s="586">
        <f>K8</f>
        <v>0.28917287107269402</v>
      </c>
      <c r="E2" s="586"/>
      <c r="F2" s="586"/>
      <c r="G2" s="2306" t="s">
        <v>531</v>
      </c>
      <c r="H2" s="2306"/>
      <c r="I2" s="2306"/>
      <c r="J2" s="2306"/>
      <c r="K2" s="2306"/>
      <c r="L2" s="2306"/>
      <c r="M2" s="578"/>
      <c r="N2" s="578"/>
      <c r="P2" s="578"/>
      <c r="Q2" s="578"/>
      <c r="W2" s="578"/>
      <c r="AL2" s="578"/>
      <c r="AM2" s="578"/>
      <c r="AN2" s="578"/>
      <c r="AO2" s="578"/>
      <c r="AP2" s="578"/>
      <c r="AQ2" s="578"/>
      <c r="AR2" s="578"/>
      <c r="AS2" s="578"/>
    </row>
    <row r="3" spans="1:77" s="587" customFormat="1" ht="12.75" customHeight="1">
      <c r="A3" s="584">
        <v>40450</v>
      </c>
      <c r="B3" s="585" t="s">
        <v>82</v>
      </c>
      <c r="C3" s="584" t="s">
        <v>81</v>
      </c>
      <c r="D3" s="586">
        <f>L8</f>
        <v>641.35666098413151</v>
      </c>
      <c r="E3" s="586"/>
      <c r="F3" s="586"/>
      <c r="G3" s="2307" t="s">
        <v>532</v>
      </c>
      <c r="H3" s="2307" t="s">
        <v>533</v>
      </c>
      <c r="I3" s="2307"/>
      <c r="J3" s="2308" t="s">
        <v>534</v>
      </c>
      <c r="K3" s="2308"/>
      <c r="L3" s="2308"/>
      <c r="M3" s="578"/>
      <c r="N3" s="578"/>
      <c r="P3" s="578"/>
      <c r="Q3" s="578"/>
      <c r="W3" s="578"/>
      <c r="AL3" s="578"/>
      <c r="AM3" s="578"/>
      <c r="AN3" s="578"/>
      <c r="AO3" s="578"/>
      <c r="AP3" s="578"/>
      <c r="AQ3" s="578"/>
      <c r="AR3" s="578"/>
      <c r="AS3" s="578"/>
    </row>
    <row r="4" spans="1:77" s="587" customFormat="1" ht="12.75">
      <c r="A4" s="584">
        <v>40445</v>
      </c>
      <c r="B4" s="585" t="s">
        <v>79</v>
      </c>
      <c r="C4" s="584" t="s">
        <v>74</v>
      </c>
      <c r="D4" s="586">
        <f>K6+K7+K10</f>
        <v>867.47265879247004</v>
      </c>
      <c r="E4" s="586"/>
      <c r="F4" s="586"/>
      <c r="G4" s="2307"/>
      <c r="H4" s="588"/>
      <c r="I4" s="588" t="s">
        <v>93</v>
      </c>
      <c r="J4" s="589" t="s">
        <v>535</v>
      </c>
      <c r="K4" s="588" t="s">
        <v>94</v>
      </c>
      <c r="L4" s="588" t="s">
        <v>93</v>
      </c>
      <c r="M4" s="578"/>
      <c r="N4" s="578"/>
      <c r="P4" s="578"/>
      <c r="Q4" s="578"/>
      <c r="W4" s="578"/>
      <c r="AL4" s="578"/>
      <c r="AM4" s="578"/>
      <c r="AN4" s="578"/>
      <c r="AO4" s="578"/>
      <c r="AP4" s="578"/>
      <c r="AQ4" s="578"/>
      <c r="AR4" s="578"/>
      <c r="AS4" s="578"/>
    </row>
    <row r="5" spans="1:77" s="587" customFormat="1" ht="12.75">
      <c r="A5" s="584">
        <v>40455</v>
      </c>
      <c r="B5" s="585" t="s">
        <v>83</v>
      </c>
      <c r="C5" s="584" t="s">
        <v>74</v>
      </c>
      <c r="D5" s="590">
        <f>L6+L7+L10</f>
        <v>22633.963349076705</v>
      </c>
      <c r="E5" s="590"/>
      <c r="F5" s="590"/>
      <c r="G5" s="591" t="s">
        <v>384</v>
      </c>
      <c r="H5" s="592"/>
      <c r="I5" s="593"/>
      <c r="J5" s="594" t="s">
        <v>536</v>
      </c>
      <c r="K5" s="595">
        <f>SUMIFS('Transp. Dre Rodovia'!$17:$17,'Transp. Dre Rodovia'!$15:$15,$G5,'Transp. Dre Rodovia'!$18:$18,K$4)</f>
        <v>558.0989912</v>
      </c>
      <c r="L5" s="595">
        <f>SUMIFS('Transp. Dre Rodovia'!$17:$17,'Transp. Dre Rodovia'!$15:$15,$G5,'Transp. Dre Rodovia'!$18:$18,L$4)</f>
        <v>0</v>
      </c>
      <c r="M5" s="578"/>
      <c r="N5" s="578"/>
      <c r="P5" s="578"/>
      <c r="Q5" s="578"/>
      <c r="W5" s="578"/>
      <c r="AL5" s="578"/>
      <c r="AM5" s="578"/>
      <c r="AN5" s="578"/>
      <c r="AO5" s="578"/>
      <c r="AP5" s="578"/>
      <c r="AQ5" s="578"/>
      <c r="AR5" s="578"/>
      <c r="AS5" s="578"/>
    </row>
    <row r="6" spans="1:77" s="587" customFormat="1" ht="12.75">
      <c r="A6" s="584">
        <v>40436</v>
      </c>
      <c r="B6" s="585" t="s">
        <v>368</v>
      </c>
      <c r="C6" s="584" t="s">
        <v>74</v>
      </c>
      <c r="D6" s="590">
        <f>K5</f>
        <v>558.0989912</v>
      </c>
      <c r="E6" s="590"/>
      <c r="F6" s="590"/>
      <c r="G6" s="596" t="s">
        <v>2</v>
      </c>
      <c r="H6" s="592"/>
      <c r="I6" s="597">
        <v>24.2</v>
      </c>
      <c r="J6" s="598" t="s">
        <v>536</v>
      </c>
      <c r="K6" s="595">
        <f>SUMIFS('Transp. Dre Rodovia'!$17:$17,'Transp. Dre Rodovia'!$15:$15,$G6,'Transp. Dre Rodovia'!$18:$18,K$4)</f>
        <v>0.73543707247000012</v>
      </c>
      <c r="L6" s="595">
        <f>SUMIFS('Transp. Dre Rodovia'!$17:$17,'Transp. Dre Rodovia'!$15:$15,$G6,'Transp. Dre Rodovia'!$18:$18,L$4)</f>
        <v>3415.0508595467004</v>
      </c>
      <c r="M6" s="578"/>
      <c r="N6" s="578"/>
      <c r="P6" s="578"/>
      <c r="Q6" s="578"/>
      <c r="W6" s="578"/>
      <c r="AL6" s="578"/>
      <c r="AM6" s="578"/>
      <c r="AN6" s="578"/>
      <c r="AO6" s="578"/>
      <c r="AP6" s="578"/>
      <c r="AQ6" s="578"/>
      <c r="AR6" s="578"/>
      <c r="AS6" s="578"/>
    </row>
    <row r="7" spans="1:77" s="587" customFormat="1" ht="12.75">
      <c r="A7" s="584">
        <v>40454</v>
      </c>
      <c r="B7" s="585" t="s">
        <v>369</v>
      </c>
      <c r="C7" s="584" t="s">
        <v>81</v>
      </c>
      <c r="D7" s="590">
        <f>L11</f>
        <v>120.27341300000001</v>
      </c>
      <c r="E7" s="590"/>
      <c r="F7" s="590"/>
      <c r="G7" s="596" t="s">
        <v>1</v>
      </c>
      <c r="H7" s="592"/>
      <c r="I7" s="597">
        <v>32.5</v>
      </c>
      <c r="J7" s="598" t="s">
        <v>536</v>
      </c>
      <c r="K7" s="595">
        <f>SUMIFS('Transp. Dre Rodovia'!$17:$17,'Transp. Dre Rodovia'!$15:$15,$G7,'Transp. Dre Rodovia'!$18:$18,K$4)</f>
        <v>861.59124800000006</v>
      </c>
      <c r="L7" s="595">
        <f>SUMIFS('Transp. Dre Rodovia'!$17:$17,'Transp. Dre Rodovia'!$15:$15,$G7,'Transp. Dre Rodovia'!$18:$18,L$4)</f>
        <v>19037.849984530003</v>
      </c>
      <c r="M7" s="578"/>
      <c r="N7" s="578"/>
      <c r="AL7" s="578"/>
      <c r="AM7" s="578"/>
      <c r="AN7" s="578"/>
      <c r="AO7" s="578"/>
      <c r="AP7" s="578"/>
      <c r="AQ7" s="578"/>
      <c r="AR7" s="578"/>
      <c r="AS7" s="578"/>
    </row>
    <row r="8" spans="1:77" s="587" customFormat="1" ht="12.75">
      <c r="A8" s="584">
        <v>40438</v>
      </c>
      <c r="B8" s="585" t="s">
        <v>370</v>
      </c>
      <c r="C8" s="584" t="s">
        <v>81</v>
      </c>
      <c r="D8" s="590">
        <f>K11</f>
        <v>18.4978658</v>
      </c>
      <c r="E8" s="590"/>
      <c r="F8" s="590"/>
      <c r="G8" s="596" t="s">
        <v>537</v>
      </c>
      <c r="H8" s="592"/>
      <c r="I8" s="599">
        <v>166</v>
      </c>
      <c r="J8" s="564" t="s">
        <v>538</v>
      </c>
      <c r="K8" s="595">
        <f>SUMIFS('Transp. Dre Rodovia'!$17:$17,'Transp. Dre Rodovia'!$15:$15,$G8,'Transp. Dre Rodovia'!$18:$18,K$4)</f>
        <v>0.28917287107269402</v>
      </c>
      <c r="L8" s="595">
        <f>SUMIFS('Transp. Dre Rodovia'!$17:$17,'Transp. Dre Rodovia'!$15:$15,$G8,'Transp. Dre Rodovia'!$18:$18,L$4)</f>
        <v>641.35666098413151</v>
      </c>
      <c r="M8" s="578"/>
      <c r="N8" s="578"/>
      <c r="AL8" s="578"/>
      <c r="AM8" s="578"/>
      <c r="AN8" s="578"/>
      <c r="AO8" s="578"/>
      <c r="AP8" s="578"/>
      <c r="AQ8" s="578"/>
      <c r="AR8" s="578"/>
      <c r="AS8" s="578"/>
    </row>
    <row r="9" spans="1:77" s="587" customFormat="1" ht="12.75">
      <c r="A9" s="584">
        <v>40451</v>
      </c>
      <c r="B9" s="585" t="s">
        <v>142</v>
      </c>
      <c r="C9" s="584" t="s">
        <v>81</v>
      </c>
      <c r="D9" s="590">
        <f>L12</f>
        <v>18.536000567999999</v>
      </c>
      <c r="E9" s="590"/>
      <c r="F9" s="590"/>
      <c r="G9" s="600" t="s">
        <v>539</v>
      </c>
      <c r="H9" s="592"/>
      <c r="I9" s="601"/>
      <c r="J9" s="598" t="s">
        <v>536</v>
      </c>
      <c r="K9" s="595">
        <f>SUMIFS('Transp. Dre Rodovia'!$17:$17,'Transp. Dre Rodovia'!$15:$15,$G9,'Transp. Dre Rodovia'!$18:$18,K$4)</f>
        <v>0</v>
      </c>
      <c r="L9" s="595">
        <f>SUMIFS('Transp. Dre Rodovia'!$17:$17,'Transp. Dre Rodovia'!$15:$15,$G9,'Transp. Dre Rodovia'!$18:$18,L$4)</f>
        <v>0</v>
      </c>
      <c r="M9" s="578"/>
      <c r="N9" s="578"/>
      <c r="AL9" s="578"/>
      <c r="AM9" s="578"/>
      <c r="AN9" s="578"/>
      <c r="AO9" s="578"/>
      <c r="AP9" s="578"/>
      <c r="AQ9" s="578"/>
      <c r="AR9" s="578"/>
      <c r="AS9" s="578"/>
    </row>
    <row r="10" spans="1:77" s="587" customFormat="1" ht="12.75">
      <c r="A10" s="584">
        <v>47050</v>
      </c>
      <c r="B10" s="585" t="s">
        <v>143</v>
      </c>
      <c r="C10" s="584" t="s">
        <v>81</v>
      </c>
      <c r="D10" s="590">
        <f>K12</f>
        <v>2.1673397904000002</v>
      </c>
      <c r="E10" s="590"/>
      <c r="F10" s="590"/>
      <c r="G10" s="600" t="s">
        <v>540</v>
      </c>
      <c r="H10" s="592"/>
      <c r="I10" s="597">
        <v>32.5</v>
      </c>
      <c r="J10" s="598" t="s">
        <v>536</v>
      </c>
      <c r="K10" s="595">
        <f>SUMIFS('Transp. Dre Rodovia'!$17:$17,'Transp. Dre Rodovia'!$15:$15,$G10,'Transp. Dre Rodovia'!$18:$18,K$4)</f>
        <v>5.1459737200000006</v>
      </c>
      <c r="L10" s="595">
        <f>SUMIFS('Transp. Dre Rodovia'!$17:$17,'Transp. Dre Rodovia'!$15:$15,$G10,'Transp. Dre Rodovia'!$18:$18,L$4)</f>
        <v>181.06250499999999</v>
      </c>
      <c r="M10" s="578"/>
      <c r="N10" s="578"/>
      <c r="AL10" s="578"/>
      <c r="AM10" s="578"/>
      <c r="AN10" s="578"/>
      <c r="AO10" s="578"/>
      <c r="AP10" s="578"/>
      <c r="AQ10" s="578"/>
      <c r="AR10" s="578"/>
      <c r="AS10" s="578"/>
    </row>
    <row r="11" spans="1:77" s="587" customFormat="1" ht="12.75">
      <c r="A11" s="578"/>
      <c r="B11" s="578"/>
      <c r="C11" s="578"/>
      <c r="D11" s="578"/>
      <c r="E11" s="578"/>
      <c r="F11" s="578"/>
      <c r="G11" s="600" t="s">
        <v>541</v>
      </c>
      <c r="H11" s="592"/>
      <c r="I11" s="597">
        <v>7.3</v>
      </c>
      <c r="J11" s="598" t="s">
        <v>536</v>
      </c>
      <c r="K11" s="595">
        <f>SUMIFS('Transp. Dre Rodovia'!$17:$17,'Transp. Dre Rodovia'!$15:$15,$G11,'Transp. Dre Rodovia'!$18:$18,K$4)</f>
        <v>18.4978658</v>
      </c>
      <c r="L11" s="595">
        <f>SUMIFS('Transp. Dre Rodovia'!$17:$17,'Transp. Dre Rodovia'!$15:$15,$G11,'Transp. Dre Rodovia'!$18:$18,L$4)</f>
        <v>120.27341300000001</v>
      </c>
      <c r="M11" s="578"/>
      <c r="N11" s="578"/>
      <c r="AL11" s="578"/>
      <c r="AM11" s="578"/>
      <c r="AN11" s="578"/>
      <c r="AO11" s="578"/>
      <c r="AP11" s="578"/>
      <c r="AQ11" s="578"/>
      <c r="AR11" s="578"/>
      <c r="AS11" s="578"/>
    </row>
    <row r="12" spans="1:77" s="587" customFormat="1" ht="12.75">
      <c r="A12" s="578"/>
      <c r="B12" s="578"/>
      <c r="C12" s="578"/>
      <c r="D12" s="578"/>
      <c r="E12" s="578"/>
      <c r="F12" s="578"/>
      <c r="G12" s="600" t="s">
        <v>542</v>
      </c>
      <c r="H12" s="592"/>
      <c r="I12" s="597">
        <v>7.3</v>
      </c>
      <c r="J12" s="598" t="s">
        <v>536</v>
      </c>
      <c r="K12" s="595">
        <f>SUMIFS('Transp. Dre Rodovia'!$17:$17,'Transp. Dre Rodovia'!$15:$15,$G12,'Transp. Dre Rodovia'!$18:$18,K$4)</f>
        <v>2.1673397904000002</v>
      </c>
      <c r="L12" s="595">
        <f>SUMIFS('Transp. Dre Rodovia'!$17:$17,'Transp. Dre Rodovia'!$15:$15,$G12,'Transp. Dre Rodovia'!$18:$18,L$4)</f>
        <v>18.536000567999999</v>
      </c>
      <c r="M12" s="578"/>
      <c r="N12" s="578"/>
      <c r="AL12" s="578"/>
      <c r="AM12" s="578"/>
      <c r="AN12" s="578"/>
      <c r="AO12" s="578"/>
      <c r="AP12" s="578"/>
      <c r="AQ12" s="578"/>
      <c r="AR12" s="578"/>
      <c r="AS12" s="578"/>
    </row>
    <row r="13" spans="1:77" s="587" customFormat="1" ht="7.5" customHeight="1" thickBot="1">
      <c r="A13" s="578"/>
      <c r="B13" s="578"/>
      <c r="C13" s="578"/>
      <c r="D13" s="578"/>
      <c r="E13" s="578"/>
      <c r="F13" s="578"/>
      <c r="G13" s="578"/>
      <c r="H13" s="578"/>
      <c r="I13" s="578"/>
      <c r="J13" s="578"/>
      <c r="K13" s="578"/>
      <c r="L13" s="578"/>
      <c r="M13" s="578"/>
      <c r="N13" s="578"/>
      <c r="AL13" s="578"/>
      <c r="AM13" s="578"/>
      <c r="AN13" s="578"/>
      <c r="AO13" s="578"/>
      <c r="AP13" s="578"/>
      <c r="AQ13" s="578"/>
      <c r="AR13" s="578"/>
      <c r="AS13" s="578"/>
    </row>
    <row r="14" spans="1:77" s="578" customFormat="1" ht="12.75">
      <c r="A14" s="2309" t="s">
        <v>88</v>
      </c>
      <c r="B14" s="2311" t="s">
        <v>543</v>
      </c>
      <c r="C14" s="2311" t="s">
        <v>544</v>
      </c>
      <c r="D14" s="2313" t="s">
        <v>545</v>
      </c>
      <c r="E14" s="602" t="s">
        <v>546</v>
      </c>
      <c r="F14" s="564">
        <v>187</v>
      </c>
      <c r="G14" s="2315" t="s">
        <v>384</v>
      </c>
      <c r="H14" s="2315"/>
      <c r="I14" s="2315"/>
      <c r="J14" s="2315"/>
      <c r="K14" s="2316"/>
      <c r="L14" s="2317" t="s">
        <v>2</v>
      </c>
      <c r="M14" s="2315"/>
      <c r="N14" s="2315"/>
      <c r="O14" s="2315"/>
      <c r="P14" s="2316"/>
      <c r="Q14" s="2317" t="s">
        <v>1</v>
      </c>
      <c r="R14" s="2315"/>
      <c r="S14" s="2315"/>
      <c r="T14" s="2315"/>
      <c r="U14" s="2316"/>
      <c r="V14" s="2317" t="s">
        <v>537</v>
      </c>
      <c r="W14" s="2315"/>
      <c r="X14" s="2315"/>
      <c r="Y14" s="2315"/>
      <c r="Z14" s="2316"/>
      <c r="AA14" s="2321" t="s">
        <v>539</v>
      </c>
      <c r="AB14" s="2322"/>
      <c r="AC14" s="2322"/>
      <c r="AD14" s="2322"/>
      <c r="AE14" s="2323"/>
      <c r="AF14" s="2321" t="s">
        <v>547</v>
      </c>
      <c r="AG14" s="2322"/>
      <c r="AH14" s="2322"/>
      <c r="AI14" s="2322"/>
      <c r="AJ14" s="2323"/>
      <c r="AK14" s="2321" t="s">
        <v>548</v>
      </c>
      <c r="AL14" s="2322"/>
      <c r="AM14" s="2322"/>
      <c r="AN14" s="2322"/>
      <c r="AO14" s="2323"/>
      <c r="AP14" s="2324" t="s">
        <v>549</v>
      </c>
      <c r="AQ14" s="2325"/>
      <c r="AR14" s="2325"/>
      <c r="AS14" s="2325"/>
      <c r="AT14" s="2326"/>
      <c r="AU14" s="2327" t="s">
        <v>2</v>
      </c>
      <c r="AV14" s="2328"/>
      <c r="AW14" s="2328"/>
      <c r="AX14" s="2328"/>
      <c r="AY14" s="2329"/>
      <c r="AZ14" s="2327" t="s">
        <v>1</v>
      </c>
      <c r="BA14" s="2328"/>
      <c r="BB14" s="2328"/>
      <c r="BC14" s="2328"/>
      <c r="BD14" s="2329"/>
      <c r="BE14" s="2327" t="s">
        <v>537</v>
      </c>
      <c r="BF14" s="2328"/>
      <c r="BG14" s="2328"/>
      <c r="BH14" s="2328"/>
      <c r="BI14" s="2329"/>
      <c r="BJ14" s="2327" t="s">
        <v>540</v>
      </c>
      <c r="BK14" s="2328"/>
      <c r="BL14" s="2328"/>
      <c r="BM14" s="2328"/>
      <c r="BN14" s="2330"/>
      <c r="BO14" s="2331" t="s">
        <v>541</v>
      </c>
      <c r="BP14" s="2332"/>
      <c r="BQ14" s="2332"/>
      <c r="BR14" s="2332"/>
      <c r="BS14" s="2333"/>
      <c r="BU14" s="2318" t="s">
        <v>542</v>
      </c>
      <c r="BV14" s="2319"/>
      <c r="BW14" s="2319"/>
      <c r="BX14" s="2319"/>
      <c r="BY14" s="2320"/>
    </row>
    <row r="15" spans="1:77" s="578" customFormat="1" ht="27" hidden="1" customHeight="1">
      <c r="A15" s="2310"/>
      <c r="B15" s="2312"/>
      <c r="C15" s="2312"/>
      <c r="D15" s="2314"/>
      <c r="E15" s="2314" t="s">
        <v>550</v>
      </c>
      <c r="F15" s="2335"/>
      <c r="G15" s="603" t="s">
        <v>384</v>
      </c>
      <c r="H15" s="564" t="s">
        <v>384</v>
      </c>
      <c r="I15" s="564" t="s">
        <v>384</v>
      </c>
      <c r="J15" s="564" t="s">
        <v>384</v>
      </c>
      <c r="K15" s="564" t="s">
        <v>384</v>
      </c>
      <c r="L15" s="564" t="s">
        <v>2</v>
      </c>
      <c r="M15" s="564" t="s">
        <v>2</v>
      </c>
      <c r="N15" s="564" t="s">
        <v>2</v>
      </c>
      <c r="O15" s="564" t="s">
        <v>2</v>
      </c>
      <c r="P15" s="564" t="s">
        <v>2</v>
      </c>
      <c r="Q15" s="564" t="s">
        <v>1</v>
      </c>
      <c r="R15" s="564" t="s">
        <v>1</v>
      </c>
      <c r="S15" s="564" t="s">
        <v>1</v>
      </c>
      <c r="T15" s="564" t="s">
        <v>1</v>
      </c>
      <c r="U15" s="564" t="s">
        <v>1</v>
      </c>
      <c r="V15" s="564" t="s">
        <v>537</v>
      </c>
      <c r="W15" s="564" t="s">
        <v>537</v>
      </c>
      <c r="X15" s="564" t="s">
        <v>537</v>
      </c>
      <c r="Y15" s="564" t="s">
        <v>537</v>
      </c>
      <c r="Z15" s="564" t="s">
        <v>537</v>
      </c>
      <c r="AA15" s="564" t="s">
        <v>539</v>
      </c>
      <c r="AB15" s="564" t="s">
        <v>539</v>
      </c>
      <c r="AC15" s="564" t="s">
        <v>539</v>
      </c>
      <c r="AD15" s="564" t="s">
        <v>539</v>
      </c>
      <c r="AE15" s="564" t="s">
        <v>539</v>
      </c>
      <c r="AF15" s="564" t="s">
        <v>2</v>
      </c>
      <c r="AG15" s="564" t="s">
        <v>2</v>
      </c>
      <c r="AH15" s="564" t="s">
        <v>2</v>
      </c>
      <c r="AI15" s="564" t="s">
        <v>2</v>
      </c>
      <c r="AJ15" s="564" t="s">
        <v>2</v>
      </c>
      <c r="AK15" s="564" t="s">
        <v>537</v>
      </c>
      <c r="AL15" s="564" t="s">
        <v>537</v>
      </c>
      <c r="AM15" s="564" t="s">
        <v>537</v>
      </c>
      <c r="AN15" s="564" t="s">
        <v>537</v>
      </c>
      <c r="AO15" s="564" t="s">
        <v>537</v>
      </c>
      <c r="AP15" s="604" t="s">
        <v>540</v>
      </c>
      <c r="AQ15" s="604" t="s">
        <v>540</v>
      </c>
      <c r="AR15" s="604" t="s">
        <v>540</v>
      </c>
      <c r="AS15" s="604" t="s">
        <v>540</v>
      </c>
      <c r="AT15" s="604" t="s">
        <v>540</v>
      </c>
      <c r="AU15" s="564" t="s">
        <v>2</v>
      </c>
      <c r="AV15" s="564" t="s">
        <v>2</v>
      </c>
      <c r="AW15" s="564" t="s">
        <v>2</v>
      </c>
      <c r="AX15" s="564" t="s">
        <v>2</v>
      </c>
      <c r="AY15" s="564" t="s">
        <v>2</v>
      </c>
      <c r="AZ15" s="564" t="s">
        <v>1</v>
      </c>
      <c r="BA15" s="564" t="s">
        <v>1</v>
      </c>
      <c r="BB15" s="564" t="s">
        <v>1</v>
      </c>
      <c r="BC15" s="564" t="s">
        <v>1</v>
      </c>
      <c r="BD15" s="564" t="s">
        <v>1</v>
      </c>
      <c r="BE15" s="564" t="s">
        <v>537</v>
      </c>
      <c r="BF15" s="564" t="s">
        <v>537</v>
      </c>
      <c r="BG15" s="564" t="s">
        <v>537</v>
      </c>
      <c r="BH15" s="564" t="s">
        <v>537</v>
      </c>
      <c r="BI15" s="564" t="s">
        <v>537</v>
      </c>
      <c r="BJ15" s="604" t="s">
        <v>540</v>
      </c>
      <c r="BK15" s="604" t="s">
        <v>540</v>
      </c>
      <c r="BL15" s="604" t="s">
        <v>540</v>
      </c>
      <c r="BM15" s="604" t="s">
        <v>540</v>
      </c>
      <c r="BN15" s="604" t="s">
        <v>540</v>
      </c>
      <c r="BO15" s="604" t="s">
        <v>541</v>
      </c>
      <c r="BP15" s="604" t="s">
        <v>541</v>
      </c>
      <c r="BQ15" s="604" t="s">
        <v>541</v>
      </c>
      <c r="BR15" s="604" t="s">
        <v>541</v>
      </c>
      <c r="BS15" s="604" t="s">
        <v>541</v>
      </c>
      <c r="BU15" s="604" t="s">
        <v>542</v>
      </c>
      <c r="BV15" s="604" t="s">
        <v>542</v>
      </c>
      <c r="BW15" s="604" t="s">
        <v>542</v>
      </c>
      <c r="BX15" s="604" t="s">
        <v>542</v>
      </c>
      <c r="BY15" s="604" t="s">
        <v>542</v>
      </c>
    </row>
    <row r="16" spans="1:77" s="581" customFormat="1" ht="38.25">
      <c r="A16" s="2310"/>
      <c r="B16" s="2312"/>
      <c r="C16" s="2312"/>
      <c r="D16" s="2314"/>
      <c r="E16" s="605" t="s">
        <v>551</v>
      </c>
      <c r="F16" s="606" t="s">
        <v>552</v>
      </c>
      <c r="G16" s="607" t="s">
        <v>553</v>
      </c>
      <c r="H16" s="2334" t="s">
        <v>554</v>
      </c>
      <c r="I16" s="2334"/>
      <c r="J16" s="2334" t="s">
        <v>555</v>
      </c>
      <c r="K16" s="2334"/>
      <c r="L16" s="608" t="s">
        <v>553</v>
      </c>
      <c r="M16" s="2334" t="s">
        <v>554</v>
      </c>
      <c r="N16" s="2334"/>
      <c r="O16" s="2334" t="s">
        <v>555</v>
      </c>
      <c r="P16" s="2334"/>
      <c r="Q16" s="608" t="s">
        <v>553</v>
      </c>
      <c r="R16" s="2334" t="s">
        <v>554</v>
      </c>
      <c r="S16" s="2334"/>
      <c r="T16" s="2334" t="s">
        <v>555</v>
      </c>
      <c r="U16" s="2334"/>
      <c r="V16" s="608" t="s">
        <v>553</v>
      </c>
      <c r="W16" s="2334" t="s">
        <v>554</v>
      </c>
      <c r="X16" s="2334"/>
      <c r="Y16" s="2334" t="s">
        <v>556</v>
      </c>
      <c r="Z16" s="2334"/>
      <c r="AA16" s="608" t="s">
        <v>553</v>
      </c>
      <c r="AB16" s="2334" t="s">
        <v>554</v>
      </c>
      <c r="AC16" s="2334"/>
      <c r="AD16" s="2334" t="s">
        <v>555</v>
      </c>
      <c r="AE16" s="2334"/>
      <c r="AF16" s="608" t="s">
        <v>553</v>
      </c>
      <c r="AG16" s="2334" t="s">
        <v>554</v>
      </c>
      <c r="AH16" s="2334"/>
      <c r="AI16" s="2334" t="s">
        <v>555</v>
      </c>
      <c r="AJ16" s="2334"/>
      <c r="AK16" s="608" t="s">
        <v>553</v>
      </c>
      <c r="AL16" s="2334" t="s">
        <v>554</v>
      </c>
      <c r="AM16" s="2334"/>
      <c r="AN16" s="2334" t="s">
        <v>556</v>
      </c>
      <c r="AO16" s="2334"/>
      <c r="AP16" s="608" t="s">
        <v>553</v>
      </c>
      <c r="AQ16" s="2334" t="s">
        <v>554</v>
      </c>
      <c r="AR16" s="2334"/>
      <c r="AS16" s="2334" t="s">
        <v>555</v>
      </c>
      <c r="AT16" s="2334"/>
      <c r="AU16" s="608" t="s">
        <v>553</v>
      </c>
      <c r="AV16" s="2334" t="s">
        <v>554</v>
      </c>
      <c r="AW16" s="2334"/>
      <c r="AX16" s="2334" t="s">
        <v>555</v>
      </c>
      <c r="AY16" s="2334"/>
      <c r="AZ16" s="608" t="s">
        <v>553</v>
      </c>
      <c r="BA16" s="2334" t="s">
        <v>554</v>
      </c>
      <c r="BB16" s="2334"/>
      <c r="BC16" s="2334" t="s">
        <v>555</v>
      </c>
      <c r="BD16" s="2334"/>
      <c r="BE16" s="608" t="s">
        <v>553</v>
      </c>
      <c r="BF16" s="2334" t="s">
        <v>554</v>
      </c>
      <c r="BG16" s="2334"/>
      <c r="BH16" s="2334" t="s">
        <v>556</v>
      </c>
      <c r="BI16" s="2334"/>
      <c r="BJ16" s="608" t="s">
        <v>553</v>
      </c>
      <c r="BK16" s="2334" t="s">
        <v>554</v>
      </c>
      <c r="BL16" s="2334"/>
      <c r="BM16" s="2334" t="s">
        <v>555</v>
      </c>
      <c r="BN16" s="2334"/>
      <c r="BO16" s="608" t="s">
        <v>553</v>
      </c>
      <c r="BP16" s="2334" t="s">
        <v>554</v>
      </c>
      <c r="BQ16" s="2334"/>
      <c r="BR16" s="2334" t="s">
        <v>555</v>
      </c>
      <c r="BS16" s="2334"/>
      <c r="BU16" s="608" t="s">
        <v>553</v>
      </c>
      <c r="BV16" s="2334" t="s">
        <v>554</v>
      </c>
      <c r="BW16" s="2334"/>
      <c r="BX16" s="2334" t="s">
        <v>555</v>
      </c>
      <c r="BY16" s="2334"/>
    </row>
    <row r="17" spans="1:77" s="578" customFormat="1" ht="12.75">
      <c r="A17" s="2310"/>
      <c r="B17" s="2312"/>
      <c r="C17" s="2312"/>
      <c r="D17" s="2314"/>
      <c r="E17" s="605"/>
      <c r="F17" s="606"/>
      <c r="G17" s="609"/>
      <c r="H17" s="602"/>
      <c r="I17" s="602"/>
      <c r="J17" s="610">
        <f>SUM(J18:J29)</f>
        <v>558.0989912</v>
      </c>
      <c r="K17" s="610">
        <f>SUM(K18:K29)</f>
        <v>0</v>
      </c>
      <c r="L17" s="602"/>
      <c r="M17" s="602"/>
      <c r="N17" s="602"/>
      <c r="O17" s="610">
        <f>SUM(O18:O29)</f>
        <v>0</v>
      </c>
      <c r="P17" s="610">
        <f>SUM(P18:P29)</f>
        <v>3405.7759852248005</v>
      </c>
      <c r="Q17" s="602"/>
      <c r="R17" s="602"/>
      <c r="S17" s="602"/>
      <c r="T17" s="610">
        <f>SUM(T18:T29)</f>
        <v>0</v>
      </c>
      <c r="U17" s="610">
        <f>SUM(U18:U29)</f>
        <v>4603.9759845300005</v>
      </c>
      <c r="V17" s="602"/>
      <c r="W17" s="602"/>
      <c r="X17" s="602"/>
      <c r="Y17" s="610">
        <f>SUM(Y18:Y29)</f>
        <v>0</v>
      </c>
      <c r="Z17" s="610">
        <f>SUM(Z18:Z29)</f>
        <v>618.85872555116407</v>
      </c>
      <c r="AA17" s="602"/>
      <c r="AB17" s="602"/>
      <c r="AC17" s="602"/>
      <c r="AD17" s="610">
        <f>SUM(AD18:AD29)</f>
        <v>0</v>
      </c>
      <c r="AE17" s="610">
        <f>SUM(AE18:AE29)</f>
        <v>0</v>
      </c>
      <c r="AF17" s="602"/>
      <c r="AG17" s="602"/>
      <c r="AH17" s="602"/>
      <c r="AI17" s="610">
        <f>SUM(AI18:AI29)</f>
        <v>0.73543707247000012</v>
      </c>
      <c r="AJ17" s="610">
        <f>SUM(AJ18:AJ29)</f>
        <v>9.2748743219000005</v>
      </c>
      <c r="AK17" s="602"/>
      <c r="AL17" s="602"/>
      <c r="AM17" s="602"/>
      <c r="AN17" s="610">
        <f>SUM(AN18:AN29)</f>
        <v>0.28917287107269402</v>
      </c>
      <c r="AO17" s="610">
        <f>SUM(AO18:AO29)</f>
        <v>22.497935432967399</v>
      </c>
      <c r="AP17" s="602"/>
      <c r="AQ17" s="602"/>
      <c r="AR17" s="602"/>
      <c r="AS17" s="610">
        <f>SUM(AS18:AS29)</f>
        <v>5.1459737200000006</v>
      </c>
      <c r="AT17" s="610">
        <f>SUM(AT18:AT29)</f>
        <v>165.46250499999999</v>
      </c>
      <c r="AU17" s="602"/>
      <c r="AV17" s="602"/>
      <c r="AW17" s="602"/>
      <c r="AX17" s="610">
        <f>SUM(AX18:AX29)</f>
        <v>0</v>
      </c>
      <c r="AY17" s="610">
        <f>SUM(AY18:AY29)</f>
        <v>0</v>
      </c>
      <c r="AZ17" s="602"/>
      <c r="BA17" s="602"/>
      <c r="BB17" s="602"/>
      <c r="BC17" s="610">
        <f>SUM(BC18:BC29)</f>
        <v>861.59124800000006</v>
      </c>
      <c r="BD17" s="610">
        <f>SUM(BD18:BD29)</f>
        <v>14433.874000000002</v>
      </c>
      <c r="BE17" s="602"/>
      <c r="BF17" s="602"/>
      <c r="BG17" s="602"/>
      <c r="BH17" s="610">
        <f>SUM(BH18:BH29)</f>
        <v>0</v>
      </c>
      <c r="BI17" s="610">
        <f>SUM(BI18:BI29)</f>
        <v>0</v>
      </c>
      <c r="BJ17" s="602"/>
      <c r="BK17" s="602"/>
      <c r="BL17" s="602"/>
      <c r="BM17" s="610">
        <f>SUM(BM18:BM29)</f>
        <v>0</v>
      </c>
      <c r="BN17" s="610">
        <f>SUM(BN18:BN29)</f>
        <v>15.6</v>
      </c>
      <c r="BO17" s="602"/>
      <c r="BP17" s="602"/>
      <c r="BQ17" s="602"/>
      <c r="BR17" s="610">
        <f>SUM(BR18:BR29)</f>
        <v>18.4978658</v>
      </c>
      <c r="BS17" s="610">
        <f>SUM(BS18:BS29)</f>
        <v>120.27341300000001</v>
      </c>
      <c r="BU17" s="602"/>
      <c r="BV17" s="602"/>
      <c r="BW17" s="602"/>
      <c r="BX17" s="610">
        <f>SUM(BX18:BX29)</f>
        <v>2.1673397904000002</v>
      </c>
      <c r="BY17" s="610">
        <f>SUM(BY18:BY29)</f>
        <v>18.536000567999999</v>
      </c>
    </row>
    <row r="18" spans="1:77" s="578" customFormat="1" ht="13.15" customHeight="1">
      <c r="A18" s="2310"/>
      <c r="B18" s="2312"/>
      <c r="C18" s="2312"/>
      <c r="D18" s="2314"/>
      <c r="E18" s="605"/>
      <c r="F18" s="611"/>
      <c r="G18" s="612" t="s">
        <v>357</v>
      </c>
      <c r="H18" s="566" t="s">
        <v>94</v>
      </c>
      <c r="I18" s="566" t="s">
        <v>93</v>
      </c>
      <c r="J18" s="566" t="s">
        <v>94</v>
      </c>
      <c r="K18" s="566" t="s">
        <v>93</v>
      </c>
      <c r="L18" s="602" t="s">
        <v>357</v>
      </c>
      <c r="M18" s="566" t="s">
        <v>94</v>
      </c>
      <c r="N18" s="566" t="s">
        <v>93</v>
      </c>
      <c r="O18" s="566" t="s">
        <v>94</v>
      </c>
      <c r="P18" s="566" t="s">
        <v>93</v>
      </c>
      <c r="Q18" s="602" t="s">
        <v>357</v>
      </c>
      <c r="R18" s="566" t="s">
        <v>94</v>
      </c>
      <c r="S18" s="566" t="s">
        <v>93</v>
      </c>
      <c r="T18" s="566" t="s">
        <v>94</v>
      </c>
      <c r="U18" s="566" t="s">
        <v>93</v>
      </c>
      <c r="V18" s="602" t="s">
        <v>557</v>
      </c>
      <c r="W18" s="566" t="s">
        <v>94</v>
      </c>
      <c r="X18" s="566" t="s">
        <v>93</v>
      </c>
      <c r="Y18" s="566" t="s">
        <v>94</v>
      </c>
      <c r="Z18" s="566" t="s">
        <v>93</v>
      </c>
      <c r="AA18" s="602" t="s">
        <v>357</v>
      </c>
      <c r="AB18" s="566" t="s">
        <v>94</v>
      </c>
      <c r="AC18" s="566" t="s">
        <v>93</v>
      </c>
      <c r="AD18" s="566" t="s">
        <v>94</v>
      </c>
      <c r="AE18" s="566" t="s">
        <v>93</v>
      </c>
      <c r="AF18" s="602" t="s">
        <v>357</v>
      </c>
      <c r="AG18" s="566" t="s">
        <v>94</v>
      </c>
      <c r="AH18" s="566" t="s">
        <v>93</v>
      </c>
      <c r="AI18" s="566" t="s">
        <v>94</v>
      </c>
      <c r="AJ18" s="566" t="s">
        <v>93</v>
      </c>
      <c r="AK18" s="602" t="s">
        <v>557</v>
      </c>
      <c r="AL18" s="566" t="s">
        <v>94</v>
      </c>
      <c r="AM18" s="566" t="s">
        <v>93</v>
      </c>
      <c r="AN18" s="566" t="s">
        <v>94</v>
      </c>
      <c r="AO18" s="566" t="s">
        <v>93</v>
      </c>
      <c r="AP18" s="602" t="s">
        <v>357</v>
      </c>
      <c r="AQ18" s="566" t="s">
        <v>94</v>
      </c>
      <c r="AR18" s="566" t="s">
        <v>93</v>
      </c>
      <c r="AS18" s="566" t="s">
        <v>94</v>
      </c>
      <c r="AT18" s="566" t="s">
        <v>93</v>
      </c>
      <c r="AU18" s="602" t="s">
        <v>357</v>
      </c>
      <c r="AV18" s="566" t="s">
        <v>94</v>
      </c>
      <c r="AW18" s="566" t="s">
        <v>93</v>
      </c>
      <c r="AX18" s="566" t="s">
        <v>94</v>
      </c>
      <c r="AY18" s="566" t="s">
        <v>93</v>
      </c>
      <c r="AZ18" s="602" t="s">
        <v>357</v>
      </c>
      <c r="BA18" s="566" t="s">
        <v>94</v>
      </c>
      <c r="BB18" s="566" t="s">
        <v>93</v>
      </c>
      <c r="BC18" s="566" t="s">
        <v>94</v>
      </c>
      <c r="BD18" s="566" t="s">
        <v>93</v>
      </c>
      <c r="BE18" s="602" t="s">
        <v>557</v>
      </c>
      <c r="BF18" s="566" t="s">
        <v>94</v>
      </c>
      <c r="BG18" s="566" t="s">
        <v>93</v>
      </c>
      <c r="BH18" s="566" t="s">
        <v>94</v>
      </c>
      <c r="BI18" s="566" t="s">
        <v>93</v>
      </c>
      <c r="BJ18" s="602" t="s">
        <v>357</v>
      </c>
      <c r="BK18" s="566" t="s">
        <v>94</v>
      </c>
      <c r="BL18" s="566" t="s">
        <v>93</v>
      </c>
      <c r="BM18" s="566" t="s">
        <v>94</v>
      </c>
      <c r="BN18" s="566" t="s">
        <v>93</v>
      </c>
      <c r="BO18" s="602" t="s">
        <v>558</v>
      </c>
      <c r="BP18" s="566" t="s">
        <v>94</v>
      </c>
      <c r="BQ18" s="566" t="s">
        <v>93</v>
      </c>
      <c r="BR18" s="566" t="s">
        <v>94</v>
      </c>
      <c r="BS18" s="566" t="s">
        <v>93</v>
      </c>
      <c r="BU18" s="602" t="s">
        <v>558</v>
      </c>
      <c r="BV18" s="566" t="s">
        <v>94</v>
      </c>
      <c r="BW18" s="566" t="s">
        <v>93</v>
      </c>
      <c r="BX18" s="566" t="s">
        <v>94</v>
      </c>
      <c r="BY18" s="566" t="s">
        <v>93</v>
      </c>
    </row>
    <row r="19" spans="1:77" s="578" customFormat="1" ht="12.75">
      <c r="A19" s="613">
        <v>41816</v>
      </c>
      <c r="B19" s="565" t="str">
        <f>VLOOKUP('Transp. Dre Rodovia'!A19,'Quant. Dre Rodovia'!$B:$F,2,FALSE)</f>
        <v>CORPO DE BSTC D=1,00M (EXCETO ESCAVAÇÃO)</v>
      </c>
      <c r="C19" s="566" t="str">
        <f>IFERROR(VLOOKUP(A19,'Consumos Drenagem'!$A:$AE,3,FALSE),"-")</f>
        <v>m</v>
      </c>
      <c r="D19" s="597">
        <f>VLOOKUP('Transp. Dre Rodovia'!A19,'Quant. Dre Rodovia'!$B:$F,5,FALSE)</f>
        <v>17</v>
      </c>
      <c r="E19" s="1692">
        <v>167</v>
      </c>
      <c r="F19" s="614">
        <f t="shared" ref="F19:F24" si="0">($F$14*20-E19*20)/1000</f>
        <v>0.4</v>
      </c>
      <c r="G19" s="615">
        <f>IFERROR(IF($D19=0,0,VLOOKUP($A19,'Consumos Drenagem'!$A:$BF,G$1,FALSE)*$D19),0)</f>
        <v>5.4740000000000002</v>
      </c>
      <c r="H19" s="616">
        <f>$F19</f>
        <v>0.4</v>
      </c>
      <c r="I19" s="616"/>
      <c r="J19" s="616">
        <f t="shared" ref="J19:J29" si="1">$G19*H19</f>
        <v>2.1896</v>
      </c>
      <c r="K19" s="616"/>
      <c r="L19" s="617">
        <f>IFERROR(IF($D19="",0,VLOOKUP($A19,'Consumos Drenagem'!$A:$BF,L$1,FALSE)*$D19/1.5),0)</f>
        <v>3.2815535200000006</v>
      </c>
      <c r="M19" s="616">
        <f>IF($L19=0,0,VLOOKUP(M$15,'Transp. Dre Rodovia'!$G$4:$I$10,IF(M$18="Local",2,3),FALSE))</f>
        <v>0</v>
      </c>
      <c r="N19" s="616">
        <f>IF($L19=0,0,VLOOKUP(N$15,'Transp. Dre Rodovia'!$G$4:$I$10,IF(N$18="Local",2,3),FALSE))</f>
        <v>24.2</v>
      </c>
      <c r="O19" s="616">
        <f t="shared" ref="O19:P29" si="2">$L19*M19</f>
        <v>0</v>
      </c>
      <c r="P19" s="616">
        <f t="shared" si="2"/>
        <v>79.413595184000016</v>
      </c>
      <c r="Q19" s="617">
        <f>IFERROR(IF($D19="",0,VLOOKUP($A19,'Consumos Drenagem'!$A:$BF,Q$1,FALSE)*$D19/1.5),0)</f>
        <v>4.0238279199999996</v>
      </c>
      <c r="R19" s="616">
        <f>IF($Q19=0,0,VLOOKUP(R$15,'Transp. Dre Rodovia'!$G$4:$I$10,IF(R$18="Local",2,3),FALSE))</f>
        <v>0</v>
      </c>
      <c r="S19" s="616">
        <f>IF($Q19=0,0,VLOOKUP(S$15,'Transp. Dre Rodovia'!$G$4:$I$10,IF(S$18="Local",2,3),FALSE))</f>
        <v>32.5</v>
      </c>
      <c r="T19" s="616">
        <f t="shared" ref="T19:U29" si="3">$Q19*R19</f>
        <v>0</v>
      </c>
      <c r="U19" s="616">
        <f t="shared" si="3"/>
        <v>130.77440739999997</v>
      </c>
      <c r="V19" s="617">
        <f>IFERROR(IF($D19="",0,VLOOKUP($A19,'Consumos Drenagem'!$A:$BF,V$1,FALSE)*$D19/1000),0)</f>
        <v>1.5356441013200002</v>
      </c>
      <c r="W19" s="616">
        <f>IF($V19=0,0,VLOOKUP(W$15,'Transp. Dre Rodovia'!$G$4:$I$10,IF(W$18="Local",2,3),FALSE))</f>
        <v>0</v>
      </c>
      <c r="X19" s="616">
        <f>IF($V19=0,0,VLOOKUP(X$15,'Transp. Dre Rodovia'!$G$4:$I$10,IF(X$18="Local",2,3),FALSE))</f>
        <v>166</v>
      </c>
      <c r="Y19" s="616">
        <f t="shared" ref="Y19:Z29" si="4">$V19*W19</f>
        <v>0</v>
      </c>
      <c r="Z19" s="616">
        <f t="shared" si="4"/>
        <v>254.91692081912004</v>
      </c>
      <c r="AA19" s="617">
        <f>IFERROR(IF($D19="",0,VLOOKUP($A19,'Consumos Drenagem'!$A:$BF,AA$1,FALSE)*$D19),0)</f>
        <v>0.17</v>
      </c>
      <c r="AB19" s="616"/>
      <c r="AC19" s="616"/>
      <c r="AD19" s="616">
        <f t="shared" ref="AD19:AD29" si="5">AB19</f>
        <v>0</v>
      </c>
      <c r="AE19" s="616"/>
      <c r="AF19" s="617">
        <f>IFERROR(IF($D19="",0,VLOOKUP($A19,'Consumos Drenagem'!$A:$BF,AF$1,FALSE)*$D19/1.5),0)</f>
        <v>0.19549999999999998</v>
      </c>
      <c r="AG19" s="616">
        <f>$F19</f>
        <v>0.4</v>
      </c>
      <c r="AH19" s="616">
        <f>IF($AF19=0,0,VLOOKUP(AH$15,'Transp. Dre Rodovia'!$G$4:$I$10,IF(AH$18="Local",2,3),FALSE))</f>
        <v>24.2</v>
      </c>
      <c r="AI19" s="616">
        <f t="shared" ref="AI19:AJ29" si="6">$AF19*AG19</f>
        <v>7.8199999999999992E-2</v>
      </c>
      <c r="AJ19" s="616">
        <f t="shared" si="6"/>
        <v>4.7310999999999996</v>
      </c>
      <c r="AK19" s="617">
        <f>IFERROR(IF($D19="",0,VLOOKUP($A19,'Consumos Drenagem'!$A:$BF,AK$1,FALSE)*$D19/1000),0)</f>
        <v>5.9499999999999997E-2</v>
      </c>
      <c r="AL19" s="616">
        <f>$F19</f>
        <v>0.4</v>
      </c>
      <c r="AM19" s="616">
        <f>IF($AK19=0,0,VLOOKUP(AM$15,'Transp. Dre Rodovia'!$G$4:$I$10,IF(AM$18="Local",2,3),FALSE))</f>
        <v>166</v>
      </c>
      <c r="AN19" s="616">
        <f t="shared" ref="AN19:AO29" si="7">$AK19*AL19</f>
        <v>2.3800000000000002E-2</v>
      </c>
      <c r="AO19" s="616">
        <f t="shared" si="7"/>
        <v>9.8769999999999989</v>
      </c>
      <c r="AP19" s="601">
        <f>IFERROR(IF($D19="",0,VLOOKUP($A19,'Consumos Drenagem'!$A:$BF,$AP$1,FALSE)*$D19),0)</f>
        <v>4.1133199999999999</v>
      </c>
      <c r="AQ19" s="616">
        <f>$F19</f>
        <v>0.4</v>
      </c>
      <c r="AR19" s="616">
        <f>IF($AP19=0,0,VLOOKUP(AR$15,'Transp. Dre Rodovia'!$G$4:$I$10,IF(AR$18="Local",2,3),FALSE))</f>
        <v>32.5</v>
      </c>
      <c r="AS19" s="616">
        <f t="shared" ref="AS19:AT29" si="8">$AP19*AQ19</f>
        <v>1.6453280000000001</v>
      </c>
      <c r="AT19" s="616">
        <f t="shared" si="8"/>
        <v>133.68289999999999</v>
      </c>
      <c r="AU19" s="617">
        <f>IFERROR(IF($D19="",0,VLOOKUP($A19,'Consumos Drenagem'!$A:$BF,AU$1,FALSE)*$D19/1.5),0)</f>
        <v>0</v>
      </c>
      <c r="AV19" s="616">
        <f>$F19</f>
        <v>0.4</v>
      </c>
      <c r="AW19" s="616">
        <f>IF($AU19=0,0,VLOOKUP(AW$15,'Transp. Dre Rodovia'!$G$4:$I$10,IF(AW$18="Local",2,3),FALSE))</f>
        <v>0</v>
      </c>
      <c r="AX19" s="616">
        <f t="shared" ref="AX19:AY29" si="9">$AU19*AV19</f>
        <v>0</v>
      </c>
      <c r="AY19" s="616">
        <f t="shared" si="9"/>
        <v>0</v>
      </c>
      <c r="AZ19" s="617">
        <f>IFERROR(IF($D19="",0,VLOOKUP($A19,'Consumos Drenagem'!$A:$BF,AZ$1,FALSE)*$D19/1.5),0)</f>
        <v>0</v>
      </c>
      <c r="BA19" s="616">
        <f>$F19</f>
        <v>0.4</v>
      </c>
      <c r="BB19" s="616">
        <f>IF($AZ19=0,0,VLOOKUP(BB$15,'Transp. Dre Rodovia'!$G$4:$I$10,IF(BB$18="Local",2,3),FALSE))</f>
        <v>0</v>
      </c>
      <c r="BC19" s="616">
        <f t="shared" ref="BC19:BD29" si="10">$AZ19*BA19</f>
        <v>0</v>
      </c>
      <c r="BD19" s="616">
        <f t="shared" si="10"/>
        <v>0</v>
      </c>
      <c r="BE19" s="617">
        <f>IFERROR(IF($D19="",0,VLOOKUP($A19,'Consumos Drenagem'!$A:$BF,BE$1,FALSE)*$D19/1000),0)</f>
        <v>0</v>
      </c>
      <c r="BF19" s="616">
        <f>$F19</f>
        <v>0.4</v>
      </c>
      <c r="BG19" s="616">
        <f>IF($BE19=0,0,VLOOKUP(BG$15,'Transp. Dre Rodovia'!$G$4:$I$10,IF(BG$18="Local",2,3),FALSE))</f>
        <v>0</v>
      </c>
      <c r="BH19" s="616">
        <f t="shared" ref="BH19:BI29" si="11">$BE19*BF19</f>
        <v>0</v>
      </c>
      <c r="BI19" s="616">
        <f t="shared" si="11"/>
        <v>0</v>
      </c>
      <c r="BJ19" s="617">
        <f>IFERROR(IF($D19="",0,VLOOKUP($A19,'Consumos Drenagem'!$A:$AAX,BJ$1,FALSE)*$D19),0)</f>
        <v>0</v>
      </c>
      <c r="BK19" s="616">
        <f>$F19</f>
        <v>0.4</v>
      </c>
      <c r="BL19" s="616">
        <f>IF($BJ19=0,0,VLOOKUP(BL$15,'Transp. Dre Rodovia'!$G$4:$I$10,IF(BL$18="Local",2,3),FALSE))</f>
        <v>0</v>
      </c>
      <c r="BM19" s="616">
        <f>$BJ19*BK19</f>
        <v>0</v>
      </c>
      <c r="BN19" s="616">
        <f t="shared" ref="BM19:BN29" si="12">$BJ19*BL19</f>
        <v>0</v>
      </c>
      <c r="BO19" s="617">
        <f>IFERROR(IF($D19="",0,VLOOKUP($A19,'Consumos Drenagem'!$A:$AAX,BO$1,FALSE)*$D19),0)</f>
        <v>12.731300000000001</v>
      </c>
      <c r="BP19" s="616">
        <f>$F19</f>
        <v>0.4</v>
      </c>
      <c r="BQ19" s="616">
        <f>IF($BO19=0,0,VLOOKUP(BQ$15,'Transp. Dre Rodovia'!$G$4:$I$12,IF(BQ$18="Local",2,3),FALSE))</f>
        <v>7.3</v>
      </c>
      <c r="BR19" s="616">
        <f>$BO19*BP19</f>
        <v>5.0925200000000004</v>
      </c>
      <c r="BS19" s="616">
        <f>$BO19*BQ19</f>
        <v>92.938490000000002</v>
      </c>
      <c r="BU19" s="617">
        <f>IFERROR(IF($D19="",0,VLOOKUP($A19,'Consumos Drenagem'!$A:$AAX,BU$1,FALSE)*$D19),0)</f>
        <v>5.1000000000000004E-2</v>
      </c>
      <c r="BV19" s="616">
        <f>$F19</f>
        <v>0.4</v>
      </c>
      <c r="BW19" s="616">
        <f>IF($BU19=0,0,VLOOKUP(BW$15,'Transp. Dre Rodovia'!$G$4:$I$12,IF(BW$18="Local",2,3),FALSE))</f>
        <v>7.3</v>
      </c>
      <c r="BX19" s="616">
        <f>$BU19*BV19</f>
        <v>2.0400000000000001E-2</v>
      </c>
      <c r="BY19" s="616">
        <f>$BU19*BW19</f>
        <v>0.37230000000000002</v>
      </c>
    </row>
    <row r="20" spans="1:77" s="578" customFormat="1" ht="12.75">
      <c r="A20" s="613">
        <v>41806</v>
      </c>
      <c r="B20" s="565" t="str">
        <f>VLOOKUP('Transp. Dre Rodovia'!A20,'Quant. Dre Rodovia'!$B:$F,2,FALSE)</f>
        <v>CORPO DE BSTC D=0,60M (EXCETO ESCAVAÇÃO)</v>
      </c>
      <c r="C20" s="566" t="str">
        <f>IFERROR(VLOOKUP(A20,'Consumos Drenagem'!$A:$AE,3,FALSE),"-")</f>
        <v>m</v>
      </c>
      <c r="D20" s="597">
        <f>VLOOKUP('Transp. Dre Rodovia'!A20,'Quant. Dre Rodovia'!$B:$F,5,FALSE)</f>
        <v>11</v>
      </c>
      <c r="E20" s="614">
        <v>8</v>
      </c>
      <c r="F20" s="614">
        <f t="shared" si="0"/>
        <v>3.58</v>
      </c>
      <c r="G20" s="615">
        <f>IFERROR(IF($D20=0,0,VLOOKUP($A20,'Consumos Drenagem'!$A:$BF,G$1,FALSE)*$D20),0)</f>
        <v>1.3013000000000001</v>
      </c>
      <c r="H20" s="616">
        <f t="shared" ref="H20:H29" si="13">$F20</f>
        <v>3.58</v>
      </c>
      <c r="I20" s="616"/>
      <c r="J20" s="616">
        <f t="shared" si="1"/>
        <v>4.6586540000000003</v>
      </c>
      <c r="K20" s="616"/>
      <c r="L20" s="617">
        <f>IFERROR(IF($D20="",0,VLOOKUP($A20,'Consumos Drenagem'!$A:$BF,L$1,FALSE)*$D20/1.5),0)</f>
        <v>0.78010332400000004</v>
      </c>
      <c r="M20" s="616">
        <f>IF($L20=0,0,VLOOKUP(M$15,'Transp. Dre Rodovia'!$G$4:$I$10,IF(M$18="Local",2,3),FALSE))</f>
        <v>0</v>
      </c>
      <c r="N20" s="616">
        <f>IF($L20=0,0,VLOOKUP(N$15,'Transp. Dre Rodovia'!$G$4:$I$10,IF(N$18="Local",2,3),FALSE))</f>
        <v>24.2</v>
      </c>
      <c r="O20" s="616">
        <f t="shared" si="2"/>
        <v>0</v>
      </c>
      <c r="P20" s="616">
        <f t="shared" si="2"/>
        <v>18.8785004408</v>
      </c>
      <c r="Q20" s="617">
        <f>IFERROR(IF($D20="",0,VLOOKUP($A20,'Consumos Drenagem'!$A:$BF,Q$1,FALSE)*$D20/1.5),0)</f>
        <v>0.95655960400000006</v>
      </c>
      <c r="R20" s="616">
        <f>IF($Q20=0,0,VLOOKUP(R$15,'Transp. Dre Rodovia'!$G$4:$I$10,IF(R$18="Local",2,3),FALSE))</f>
        <v>0</v>
      </c>
      <c r="S20" s="616">
        <f>IF($Q20=0,0,VLOOKUP(S$15,'Transp. Dre Rodovia'!$G$4:$I$10,IF(S$18="Local",2,3),FALSE))</f>
        <v>32.5</v>
      </c>
      <c r="T20" s="616">
        <f t="shared" si="3"/>
        <v>0</v>
      </c>
      <c r="U20" s="616">
        <f t="shared" si="3"/>
        <v>31.088187130000001</v>
      </c>
      <c r="V20" s="617">
        <f>IFERROR(IF($D20="",0,VLOOKUP($A20,'Consumos Drenagem'!$A:$BF,V$1,FALSE)*$D20/1000),0)</f>
        <v>0.36505912843400001</v>
      </c>
      <c r="W20" s="616">
        <f>IF($V20=0,0,VLOOKUP(W$15,'Transp. Dre Rodovia'!$G$4:$I$10,IF(W$18="Local",2,3),FALSE))</f>
        <v>0</v>
      </c>
      <c r="X20" s="616">
        <f>IF($V20=0,0,VLOOKUP(X$15,'Transp. Dre Rodovia'!$G$4:$I$10,IF(X$18="Local",2,3),FALSE))</f>
        <v>166</v>
      </c>
      <c r="Y20" s="616">
        <f t="shared" si="4"/>
        <v>0</v>
      </c>
      <c r="Z20" s="616">
        <f t="shared" si="4"/>
        <v>60.599815320044002</v>
      </c>
      <c r="AA20" s="617">
        <f>IFERROR(IF($D20="",0,VLOOKUP($A20,'Consumos Drenagem'!$A:$BF,AA$1,FALSE)*$D20),0)</f>
        <v>5.5E-2</v>
      </c>
      <c r="AB20" s="616"/>
      <c r="AC20" s="616"/>
      <c r="AD20" s="616">
        <f t="shared" si="5"/>
        <v>0</v>
      </c>
      <c r="AE20" s="616"/>
      <c r="AF20" s="617">
        <f>IFERROR(IF($D20="",0,VLOOKUP($A20,'Consumos Drenagem'!$A:$BF,AF$1,FALSE)*$D20/1.5),0)</f>
        <v>6.3249999999999987E-2</v>
      </c>
      <c r="AG20" s="616">
        <f t="shared" ref="AG20:AG29" si="14">$F20</f>
        <v>3.58</v>
      </c>
      <c r="AH20" s="616">
        <f>IF($AF20=0,0,VLOOKUP(AH$15,'Transp. Dre Rodovia'!$G$4:$I$10,IF(AH$18="Local",2,3),FALSE))</f>
        <v>24.2</v>
      </c>
      <c r="AI20" s="616">
        <f t="shared" si="6"/>
        <v>0.22643499999999997</v>
      </c>
      <c r="AJ20" s="616">
        <f t="shared" si="6"/>
        <v>1.5306499999999996</v>
      </c>
      <c r="AK20" s="617">
        <f>IFERROR(IF($D20="",0,VLOOKUP($A20,'Consumos Drenagem'!$A:$BF,AK$1,FALSE)*$D20/1000),0)</f>
        <v>1.925E-2</v>
      </c>
      <c r="AL20" s="616">
        <f t="shared" ref="AL20:AL29" si="15">$F20</f>
        <v>3.58</v>
      </c>
      <c r="AM20" s="616">
        <f>IF($AK20=0,0,VLOOKUP(AM$15,'Transp. Dre Rodovia'!$G$4:$I$10,IF(AM$18="Local",2,3),FALSE))</f>
        <v>166</v>
      </c>
      <c r="AN20" s="616">
        <f t="shared" si="7"/>
        <v>6.8915000000000004E-2</v>
      </c>
      <c r="AO20" s="616">
        <f t="shared" si="7"/>
        <v>3.1955</v>
      </c>
      <c r="AP20" s="601">
        <f>IFERROR(IF($D20="",0,VLOOKUP($A20,'Consumos Drenagem'!$A:$BF,$AP$1,FALSE)*$D20),0)</f>
        <v>0.9778340000000002</v>
      </c>
      <c r="AQ20" s="616">
        <f t="shared" ref="AQ20:AQ29" si="16">$F20</f>
        <v>3.58</v>
      </c>
      <c r="AR20" s="616">
        <f>IF($AP20=0,0,VLOOKUP(AR$15,'Transp. Dre Rodovia'!$G$4:$I$10,IF(AR$18="Local",2,3),FALSE))</f>
        <v>32.5</v>
      </c>
      <c r="AS20" s="616">
        <f t="shared" si="8"/>
        <v>3.500645720000001</v>
      </c>
      <c r="AT20" s="616">
        <f t="shared" si="8"/>
        <v>31.779605000000007</v>
      </c>
      <c r="AU20" s="617">
        <f>IFERROR(IF($D20="",0,VLOOKUP($A20,'Consumos Drenagem'!$A:$BF,AU$1,FALSE)*$D20/1.5),0)</f>
        <v>0</v>
      </c>
      <c r="AV20" s="616">
        <f t="shared" ref="AV20:AV29" si="17">$F20</f>
        <v>3.58</v>
      </c>
      <c r="AW20" s="616">
        <f>IF($AU20=0,0,VLOOKUP(AW$15,'Transp. Dre Rodovia'!$G$4:$I$10,IF(AW$18="Local",2,3),FALSE))</f>
        <v>0</v>
      </c>
      <c r="AX20" s="616">
        <f t="shared" si="9"/>
        <v>0</v>
      </c>
      <c r="AY20" s="616">
        <f t="shared" si="9"/>
        <v>0</v>
      </c>
      <c r="AZ20" s="617">
        <f>IFERROR(IF($D20="",0,VLOOKUP($A20,'Consumos Drenagem'!$A:$BF,AZ$1,FALSE)*$D20/1.5),0)</f>
        <v>0</v>
      </c>
      <c r="BA20" s="616">
        <f t="shared" ref="BA20:BA29" si="18">$F20</f>
        <v>3.58</v>
      </c>
      <c r="BB20" s="616">
        <f>IF($AZ20=0,0,VLOOKUP(BB$15,'Transp. Dre Rodovia'!$G$4:$I$10,IF(BB$18="Local",2,3),FALSE))</f>
        <v>0</v>
      </c>
      <c r="BC20" s="616">
        <f t="shared" si="10"/>
        <v>0</v>
      </c>
      <c r="BD20" s="616">
        <f t="shared" si="10"/>
        <v>0</v>
      </c>
      <c r="BE20" s="617">
        <f>IFERROR(IF($D20="",0,VLOOKUP($A20,'Consumos Drenagem'!$A:$BF,BE$1,FALSE)*$D20/1000),0)</f>
        <v>0</v>
      </c>
      <c r="BF20" s="616">
        <f t="shared" ref="BF20:BF29" si="19">$F20</f>
        <v>3.58</v>
      </c>
      <c r="BG20" s="616">
        <f>IF($BE20=0,0,VLOOKUP(BG$15,'Transp. Dre Rodovia'!$G$4:$I$10,IF(BG$18="Local",2,3),FALSE))</f>
        <v>0</v>
      </c>
      <c r="BH20" s="616">
        <f t="shared" si="11"/>
        <v>0</v>
      </c>
      <c r="BI20" s="616">
        <f t="shared" si="11"/>
        <v>0</v>
      </c>
      <c r="BJ20" s="617">
        <f>IFERROR(IF($D20="",0,VLOOKUP($A20,'Consumos Drenagem'!$A:$AAX,BJ$1,FALSE)*$D20),0)</f>
        <v>0</v>
      </c>
      <c r="BK20" s="616">
        <f t="shared" ref="BK20:BK29" si="20">$F20</f>
        <v>3.58</v>
      </c>
      <c r="BL20" s="616">
        <f>IF($BJ20=0,0,VLOOKUP(BL$15,'Transp. Dre Rodovia'!$G$4:$I$10,IF(BL$18="Local",2,3),FALSE))</f>
        <v>0</v>
      </c>
      <c r="BM20" s="616">
        <f t="shared" si="12"/>
        <v>0</v>
      </c>
      <c r="BN20" s="616">
        <f t="shared" si="12"/>
        <v>0</v>
      </c>
      <c r="BO20" s="617">
        <f>IFERROR(IF($D20="",0,VLOOKUP($A20,'Consumos Drenagem'!$A:$AAX,BO$1,FALSE)*$D20),0)</f>
        <v>3.74451</v>
      </c>
      <c r="BP20" s="616">
        <f t="shared" ref="BP20:BP29" si="21">$F20</f>
        <v>3.58</v>
      </c>
      <c r="BQ20" s="616">
        <f>IF($BO20=0,0,VLOOKUP(BQ$15,'Transp. Dre Rodovia'!$G$4:$I$12,IF(BQ$18="Local",2,3),FALSE))</f>
        <v>7.3</v>
      </c>
      <c r="BR20" s="616">
        <f t="shared" ref="BR20:BS29" si="22">$BO20*BP20</f>
        <v>13.405345800000001</v>
      </c>
      <c r="BS20" s="616">
        <f t="shared" si="22"/>
        <v>27.334923</v>
      </c>
      <c r="BU20" s="617">
        <f>IFERROR(IF($D20="",0,VLOOKUP($A20,'Consumos Drenagem'!$A:$AAX,BU$1,FALSE)*$D20),0)</f>
        <v>1.9799999999999998E-2</v>
      </c>
      <c r="BV20" s="616">
        <f t="shared" ref="BV20:BV29" si="23">$F20</f>
        <v>3.58</v>
      </c>
      <c r="BW20" s="616">
        <f>IF($BU20=0,0,VLOOKUP(BW$15,'Transp. Dre Rodovia'!$G$4:$I$12,IF(BW$18="Local",2,3),FALSE))</f>
        <v>7.3</v>
      </c>
      <c r="BX20" s="616">
        <f t="shared" ref="BX20:BY29" si="24">$BU20*BV20</f>
        <v>7.0883999999999989E-2</v>
      </c>
      <c r="BY20" s="616">
        <f t="shared" si="24"/>
        <v>0.14453999999999997</v>
      </c>
    </row>
    <row r="21" spans="1:77" s="578" customFormat="1" ht="12.75">
      <c r="A21" s="613">
        <v>2003315</v>
      </c>
      <c r="B21" s="565" t="str">
        <f>VLOOKUP('Transp. Dre Rodovia'!A21,'Quant. Dre Rodovia'!$B:$F,2,FALSE)</f>
        <v>Valeta de proteção de aterros com revestimento de concreto - VPAC 120-30 - escavação mecânica - areia e brita comerciais</v>
      </c>
      <c r="C21" s="566" t="str">
        <f>IFERROR(VLOOKUP(A21,'Consumos Drenagem'!$A:$AE,3,FALSE),"-")</f>
        <v>m</v>
      </c>
      <c r="D21" s="597">
        <f>VLOOKUP('Transp. Dre Rodovia'!A21,'Quant. Dre Rodovia'!$B:$F,5,FALSE)</f>
        <v>1239.7</v>
      </c>
      <c r="E21" s="614">
        <v>14</v>
      </c>
      <c r="F21" s="614">
        <f t="shared" si="0"/>
        <v>3.46</v>
      </c>
      <c r="G21" s="615">
        <f>IFERROR(IF($D21=0,0,VLOOKUP($A21,'Consumos Drenagem'!$A:$BF,G$1,FALSE)*$D21),0)</f>
        <v>158.18572</v>
      </c>
      <c r="H21" s="616">
        <f t="shared" si="13"/>
        <v>3.46</v>
      </c>
      <c r="I21" s="616"/>
      <c r="J21" s="616">
        <f t="shared" si="1"/>
        <v>547.32259120000003</v>
      </c>
      <c r="K21" s="616"/>
      <c r="L21" s="617">
        <f>IFERROR(IF($D21="",0,VLOOKUP($A21,'Consumos Drenagem'!$A:$BF,L$1,FALSE)*$D21/1.5),0)</f>
        <v>105.45714666666667</v>
      </c>
      <c r="M21" s="616">
        <f>IF($L21=0,0,VLOOKUP(M$15,'Transp. Dre Rodovia'!$G$4:$I$10,IF(M$18="Local",2,3),FALSE))</f>
        <v>0</v>
      </c>
      <c r="N21" s="616">
        <f>IF($L21=0,0,VLOOKUP(N$15,'Transp. Dre Rodovia'!$G$4:$I$10,IF(N$18="Local",2,3),FALSE))</f>
        <v>24.2</v>
      </c>
      <c r="O21" s="616">
        <f t="shared" si="2"/>
        <v>0</v>
      </c>
      <c r="P21" s="616">
        <f t="shared" si="2"/>
        <v>2552.0629493333336</v>
      </c>
      <c r="Q21" s="617">
        <f>IFERROR(IF($D21="",0,VLOOKUP($A21,'Consumos Drenagem'!$A:$BF,Q$1,FALSE)*$D21/1.5),0)</f>
        <v>105.45714666666667</v>
      </c>
      <c r="R21" s="616">
        <f>IF($Q21=0,0,VLOOKUP(R$15,'Transp. Dre Rodovia'!$G$4:$I$10,IF(R$18="Local",2,3),FALSE))</f>
        <v>0</v>
      </c>
      <c r="S21" s="616">
        <f>IF($Q21=0,0,VLOOKUP(S$15,'Transp. Dre Rodovia'!$G$4:$I$10,IF(S$18="Local",2,3),FALSE))</f>
        <v>32.5</v>
      </c>
      <c r="T21" s="616">
        <f t="shared" si="3"/>
        <v>0</v>
      </c>
      <c r="U21" s="616">
        <f t="shared" si="3"/>
        <v>3427.3572666666669</v>
      </c>
      <c r="V21" s="617">
        <f>IFERROR(IF($D21="",0,VLOOKUP($A21,'Consumos Drenagem'!$A:$BF,V$1,FALSE)*$D21/1000),0)</f>
        <v>0.15818572</v>
      </c>
      <c r="W21" s="616">
        <f>IF($V21=0,0,VLOOKUP(W$15,'Transp. Dre Rodovia'!$G$4:$I$10,IF(W$18="Local",2,3),FALSE))</f>
        <v>0</v>
      </c>
      <c r="X21" s="616">
        <f>IF($V21=0,0,VLOOKUP(X$15,'Transp. Dre Rodovia'!$G$4:$I$10,IF(X$18="Local",2,3),FALSE))</f>
        <v>166</v>
      </c>
      <c r="Y21" s="616">
        <f t="shared" si="4"/>
        <v>0</v>
      </c>
      <c r="Z21" s="616">
        <f t="shared" si="4"/>
        <v>26.258829519999999</v>
      </c>
      <c r="AA21" s="617">
        <f>IFERROR(IF($D21="",0,VLOOKUP($A21,'Consumos Drenagem'!$A:$BF,AA$1,FALSE)*$D21),0)</f>
        <v>0.12397000000000001</v>
      </c>
      <c r="AB21" s="616"/>
      <c r="AC21" s="616"/>
      <c r="AD21" s="616">
        <f t="shared" si="5"/>
        <v>0</v>
      </c>
      <c r="AE21" s="616"/>
      <c r="AF21" s="617">
        <f>IFERROR(IF($D21="",0,VLOOKUP($A21,'Consumos Drenagem'!$A:$BF,AF$1,FALSE)*$D21/1.5),0)</f>
        <v>0.12450926950000002</v>
      </c>
      <c r="AG21" s="616">
        <f t="shared" si="14"/>
        <v>3.46</v>
      </c>
      <c r="AH21" s="616">
        <f>IF($AF21=0,0,VLOOKUP(AH$15,'Transp. Dre Rodovia'!$G$4:$I$10,IF(AH$18="Local",2,3),FALSE))</f>
        <v>24.2</v>
      </c>
      <c r="AI21" s="616">
        <f t="shared" si="6"/>
        <v>0.43080207247000007</v>
      </c>
      <c r="AJ21" s="616">
        <f t="shared" si="6"/>
        <v>3.0131243219000003</v>
      </c>
      <c r="AK21" s="617">
        <f>IFERROR(IF($D21="",0,VLOOKUP($A21,'Consumos Drenagem'!$A:$BF,AK$1,FALSE)*$D21/1000),0)</f>
        <v>5.6779731523900007E-2</v>
      </c>
      <c r="AL21" s="616">
        <f t="shared" si="15"/>
        <v>3.46</v>
      </c>
      <c r="AM21" s="616">
        <f>IF($AK21=0,0,VLOOKUP(AM$15,'Transp. Dre Rodovia'!$G$4:$I$10,IF(AM$18="Local",2,3),FALSE))</f>
        <v>166</v>
      </c>
      <c r="AN21" s="616">
        <f t="shared" si="7"/>
        <v>0.19645787107269402</v>
      </c>
      <c r="AO21" s="616">
        <f t="shared" si="7"/>
        <v>9.4254354329674008</v>
      </c>
      <c r="AP21" s="601">
        <f>IFERROR(IF($D21="",0,VLOOKUP($A21,'Consumos Drenagem'!$A:$BF,$AP$1,FALSE)*$D21),0)</f>
        <v>0</v>
      </c>
      <c r="AQ21" s="616">
        <f t="shared" si="16"/>
        <v>3.46</v>
      </c>
      <c r="AR21" s="616">
        <f>IF($AP21=0,0,VLOOKUP(AR$15,'Transp. Dre Rodovia'!$G$4:$I$10,IF(AR$18="Local",2,3),FALSE))</f>
        <v>0</v>
      </c>
      <c r="AS21" s="616">
        <f t="shared" si="8"/>
        <v>0</v>
      </c>
      <c r="AT21" s="616">
        <f t="shared" si="8"/>
        <v>0</v>
      </c>
      <c r="AU21" s="617">
        <f>IFERROR(IF($D21="",0,VLOOKUP($A21,'Consumos Drenagem'!$A:$BF,AU$1,FALSE)*$D21/1.5),0)</f>
        <v>0</v>
      </c>
      <c r="AV21" s="616">
        <f t="shared" si="17"/>
        <v>3.46</v>
      </c>
      <c r="AW21" s="616">
        <f>IF($AU21=0,0,VLOOKUP(AW$15,'Transp. Dre Rodovia'!$G$4:$I$10,IF(AW$18="Local",2,3),FALSE))</f>
        <v>0</v>
      </c>
      <c r="AX21" s="616">
        <f t="shared" si="9"/>
        <v>0</v>
      </c>
      <c r="AY21" s="616">
        <f t="shared" si="9"/>
        <v>0</v>
      </c>
      <c r="AZ21" s="617">
        <f>IFERROR(IF($D21="",0,VLOOKUP($A21,'Consumos Drenagem'!$A:$BF,AZ$1,FALSE)*$D21/1.5),0)</f>
        <v>0</v>
      </c>
      <c r="BA21" s="616">
        <f t="shared" si="18"/>
        <v>3.46</v>
      </c>
      <c r="BB21" s="616">
        <f>IF($AZ21=0,0,VLOOKUP(BB$15,'Transp. Dre Rodovia'!$G$4:$I$10,IF(BB$18="Local",2,3),FALSE))</f>
        <v>0</v>
      </c>
      <c r="BC21" s="616">
        <f t="shared" si="10"/>
        <v>0</v>
      </c>
      <c r="BD21" s="616">
        <f t="shared" si="10"/>
        <v>0</v>
      </c>
      <c r="BE21" s="617">
        <f>IFERROR(IF($D21="",0,VLOOKUP($A21,'Consumos Drenagem'!$A:$BF,BE$1,FALSE)*$D21/1000),0)</f>
        <v>0</v>
      </c>
      <c r="BF21" s="616">
        <f t="shared" si="19"/>
        <v>3.46</v>
      </c>
      <c r="BG21" s="616">
        <f>IF($BE21=0,0,VLOOKUP(BG$15,'Transp. Dre Rodovia'!$G$4:$I$10,IF(BG$18="Local",2,3),FALSE))</f>
        <v>0</v>
      </c>
      <c r="BH21" s="616">
        <f t="shared" si="11"/>
        <v>0</v>
      </c>
      <c r="BI21" s="616">
        <f t="shared" si="11"/>
        <v>0</v>
      </c>
      <c r="BJ21" s="617">
        <f>IFERROR(IF($D21="",0,VLOOKUP($A21,'Consumos Drenagem'!$A:$AAX,BJ$1,FALSE)*$D21),0)</f>
        <v>0</v>
      </c>
      <c r="BK21" s="616">
        <f t="shared" si="20"/>
        <v>3.46</v>
      </c>
      <c r="BL21" s="616">
        <f>IF($BJ21=0,0,VLOOKUP(BL$15,'Transp. Dre Rodovia'!$G$4:$I$10,IF(BL$18="Local",2,3),FALSE))</f>
        <v>0</v>
      </c>
      <c r="BM21" s="616">
        <f t="shared" si="12"/>
        <v>0</v>
      </c>
      <c r="BN21" s="616">
        <f t="shared" si="12"/>
        <v>0</v>
      </c>
      <c r="BO21" s="617">
        <f>IFERROR(IF($D21="",0,VLOOKUP($A21,'Consumos Drenagem'!$A:$AAX,BO$1,FALSE)*$D21),0)</f>
        <v>0</v>
      </c>
      <c r="BP21" s="616">
        <f t="shared" si="21"/>
        <v>3.46</v>
      </c>
      <c r="BQ21" s="616">
        <f>IF($BO21=0,0,VLOOKUP(BQ$15,'Transp. Dre Rodovia'!$G$4:$I$12,IF(BQ$18="Local",2,3),FALSE))</f>
        <v>0</v>
      </c>
      <c r="BR21" s="616">
        <f t="shared" si="22"/>
        <v>0</v>
      </c>
      <c r="BS21" s="616">
        <f t="shared" si="22"/>
        <v>0</v>
      </c>
      <c r="BU21" s="617">
        <f>IFERROR(IF($D21="",0,VLOOKUP($A21,'Consumos Drenagem'!$A:$AAX,BU$1,FALSE)*$D21),0)</f>
        <v>0</v>
      </c>
      <c r="BV21" s="616">
        <f t="shared" si="23"/>
        <v>3.46</v>
      </c>
      <c r="BW21" s="616">
        <f>IF($BU21=0,0,VLOOKUP(BW$15,'Transp. Dre Rodovia'!$G$4:$I$12,IF(BW$18="Local",2,3),FALSE))</f>
        <v>0</v>
      </c>
      <c r="BX21" s="616">
        <f t="shared" si="24"/>
        <v>0</v>
      </c>
      <c r="BY21" s="616">
        <f t="shared" si="24"/>
        <v>0</v>
      </c>
    </row>
    <row r="22" spans="1:77" s="578" customFormat="1" ht="12.75">
      <c r="A22" s="613">
        <v>41309</v>
      </c>
      <c r="B22" s="565" t="str">
        <f>VLOOKUP('Transp. Dre Rodovia'!A22,'Quant. Dre Rodovia'!$B:$F,2,FALSE)</f>
        <v>DRENO PROFUNDO, CORTE EM SOLO PEAD - DPS13 (ANTIGO DPS07) (EXCETO ESCAVAÇÃO) (BC)</v>
      </c>
      <c r="C22" s="551" t="s">
        <v>107</v>
      </c>
      <c r="D22" s="597">
        <f>VLOOKUP('Transp. Dre Rodovia'!A22,'Quant. Dre Rodovia'!$B:$F,5,FALSE)</f>
        <v>793.07</v>
      </c>
      <c r="E22" s="614">
        <v>90</v>
      </c>
      <c r="F22" s="614">
        <f t="shared" si="0"/>
        <v>1.94</v>
      </c>
      <c r="G22" s="615">
        <f>IFERROR(IF($D22=0,0,VLOOKUP($A22,'Consumos Drenagem'!$A:$BF,G$1,FALSE)*$D22),0)</f>
        <v>0</v>
      </c>
      <c r="H22" s="616">
        <f t="shared" si="13"/>
        <v>1.94</v>
      </c>
      <c r="I22" s="616"/>
      <c r="J22" s="616">
        <f t="shared" si="1"/>
        <v>0</v>
      </c>
      <c r="K22" s="616"/>
      <c r="L22" s="617">
        <f>IFERROR(IF($D22="",0,VLOOKUP($A22,'Consumos Drenagem'!$A:$BF,L$1,FALSE)*$D22/1.5),0)</f>
        <v>0</v>
      </c>
      <c r="M22" s="616">
        <f>IF($L22=0,0,VLOOKUP(M$15,'Transp. Dre Rodovia'!$G$4:$I$10,IF(M$18="Local",2,3),FALSE))</f>
        <v>0</v>
      </c>
      <c r="N22" s="616">
        <f>IF($L22=0,0,VLOOKUP(N$15,'Transp. Dre Rodovia'!$G$4:$I$10,IF(N$18="Local",2,3),FALSE))</f>
        <v>0</v>
      </c>
      <c r="O22" s="616">
        <f t="shared" si="2"/>
        <v>0</v>
      </c>
      <c r="P22" s="616">
        <f t="shared" si="2"/>
        <v>0</v>
      </c>
      <c r="Q22" s="617">
        <f>IFERROR(IF($D22="",0,VLOOKUP($A22,'Consumos Drenagem'!$A:$BF,Q$1,FALSE)*$D22/1.5),0)</f>
        <v>0</v>
      </c>
      <c r="R22" s="616">
        <f>IF($Q22=0,0,VLOOKUP(R$15,'Transp. Dre Rodovia'!$G$4:$I$10,IF(R$18="Local",2,3),FALSE))</f>
        <v>0</v>
      </c>
      <c r="S22" s="616">
        <f>IF($Q22=0,0,VLOOKUP(S$15,'Transp. Dre Rodovia'!$G$4:$I$10,IF(S$18="Local",2,3),FALSE))</f>
        <v>0</v>
      </c>
      <c r="T22" s="616">
        <f t="shared" si="3"/>
        <v>0</v>
      </c>
      <c r="U22" s="616">
        <f t="shared" si="3"/>
        <v>0</v>
      </c>
      <c r="V22" s="617">
        <f>IFERROR(IF($D22="",0,VLOOKUP($A22,'Consumos Drenagem'!$A:$BF,V$1,FALSE)*$D22/1000),0)</f>
        <v>0</v>
      </c>
      <c r="W22" s="616">
        <f>IF($V22=0,0,VLOOKUP(W$15,'Transp. Dre Rodovia'!$G$4:$I$10,IF(W$18="Local",2,3),FALSE))</f>
        <v>0</v>
      </c>
      <c r="X22" s="616">
        <f>IF($V22=0,0,VLOOKUP(X$15,'Transp. Dre Rodovia'!$G$4:$I$10,IF(X$18="Local",2,3),FALSE))</f>
        <v>0</v>
      </c>
      <c r="Y22" s="616">
        <f t="shared" si="4"/>
        <v>0</v>
      </c>
      <c r="Z22" s="616">
        <f t="shared" si="4"/>
        <v>0</v>
      </c>
      <c r="AA22" s="617">
        <f>IFERROR(IF($D22="",0,VLOOKUP($A22,'Consumos Drenagem'!$A:$BF,AA$1,FALSE)*$D22),0)</f>
        <v>0</v>
      </c>
      <c r="AB22" s="616"/>
      <c r="AC22" s="616"/>
      <c r="AD22" s="616">
        <f t="shared" si="5"/>
        <v>0</v>
      </c>
      <c r="AE22" s="616"/>
      <c r="AF22" s="617">
        <f>IFERROR(IF($D22="",0,VLOOKUP($A22,'Consumos Drenagem'!$A:$BF,AF$1,FALSE)*$D22/1.5),0)</f>
        <v>0</v>
      </c>
      <c r="AG22" s="616">
        <f t="shared" si="14"/>
        <v>1.94</v>
      </c>
      <c r="AH22" s="616">
        <f>IF($AF22=0,0,VLOOKUP(AH$15,'Transp. Dre Rodovia'!$G$4:$I$10,IF(AH$18="Local",2,3),FALSE))</f>
        <v>0</v>
      </c>
      <c r="AI22" s="616">
        <f t="shared" si="6"/>
        <v>0</v>
      </c>
      <c r="AJ22" s="616">
        <f t="shared" si="6"/>
        <v>0</v>
      </c>
      <c r="AK22" s="617">
        <f>IFERROR(IF($D22="",0,VLOOKUP($A22,'Consumos Drenagem'!$A:$BF,AK$1,FALSE)*$D22/1000),0)</f>
        <v>0</v>
      </c>
      <c r="AL22" s="616">
        <f t="shared" si="15"/>
        <v>1.94</v>
      </c>
      <c r="AM22" s="616">
        <f>IF($AK22=0,0,VLOOKUP(AM$15,'Transp. Dre Rodovia'!$G$4:$I$10,IF(AM$18="Local",2,3),FALSE))</f>
        <v>0</v>
      </c>
      <c r="AN22" s="616">
        <f t="shared" si="7"/>
        <v>0</v>
      </c>
      <c r="AO22" s="616">
        <f t="shared" si="7"/>
        <v>0</v>
      </c>
      <c r="AP22" s="601">
        <f>IFERROR(IF($D22="",0,VLOOKUP($A22,'Consumos Drenagem'!$A:$BF,$AP$1,FALSE)*$D22),0)</f>
        <v>0</v>
      </c>
      <c r="AQ22" s="616">
        <f t="shared" si="16"/>
        <v>1.94</v>
      </c>
      <c r="AR22" s="616">
        <f>IF($AP22=0,0,VLOOKUP(AR$15,'Transp. Dre Rodovia'!$G$4:$I$10,IF(AR$18="Local",2,3),FALSE))</f>
        <v>0</v>
      </c>
      <c r="AS22" s="616">
        <f t="shared" si="8"/>
        <v>0</v>
      </c>
      <c r="AT22" s="616">
        <f t="shared" si="8"/>
        <v>0</v>
      </c>
      <c r="AU22" s="617">
        <f>IFERROR(IF($D22="",0,VLOOKUP($A22,'Consumos Drenagem'!$A:$BF,AU$1,FALSE)*$D22/1.5),0)</f>
        <v>0</v>
      </c>
      <c r="AV22" s="616">
        <f t="shared" si="17"/>
        <v>1.94</v>
      </c>
      <c r="AW22" s="616">
        <f>IF($AU22=0,0,VLOOKUP(AW$15,'Transp. Dre Rodovia'!$G$4:$I$10,IF(AW$18="Local",2,3),FALSE))</f>
        <v>0</v>
      </c>
      <c r="AX22" s="616">
        <f t="shared" si="9"/>
        <v>0</v>
      </c>
      <c r="AY22" s="616">
        <f t="shared" si="9"/>
        <v>0</v>
      </c>
      <c r="AZ22" s="617">
        <f>IFERROR(IF($D22="",0,VLOOKUP($A22,'Consumos Drenagem'!$A:$BF,AZ$1,FALSE)*$D22/1.5),0)</f>
        <v>444.11920000000003</v>
      </c>
      <c r="BA22" s="616">
        <f t="shared" si="18"/>
        <v>1.94</v>
      </c>
      <c r="BB22" s="616">
        <f>IF($AZ22=0,0,VLOOKUP(BB$15,'Transp. Dre Rodovia'!$G$4:$I$10,IF(BB$18="Local",2,3),FALSE))</f>
        <v>32.5</v>
      </c>
      <c r="BC22" s="616">
        <f t="shared" si="10"/>
        <v>861.59124800000006</v>
      </c>
      <c r="BD22" s="616">
        <f t="shared" si="10"/>
        <v>14433.874000000002</v>
      </c>
      <c r="BE22" s="617">
        <f>IFERROR(IF($D22="",0,VLOOKUP($A22,'Consumos Drenagem'!$A:$BF,BE$1,FALSE)*$D22/1000),0)</f>
        <v>0</v>
      </c>
      <c r="BF22" s="616">
        <f t="shared" si="19"/>
        <v>1.94</v>
      </c>
      <c r="BG22" s="616">
        <f>IF($BE22=0,0,VLOOKUP(BG$15,'Transp. Dre Rodovia'!$G$4:$I$10,IF(BG$18="Local",2,3),FALSE))</f>
        <v>0</v>
      </c>
      <c r="BH22" s="616">
        <f t="shared" si="11"/>
        <v>0</v>
      </c>
      <c r="BI22" s="616">
        <f t="shared" si="11"/>
        <v>0</v>
      </c>
      <c r="BJ22" s="617">
        <f>IFERROR(IF($D22="",0,VLOOKUP($A22,'Consumos Drenagem'!$A:$AAX,BJ$1,FALSE)*$D22),0)</f>
        <v>0</v>
      </c>
      <c r="BK22" s="616">
        <f t="shared" si="20"/>
        <v>1.94</v>
      </c>
      <c r="BL22" s="616">
        <f>IF($BJ22=0,0,VLOOKUP(BL$15,'Transp. Dre Rodovia'!$G$4:$I$10,IF(BL$18="Local",2,3),FALSE))</f>
        <v>0</v>
      </c>
      <c r="BM22" s="616">
        <f t="shared" si="12"/>
        <v>0</v>
      </c>
      <c r="BN22" s="616">
        <f t="shared" si="12"/>
        <v>0</v>
      </c>
      <c r="BO22" s="617">
        <f>IFERROR(IF($D22="",0,VLOOKUP($A22,'Consumos Drenagem'!$A:$AAX,BO$1,FALSE)*$D22),0)</f>
        <v>0</v>
      </c>
      <c r="BP22" s="616">
        <f t="shared" si="21"/>
        <v>1.94</v>
      </c>
      <c r="BQ22" s="616">
        <f>IF($BO22=0,0,VLOOKUP(BQ$15,'Transp. Dre Rodovia'!$G$4:$I$12,IF(BQ$18="Local",2,3),FALSE))</f>
        <v>0</v>
      </c>
      <c r="BR22" s="616">
        <f t="shared" si="22"/>
        <v>0</v>
      </c>
      <c r="BS22" s="616">
        <f t="shared" si="22"/>
        <v>0</v>
      </c>
      <c r="BU22" s="617">
        <f>IFERROR(IF($D22="",0,VLOOKUP($A22,'Consumos Drenagem'!$A:$AAX,BU$1,FALSE)*$D22),0)</f>
        <v>0.70424616000000018</v>
      </c>
      <c r="BV22" s="616">
        <f t="shared" si="23"/>
        <v>1.94</v>
      </c>
      <c r="BW22" s="616">
        <f>IF($BU22=0,0,VLOOKUP(BW$15,'Transp. Dre Rodovia'!$G$4:$I$12,IF(BW$18="Local",2,3),FALSE))</f>
        <v>7.3</v>
      </c>
      <c r="BX22" s="616">
        <f t="shared" si="24"/>
        <v>1.3662375504000004</v>
      </c>
      <c r="BY22" s="616">
        <f t="shared" si="24"/>
        <v>5.1409969680000014</v>
      </c>
    </row>
    <row r="23" spans="1:77" s="578" customFormat="1" ht="12.75">
      <c r="A23" s="613">
        <v>2003517</v>
      </c>
      <c r="B23" s="565" t="str">
        <f>VLOOKUP('Transp. Dre Rodovia'!A23,'Quant. Dre Rodovia'!$B:$F,2,FALSE)</f>
        <v>Caixa coletora de sarjeta - CCS 200-60 B - com grelha de aço - areia e brita comerciais</v>
      </c>
      <c r="C23" s="566" t="s">
        <v>374</v>
      </c>
      <c r="D23" s="597">
        <f>VLOOKUP('Transp. Dre Rodovia'!A23,'Quant. Dre Rodovia'!$B:$F,5,FALSE)</f>
        <v>1</v>
      </c>
      <c r="E23" s="614">
        <v>116</v>
      </c>
      <c r="F23" s="614">
        <f t="shared" si="0"/>
        <v>1.42</v>
      </c>
      <c r="G23" s="615">
        <f>IFERROR(IF($D23=0,0,VLOOKUP($A23,'Consumos Drenagem'!$A:$BF,G$1,FALSE)*$D23),0)</f>
        <v>2.5623</v>
      </c>
      <c r="H23" s="616">
        <f t="shared" si="13"/>
        <v>1.42</v>
      </c>
      <c r="I23" s="616"/>
      <c r="J23" s="616">
        <f t="shared" si="1"/>
        <v>3.6384659999999998</v>
      </c>
      <c r="K23" s="616"/>
      <c r="L23" s="617">
        <f>IFERROR(IF($D23="",0,VLOOKUP($A23,'Consumos Drenagem'!$A:$BF,L$1,FALSE)*$D23/1.5),0)</f>
        <v>1.5289999999999999</v>
      </c>
      <c r="M23" s="616">
        <f>IF($L23=0,0,VLOOKUP(M$15,'Transp. Dre Rodovia'!$G$4:$I$10,IF(M$18="Local",2,3),FALSE))</f>
        <v>0</v>
      </c>
      <c r="N23" s="616">
        <f>IF($L23=0,0,VLOOKUP(N$15,'Transp. Dre Rodovia'!$G$4:$I$10,IF(N$18="Local",2,3),FALSE))</f>
        <v>24.2</v>
      </c>
      <c r="O23" s="616">
        <f t="shared" si="2"/>
        <v>0</v>
      </c>
      <c r="P23" s="616">
        <f t="shared" si="2"/>
        <v>37.001799999999996</v>
      </c>
      <c r="Q23" s="617">
        <f>IFERROR(IF($D23="",0,VLOOKUP($A23,'Consumos Drenagem'!$A:$BF,Q$1,FALSE)*$D23/1.5),0)</f>
        <v>1.5289999999999999</v>
      </c>
      <c r="R23" s="616">
        <f>IF($Q23=0,0,VLOOKUP(R$15,'Transp. Dre Rodovia'!$G$4:$I$10,IF(R$18="Local",2,3),FALSE))</f>
        <v>0</v>
      </c>
      <c r="S23" s="616">
        <f>IF($Q23=0,0,VLOOKUP(S$15,'Transp. Dre Rodovia'!$G$4:$I$10,IF(S$18="Local",2,3),FALSE))</f>
        <v>32.5</v>
      </c>
      <c r="T23" s="616">
        <f t="shared" si="3"/>
        <v>0</v>
      </c>
      <c r="U23" s="616">
        <f t="shared" si="3"/>
        <v>49.692499999999995</v>
      </c>
      <c r="V23" s="617">
        <f>IFERROR(IF($D23="",0,VLOOKUP($A23,'Consumos Drenagem'!$A:$BF,V$1,FALSE)*$D23/1000),0)</f>
        <v>2.2935E-3</v>
      </c>
      <c r="W23" s="616">
        <f>IF($V23=0,0,VLOOKUP(W$15,'Transp. Dre Rodovia'!$G$4:$I$10,IF(W$18="Local",2,3),FALSE))</f>
        <v>0</v>
      </c>
      <c r="X23" s="616">
        <f>IF($V23=0,0,VLOOKUP(X$15,'Transp. Dre Rodovia'!$G$4:$I$10,IF(X$18="Local",2,3),FALSE))</f>
        <v>166</v>
      </c>
      <c r="Y23" s="616">
        <f t="shared" si="4"/>
        <v>0</v>
      </c>
      <c r="Z23" s="616">
        <f t="shared" si="4"/>
        <v>0.38072099999999998</v>
      </c>
      <c r="AA23" s="617">
        <f>IFERROR(IF($D23="",0,VLOOKUP($A23,'Consumos Drenagem'!$A:$BF,AA$1,FALSE)*$D23),0)</f>
        <v>0</v>
      </c>
      <c r="AB23" s="616"/>
      <c r="AC23" s="616"/>
      <c r="AD23" s="616">
        <f t="shared" si="5"/>
        <v>0</v>
      </c>
      <c r="AE23" s="616"/>
      <c r="AF23" s="617">
        <f>IFERROR(IF($D23="",0,VLOOKUP($A23,'Consumos Drenagem'!$A:$BF,AF$1,FALSE)*$D23/1.5),0)</f>
        <v>0</v>
      </c>
      <c r="AG23" s="616">
        <f t="shared" si="14"/>
        <v>1.42</v>
      </c>
      <c r="AH23" s="616">
        <f>IF($AF23=0,0,VLOOKUP(AH$15,'Transp. Dre Rodovia'!$G$4:$I$10,IF(AH$18="Local",2,3),FALSE))</f>
        <v>0</v>
      </c>
      <c r="AI23" s="616">
        <f t="shared" si="6"/>
        <v>0</v>
      </c>
      <c r="AJ23" s="616">
        <f t="shared" si="6"/>
        <v>0</v>
      </c>
      <c r="AK23" s="617">
        <f>IFERROR(IF($D23="",0,VLOOKUP($A23,'Consumos Drenagem'!$A:$BF,AK$1,FALSE)*$D23/1000),0)</f>
        <v>0</v>
      </c>
      <c r="AL23" s="616">
        <f t="shared" si="15"/>
        <v>1.42</v>
      </c>
      <c r="AM23" s="616">
        <f>IF($AK23=0,0,VLOOKUP(AM$15,'Transp. Dre Rodovia'!$G$4:$I$10,IF(AM$18="Local",2,3),FALSE))</f>
        <v>0</v>
      </c>
      <c r="AN23" s="616">
        <f t="shared" si="7"/>
        <v>0</v>
      </c>
      <c r="AO23" s="616">
        <f t="shared" si="7"/>
        <v>0</v>
      </c>
      <c r="AP23" s="601">
        <f>IFERROR(IF($D23="",0,VLOOKUP($A23,'Consumos Drenagem'!$A:$BF,$AP$1,FALSE)*$D23),0)</f>
        <v>0</v>
      </c>
      <c r="AQ23" s="616">
        <f t="shared" si="16"/>
        <v>1.42</v>
      </c>
      <c r="AR23" s="616">
        <f>IF($AP23=0,0,VLOOKUP(AR$15,'Transp. Dre Rodovia'!$G$4:$I$10,IF(AR$18="Local",2,3),FALSE))</f>
        <v>0</v>
      </c>
      <c r="AS23" s="616">
        <f t="shared" si="8"/>
        <v>0</v>
      </c>
      <c r="AT23" s="616">
        <f t="shared" si="8"/>
        <v>0</v>
      </c>
      <c r="AU23" s="617">
        <f>IFERROR(IF($D23="",0,VLOOKUP($A23,'Consumos Drenagem'!$A:$BF,AU$1,FALSE)*$D23/1.5),0)</f>
        <v>0</v>
      </c>
      <c r="AV23" s="616">
        <f t="shared" si="17"/>
        <v>1.42</v>
      </c>
      <c r="AW23" s="616">
        <f>IF($AU23=0,0,VLOOKUP(AW$15,'Transp. Dre Rodovia'!$G$4:$I$10,IF(AW$18="Local",2,3),FALSE))</f>
        <v>0</v>
      </c>
      <c r="AX23" s="616">
        <f t="shared" si="9"/>
        <v>0</v>
      </c>
      <c r="AY23" s="616">
        <f t="shared" si="9"/>
        <v>0</v>
      </c>
      <c r="AZ23" s="617">
        <f>IFERROR(IF($D23="",0,VLOOKUP($A23,'Consumos Drenagem'!$A:$BF,AZ$1,FALSE)*$D23/1.5),0)</f>
        <v>0</v>
      </c>
      <c r="BA23" s="616">
        <f t="shared" si="18"/>
        <v>1.42</v>
      </c>
      <c r="BB23" s="616">
        <f>IF($AZ23=0,0,VLOOKUP(BB$15,'Transp. Dre Rodovia'!$G$4:$I$10,IF(BB$18="Local",2,3),FALSE))</f>
        <v>0</v>
      </c>
      <c r="BC23" s="616">
        <f t="shared" si="10"/>
        <v>0</v>
      </c>
      <c r="BD23" s="616">
        <f t="shared" si="10"/>
        <v>0</v>
      </c>
      <c r="BE23" s="617">
        <f>IFERROR(IF($D23="",0,VLOOKUP($A23,'Consumos Drenagem'!$A:$BF,BE$1,FALSE)*$D23/1000),0)</f>
        <v>0</v>
      </c>
      <c r="BF23" s="616">
        <f t="shared" si="19"/>
        <v>1.42</v>
      </c>
      <c r="BG23" s="616">
        <f>IF($BE23=0,0,VLOOKUP(BG$15,'Transp. Dre Rodovia'!$G$4:$I$10,IF(BG$18="Local",2,3),FALSE))</f>
        <v>0</v>
      </c>
      <c r="BH23" s="616">
        <f t="shared" si="11"/>
        <v>0</v>
      </c>
      <c r="BI23" s="616">
        <f t="shared" si="11"/>
        <v>0</v>
      </c>
      <c r="BJ23" s="617">
        <f>IFERROR(IF($D23="",0,VLOOKUP($A23,'Consumos Drenagem'!$A:$AAX,BJ$1,FALSE)*$D23),0)</f>
        <v>0</v>
      </c>
      <c r="BK23" s="616">
        <f t="shared" si="20"/>
        <v>1.42</v>
      </c>
      <c r="BL23" s="616">
        <f>IF($BJ23=0,0,VLOOKUP(BL$15,'Transp. Dre Rodovia'!$G$4:$I$10,IF(BL$18="Local",2,3),FALSE))</f>
        <v>0</v>
      </c>
      <c r="BM23" s="616">
        <f t="shared" si="12"/>
        <v>0</v>
      </c>
      <c r="BN23" s="616">
        <f t="shared" si="12"/>
        <v>0</v>
      </c>
      <c r="BO23" s="617">
        <f>IFERROR(IF($D23="",0,VLOOKUP($A23,'Consumos Drenagem'!$A:$AAX,BO$1,FALSE)*$D23),0)</f>
        <v>0</v>
      </c>
      <c r="BP23" s="616">
        <f t="shared" si="21"/>
        <v>1.42</v>
      </c>
      <c r="BQ23" s="616">
        <f>IF($BO23=0,0,VLOOKUP(BQ$15,'Transp. Dre Rodovia'!$G$4:$I$12,IF(BQ$18="Local",2,3),FALSE))</f>
        <v>0</v>
      </c>
      <c r="BR23" s="616">
        <f t="shared" si="22"/>
        <v>0</v>
      </c>
      <c r="BS23" s="616">
        <f t="shared" si="22"/>
        <v>0</v>
      </c>
      <c r="BU23" s="617">
        <f>IFERROR(IF($D23="",0,VLOOKUP($A23,'Consumos Drenagem'!$A:$AAX,BU$1,FALSE)*$D23),0)</f>
        <v>0.46747199999999994</v>
      </c>
      <c r="BV23" s="616">
        <f t="shared" si="23"/>
        <v>1.42</v>
      </c>
      <c r="BW23" s="616">
        <f>IF($BU23=0,0,VLOOKUP(BW$15,'Transp. Dre Rodovia'!$G$4:$I$12,IF(BW$18="Local",2,3),FALSE))</f>
        <v>7.3</v>
      </c>
      <c r="BX23" s="616">
        <f t="shared" si="24"/>
        <v>0.66381023999999988</v>
      </c>
      <c r="BY23" s="616">
        <f t="shared" si="24"/>
        <v>3.4125455999999996</v>
      </c>
    </row>
    <row r="24" spans="1:77" s="578" customFormat="1" ht="12.75">
      <c r="A24" s="613">
        <v>2003601</v>
      </c>
      <c r="B24" s="565" t="str">
        <f>VLOOKUP('Transp. Dre Rodovia'!A24,'Quant. Dre Rodovia'!$B:$F,2,FALSE)</f>
        <v>Boca de saída para dreno longitudinal profundo - BSD 02 - tubo de concreto perfurado - areia e brita comerciais</v>
      </c>
      <c r="C24" s="566" t="s">
        <v>374</v>
      </c>
      <c r="D24" s="597">
        <f>VLOOKUP('Transp. Dre Rodovia'!A24,'Quant. Dre Rodovia'!$B:$F,5,FALSE)</f>
        <v>1</v>
      </c>
      <c r="E24" s="614">
        <v>116</v>
      </c>
      <c r="F24" s="614">
        <f t="shared" si="0"/>
        <v>1.42</v>
      </c>
      <c r="G24" s="615">
        <f>IFERROR(IF($D24=0,0,VLOOKUP($A24,'Consumos Drenagem'!$A:$BF,G$1,FALSE)*$D24),0)</f>
        <v>0.20399999999999999</v>
      </c>
      <c r="H24" s="616">
        <f t="shared" si="13"/>
        <v>1.42</v>
      </c>
      <c r="I24" s="616"/>
      <c r="J24" s="616">
        <f t="shared" si="1"/>
        <v>0.28967999999999999</v>
      </c>
      <c r="K24" s="616"/>
      <c r="L24" s="617">
        <f>IFERROR(IF($D24="",0,VLOOKUP($A24,'Consumos Drenagem'!$A:$BF,L$1,FALSE)*$D24/1.5),0)</f>
        <v>0.13599999999999998</v>
      </c>
      <c r="M24" s="616">
        <f>IF($L24=0,0,VLOOKUP(M$15,'Transp. Dre Rodovia'!$G$4:$I$10,IF(M$18="Local",2,3),FALSE))</f>
        <v>0</v>
      </c>
      <c r="N24" s="616">
        <f>IF($L24=0,0,VLOOKUP(N$15,'Transp. Dre Rodovia'!$G$4:$I$10,IF(N$18="Local",2,3),FALSE))</f>
        <v>24.2</v>
      </c>
      <c r="O24" s="616">
        <f t="shared" si="2"/>
        <v>0</v>
      </c>
      <c r="P24" s="616">
        <f t="shared" si="2"/>
        <v>3.2911999999999995</v>
      </c>
      <c r="Q24" s="617">
        <f>IFERROR(IF($D24="",0,VLOOKUP($A24,'Consumos Drenagem'!$A:$BF,Q$1,FALSE)*$D24/1.5),0)</f>
        <v>0.13599999999999998</v>
      </c>
      <c r="R24" s="616">
        <f>IF($Q24=0,0,VLOOKUP(R$15,'Transp. Dre Rodovia'!$G$4:$I$10,IF(R$18="Local",2,3),FALSE))</f>
        <v>0</v>
      </c>
      <c r="S24" s="616">
        <f>IF($Q24=0,0,VLOOKUP(S$15,'Transp. Dre Rodovia'!$G$4:$I$10,IF(S$18="Local",2,3),FALSE))</f>
        <v>32.5</v>
      </c>
      <c r="T24" s="616">
        <f t="shared" si="3"/>
        <v>0</v>
      </c>
      <c r="U24" s="616">
        <f t="shared" si="3"/>
        <v>4.419999999999999</v>
      </c>
      <c r="V24" s="617">
        <f>IFERROR(IF($D24="",0,VLOOKUP($A24,'Consumos Drenagem'!$A:$BF,V$1,FALSE)*$D24/1000),0)</f>
        <v>2.04E-4</v>
      </c>
      <c r="W24" s="616">
        <f>IF($V24=0,0,VLOOKUP(W$15,'Transp. Dre Rodovia'!$G$4:$I$10,IF(W$18="Local",2,3),FALSE))</f>
        <v>0</v>
      </c>
      <c r="X24" s="616">
        <f>IF($V24=0,0,VLOOKUP(X$15,'Transp. Dre Rodovia'!$G$4:$I$10,IF(X$18="Local",2,3),FALSE))</f>
        <v>166</v>
      </c>
      <c r="Y24" s="616">
        <f t="shared" si="4"/>
        <v>0</v>
      </c>
      <c r="Z24" s="616">
        <f t="shared" si="4"/>
        <v>3.3863999999999998E-2</v>
      </c>
      <c r="AA24" s="617">
        <f>IFERROR(IF($D24="",0,VLOOKUP($A24,'Consumos Drenagem'!$A:$BF,AA$1,FALSE)*$D24),0)</f>
        <v>0</v>
      </c>
      <c r="AB24" s="616"/>
      <c r="AC24" s="616"/>
      <c r="AD24" s="616">
        <f t="shared" si="5"/>
        <v>0</v>
      </c>
      <c r="AE24" s="616"/>
      <c r="AF24" s="617">
        <f>IFERROR(IF($D24="",0,VLOOKUP($A24,'Consumos Drenagem'!$A:$BF,AF$1,FALSE)*$D24/1.5),0)</f>
        <v>0</v>
      </c>
      <c r="AG24" s="616">
        <f t="shared" si="14"/>
        <v>1.42</v>
      </c>
      <c r="AH24" s="616">
        <f>IF($AF24=0,0,VLOOKUP(AH$15,'Transp. Dre Rodovia'!$G$4:$I$10,IF(AH$18="Local",2,3),FALSE))</f>
        <v>0</v>
      </c>
      <c r="AI24" s="616">
        <f t="shared" si="6"/>
        <v>0</v>
      </c>
      <c r="AJ24" s="616">
        <f t="shared" si="6"/>
        <v>0</v>
      </c>
      <c r="AK24" s="617">
        <f>IFERROR(IF($D24="",0,VLOOKUP($A24,'Consumos Drenagem'!$A:$BF,AK$1,FALSE)*$D24/1000),0)</f>
        <v>0</v>
      </c>
      <c r="AL24" s="616">
        <f t="shared" si="15"/>
        <v>1.42</v>
      </c>
      <c r="AM24" s="616">
        <f>IF($AK24=0,0,VLOOKUP(AM$15,'Transp. Dre Rodovia'!$G$4:$I$10,IF(AM$18="Local",2,3),FALSE))</f>
        <v>0</v>
      </c>
      <c r="AN24" s="616">
        <f t="shared" si="7"/>
        <v>0</v>
      </c>
      <c r="AO24" s="616">
        <f t="shared" si="7"/>
        <v>0</v>
      </c>
      <c r="AP24" s="601">
        <f>IFERROR(IF($D24="",0,VLOOKUP($A24,'Consumos Drenagem'!$A:$BF,$AP$1,FALSE)*$D24),0)</f>
        <v>0</v>
      </c>
      <c r="AQ24" s="616">
        <f t="shared" si="16"/>
        <v>1.42</v>
      </c>
      <c r="AR24" s="616">
        <f>IF($AP24=0,0,VLOOKUP(AR$15,'Transp. Dre Rodovia'!$G$4:$I$10,IF(AR$18="Local",2,3),FALSE))</f>
        <v>0</v>
      </c>
      <c r="AS24" s="616">
        <f t="shared" si="8"/>
        <v>0</v>
      </c>
      <c r="AT24" s="616">
        <f t="shared" si="8"/>
        <v>0</v>
      </c>
      <c r="AU24" s="617">
        <f>IFERROR(IF($D24="",0,VLOOKUP($A24,'Consumos Drenagem'!$A:$BF,AU$1,FALSE)*$D24/1.5),0)</f>
        <v>0</v>
      </c>
      <c r="AV24" s="616">
        <f t="shared" si="17"/>
        <v>1.42</v>
      </c>
      <c r="AW24" s="616">
        <f>IF($AU24=0,0,VLOOKUP(AW$15,'Transp. Dre Rodovia'!$G$4:$I$10,IF(AW$18="Local",2,3),FALSE))</f>
        <v>0</v>
      </c>
      <c r="AX24" s="616">
        <f t="shared" si="9"/>
        <v>0</v>
      </c>
      <c r="AY24" s="616">
        <f t="shared" si="9"/>
        <v>0</v>
      </c>
      <c r="AZ24" s="617">
        <f>IFERROR(IF($D24="",0,VLOOKUP($A24,'Consumos Drenagem'!$A:$BF,AZ$1,FALSE)*$D24/1.5),0)</f>
        <v>0</v>
      </c>
      <c r="BA24" s="616">
        <f t="shared" si="18"/>
        <v>1.42</v>
      </c>
      <c r="BB24" s="616">
        <f>IF($AZ24=0,0,VLOOKUP(BB$15,'Transp. Dre Rodovia'!$G$4:$I$10,IF(BB$18="Local",2,3),FALSE))</f>
        <v>0</v>
      </c>
      <c r="BC24" s="616">
        <f t="shared" si="10"/>
        <v>0</v>
      </c>
      <c r="BD24" s="616">
        <f t="shared" si="10"/>
        <v>0</v>
      </c>
      <c r="BE24" s="617">
        <f>IFERROR(IF($D24="",0,VLOOKUP($A24,'Consumos Drenagem'!$A:$BF,BE$1,FALSE)*$D24/1000),0)</f>
        <v>0</v>
      </c>
      <c r="BF24" s="616">
        <f t="shared" si="19"/>
        <v>1.42</v>
      </c>
      <c r="BG24" s="616">
        <f>IF($BE24=0,0,VLOOKUP(BG$15,'Transp. Dre Rodovia'!$G$4:$I$10,IF(BG$18="Local",2,3),FALSE))</f>
        <v>0</v>
      </c>
      <c r="BH24" s="616">
        <f t="shared" si="11"/>
        <v>0</v>
      </c>
      <c r="BI24" s="616">
        <f t="shared" si="11"/>
        <v>0</v>
      </c>
      <c r="BJ24" s="617">
        <f>IFERROR(IF($D24="",0,VLOOKUP($A24,'Consumos Drenagem'!$A:$AAX,BJ$1,FALSE)*$D24),0)</f>
        <v>0</v>
      </c>
      <c r="BK24" s="616">
        <f t="shared" si="20"/>
        <v>1.42</v>
      </c>
      <c r="BL24" s="616">
        <f>IF($BJ24=0,0,VLOOKUP(BL$15,'Transp. Dre Rodovia'!$G$4:$I$10,IF(BL$18="Local",2,3),FALSE))</f>
        <v>0</v>
      </c>
      <c r="BM24" s="616">
        <f t="shared" si="12"/>
        <v>0</v>
      </c>
      <c r="BN24" s="616">
        <f t="shared" si="12"/>
        <v>0</v>
      </c>
      <c r="BO24" s="617">
        <f>IFERROR(IF($D24="",0,VLOOKUP($A24,'Consumos Drenagem'!$A:$AAX,BO$1,FALSE)*$D24),0)</f>
        <v>0</v>
      </c>
      <c r="BP24" s="616">
        <f t="shared" si="21"/>
        <v>1.42</v>
      </c>
      <c r="BQ24" s="616">
        <f>IF($BO24=0,0,VLOOKUP(BQ$15,'Transp. Dre Rodovia'!$G$4:$I$12,IF(BQ$18="Local",2,3),FALSE))</f>
        <v>0</v>
      </c>
      <c r="BR24" s="616">
        <f t="shared" si="22"/>
        <v>0</v>
      </c>
      <c r="BS24" s="616">
        <f t="shared" si="22"/>
        <v>0</v>
      </c>
      <c r="BU24" s="617">
        <f>IFERROR(IF($D24="",0,VLOOKUP($A24,'Consumos Drenagem'!$A:$AAX,BU$1,FALSE)*$D24),0)</f>
        <v>3.2399999999999998E-2</v>
      </c>
      <c r="BV24" s="616">
        <f t="shared" si="23"/>
        <v>1.42</v>
      </c>
      <c r="BW24" s="616">
        <f>IF($BU24=0,0,VLOOKUP(BW$15,'Transp. Dre Rodovia'!$G$4:$I$12,IF(BW$18="Local",2,3),FALSE))</f>
        <v>7.3</v>
      </c>
      <c r="BX24" s="616">
        <f t="shared" si="24"/>
        <v>4.6007999999999993E-2</v>
      </c>
      <c r="BY24" s="616">
        <f t="shared" si="24"/>
        <v>0.23651999999999998</v>
      </c>
    </row>
    <row r="25" spans="1:77" s="578" customFormat="1" ht="12.75">
      <c r="A25" s="613">
        <v>2003325</v>
      </c>
      <c r="B25" s="550" t="s">
        <v>1457</v>
      </c>
      <c r="C25" s="551" t="s">
        <v>107</v>
      </c>
      <c r="D25" s="597">
        <f>VLOOKUP('Transp. Dre Rodovia'!A25,'Quant. Dre Rodovia'!$B:$F,5,FALSE)</f>
        <v>481.59</v>
      </c>
      <c r="E25" s="614"/>
      <c r="F25" s="614"/>
      <c r="G25" s="615">
        <f>IFERROR(IF($D25=0,0,VLOOKUP($A25,'Consumos Drenagem'!$A:$BF,G$1,FALSE)*$D25),0)</f>
        <v>34.578161999999999</v>
      </c>
      <c r="H25" s="616">
        <f t="shared" si="13"/>
        <v>0</v>
      </c>
      <c r="I25" s="616"/>
      <c r="J25" s="616">
        <f t="shared" si="1"/>
        <v>0</v>
      </c>
      <c r="K25" s="616"/>
      <c r="L25" s="617">
        <f>IFERROR(IF($D25="",0,VLOOKUP($A25,'Consumos Drenagem'!$A:$BF,L$1,FALSE)*$D25/1.5),0)</f>
        <v>23.052108</v>
      </c>
      <c r="M25" s="616">
        <f>IF($L25=0,0,VLOOKUP(M$15,'Transp. Dre Rodovia'!$G$4:$I$10,IF(M$18="Local",2,3),FALSE))</f>
        <v>0</v>
      </c>
      <c r="N25" s="616">
        <f>IF($L25=0,0,VLOOKUP(N$15,'Transp. Dre Rodovia'!$G$4:$I$10,IF(N$18="Local",2,3),FALSE))</f>
        <v>24.2</v>
      </c>
      <c r="O25" s="616">
        <f t="shared" si="2"/>
        <v>0</v>
      </c>
      <c r="P25" s="616">
        <f t="shared" si="2"/>
        <v>557.86101359999998</v>
      </c>
      <c r="Q25" s="617">
        <f>IFERROR(IF($D25="",0,VLOOKUP($A25,'Consumos Drenagem'!$A:$BF,Q$1,FALSE)*$D25/1.5),0)</f>
        <v>23.052108</v>
      </c>
      <c r="R25" s="616">
        <f>IF($Q25=0,0,VLOOKUP(R$15,'Transp. Dre Rodovia'!$G$4:$I$10,IF(R$18="Local",2,3),FALSE))</f>
        <v>0</v>
      </c>
      <c r="S25" s="616">
        <f>IF($Q25=0,0,VLOOKUP(S$15,'Transp. Dre Rodovia'!$G$4:$I$10,IF(S$18="Local",2,3),FALSE))</f>
        <v>32.5</v>
      </c>
      <c r="T25" s="616">
        <f t="shared" si="3"/>
        <v>0</v>
      </c>
      <c r="U25" s="616">
        <f t="shared" si="3"/>
        <v>749.19351000000006</v>
      </c>
      <c r="V25" s="617">
        <f>IFERROR(IF($D25="",0,VLOOKUP($A25,'Consumos Drenagem'!$A:$BF,V$1,FALSE)*$D25/1000),0)</f>
        <v>3.4578161999999996E-2</v>
      </c>
      <c r="W25" s="616">
        <f>IF($V25=0,0,VLOOKUP(W$15,'Transp. Dre Rodovia'!$G$4:$I$10,IF(W$18="Local",2,3),FALSE))</f>
        <v>0</v>
      </c>
      <c r="X25" s="616">
        <f>IF($V25=0,0,VLOOKUP(X$15,'Transp. Dre Rodovia'!$G$4:$I$10,IF(X$18="Local",2,3),FALSE))</f>
        <v>166</v>
      </c>
      <c r="Y25" s="616">
        <f t="shared" si="4"/>
        <v>0</v>
      </c>
      <c r="Z25" s="616">
        <f t="shared" si="4"/>
        <v>5.7399748919999993</v>
      </c>
      <c r="AA25" s="617">
        <f>IFERROR(IF($D25="",0,VLOOKUP($A25,'Consumos Drenagem'!$A:$BF,AA$1,FALSE)*$D25),0)</f>
        <v>0</v>
      </c>
      <c r="AB25" s="616"/>
      <c r="AC25" s="616"/>
      <c r="AD25" s="616">
        <f t="shared" si="5"/>
        <v>0</v>
      </c>
      <c r="AE25" s="616"/>
      <c r="AF25" s="617">
        <f>IFERROR(IF($D25="",0,VLOOKUP($A25,'Consumos Drenagem'!$A:$BF,AF$1,FALSE)*$D25/1.5),0)</f>
        <v>0</v>
      </c>
      <c r="AG25" s="616">
        <f t="shared" si="14"/>
        <v>0</v>
      </c>
      <c r="AH25" s="616">
        <f>IF($AF25=0,0,VLOOKUP(AH$15,'Transp. Dre Rodovia'!$G$4:$I$10,IF(AH$18="Local",2,3),FALSE))</f>
        <v>0</v>
      </c>
      <c r="AI25" s="616">
        <f t="shared" si="6"/>
        <v>0</v>
      </c>
      <c r="AJ25" s="616">
        <f t="shared" si="6"/>
        <v>0</v>
      </c>
      <c r="AK25" s="617">
        <f>IFERROR(IF($D25="",0,VLOOKUP($A25,'Consumos Drenagem'!$A:$BF,AK$1,FALSE)*$D25/1000),0)</f>
        <v>0</v>
      </c>
      <c r="AL25" s="616">
        <f t="shared" si="15"/>
        <v>0</v>
      </c>
      <c r="AM25" s="616">
        <f>IF($AK25=0,0,VLOOKUP(AM$15,'Transp. Dre Rodovia'!$G$4:$I$10,IF(AM$18="Local",2,3),FALSE))</f>
        <v>0</v>
      </c>
      <c r="AN25" s="616">
        <f t="shared" si="7"/>
        <v>0</v>
      </c>
      <c r="AO25" s="616">
        <f t="shared" si="7"/>
        <v>0</v>
      </c>
      <c r="AP25" s="601">
        <f>IFERROR(IF($D25="",0,VLOOKUP($A25,'Consumos Drenagem'!$A:$BF,$AP$1,FALSE)*$D25),0)</f>
        <v>0</v>
      </c>
      <c r="AQ25" s="616">
        <f t="shared" si="16"/>
        <v>0</v>
      </c>
      <c r="AR25" s="616">
        <f>IF($AP25=0,0,VLOOKUP(AR$15,'Transp. Dre Rodovia'!$G$4:$I$10,IF(AR$18="Local",2,3),FALSE))</f>
        <v>0</v>
      </c>
      <c r="AS25" s="616">
        <f t="shared" si="8"/>
        <v>0</v>
      </c>
      <c r="AT25" s="616">
        <f t="shared" si="8"/>
        <v>0</v>
      </c>
      <c r="AU25" s="617">
        <f>IFERROR(IF($D25="",0,VLOOKUP($A25,'Consumos Drenagem'!$A:$BF,AU$1,FALSE)*$D25/1.5),0)</f>
        <v>0</v>
      </c>
      <c r="AV25" s="616">
        <f t="shared" si="17"/>
        <v>0</v>
      </c>
      <c r="AW25" s="616">
        <f>IF($AU25=0,0,VLOOKUP(AW$15,'Transp. Dre Rodovia'!$G$4:$I$10,IF(AW$18="Local",2,3),FALSE))</f>
        <v>0</v>
      </c>
      <c r="AX25" s="616">
        <f t="shared" si="9"/>
        <v>0</v>
      </c>
      <c r="AY25" s="616">
        <f t="shared" si="9"/>
        <v>0</v>
      </c>
      <c r="AZ25" s="617">
        <f>IFERROR(IF($D25="",0,VLOOKUP($A25,'Consumos Drenagem'!$A:$BF,AZ$1,FALSE)*$D25/1.5),0)</f>
        <v>0</v>
      </c>
      <c r="BA25" s="616">
        <f t="shared" si="18"/>
        <v>0</v>
      </c>
      <c r="BB25" s="616">
        <f>IF($AZ25=0,0,VLOOKUP(BB$15,'Transp. Dre Rodovia'!$G$4:$I$10,IF(BB$18="Local",2,3),FALSE))</f>
        <v>0</v>
      </c>
      <c r="BC25" s="616">
        <f t="shared" si="10"/>
        <v>0</v>
      </c>
      <c r="BD25" s="616">
        <f t="shared" si="10"/>
        <v>0</v>
      </c>
      <c r="BE25" s="617">
        <f>IFERROR(IF($D25="",0,VLOOKUP($A25,'Consumos Drenagem'!$A:$BF,BE$1,FALSE)*$D25/1000),0)</f>
        <v>0</v>
      </c>
      <c r="BF25" s="616">
        <f t="shared" si="19"/>
        <v>0</v>
      </c>
      <c r="BG25" s="616">
        <f>IF($BE25=0,0,VLOOKUP(BG$15,'Transp. Dre Rodovia'!$G$4:$I$10,IF(BG$18="Local",2,3),FALSE))</f>
        <v>0</v>
      </c>
      <c r="BH25" s="616">
        <f t="shared" si="11"/>
        <v>0</v>
      </c>
      <c r="BI25" s="616">
        <f t="shared" si="11"/>
        <v>0</v>
      </c>
      <c r="BJ25" s="617">
        <f>IFERROR(IF($D25="",0,VLOOKUP($A25,'Consumos Drenagem'!$A:$AAX,BJ$1,FALSE)*$D25),0)</f>
        <v>0</v>
      </c>
      <c r="BK25" s="616">
        <f t="shared" si="20"/>
        <v>0</v>
      </c>
      <c r="BL25" s="616">
        <f>IF($BJ25=0,0,VLOOKUP(BL$15,'Transp. Dre Rodovia'!$G$4:$I$10,IF(BL$18="Local",2,3),FALSE))</f>
        <v>0</v>
      </c>
      <c r="BM25" s="616">
        <f t="shared" si="12"/>
        <v>0</v>
      </c>
      <c r="BN25" s="616">
        <f t="shared" si="12"/>
        <v>0</v>
      </c>
      <c r="BO25" s="617">
        <f>IFERROR(IF($D25="",0,VLOOKUP($A25,'Consumos Drenagem'!$A:$AAX,BO$1,FALSE)*$D25),0)</f>
        <v>0</v>
      </c>
      <c r="BP25" s="616">
        <f t="shared" si="21"/>
        <v>0</v>
      </c>
      <c r="BQ25" s="616">
        <f>IF($BO25=0,0,VLOOKUP(BQ$15,'Transp. Dre Rodovia'!$G$4:$I$12,IF(BQ$18="Local",2,3),FALSE))</f>
        <v>0</v>
      </c>
      <c r="BR25" s="616">
        <f t="shared" si="22"/>
        <v>0</v>
      </c>
      <c r="BS25" s="616">
        <f t="shared" si="22"/>
        <v>0</v>
      </c>
      <c r="BU25" s="617">
        <f>IFERROR(IF($D25="",0,VLOOKUP($A25,'Consumos Drenagem'!$A:$AAX,BU$1,FALSE)*$D25),0)</f>
        <v>0</v>
      </c>
      <c r="BV25" s="616">
        <f t="shared" si="23"/>
        <v>0</v>
      </c>
      <c r="BW25" s="616">
        <f>IF($BU25=0,0,VLOOKUP(BW$15,'Transp. Dre Rodovia'!$G$4:$I$12,IF(BW$18="Local",2,3),FALSE))</f>
        <v>0</v>
      </c>
      <c r="BX25" s="616">
        <f t="shared" si="24"/>
        <v>0</v>
      </c>
      <c r="BY25" s="616">
        <f t="shared" si="24"/>
        <v>0</v>
      </c>
    </row>
    <row r="26" spans="1:77" s="578" customFormat="1" ht="12.75">
      <c r="A26" s="613">
        <v>2003441</v>
      </c>
      <c r="B26" s="550" t="s">
        <v>1458</v>
      </c>
      <c r="C26" s="551" t="s">
        <v>374</v>
      </c>
      <c r="D26" s="597">
        <f>VLOOKUP('Transp. Dre Rodovia'!A26,'Quant. Dre Rodovia'!$B:$F,5,FALSE)</f>
        <v>1</v>
      </c>
      <c r="E26" s="614"/>
      <c r="F26" s="614"/>
      <c r="G26" s="615">
        <f>IFERROR(IF($D26=0,0,VLOOKUP($A26,'Consumos Drenagem'!$A:$BF,G$1,FALSE)*$D26),0)</f>
        <v>0</v>
      </c>
      <c r="H26" s="616">
        <f t="shared" si="13"/>
        <v>0</v>
      </c>
      <c r="I26" s="616"/>
      <c r="J26" s="616">
        <f t="shared" si="1"/>
        <v>0</v>
      </c>
      <c r="K26" s="616"/>
      <c r="L26" s="617">
        <f>IFERROR(IF($D26="",0,VLOOKUP($A26,'Consumos Drenagem'!$A:$BF,L$1,FALSE)*$D26/1.5),0)</f>
        <v>0</v>
      </c>
      <c r="M26" s="616">
        <f>IF($L26=0,0,VLOOKUP(M$15,'Transp. Dre Rodovia'!$G$4:$I$10,IF(M$18="Local",2,3),FALSE))</f>
        <v>0</v>
      </c>
      <c r="N26" s="616">
        <f>IF($L26=0,0,VLOOKUP(N$15,'Transp. Dre Rodovia'!$G$4:$I$10,IF(N$18="Local",2,3),FALSE))</f>
        <v>0</v>
      </c>
      <c r="O26" s="616">
        <f t="shared" si="2"/>
        <v>0</v>
      </c>
      <c r="P26" s="616">
        <f t="shared" si="2"/>
        <v>0</v>
      </c>
      <c r="Q26" s="617">
        <f>IFERROR(IF($D26="",0,VLOOKUP($A26,'Consumos Drenagem'!$A:$BF,Q$1,FALSE)*$D26/1.5),0)</f>
        <v>0</v>
      </c>
      <c r="R26" s="616">
        <f>IF($Q26=0,0,VLOOKUP(R$15,'Transp. Dre Rodovia'!$G$4:$I$10,IF(R$18="Local",2,3),FALSE))</f>
        <v>0</v>
      </c>
      <c r="S26" s="616">
        <f>IF($Q26=0,0,VLOOKUP(S$15,'Transp. Dre Rodovia'!$G$4:$I$10,IF(S$18="Local",2,3),FALSE))</f>
        <v>0</v>
      </c>
      <c r="T26" s="616">
        <f t="shared" si="3"/>
        <v>0</v>
      </c>
      <c r="U26" s="616">
        <f t="shared" si="3"/>
        <v>0</v>
      </c>
      <c r="V26" s="617">
        <f>IFERROR(IF($D26="",0,VLOOKUP($A26,'Consumos Drenagem'!$A:$BF,V$1,FALSE)*$D26/1000),0)</f>
        <v>0</v>
      </c>
      <c r="W26" s="616">
        <f>IF($V26=0,0,VLOOKUP(W$15,'Transp. Dre Rodovia'!$G$4:$I$10,IF(W$18="Local",2,3),FALSE))</f>
        <v>0</v>
      </c>
      <c r="X26" s="616">
        <f>IF($V26=0,0,VLOOKUP(X$15,'Transp. Dre Rodovia'!$G$4:$I$10,IF(X$18="Local",2,3),FALSE))</f>
        <v>0</v>
      </c>
      <c r="Y26" s="616">
        <f t="shared" si="4"/>
        <v>0</v>
      </c>
      <c r="Z26" s="616">
        <f t="shared" si="4"/>
        <v>0</v>
      </c>
      <c r="AA26" s="617">
        <f>IFERROR(IF($D26="",0,VLOOKUP($A26,'Consumos Drenagem'!$A:$BF,AA$1,FALSE)*$D26),0)</f>
        <v>0</v>
      </c>
      <c r="AB26" s="616"/>
      <c r="AC26" s="616"/>
      <c r="AD26" s="616">
        <f t="shared" si="5"/>
        <v>0</v>
      </c>
      <c r="AE26" s="616"/>
      <c r="AF26" s="617">
        <f>IFERROR(IF($D26="",0,VLOOKUP($A26,'Consumos Drenagem'!$A:$BF,AF$1,FALSE)*$D26/1.5),0)</f>
        <v>0</v>
      </c>
      <c r="AG26" s="616">
        <f t="shared" si="14"/>
        <v>0</v>
      </c>
      <c r="AH26" s="616">
        <f>IF($AF26=0,0,VLOOKUP(AH$15,'Transp. Dre Rodovia'!$G$4:$I$10,IF(AH$18="Local",2,3),FALSE))</f>
        <v>0</v>
      </c>
      <c r="AI26" s="616">
        <f t="shared" si="6"/>
        <v>0</v>
      </c>
      <c r="AJ26" s="616">
        <f t="shared" si="6"/>
        <v>0</v>
      </c>
      <c r="AK26" s="617">
        <f>IFERROR(IF($D26="",0,VLOOKUP($A26,'Consumos Drenagem'!$A:$BF,AK$1,FALSE)*$D26/1000),0)</f>
        <v>0</v>
      </c>
      <c r="AL26" s="616">
        <f t="shared" si="15"/>
        <v>0</v>
      </c>
      <c r="AM26" s="616">
        <f>IF($AK26=0,0,VLOOKUP(AM$15,'Transp. Dre Rodovia'!$G$4:$I$10,IF(AM$18="Local",2,3),FALSE))</f>
        <v>0</v>
      </c>
      <c r="AN26" s="616">
        <f t="shared" si="7"/>
        <v>0</v>
      </c>
      <c r="AO26" s="616">
        <f t="shared" si="7"/>
        <v>0</v>
      </c>
      <c r="AP26" s="601">
        <f>IFERROR(IF($D26="",0,VLOOKUP($A26,'Consumos Drenagem'!$A:$BF,$AP$1,FALSE)*$D26),0)</f>
        <v>0</v>
      </c>
      <c r="AQ26" s="616">
        <f t="shared" si="16"/>
        <v>0</v>
      </c>
      <c r="AR26" s="616">
        <f>IF($AP26=0,0,VLOOKUP(AR$15,'Transp. Dre Rodovia'!$G$4:$I$10,IF(AR$18="Local",2,3),FALSE))</f>
        <v>0</v>
      </c>
      <c r="AS26" s="616">
        <f t="shared" si="8"/>
        <v>0</v>
      </c>
      <c r="AT26" s="616">
        <f t="shared" si="8"/>
        <v>0</v>
      </c>
      <c r="AU26" s="617">
        <f>IFERROR(IF($D26="",0,VLOOKUP($A26,'Consumos Drenagem'!$A:$BF,AU$1,FALSE)*$D26/1.5),0)</f>
        <v>0</v>
      </c>
      <c r="AV26" s="616">
        <f t="shared" si="17"/>
        <v>0</v>
      </c>
      <c r="AW26" s="616">
        <f>IF($AU26=0,0,VLOOKUP(AW$15,'Transp. Dre Rodovia'!$G$4:$I$10,IF(AW$18="Local",2,3),FALSE))</f>
        <v>0</v>
      </c>
      <c r="AX26" s="616">
        <f t="shared" si="9"/>
        <v>0</v>
      </c>
      <c r="AY26" s="616">
        <f t="shared" si="9"/>
        <v>0</v>
      </c>
      <c r="AZ26" s="617">
        <f>IFERROR(IF($D26="",0,VLOOKUP($A26,'Consumos Drenagem'!$A:$BF,AZ$1,FALSE)*$D26/1.5),0)</f>
        <v>0</v>
      </c>
      <c r="BA26" s="616">
        <f t="shared" si="18"/>
        <v>0</v>
      </c>
      <c r="BB26" s="616">
        <f>IF($AZ26=0,0,VLOOKUP(BB$15,'Transp. Dre Rodovia'!$G$4:$I$10,IF(BB$18="Local",2,3),FALSE))</f>
        <v>0</v>
      </c>
      <c r="BC26" s="616">
        <f t="shared" si="10"/>
        <v>0</v>
      </c>
      <c r="BD26" s="616">
        <f t="shared" si="10"/>
        <v>0</v>
      </c>
      <c r="BE26" s="617">
        <f>IFERROR(IF($D26="",0,VLOOKUP($A26,'Consumos Drenagem'!$A:$BF,BE$1,FALSE)*$D26/1000),0)</f>
        <v>0</v>
      </c>
      <c r="BF26" s="616">
        <f t="shared" si="19"/>
        <v>0</v>
      </c>
      <c r="BG26" s="616">
        <f>IF($BE26=0,0,VLOOKUP(BG$15,'Transp. Dre Rodovia'!$G$4:$I$10,IF(BG$18="Local",2,3),FALSE))</f>
        <v>0</v>
      </c>
      <c r="BH26" s="616">
        <f t="shared" si="11"/>
        <v>0</v>
      </c>
      <c r="BI26" s="616">
        <f t="shared" si="11"/>
        <v>0</v>
      </c>
      <c r="BJ26" s="617">
        <f>IFERROR(IF($D26="",0,VLOOKUP($A26,'Consumos Drenagem'!$A:$AAX,BJ$1,FALSE)*$D26),0)</f>
        <v>0.48</v>
      </c>
      <c r="BK26" s="616">
        <f t="shared" si="20"/>
        <v>0</v>
      </c>
      <c r="BL26" s="616">
        <f>IF($BJ26=0,0,VLOOKUP(BL$15,'Transp. Dre Rodovia'!$G$4:$I$10,IF(BL$18="Local",2,3),FALSE))</f>
        <v>32.5</v>
      </c>
      <c r="BM26" s="616">
        <f t="shared" si="12"/>
        <v>0</v>
      </c>
      <c r="BN26" s="616">
        <f t="shared" si="12"/>
        <v>15.6</v>
      </c>
      <c r="BO26" s="617">
        <f>IFERROR(IF($D26="",0,VLOOKUP($A26,'Consumos Drenagem'!$A:$AAX,BO$1,FALSE)*$D26),0)</f>
        <v>0</v>
      </c>
      <c r="BP26" s="616">
        <f t="shared" si="21"/>
        <v>0</v>
      </c>
      <c r="BQ26" s="616">
        <f>IF($BO26=0,0,VLOOKUP(BQ$15,'Transp. Dre Rodovia'!$G$4:$I$12,IF(BQ$18="Local",2,3),FALSE))</f>
        <v>0</v>
      </c>
      <c r="BR26" s="616">
        <f t="shared" si="22"/>
        <v>0</v>
      </c>
      <c r="BS26" s="616">
        <f t="shared" si="22"/>
        <v>0</v>
      </c>
      <c r="BU26" s="617">
        <f>IFERROR(IF($D26="",0,VLOOKUP($A26,'Consumos Drenagem'!$A:$AAX,BU$1,FALSE)*$D26),0)</f>
        <v>0</v>
      </c>
      <c r="BV26" s="616">
        <f t="shared" si="23"/>
        <v>0</v>
      </c>
      <c r="BW26" s="616">
        <f>IF($BU26=0,0,VLOOKUP(BW$15,'Transp. Dre Rodovia'!$G$4:$I$12,IF(BW$18="Local",2,3),FALSE))</f>
        <v>0</v>
      </c>
      <c r="BX26" s="616">
        <f t="shared" si="24"/>
        <v>0</v>
      </c>
      <c r="BY26" s="616">
        <f t="shared" si="24"/>
        <v>0</v>
      </c>
    </row>
    <row r="27" spans="1:77" s="578" customFormat="1" ht="12.75">
      <c r="A27" s="613">
        <v>2003367</v>
      </c>
      <c r="B27" s="550" t="s">
        <v>1459</v>
      </c>
      <c r="C27" s="551" t="s">
        <v>107</v>
      </c>
      <c r="D27" s="597">
        <f>VLOOKUP('Transp. Dre Rodovia'!A27,'Quant. Dre Rodovia'!$B:$F,5,FALSE)</f>
        <v>38</v>
      </c>
      <c r="E27" s="614"/>
      <c r="F27" s="614"/>
      <c r="G27" s="615">
        <f>IFERROR(IF($D27=0,0,VLOOKUP($A27,'Consumos Drenagem'!$A:$BF,G$1,FALSE)*$D27),0)</f>
        <v>10.260000000000002</v>
      </c>
      <c r="H27" s="616">
        <f t="shared" si="13"/>
        <v>0</v>
      </c>
      <c r="I27" s="616"/>
      <c r="J27" s="616">
        <f t="shared" si="1"/>
        <v>0</v>
      </c>
      <c r="K27" s="616"/>
      <c r="L27" s="617">
        <f>IFERROR(IF($D27="",0,VLOOKUP($A27,'Consumos Drenagem'!$A:$BF,L$1,FALSE)*$D27/1.5),0)</f>
        <v>6.4986333333333333</v>
      </c>
      <c r="M27" s="616">
        <f>IF($L27=0,0,VLOOKUP(M$15,'Transp. Dre Rodovia'!$G$4:$I$10,IF(M$18="Local",2,3),FALSE))</f>
        <v>0</v>
      </c>
      <c r="N27" s="616">
        <f>IF($L27=0,0,VLOOKUP(N$15,'Transp. Dre Rodovia'!$G$4:$I$10,IF(N$18="Local",2,3),FALSE))</f>
        <v>24.2</v>
      </c>
      <c r="O27" s="616">
        <f t="shared" si="2"/>
        <v>0</v>
      </c>
      <c r="P27" s="616">
        <f t="shared" si="2"/>
        <v>157.26692666666665</v>
      </c>
      <c r="Q27" s="617">
        <f>IFERROR(IF($D27="",0,VLOOKUP($A27,'Consumos Drenagem'!$A:$BF,Q$1,FALSE)*$D27/1.5),0)</f>
        <v>6.5061573333333333</v>
      </c>
      <c r="R27" s="616">
        <f>IF($Q27=0,0,VLOOKUP(R$15,'Transp. Dre Rodovia'!$G$4:$I$10,IF(R$18="Local",2,3),FALSE))</f>
        <v>0</v>
      </c>
      <c r="S27" s="616">
        <f>IF($Q27=0,0,VLOOKUP(S$15,'Transp. Dre Rodovia'!$G$4:$I$10,IF(S$18="Local",2,3),FALSE))</f>
        <v>32.5</v>
      </c>
      <c r="T27" s="616">
        <f t="shared" si="3"/>
        <v>0</v>
      </c>
      <c r="U27" s="616">
        <f t="shared" si="3"/>
        <v>211.45011333333332</v>
      </c>
      <c r="V27" s="617">
        <f>IFERROR(IF($D27="",0,VLOOKUP($A27,'Consumos Drenagem'!$A:$BF,V$1,FALSE)*$D27/1000),0)</f>
        <v>1.6320999999999999</v>
      </c>
      <c r="W27" s="616">
        <f>IF($V27=0,0,VLOOKUP(W$15,'Transp. Dre Rodovia'!$G$4:$I$10,IF(W$18="Local",2,3),FALSE))</f>
        <v>0</v>
      </c>
      <c r="X27" s="616">
        <f>IF($V27=0,0,VLOOKUP(X$15,'Transp. Dre Rodovia'!$G$4:$I$10,IF(X$18="Local",2,3),FALSE))</f>
        <v>166</v>
      </c>
      <c r="Y27" s="616">
        <f t="shared" si="4"/>
        <v>0</v>
      </c>
      <c r="Z27" s="616">
        <f t="shared" si="4"/>
        <v>270.92859999999996</v>
      </c>
      <c r="AA27" s="617">
        <f>IFERROR(IF($D27="",0,VLOOKUP($A27,'Consumos Drenagem'!$A:$BF,AA$1,FALSE)*$D27),0)</f>
        <v>0</v>
      </c>
      <c r="AB27" s="616"/>
      <c r="AC27" s="616"/>
      <c r="AD27" s="616">
        <f t="shared" si="5"/>
        <v>0</v>
      </c>
      <c r="AE27" s="616"/>
      <c r="AF27" s="617">
        <f>IFERROR(IF($D27="",0,VLOOKUP($A27,'Consumos Drenagem'!$A:$BF,AF$1,FALSE)*$D27/1.5),0)</f>
        <v>0</v>
      </c>
      <c r="AG27" s="616">
        <f t="shared" si="14"/>
        <v>0</v>
      </c>
      <c r="AH27" s="616">
        <f>IF($AF27=0,0,VLOOKUP(AH$15,'Transp. Dre Rodovia'!$G$4:$I$10,IF(AH$18="Local",2,3),FALSE))</f>
        <v>0</v>
      </c>
      <c r="AI27" s="616">
        <f t="shared" si="6"/>
        <v>0</v>
      </c>
      <c r="AJ27" s="616">
        <f t="shared" si="6"/>
        <v>0</v>
      </c>
      <c r="AK27" s="617">
        <f>IFERROR(IF($D27="",0,VLOOKUP($A27,'Consumos Drenagem'!$A:$BF,AK$1,FALSE)*$D27/1000),0)</f>
        <v>0</v>
      </c>
      <c r="AL27" s="616">
        <f t="shared" si="15"/>
        <v>0</v>
      </c>
      <c r="AM27" s="616">
        <f>IF($AK27=0,0,VLOOKUP(AM$15,'Transp. Dre Rodovia'!$G$4:$I$10,IF(AM$18="Local",2,3),FALSE))</f>
        <v>0</v>
      </c>
      <c r="AN27" s="616">
        <f t="shared" si="7"/>
        <v>0</v>
      </c>
      <c r="AO27" s="616">
        <f t="shared" si="7"/>
        <v>0</v>
      </c>
      <c r="AP27" s="601">
        <f>IFERROR(IF($D27="",0,VLOOKUP($A27,'Consumos Drenagem'!$A:$BF,$AP$1,FALSE)*$D27),0)</f>
        <v>0</v>
      </c>
      <c r="AQ27" s="616">
        <f t="shared" si="16"/>
        <v>0</v>
      </c>
      <c r="AR27" s="616">
        <f>IF($AP27=0,0,VLOOKUP(AR$15,'Transp. Dre Rodovia'!$G$4:$I$10,IF(AR$18="Local",2,3),FALSE))</f>
        <v>0</v>
      </c>
      <c r="AS27" s="616">
        <f t="shared" si="8"/>
        <v>0</v>
      </c>
      <c r="AT27" s="616">
        <f t="shared" si="8"/>
        <v>0</v>
      </c>
      <c r="AU27" s="617">
        <f>IFERROR(IF($D27="",0,VLOOKUP($A27,'Consumos Drenagem'!$A:$BF,AU$1,FALSE)*$D27/1.5),0)</f>
        <v>0</v>
      </c>
      <c r="AV27" s="616">
        <f t="shared" si="17"/>
        <v>0</v>
      </c>
      <c r="AW27" s="616">
        <f>IF($AU27=0,0,VLOOKUP(AW$15,'Transp. Dre Rodovia'!$G$4:$I$10,IF(AW$18="Local",2,3),FALSE))</f>
        <v>0</v>
      </c>
      <c r="AX27" s="616">
        <f t="shared" si="9"/>
        <v>0</v>
      </c>
      <c r="AY27" s="616">
        <f t="shared" si="9"/>
        <v>0</v>
      </c>
      <c r="AZ27" s="617">
        <f>IFERROR(IF($D27="",0,VLOOKUP($A27,'Consumos Drenagem'!$A:$BF,AZ$1,FALSE)*$D27/1.5),0)</f>
        <v>0</v>
      </c>
      <c r="BA27" s="616">
        <f t="shared" si="18"/>
        <v>0</v>
      </c>
      <c r="BB27" s="616">
        <f>IF($AZ27=0,0,VLOOKUP(BB$15,'Transp. Dre Rodovia'!$G$4:$I$10,IF(BB$18="Local",2,3),FALSE))</f>
        <v>0</v>
      </c>
      <c r="BC27" s="616">
        <f t="shared" si="10"/>
        <v>0</v>
      </c>
      <c r="BD27" s="616">
        <f t="shared" si="10"/>
        <v>0</v>
      </c>
      <c r="BE27" s="617">
        <f>IFERROR(IF($D27="",0,VLOOKUP($A27,'Consumos Drenagem'!$A:$BF,BE$1,FALSE)*$D27/1000),0)</f>
        <v>0</v>
      </c>
      <c r="BF27" s="616">
        <f t="shared" si="19"/>
        <v>0</v>
      </c>
      <c r="BG27" s="616">
        <f>IF($BE27=0,0,VLOOKUP(BG$15,'Transp. Dre Rodovia'!$G$4:$I$10,IF(BG$18="Local",2,3),FALSE))</f>
        <v>0</v>
      </c>
      <c r="BH27" s="616">
        <f t="shared" si="11"/>
        <v>0</v>
      </c>
      <c r="BI27" s="616">
        <f t="shared" si="11"/>
        <v>0</v>
      </c>
      <c r="BJ27" s="617">
        <f>IFERROR(IF($D27="",0,VLOOKUP($A27,'Consumos Drenagem'!$A:$AAX,BJ$1,FALSE)*$D27),0)</f>
        <v>0</v>
      </c>
      <c r="BK27" s="616">
        <f t="shared" si="20"/>
        <v>0</v>
      </c>
      <c r="BL27" s="616">
        <f>IF($BJ27=0,0,VLOOKUP(BL$15,'Transp. Dre Rodovia'!$G$4:$I$10,IF(BL$18="Local",2,3),FALSE))</f>
        <v>0</v>
      </c>
      <c r="BM27" s="616">
        <f t="shared" si="12"/>
        <v>0</v>
      </c>
      <c r="BN27" s="616">
        <f t="shared" si="12"/>
        <v>0</v>
      </c>
      <c r="BO27" s="617">
        <f>IFERROR(IF($D27="",0,VLOOKUP($A27,'Consumos Drenagem'!$A:$AAX,BO$1,FALSE)*$D27),0)</f>
        <v>0</v>
      </c>
      <c r="BP27" s="616">
        <f t="shared" si="21"/>
        <v>0</v>
      </c>
      <c r="BQ27" s="616">
        <f>IF($BO27=0,0,VLOOKUP(BQ$15,'Transp. Dre Rodovia'!$G$4:$I$12,IF(BQ$18="Local",2,3),FALSE))</f>
        <v>0</v>
      </c>
      <c r="BR27" s="616">
        <f t="shared" si="22"/>
        <v>0</v>
      </c>
      <c r="BS27" s="616">
        <f t="shared" si="22"/>
        <v>0</v>
      </c>
      <c r="BU27" s="617">
        <f>IFERROR(IF($D27="",0,VLOOKUP($A27,'Consumos Drenagem'!$A:$AAX,BU$1,FALSE)*$D27),0)</f>
        <v>1.2642599999999999</v>
      </c>
      <c r="BV27" s="616">
        <f t="shared" si="23"/>
        <v>0</v>
      </c>
      <c r="BW27" s="616">
        <f>IF($BU27=0,0,VLOOKUP(BW$15,'Transp. Dre Rodovia'!$G$4:$I$12,IF(BW$18="Local",2,3),FALSE))</f>
        <v>7.3</v>
      </c>
      <c r="BX27" s="616">
        <f t="shared" si="24"/>
        <v>0</v>
      </c>
      <c r="BY27" s="616">
        <f t="shared" si="24"/>
        <v>9.2290979999999987</v>
      </c>
    </row>
    <row r="28" spans="1:77" s="578" customFormat="1" ht="12.75" hidden="1">
      <c r="A28" s="618"/>
      <c r="B28" s="565"/>
      <c r="C28" s="566"/>
      <c r="D28" s="597" t="e">
        <f>VLOOKUP('Transp. Dre Rodovia'!A28,'Quant. Dre Rodovia'!$B:$F,5,FALSE)</f>
        <v>#N/A</v>
      </c>
      <c r="E28" s="614"/>
      <c r="F28" s="614"/>
      <c r="G28" s="615">
        <f>IFERROR(IF($D28=0,0,VLOOKUP($A28,'Consumos Drenagem'!$A:$BF,G$1,FALSE)*$D28),0)</f>
        <v>0</v>
      </c>
      <c r="H28" s="616">
        <f t="shared" si="13"/>
        <v>0</v>
      </c>
      <c r="I28" s="616"/>
      <c r="J28" s="616">
        <f t="shared" si="1"/>
        <v>0</v>
      </c>
      <c r="K28" s="616"/>
      <c r="L28" s="617">
        <f>IFERROR(IF($D28="",0,VLOOKUP($A28,'Consumos Drenagem'!$A:$BF,L$1,FALSE)*$D28/1.5),0)</f>
        <v>0</v>
      </c>
      <c r="M28" s="616">
        <f>IF($L28=0,0,VLOOKUP(M$15,'Transp. Dre Rodovia'!$G$4:$I$10,IF(M$18="Local",2,3),FALSE))</f>
        <v>0</v>
      </c>
      <c r="N28" s="616">
        <f>IF($L28=0,0,VLOOKUP(N$15,'Transp. Dre Rodovia'!$G$4:$I$10,IF(N$18="Local",2,3),FALSE))</f>
        <v>0</v>
      </c>
      <c r="O28" s="616">
        <f t="shared" si="2"/>
        <v>0</v>
      </c>
      <c r="P28" s="616">
        <f t="shared" si="2"/>
        <v>0</v>
      </c>
      <c r="Q28" s="617">
        <f>IFERROR(IF($D28="",0,VLOOKUP($A28,'Consumos Drenagem'!$A:$BF,Q$1,FALSE)*$D28/1.5),0)</f>
        <v>0</v>
      </c>
      <c r="R28" s="616">
        <f>IF($Q28=0,0,VLOOKUP(R$15,'Transp. Dre Rodovia'!$G$4:$I$10,IF(R$18="Local",2,3),FALSE))</f>
        <v>0</v>
      </c>
      <c r="S28" s="616">
        <f>IF($Q28=0,0,VLOOKUP(S$15,'Transp. Dre Rodovia'!$G$4:$I$10,IF(S$18="Local",2,3),FALSE))</f>
        <v>0</v>
      </c>
      <c r="T28" s="616">
        <f t="shared" si="3"/>
        <v>0</v>
      </c>
      <c r="U28" s="616">
        <f t="shared" si="3"/>
        <v>0</v>
      </c>
      <c r="V28" s="617">
        <f>IFERROR(IF($D28="",0,VLOOKUP($A28,'Consumos Drenagem'!$A:$BF,V$1,FALSE)*$D28/1000),0)</f>
        <v>0</v>
      </c>
      <c r="W28" s="616">
        <f>IF($V28=0,0,VLOOKUP(W$15,'Transp. Dre Rodovia'!$G$4:$I$10,IF(W$18="Local",2,3),FALSE))</f>
        <v>0</v>
      </c>
      <c r="X28" s="616">
        <f>IF($V28=0,0,VLOOKUP(X$15,'Transp. Dre Rodovia'!$G$4:$I$10,IF(X$18="Local",2,3),FALSE))</f>
        <v>0</v>
      </c>
      <c r="Y28" s="616">
        <f t="shared" si="4"/>
        <v>0</v>
      </c>
      <c r="Z28" s="616">
        <f t="shared" si="4"/>
        <v>0</v>
      </c>
      <c r="AA28" s="617">
        <f>IFERROR(IF($D28="",0,VLOOKUP($A28,'Consumos Drenagem'!$A:$BF,AA$1,FALSE)*$D28),0)</f>
        <v>0</v>
      </c>
      <c r="AB28" s="616"/>
      <c r="AC28" s="616"/>
      <c r="AD28" s="616">
        <f t="shared" si="5"/>
        <v>0</v>
      </c>
      <c r="AE28" s="616"/>
      <c r="AF28" s="617">
        <f>IFERROR(IF($D28="",0,VLOOKUP($A28,'Consumos Drenagem'!$A:$BF,AF$1,FALSE)*$D28/1.5),0)</f>
        <v>0</v>
      </c>
      <c r="AG28" s="616">
        <f t="shared" si="14"/>
        <v>0</v>
      </c>
      <c r="AH28" s="616">
        <f>IF($AF28=0,0,VLOOKUP(AH$15,'Transp. Dre Rodovia'!$G$4:$I$10,IF(AH$18="Local",2,3),FALSE))</f>
        <v>0</v>
      </c>
      <c r="AI28" s="616">
        <f t="shared" si="6"/>
        <v>0</v>
      </c>
      <c r="AJ28" s="616">
        <f t="shared" si="6"/>
        <v>0</v>
      </c>
      <c r="AK28" s="617">
        <f>IFERROR(IF($D28="",0,VLOOKUP($A28,'Consumos Drenagem'!$A:$BF,AK$1,FALSE)*$D28/1000),0)</f>
        <v>0</v>
      </c>
      <c r="AL28" s="616">
        <f t="shared" si="15"/>
        <v>0</v>
      </c>
      <c r="AM28" s="616">
        <f>IF($AK28=0,0,VLOOKUP(AM$15,'Transp. Dre Rodovia'!$G$4:$I$10,IF(AM$18="Local",2,3),FALSE))</f>
        <v>0</v>
      </c>
      <c r="AN28" s="616">
        <f t="shared" si="7"/>
        <v>0</v>
      </c>
      <c r="AO28" s="616">
        <f t="shared" si="7"/>
        <v>0</v>
      </c>
      <c r="AP28" s="601">
        <f>IFERROR(IF($D28="",0,VLOOKUP($A28,'Consumos Drenagem'!$A:$BF,$AP$1,FALSE)*$D28),0)</f>
        <v>0</v>
      </c>
      <c r="AQ28" s="616">
        <f t="shared" si="16"/>
        <v>0</v>
      </c>
      <c r="AR28" s="616">
        <f>IF($AP28=0,0,VLOOKUP(AR$15,'Transp. Dre Rodovia'!$G$4:$I$10,IF(AR$18="Local",2,3),FALSE))</f>
        <v>0</v>
      </c>
      <c r="AS28" s="616">
        <f t="shared" si="8"/>
        <v>0</v>
      </c>
      <c r="AT28" s="616">
        <f t="shared" si="8"/>
        <v>0</v>
      </c>
      <c r="AU28" s="617">
        <f>IFERROR(IF($D28="",0,VLOOKUP($A28,'Consumos Drenagem'!$A:$BF,AU$1,FALSE)*$D28/1.5),0)</f>
        <v>0</v>
      </c>
      <c r="AV28" s="616">
        <f t="shared" si="17"/>
        <v>0</v>
      </c>
      <c r="AW28" s="616">
        <f>IF($AU28=0,0,VLOOKUP(AW$15,'Transp. Dre Rodovia'!$G$4:$I$10,IF(AW$18="Local",2,3),FALSE))</f>
        <v>0</v>
      </c>
      <c r="AX28" s="616">
        <f t="shared" si="9"/>
        <v>0</v>
      </c>
      <c r="AY28" s="616">
        <f t="shared" si="9"/>
        <v>0</v>
      </c>
      <c r="AZ28" s="617">
        <f>IFERROR(IF($D28="",0,VLOOKUP($A28,'Consumos Drenagem'!$A:$BF,AZ$1,FALSE)*$D28/1.5),0)</f>
        <v>0</v>
      </c>
      <c r="BA28" s="616">
        <f t="shared" si="18"/>
        <v>0</v>
      </c>
      <c r="BB28" s="616">
        <f>IF($AZ28=0,0,VLOOKUP(BB$15,'Transp. Dre Rodovia'!$G$4:$I$10,IF(BB$18="Local",2,3),FALSE))</f>
        <v>0</v>
      </c>
      <c r="BC28" s="616">
        <f t="shared" si="10"/>
        <v>0</v>
      </c>
      <c r="BD28" s="616">
        <f t="shared" si="10"/>
        <v>0</v>
      </c>
      <c r="BE28" s="617">
        <f>IFERROR(IF($D28="",0,VLOOKUP($A28,'Consumos Drenagem'!$A:$BF,BE$1,FALSE)*$D28/1000),0)</f>
        <v>0</v>
      </c>
      <c r="BF28" s="616">
        <f t="shared" si="19"/>
        <v>0</v>
      </c>
      <c r="BG28" s="616">
        <f>IF($BE28=0,0,VLOOKUP(BG$15,'Transp. Dre Rodovia'!$G$4:$I$10,IF(BG$18="Local",2,3),FALSE))</f>
        <v>0</v>
      </c>
      <c r="BH28" s="616">
        <f t="shared" si="11"/>
        <v>0</v>
      </c>
      <c r="BI28" s="616">
        <f t="shared" si="11"/>
        <v>0</v>
      </c>
      <c r="BJ28" s="617">
        <f>IFERROR(IF($D28="",0,VLOOKUP($A28,'Consumos Drenagem'!$A:$AAX,BJ$1,FALSE)*$D28),0)</f>
        <v>0</v>
      </c>
      <c r="BK28" s="616">
        <f t="shared" si="20"/>
        <v>0</v>
      </c>
      <c r="BL28" s="616">
        <f>IF($BJ28=0,0,VLOOKUP(BL$15,'Transp. Dre Rodovia'!$G$4:$I$10,IF(BL$18="Local",2,3),FALSE))</f>
        <v>0</v>
      </c>
      <c r="BM28" s="616">
        <f t="shared" si="12"/>
        <v>0</v>
      </c>
      <c r="BN28" s="616">
        <f t="shared" si="12"/>
        <v>0</v>
      </c>
      <c r="BO28" s="617">
        <f>IFERROR(IF($D28="",0,VLOOKUP($A28,'Consumos Drenagem'!$A:$AAX,BO$1,FALSE)*$D28),0)</f>
        <v>0</v>
      </c>
      <c r="BP28" s="616">
        <f t="shared" si="21"/>
        <v>0</v>
      </c>
      <c r="BQ28" s="616">
        <f>IF($BO28=0,0,VLOOKUP(BQ$15,'Transp. Dre Rodovia'!$G$4:$I$12,IF(BQ$18="Local",2,3),FALSE))</f>
        <v>0</v>
      </c>
      <c r="BR28" s="616">
        <f t="shared" si="22"/>
        <v>0</v>
      </c>
      <c r="BS28" s="616">
        <f t="shared" si="22"/>
        <v>0</v>
      </c>
      <c r="BU28" s="617">
        <f>IFERROR(IF($D28="",0,VLOOKUP($A28,'Consumos Drenagem'!$A:$AAX,BU$1,FALSE)*$D28),0)</f>
        <v>0</v>
      </c>
      <c r="BV28" s="616">
        <f t="shared" si="23"/>
        <v>0</v>
      </c>
      <c r="BW28" s="616">
        <f>IF($BU28=0,0,VLOOKUP(BW$15,'Transp. Dre Rodovia'!$G$4:$I$12,IF(BW$18="Local",2,3),FALSE))</f>
        <v>0</v>
      </c>
      <c r="BX28" s="616">
        <f t="shared" si="24"/>
        <v>0</v>
      </c>
      <c r="BY28" s="616">
        <f t="shared" si="24"/>
        <v>0</v>
      </c>
    </row>
    <row r="29" spans="1:77" s="578" customFormat="1" ht="12.75" hidden="1">
      <c r="A29" s="618"/>
      <c r="B29" s="565"/>
      <c r="C29" s="566"/>
      <c r="D29" s="597" t="e">
        <f>VLOOKUP('Transp. Dre Rodovia'!A29,'Quant. Dre Rodovia'!$B:$F,5,FALSE)</f>
        <v>#N/A</v>
      </c>
      <c r="E29" s="614"/>
      <c r="F29" s="614"/>
      <c r="G29" s="615">
        <f>IFERROR(IF($D29=0,0,VLOOKUP($A29,'Consumos Drenagem'!$A:$BF,G$1,FALSE)*$D29),0)</f>
        <v>0</v>
      </c>
      <c r="H29" s="616">
        <f t="shared" si="13"/>
        <v>0</v>
      </c>
      <c r="I29" s="616"/>
      <c r="J29" s="616">
        <f t="shared" si="1"/>
        <v>0</v>
      </c>
      <c r="K29" s="616"/>
      <c r="L29" s="617">
        <f>IFERROR(IF($D29="",0,VLOOKUP($A29,'Consumos Drenagem'!$A:$BF,L$1,FALSE)*$D29/1.5),0)</f>
        <v>0</v>
      </c>
      <c r="M29" s="616">
        <f>IF($L29=0,0,VLOOKUP(M$15,'Transp. Dre Rodovia'!$G$4:$I$10,IF(M$18="Local",2,3),FALSE))</f>
        <v>0</v>
      </c>
      <c r="N29" s="616">
        <f>IF($L29=0,0,VLOOKUP(N$15,'Transp. Dre Rodovia'!$G$4:$I$10,IF(N$18="Local",2,3),FALSE))</f>
        <v>0</v>
      </c>
      <c r="O29" s="616">
        <f t="shared" si="2"/>
        <v>0</v>
      </c>
      <c r="P29" s="616">
        <f t="shared" si="2"/>
        <v>0</v>
      </c>
      <c r="Q29" s="617">
        <f>IFERROR(IF($D29="",0,VLOOKUP($A29,'Consumos Drenagem'!$A:$BF,Q$1,FALSE)*$D29/1.5),0)</f>
        <v>0</v>
      </c>
      <c r="R29" s="616">
        <f>IF($Q29=0,0,VLOOKUP(R$15,'Transp. Dre Rodovia'!$G$4:$I$10,IF(R$18="Local",2,3),FALSE))</f>
        <v>0</v>
      </c>
      <c r="S29" s="616">
        <f>IF($Q29=0,0,VLOOKUP(S$15,'Transp. Dre Rodovia'!$G$4:$I$10,IF(S$18="Local",2,3),FALSE))</f>
        <v>0</v>
      </c>
      <c r="T29" s="616">
        <f t="shared" si="3"/>
        <v>0</v>
      </c>
      <c r="U29" s="616">
        <f t="shared" si="3"/>
        <v>0</v>
      </c>
      <c r="V29" s="617">
        <f>IFERROR(IF($D29="",0,VLOOKUP($A29,'Consumos Drenagem'!$A:$BF,V$1,FALSE)*$D29/1000),0)</f>
        <v>0</v>
      </c>
      <c r="W29" s="616">
        <f>IF($V29=0,0,VLOOKUP(W$15,'Transp. Dre Rodovia'!$G$4:$I$10,IF(W$18="Local",2,3),FALSE))</f>
        <v>0</v>
      </c>
      <c r="X29" s="616">
        <f>IF($V29=0,0,VLOOKUP(X$15,'Transp. Dre Rodovia'!$G$4:$I$10,IF(X$18="Local",2,3),FALSE))</f>
        <v>0</v>
      </c>
      <c r="Y29" s="616">
        <f t="shared" si="4"/>
        <v>0</v>
      </c>
      <c r="Z29" s="616">
        <f t="shared" si="4"/>
        <v>0</v>
      </c>
      <c r="AA29" s="617">
        <f>IFERROR(IF($D29="",0,VLOOKUP($A29,'Consumos Drenagem'!$A:$BF,AA$1,FALSE)*$D29),0)</f>
        <v>0</v>
      </c>
      <c r="AB29" s="616"/>
      <c r="AC29" s="616"/>
      <c r="AD29" s="616">
        <f t="shared" si="5"/>
        <v>0</v>
      </c>
      <c r="AE29" s="616"/>
      <c r="AF29" s="617">
        <f>IFERROR(IF($D29="",0,VLOOKUP($A29,'Consumos Drenagem'!$A:$BF,AF$1,FALSE)*$D29/1.5),0)</f>
        <v>0</v>
      </c>
      <c r="AG29" s="616">
        <f t="shared" si="14"/>
        <v>0</v>
      </c>
      <c r="AH29" s="616">
        <f>IF($AF29=0,0,VLOOKUP(AH$15,'Transp. Dre Rodovia'!$G$4:$I$10,IF(AH$18="Local",2,3),FALSE))</f>
        <v>0</v>
      </c>
      <c r="AI29" s="616">
        <f t="shared" si="6"/>
        <v>0</v>
      </c>
      <c r="AJ29" s="616">
        <f t="shared" si="6"/>
        <v>0</v>
      </c>
      <c r="AK29" s="617">
        <f>IFERROR(IF($D29="",0,VLOOKUP($A29,'Consumos Drenagem'!$A:$BF,AK$1,FALSE)*$D29/1000),0)</f>
        <v>0</v>
      </c>
      <c r="AL29" s="616">
        <f t="shared" si="15"/>
        <v>0</v>
      </c>
      <c r="AM29" s="616">
        <f>IF($AK29=0,0,VLOOKUP(AM$15,'Transp. Dre Rodovia'!$G$4:$I$10,IF(AM$18="Local",2,3),FALSE))</f>
        <v>0</v>
      </c>
      <c r="AN29" s="616">
        <f t="shared" si="7"/>
        <v>0</v>
      </c>
      <c r="AO29" s="616">
        <f t="shared" si="7"/>
        <v>0</v>
      </c>
      <c r="AP29" s="601">
        <f>IFERROR(IF($D29="",0,VLOOKUP($A29,'Consumos Drenagem'!$A:$BF,$AP$1,FALSE)*$D29),0)</f>
        <v>0</v>
      </c>
      <c r="AQ29" s="616">
        <f t="shared" si="16"/>
        <v>0</v>
      </c>
      <c r="AR29" s="616">
        <f>IF($AP29=0,0,VLOOKUP(AR$15,'Transp. Dre Rodovia'!$G$4:$I$10,IF(AR$18="Local",2,3),FALSE))</f>
        <v>0</v>
      </c>
      <c r="AS29" s="616">
        <f t="shared" si="8"/>
        <v>0</v>
      </c>
      <c r="AT29" s="616">
        <f t="shared" si="8"/>
        <v>0</v>
      </c>
      <c r="AU29" s="617">
        <f>IFERROR(IF($D29="",0,VLOOKUP($A29,'Consumos Drenagem'!$A:$BF,AU$1,FALSE)*$D29/1.5),0)</f>
        <v>0</v>
      </c>
      <c r="AV29" s="616">
        <f t="shared" si="17"/>
        <v>0</v>
      </c>
      <c r="AW29" s="616">
        <f>IF($AU29=0,0,VLOOKUP(AW$15,'Transp. Dre Rodovia'!$G$4:$I$10,IF(AW$18="Local",2,3),FALSE))</f>
        <v>0</v>
      </c>
      <c r="AX29" s="616">
        <f t="shared" si="9"/>
        <v>0</v>
      </c>
      <c r="AY29" s="616">
        <f t="shared" si="9"/>
        <v>0</v>
      </c>
      <c r="AZ29" s="617">
        <f>IFERROR(IF($D29="",0,VLOOKUP($A29,'Consumos Drenagem'!$A:$BF,AZ$1,FALSE)*$D29/1.5),0)</f>
        <v>0</v>
      </c>
      <c r="BA29" s="616">
        <f t="shared" si="18"/>
        <v>0</v>
      </c>
      <c r="BB29" s="616">
        <f>IF($AZ29=0,0,VLOOKUP(BB$15,'Transp. Dre Rodovia'!$G$4:$I$10,IF(BB$18="Local",2,3),FALSE))</f>
        <v>0</v>
      </c>
      <c r="BC29" s="616">
        <f t="shared" si="10"/>
        <v>0</v>
      </c>
      <c r="BD29" s="616">
        <f t="shared" si="10"/>
        <v>0</v>
      </c>
      <c r="BE29" s="617">
        <f>IFERROR(IF($D29="",0,VLOOKUP($A29,'Consumos Drenagem'!$A:$BF,BE$1,FALSE)*$D29/1000),0)</f>
        <v>0</v>
      </c>
      <c r="BF29" s="616">
        <f t="shared" si="19"/>
        <v>0</v>
      </c>
      <c r="BG29" s="616">
        <f>IF($BE29=0,0,VLOOKUP(BG$15,'Transp. Dre Rodovia'!$G$4:$I$10,IF(BG$18="Local",2,3),FALSE))</f>
        <v>0</v>
      </c>
      <c r="BH29" s="616">
        <f t="shared" si="11"/>
        <v>0</v>
      </c>
      <c r="BI29" s="616">
        <f t="shared" si="11"/>
        <v>0</v>
      </c>
      <c r="BJ29" s="617">
        <f>IFERROR(IF($D29="",0,VLOOKUP($A29,'Consumos Drenagem'!$A:$AAX,BJ$1,FALSE)*$D29),0)</f>
        <v>0</v>
      </c>
      <c r="BK29" s="616">
        <f t="shared" si="20"/>
        <v>0</v>
      </c>
      <c r="BL29" s="616">
        <f>IF($BJ29=0,0,VLOOKUP(BL$15,'Transp. Dre Rodovia'!$G$4:$I$10,IF(BL$18="Local",2,3),FALSE))</f>
        <v>0</v>
      </c>
      <c r="BM29" s="616">
        <f t="shared" si="12"/>
        <v>0</v>
      </c>
      <c r="BN29" s="616">
        <f t="shared" si="12"/>
        <v>0</v>
      </c>
      <c r="BO29" s="617">
        <f>IFERROR(IF($D29="",0,VLOOKUP($A29,'Consumos Drenagem'!$A:$AAX,BO$1,FALSE)*$D29),0)</f>
        <v>0</v>
      </c>
      <c r="BP29" s="616">
        <f t="shared" si="21"/>
        <v>0</v>
      </c>
      <c r="BQ29" s="616">
        <f>IF($BO29=0,0,VLOOKUP(BQ$15,'Transp. Dre Rodovia'!$G$4:$I$12,IF(BQ$18="Local",2,3),FALSE))</f>
        <v>0</v>
      </c>
      <c r="BR29" s="616">
        <f t="shared" si="22"/>
        <v>0</v>
      </c>
      <c r="BS29" s="616">
        <f t="shared" si="22"/>
        <v>0</v>
      </c>
      <c r="BU29" s="617">
        <f>IFERROR(IF($D29="",0,VLOOKUP($A29,'Consumos Drenagem'!$A:$AAX,BU$1,FALSE)*$D29),0)</f>
        <v>0</v>
      </c>
      <c r="BV29" s="616">
        <f t="shared" si="23"/>
        <v>0</v>
      </c>
      <c r="BW29" s="616">
        <f>IF($BU29=0,0,VLOOKUP(BW$15,'Transp. Dre Rodovia'!$G$4:$I$12,IF(BW$18="Local",2,3),FALSE))</f>
        <v>0</v>
      </c>
      <c r="BX29" s="616">
        <f t="shared" si="24"/>
        <v>0</v>
      </c>
      <c r="BY29" s="616">
        <f t="shared" si="24"/>
        <v>0</v>
      </c>
    </row>
    <row r="30" spans="1:77">
      <c r="A30" s="578"/>
      <c r="B30" s="579"/>
      <c r="C30" s="578"/>
      <c r="D30" s="578"/>
      <c r="E30" s="578"/>
      <c r="F30" s="578"/>
      <c r="G30" s="619"/>
      <c r="H30" s="578"/>
      <c r="I30" s="578"/>
      <c r="J30" s="578"/>
      <c r="K30" s="578"/>
      <c r="L30" s="578"/>
      <c r="M30" s="578"/>
      <c r="N30" s="578"/>
      <c r="O30" s="578"/>
      <c r="P30" s="578"/>
      <c r="Q30" s="578"/>
      <c r="R30" s="578"/>
      <c r="S30" s="578"/>
      <c r="T30" s="578"/>
      <c r="U30" s="578"/>
      <c r="V30" s="578"/>
      <c r="W30" s="578"/>
      <c r="X30" s="578"/>
      <c r="Y30" s="578"/>
      <c r="Z30" s="578"/>
      <c r="AA30" s="578"/>
      <c r="AB30" s="578"/>
      <c r="AC30" s="578"/>
      <c r="AD30" s="578"/>
      <c r="AE30" s="578"/>
      <c r="AF30" s="578"/>
      <c r="AG30" s="578"/>
      <c r="AH30" s="578"/>
      <c r="AI30" s="578"/>
      <c r="AJ30" s="578"/>
      <c r="AK30" s="578"/>
      <c r="AL30" s="578"/>
      <c r="AM30" s="578"/>
      <c r="AN30" s="578"/>
      <c r="AO30" s="578"/>
      <c r="AP30" s="578"/>
      <c r="AQ30" s="578"/>
      <c r="AR30" s="578"/>
      <c r="AS30" s="578"/>
      <c r="AT30" s="578"/>
      <c r="AU30" s="578"/>
      <c r="AV30" s="578"/>
      <c r="AW30" s="578"/>
      <c r="AX30" s="578"/>
      <c r="AY30" s="578"/>
      <c r="AZ30" s="578"/>
      <c r="BA30" s="578"/>
      <c r="BB30" s="578"/>
      <c r="BC30" s="578"/>
      <c r="BD30" s="578"/>
      <c r="BE30" s="578"/>
      <c r="BF30" s="578"/>
      <c r="BG30" s="578"/>
      <c r="BH30" s="578"/>
      <c r="BI30" s="578"/>
      <c r="BJ30" s="578"/>
      <c r="BK30" s="583"/>
      <c r="BL30" s="583"/>
      <c r="BM30" s="583"/>
      <c r="BN30" s="583"/>
      <c r="BO30" s="578"/>
      <c r="BP30" s="583"/>
      <c r="BQ30" s="583"/>
      <c r="BR30" s="583"/>
      <c r="BS30" s="583"/>
      <c r="BT30" s="583"/>
      <c r="BU30" s="578"/>
      <c r="BV30" s="583"/>
      <c r="BW30" s="583"/>
      <c r="BX30" s="583"/>
      <c r="BY30" s="583"/>
    </row>
  </sheetData>
  <mergeCells count="51">
    <mergeCell ref="BM16:BN16"/>
    <mergeCell ref="BP16:BQ16"/>
    <mergeCell ref="BR16:BS16"/>
    <mergeCell ref="BV16:BW16"/>
    <mergeCell ref="BX16:BY16"/>
    <mergeCell ref="BK16:BL16"/>
    <mergeCell ref="AI16:AJ16"/>
    <mergeCell ref="AL16:AM16"/>
    <mergeCell ref="AN16:AO16"/>
    <mergeCell ref="AQ16:AR16"/>
    <mergeCell ref="AS16:AT16"/>
    <mergeCell ref="AV16:AW16"/>
    <mergeCell ref="AX16:AY16"/>
    <mergeCell ref="BA16:BB16"/>
    <mergeCell ref="BC16:BD16"/>
    <mergeCell ref="BF16:BG16"/>
    <mergeCell ref="BH16:BI16"/>
    <mergeCell ref="AG16:AH16"/>
    <mergeCell ref="E15:F15"/>
    <mergeCell ref="H16:I16"/>
    <mergeCell ref="J16:K16"/>
    <mergeCell ref="M16:N16"/>
    <mergeCell ref="O16:P16"/>
    <mergeCell ref="R16:S16"/>
    <mergeCell ref="T16:U16"/>
    <mergeCell ref="W16:X16"/>
    <mergeCell ref="Y16:Z16"/>
    <mergeCell ref="AB16:AC16"/>
    <mergeCell ref="AD16:AE16"/>
    <mergeCell ref="BU14:BY14"/>
    <mergeCell ref="Q14:U14"/>
    <mergeCell ref="V14:Z14"/>
    <mergeCell ref="AA14:AE14"/>
    <mergeCell ref="AF14:AJ14"/>
    <mergeCell ref="AK14:AO14"/>
    <mergeCell ref="AP14:AT14"/>
    <mergeCell ref="AU14:AY14"/>
    <mergeCell ref="AZ14:BD14"/>
    <mergeCell ref="BE14:BI14"/>
    <mergeCell ref="BJ14:BN14"/>
    <mergeCell ref="BO14:BS14"/>
    <mergeCell ref="G2:L2"/>
    <mergeCell ref="G3:G4"/>
    <mergeCell ref="H3:I3"/>
    <mergeCell ref="J3:L3"/>
    <mergeCell ref="A14:A18"/>
    <mergeCell ref="B14:B18"/>
    <mergeCell ref="C14:C18"/>
    <mergeCell ref="D14:D18"/>
    <mergeCell ref="G14:K14"/>
    <mergeCell ref="L14:P14"/>
  </mergeCells>
  <conditionalFormatting sqref="A19:A21">
    <cfRule type="duplicateValues" dxfId="21" priority="10"/>
  </conditionalFormatting>
  <conditionalFormatting sqref="A22 A24 A28:A29">
    <cfRule type="duplicateValues" dxfId="20" priority="11"/>
  </conditionalFormatting>
  <conditionalFormatting sqref="A23">
    <cfRule type="duplicateValues" dxfId="19" priority="9"/>
  </conditionalFormatting>
  <conditionalFormatting sqref="A25">
    <cfRule type="duplicateValues" dxfId="18" priority="2"/>
  </conditionalFormatting>
  <conditionalFormatting sqref="A26:A27">
    <cfRule type="duplicateValues" dxfId="17" priority="1"/>
  </conditionalFormatting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D564-47FC-4888-AD66-B2BE42B42599}">
  <sheetPr>
    <tabColor rgb="FFFFFF00"/>
  </sheetPr>
  <dimension ref="A1:K27"/>
  <sheetViews>
    <sheetView topLeftCell="B3" zoomScale="130" zoomScaleNormal="130" workbookViewId="0">
      <selection activeCell="L15" sqref="L15"/>
    </sheetView>
  </sheetViews>
  <sheetFormatPr defaultColWidth="9.140625" defaultRowHeight="12.75"/>
  <cols>
    <col min="1" max="1" width="8.5703125" style="1395" hidden="1" customWidth="1"/>
    <col min="2" max="2" width="9.5703125" style="1395" customWidth="1"/>
    <col min="3" max="3" width="26.140625" style="1395" customWidth="1"/>
    <col min="4" max="4" width="8.5703125" style="1395" customWidth="1"/>
    <col min="5" max="5" width="7.5703125" style="1395" customWidth="1"/>
    <col min="6" max="6" width="9.5703125" style="1395" customWidth="1"/>
    <col min="7" max="8" width="11.42578125" style="1395" hidden="1" customWidth="1"/>
    <col min="9" max="9" width="9.140625" style="1395"/>
    <col min="10" max="11" width="0" style="1395" hidden="1" customWidth="1"/>
    <col min="12" max="17" width="9.140625" style="1395"/>
    <col min="18" max="18" width="5.85546875" style="1395" bestFit="1" customWidth="1"/>
    <col min="19" max="19" width="7" style="1395" bestFit="1" customWidth="1"/>
    <col min="20" max="20" width="10.140625" style="1395" bestFit="1" customWidth="1"/>
    <col min="21" max="21" width="7" style="1395" bestFit="1" customWidth="1"/>
    <col min="22" max="22" width="7.85546875" style="1395" bestFit="1" customWidth="1"/>
    <col min="23" max="23" width="10.85546875" style="1395" bestFit="1" customWidth="1"/>
    <col min="24" max="25" width="9.140625" style="1395"/>
    <col min="26" max="26" width="14.5703125" style="1395" bestFit="1" customWidth="1"/>
    <col min="27" max="16384" width="9.140625" style="1395"/>
  </cols>
  <sheetData>
    <row r="1" spans="1:11" ht="91.9" hidden="1" customHeight="1">
      <c r="A1" s="2336"/>
      <c r="B1" s="2336"/>
      <c r="C1" s="2336"/>
      <c r="D1" s="2336"/>
      <c r="E1" s="2336"/>
      <c r="F1" s="2336"/>
      <c r="G1" s="2336"/>
      <c r="H1" s="2336"/>
    </row>
    <row r="2" spans="1:11" ht="10.15" hidden="1" customHeight="1">
      <c r="A2" s="1396"/>
      <c r="B2" s="2337" t="s">
        <v>343</v>
      </c>
      <c r="C2" s="2337"/>
      <c r="D2" s="2337"/>
      <c r="E2" s="2337"/>
      <c r="F2" s="2337"/>
      <c r="G2" s="2337"/>
      <c r="H2" s="1396"/>
    </row>
    <row r="3" spans="1:11" ht="22.15" customHeight="1">
      <c r="A3" s="1397" t="s">
        <v>344</v>
      </c>
      <c r="B3" s="1397" t="s">
        <v>345</v>
      </c>
      <c r="C3" s="1397" t="s">
        <v>346</v>
      </c>
      <c r="D3" s="1397" t="s">
        <v>347</v>
      </c>
      <c r="E3" s="1397" t="s">
        <v>348</v>
      </c>
      <c r="F3" s="1397" t="s">
        <v>349</v>
      </c>
      <c r="G3" s="1397" t="s">
        <v>350</v>
      </c>
      <c r="H3" s="1397" t="s">
        <v>351</v>
      </c>
    </row>
    <row r="4" spans="1:11" ht="19.899999999999999" customHeight="1">
      <c r="A4" s="1398" t="s">
        <v>352</v>
      </c>
      <c r="B4" s="1399" t="s">
        <v>353</v>
      </c>
      <c r="C4" s="1399"/>
      <c r="D4" s="1399"/>
      <c r="E4" s="1399"/>
      <c r="F4" s="1399"/>
      <c r="G4" s="1399"/>
      <c r="H4" s="1400">
        <v>2807796.55</v>
      </c>
    </row>
    <row r="5" spans="1:11" ht="16.5">
      <c r="A5" s="1401" t="s">
        <v>354</v>
      </c>
      <c r="B5" s="1402">
        <v>45410</v>
      </c>
      <c r="C5" s="1403" t="s">
        <v>355</v>
      </c>
      <c r="D5" s="1402" t="s">
        <v>356</v>
      </c>
      <c r="E5" s="1402" t="s">
        <v>357</v>
      </c>
      <c r="F5" s="1404">
        <f>DRENOS!D55+'2 OAC ESCAV. E REATERRO'!K19+'2 OAC ESCAV. E REATERRO'!K20</f>
        <v>761.09249999999997</v>
      </c>
      <c r="G5" s="1405">
        <v>11.98</v>
      </c>
      <c r="H5" s="1406">
        <v>213656.95</v>
      </c>
      <c r="J5" s="1395" t="s">
        <v>358</v>
      </c>
    </row>
    <row r="6" spans="1:11" ht="16.5">
      <c r="A6" s="1401" t="s">
        <v>359</v>
      </c>
      <c r="B6" s="1402">
        <v>47027</v>
      </c>
      <c r="C6" s="1403" t="s">
        <v>360</v>
      </c>
      <c r="D6" s="1402" t="s">
        <v>356</v>
      </c>
      <c r="E6" s="1402" t="s">
        <v>357</v>
      </c>
      <c r="F6" s="1404">
        <f>'2 OAC ESCAV. E REATERRO'!J19+'2 OAC ESCAV. E REATERRO'!J20</f>
        <v>41.57</v>
      </c>
      <c r="G6" s="1405">
        <v>335.34</v>
      </c>
      <c r="H6" s="1406">
        <v>53654.400000000001</v>
      </c>
      <c r="J6" s="1395" t="s">
        <v>361</v>
      </c>
      <c r="K6" s="1395" t="s">
        <v>362</v>
      </c>
    </row>
    <row r="7" spans="1:11" ht="16.5">
      <c r="A7" s="1401"/>
      <c r="B7" s="1402">
        <v>40102</v>
      </c>
      <c r="C7" s="1403" t="s">
        <v>363</v>
      </c>
      <c r="D7" s="1402" t="s">
        <v>356</v>
      </c>
      <c r="E7" s="1402" t="s">
        <v>364</v>
      </c>
      <c r="F7" s="1404">
        <f>'2 OAC ESCAV. E REATERRO'!L19+'2 OAC ESCAV. E REATERRO'!L20</f>
        <v>17.21</v>
      </c>
      <c r="G7" s="1405"/>
      <c r="H7" s="1406"/>
      <c r="J7" s="1395" t="s">
        <v>361</v>
      </c>
      <c r="K7" s="1395" t="s">
        <v>362</v>
      </c>
    </row>
    <row r="8" spans="1:11" ht="16.5">
      <c r="A8" s="1401"/>
      <c r="B8" s="1402">
        <v>41800</v>
      </c>
      <c r="C8" s="1403" t="s">
        <v>365</v>
      </c>
      <c r="D8" s="1402" t="s">
        <v>356</v>
      </c>
      <c r="E8" s="1402" t="s">
        <v>107</v>
      </c>
      <c r="F8" s="1404">
        <f>'3 OAC REMOÇAO E DEMOLIÇÃO'!G19</f>
        <v>17</v>
      </c>
      <c r="G8" s="1405"/>
      <c r="H8" s="1406"/>
      <c r="J8" s="1395" t="s">
        <v>361</v>
      </c>
      <c r="K8" s="1395" t="s">
        <v>362</v>
      </c>
    </row>
    <row r="9" spans="1:11" ht="16.5">
      <c r="A9" s="1401" t="s">
        <v>366</v>
      </c>
      <c r="B9" s="1402">
        <v>40006</v>
      </c>
      <c r="C9" s="1403" t="s">
        <v>367</v>
      </c>
      <c r="D9" s="1402" t="s">
        <v>356</v>
      </c>
      <c r="E9" s="1402" t="s">
        <v>74</v>
      </c>
      <c r="F9" s="1404">
        <f>F8*'3 OAC REMOÇAO E DEMOLIÇÃO'!E31</f>
        <v>6.8000000000000007</v>
      </c>
      <c r="G9" s="1405">
        <v>530.95000000000005</v>
      </c>
      <c r="H9" s="1406">
        <v>158754.04999999999</v>
      </c>
      <c r="J9" s="1395" t="s">
        <v>361</v>
      </c>
      <c r="K9" s="1395" t="s">
        <v>362</v>
      </c>
    </row>
    <row r="10" spans="1:11" ht="16.5">
      <c r="A10" s="1407"/>
      <c r="B10" s="1402">
        <v>41816</v>
      </c>
      <c r="C10" s="1403" t="str">
        <f>IFERROR(VLOOKUP(B10,'Consumos Drenagem'!$A:$AE,2,FALSE),"-")</f>
        <v>CORPO DE BSTC D=1,00M (EXCETO ESCAVAÇÃO)</v>
      </c>
      <c r="D10" s="1402" t="s">
        <v>356</v>
      </c>
      <c r="E10" s="1402" t="str">
        <f>IFERROR(VLOOKUP(B10,'Consumos Drenagem'!$A:$AE,3,FALSE),"-")</f>
        <v>m</v>
      </c>
      <c r="F10" s="1404">
        <f>'2 OAC ESCAV. E REATERRO'!E19</f>
        <v>17</v>
      </c>
    </row>
    <row r="11" spans="1:11" ht="16.5">
      <c r="B11" s="1402">
        <v>41806</v>
      </c>
      <c r="C11" s="1403" t="str">
        <f>IFERROR(VLOOKUP(B11,'Consumos Drenagem'!$A:$AE,2,FALSE),"-")</f>
        <v>CORPO DE BSTC D=0,60M (EXCETO ESCAVAÇÃO)</v>
      </c>
      <c r="D11" s="1402" t="s">
        <v>356</v>
      </c>
      <c r="E11" s="1402" t="str">
        <f>IFERROR(VLOOKUP(B11,'Consumos Drenagem'!$A:$AE,3,FALSE),"-")</f>
        <v>m</v>
      </c>
      <c r="F11" s="1404">
        <f>'2 OAC ESCAV. E REATERRO'!E20</f>
        <v>11</v>
      </c>
    </row>
    <row r="12" spans="1:11" ht="24.75">
      <c r="B12" s="1402">
        <v>41309</v>
      </c>
      <c r="C12" s="1403" t="s">
        <v>372</v>
      </c>
      <c r="D12" s="1402" t="s">
        <v>356</v>
      </c>
      <c r="E12" s="1402" t="s">
        <v>107</v>
      </c>
      <c r="F12" s="1404">
        <f>DRENOS!D53</f>
        <v>793.07</v>
      </c>
    </row>
    <row r="13" spans="1:11" ht="24.75">
      <c r="B13" s="1402">
        <v>2003601</v>
      </c>
      <c r="C13" s="1403" t="s">
        <v>373</v>
      </c>
      <c r="D13" s="1402" t="s">
        <v>371</v>
      </c>
      <c r="E13" s="1402" t="s">
        <v>374</v>
      </c>
      <c r="F13" s="1404">
        <f>DRENOS!D54</f>
        <v>1</v>
      </c>
    </row>
    <row r="14" spans="1:11" ht="16.5">
      <c r="B14" s="1408">
        <v>2003517</v>
      </c>
      <c r="C14" s="1409" t="s">
        <v>530</v>
      </c>
      <c r="D14" s="1408" t="s">
        <v>371</v>
      </c>
      <c r="E14" s="1408" t="s">
        <v>374</v>
      </c>
      <c r="F14" s="1410">
        <f>VPA!E47</f>
        <v>1</v>
      </c>
    </row>
    <row r="15" spans="1:11" ht="24.75">
      <c r="B15" s="1408">
        <v>2003315</v>
      </c>
      <c r="C15" s="1409" t="s">
        <v>1335</v>
      </c>
      <c r="D15" s="1408" t="s">
        <v>371</v>
      </c>
      <c r="E15" s="1408" t="s">
        <v>1336</v>
      </c>
      <c r="F15" s="1410">
        <f>VPA!E46+'VPAS PISTA'!E48</f>
        <v>1239.7</v>
      </c>
    </row>
    <row r="16" spans="1:11" ht="16.5">
      <c r="B16" s="1402">
        <v>2003325</v>
      </c>
      <c r="C16" s="1403" t="s">
        <v>1457</v>
      </c>
      <c r="D16" s="1408" t="s">
        <v>371</v>
      </c>
      <c r="E16" s="1402" t="s">
        <v>107</v>
      </c>
      <c r="F16" s="1404">
        <f>'saidas e sarjetas'!E60</f>
        <v>481.59</v>
      </c>
    </row>
    <row r="17" spans="2:6" ht="16.5">
      <c r="B17" s="1402">
        <v>2003441</v>
      </c>
      <c r="C17" s="1403" t="s">
        <v>1458</v>
      </c>
      <c r="D17" s="1408" t="s">
        <v>371</v>
      </c>
      <c r="E17" s="1408" t="s">
        <v>374</v>
      </c>
      <c r="F17" s="1404">
        <f>'saidas e sarjetas'!E61</f>
        <v>1</v>
      </c>
    </row>
    <row r="18" spans="2:6" ht="16.5">
      <c r="B18" s="1402">
        <v>2003367</v>
      </c>
      <c r="C18" s="1403" t="s">
        <v>1459</v>
      </c>
      <c r="D18" s="1408" t="s">
        <v>371</v>
      </c>
      <c r="E18" s="1408" t="s">
        <v>107</v>
      </c>
      <c r="F18" s="1404">
        <f>'saidas e sarjetas'!E62</f>
        <v>38</v>
      </c>
    </row>
    <row r="19" spans="2:6" ht="16.5">
      <c r="B19" s="1402">
        <v>40449</v>
      </c>
      <c r="C19" s="1403" t="s">
        <v>80</v>
      </c>
      <c r="D19" s="1402" t="s">
        <v>356</v>
      </c>
      <c r="E19" s="1402" t="s">
        <v>81</v>
      </c>
      <c r="F19" s="1404">
        <f>'Transp. Dre Rodovia'!D2</f>
        <v>0.28917287107269402</v>
      </c>
    </row>
    <row r="20" spans="2:6" ht="16.5">
      <c r="B20" s="1402">
        <v>40450</v>
      </c>
      <c r="C20" s="1403" t="s">
        <v>82</v>
      </c>
      <c r="D20" s="1402" t="s">
        <v>356</v>
      </c>
      <c r="E20" s="1402" t="s">
        <v>81</v>
      </c>
      <c r="F20" s="1404">
        <f>'Transp. Dre Rodovia'!D3</f>
        <v>641.35666098413151</v>
      </c>
    </row>
    <row r="21" spans="2:6" ht="16.5">
      <c r="B21" s="1402">
        <v>40445</v>
      </c>
      <c r="C21" s="1403" t="s">
        <v>79</v>
      </c>
      <c r="D21" s="1402" t="s">
        <v>356</v>
      </c>
      <c r="E21" s="1402" t="s">
        <v>74</v>
      </c>
      <c r="F21" s="1404">
        <f>'Transp. Dre Rodovia'!D4</f>
        <v>867.47265879247004</v>
      </c>
    </row>
    <row r="22" spans="2:6" ht="16.5">
      <c r="B22" s="1402">
        <v>40455</v>
      </c>
      <c r="C22" s="1403" t="s">
        <v>83</v>
      </c>
      <c r="D22" s="1402" t="s">
        <v>356</v>
      </c>
      <c r="E22" s="1402" t="s">
        <v>74</v>
      </c>
      <c r="F22" s="1404">
        <f>'Transp. Dre Rodovia'!D5</f>
        <v>22633.963349076705</v>
      </c>
    </row>
    <row r="23" spans="2:6" ht="16.5">
      <c r="B23" s="1402">
        <v>40436</v>
      </c>
      <c r="C23" s="1403" t="s">
        <v>368</v>
      </c>
      <c r="D23" s="1402" t="s">
        <v>356</v>
      </c>
      <c r="E23" s="1402" t="s">
        <v>74</v>
      </c>
      <c r="F23" s="1404">
        <f>'Transp. Dre Rodovia'!D6</f>
        <v>558.0989912</v>
      </c>
    </row>
    <row r="24" spans="2:6" ht="16.5">
      <c r="B24" s="1402">
        <v>40454</v>
      </c>
      <c r="C24" s="1403" t="s">
        <v>369</v>
      </c>
      <c r="D24" s="1402" t="s">
        <v>356</v>
      </c>
      <c r="E24" s="1402" t="s">
        <v>81</v>
      </c>
      <c r="F24" s="1404">
        <f>'Transp. Dre Rodovia'!D7</f>
        <v>120.27341300000001</v>
      </c>
    </row>
    <row r="25" spans="2:6" ht="16.5">
      <c r="B25" s="1402">
        <v>40438</v>
      </c>
      <c r="C25" s="1403" t="s">
        <v>370</v>
      </c>
      <c r="D25" s="1402" t="s">
        <v>356</v>
      </c>
      <c r="E25" s="1402" t="s">
        <v>81</v>
      </c>
      <c r="F25" s="1404">
        <f>'Transp. Dre Rodovia'!D8</f>
        <v>18.4978658</v>
      </c>
    </row>
    <row r="26" spans="2:6" ht="16.5">
      <c r="B26" s="1402">
        <v>40451</v>
      </c>
      <c r="C26" s="1403" t="s">
        <v>142</v>
      </c>
      <c r="D26" s="1402" t="s">
        <v>356</v>
      </c>
      <c r="E26" s="1402" t="s">
        <v>81</v>
      </c>
      <c r="F26" s="1404">
        <f>'Transp. Dre Rodovia'!D9</f>
        <v>18.536000567999999</v>
      </c>
    </row>
    <row r="27" spans="2:6" ht="16.5">
      <c r="B27" s="1402">
        <v>47050</v>
      </c>
      <c r="C27" s="1403" t="s">
        <v>143</v>
      </c>
      <c r="D27" s="1402" t="s">
        <v>356</v>
      </c>
      <c r="E27" s="1402" t="s">
        <v>81</v>
      </c>
      <c r="F27" s="1404">
        <f>'Transp. Dre Rodovia'!D10</f>
        <v>2.1673397904000002</v>
      </c>
    </row>
  </sheetData>
  <autoFilter ref="A3:G9" xr:uid="{00000000-0001-0000-0D00-000000000000}"/>
  <mergeCells count="2">
    <mergeCell ref="A1:H1"/>
    <mergeCell ref="B2:G2"/>
  </mergeCells>
  <conditionalFormatting sqref="B10:B11">
    <cfRule type="duplicateValues" dxfId="16" priority="8"/>
  </conditionalFormatting>
  <conditionalFormatting sqref="B12:B13">
    <cfRule type="duplicateValues" dxfId="15" priority="7"/>
  </conditionalFormatting>
  <pageMargins left="0.511811024" right="0.511811024" top="0.78740157499999996" bottom="0.78740157499999996" header="0.31496062000000002" footer="0.31496062000000002"/>
  <pageSetup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5E20-719E-400C-95D9-42E431CEE43D}">
  <sheetPr>
    <tabColor theme="9" tint="0.59999389629810485"/>
    <pageSetUpPr fitToPage="1"/>
  </sheetPr>
  <dimension ref="A1:AE210"/>
  <sheetViews>
    <sheetView showGridLines="0" zoomScaleNormal="100" zoomScaleSheetLayoutView="100" workbookViewId="0">
      <selection activeCell="D19" sqref="D19:I19"/>
    </sheetView>
  </sheetViews>
  <sheetFormatPr defaultRowHeight="12.75"/>
  <cols>
    <col min="1" max="1" width="4.5703125" style="1414" customWidth="1"/>
    <col min="2" max="2" width="6.5703125" style="1463" customWidth="1"/>
    <col min="3" max="3" width="1.7109375" style="1414" customWidth="1"/>
    <col min="4" max="4" width="6.5703125" style="1464" customWidth="1"/>
    <col min="5" max="5" width="6.5703125" style="1463" customWidth="1"/>
    <col min="6" max="6" width="1.7109375" style="1414" customWidth="1"/>
    <col min="7" max="7" width="6.5703125" style="1464" customWidth="1"/>
    <col min="8" max="8" width="12.7109375" style="1414" customWidth="1"/>
    <col min="9" max="9" width="15.140625" style="1414" customWidth="1"/>
    <col min="10" max="11" width="9.5703125" style="1414" customWidth="1"/>
    <col min="12" max="12" width="16" style="1465" bestFit="1" customWidth="1"/>
    <col min="13" max="13" width="2.7109375" style="1465" customWidth="1"/>
    <col min="14" max="14" width="6.5703125" style="1463" customWidth="1"/>
    <col min="15" max="15" width="1.7109375" style="1414" customWidth="1"/>
    <col min="16" max="16" width="6.5703125" style="1464" customWidth="1"/>
    <col min="17" max="17" width="6.5703125" style="1466" customWidth="1"/>
    <col min="18" max="18" width="1.7109375" style="1414" customWidth="1"/>
    <col min="19" max="19" width="6.5703125" style="1414" customWidth="1"/>
    <col min="20" max="20" width="12.7109375" style="1414" customWidth="1"/>
    <col min="21" max="21" width="16.5703125" style="1414" customWidth="1"/>
    <col min="22" max="23" width="9.5703125" style="1414" customWidth="1"/>
    <col min="24" max="24" width="16" style="1465" bestFit="1" customWidth="1"/>
    <col min="25" max="25" width="4.5703125" style="1414" customWidth="1"/>
    <col min="26" max="30" width="9.140625" style="1414"/>
    <col min="31" max="31" width="11.5703125" style="1414" bestFit="1" customWidth="1"/>
    <col min="32" max="256" width="9.140625" style="1414"/>
    <col min="257" max="257" width="4.5703125" style="1414" customWidth="1"/>
    <col min="258" max="258" width="6.5703125" style="1414" customWidth="1"/>
    <col min="259" max="259" width="1.7109375" style="1414" customWidth="1"/>
    <col min="260" max="261" width="6.5703125" style="1414" customWidth="1"/>
    <col min="262" max="262" width="1.7109375" style="1414" customWidth="1"/>
    <col min="263" max="263" width="6.5703125" style="1414" customWidth="1"/>
    <col min="264" max="264" width="12.7109375" style="1414" customWidth="1"/>
    <col min="265" max="265" width="15.140625" style="1414" customWidth="1"/>
    <col min="266" max="267" width="9.5703125" style="1414" customWidth="1"/>
    <col min="268" max="268" width="16" style="1414" bestFit="1" customWidth="1"/>
    <col min="269" max="269" width="2.7109375" style="1414" customWidth="1"/>
    <col min="270" max="270" width="6.5703125" style="1414" customWidth="1"/>
    <col min="271" max="271" width="1.7109375" style="1414" customWidth="1"/>
    <col min="272" max="273" width="6.5703125" style="1414" customWidth="1"/>
    <col min="274" max="274" width="1.7109375" style="1414" customWidth="1"/>
    <col min="275" max="275" width="6.5703125" style="1414" customWidth="1"/>
    <col min="276" max="276" width="12.7109375" style="1414" customWidth="1"/>
    <col min="277" max="277" width="16.5703125" style="1414" customWidth="1"/>
    <col min="278" max="279" width="9.5703125" style="1414" customWidth="1"/>
    <col min="280" max="280" width="16" style="1414" bestFit="1" customWidth="1"/>
    <col min="281" max="281" width="4.5703125" style="1414" customWidth="1"/>
    <col min="282" max="286" width="9.140625" style="1414"/>
    <col min="287" max="287" width="11.5703125" style="1414" bestFit="1" customWidth="1"/>
    <col min="288" max="512" width="9.140625" style="1414"/>
    <col min="513" max="513" width="4.5703125" style="1414" customWidth="1"/>
    <col min="514" max="514" width="6.5703125" style="1414" customWidth="1"/>
    <col min="515" max="515" width="1.7109375" style="1414" customWidth="1"/>
    <col min="516" max="517" width="6.5703125" style="1414" customWidth="1"/>
    <col min="518" max="518" width="1.7109375" style="1414" customWidth="1"/>
    <col min="519" max="519" width="6.5703125" style="1414" customWidth="1"/>
    <col min="520" max="520" width="12.7109375" style="1414" customWidth="1"/>
    <col min="521" max="521" width="15.140625" style="1414" customWidth="1"/>
    <col min="522" max="523" width="9.5703125" style="1414" customWidth="1"/>
    <col min="524" max="524" width="16" style="1414" bestFit="1" customWidth="1"/>
    <col min="525" max="525" width="2.7109375" style="1414" customWidth="1"/>
    <col min="526" max="526" width="6.5703125" style="1414" customWidth="1"/>
    <col min="527" max="527" width="1.7109375" style="1414" customWidth="1"/>
    <col min="528" max="529" width="6.5703125" style="1414" customWidth="1"/>
    <col min="530" max="530" width="1.7109375" style="1414" customWidth="1"/>
    <col min="531" max="531" width="6.5703125" style="1414" customWidth="1"/>
    <col min="532" max="532" width="12.7109375" style="1414" customWidth="1"/>
    <col min="533" max="533" width="16.5703125" style="1414" customWidth="1"/>
    <col min="534" max="535" width="9.5703125" style="1414" customWidth="1"/>
    <col min="536" max="536" width="16" style="1414" bestFit="1" customWidth="1"/>
    <col min="537" max="537" width="4.5703125" style="1414" customWidth="1"/>
    <col min="538" max="542" width="9.140625" style="1414"/>
    <col min="543" max="543" width="11.5703125" style="1414" bestFit="1" customWidth="1"/>
    <col min="544" max="768" width="9.140625" style="1414"/>
    <col min="769" max="769" width="4.5703125" style="1414" customWidth="1"/>
    <col min="770" max="770" width="6.5703125" style="1414" customWidth="1"/>
    <col min="771" max="771" width="1.7109375" style="1414" customWidth="1"/>
    <col min="772" max="773" width="6.5703125" style="1414" customWidth="1"/>
    <col min="774" max="774" width="1.7109375" style="1414" customWidth="1"/>
    <col min="775" max="775" width="6.5703125" style="1414" customWidth="1"/>
    <col min="776" max="776" width="12.7109375" style="1414" customWidth="1"/>
    <col min="777" max="777" width="15.140625" style="1414" customWidth="1"/>
    <col min="778" max="779" width="9.5703125" style="1414" customWidth="1"/>
    <col min="780" max="780" width="16" style="1414" bestFit="1" customWidth="1"/>
    <col min="781" max="781" width="2.7109375" style="1414" customWidth="1"/>
    <col min="782" max="782" width="6.5703125" style="1414" customWidth="1"/>
    <col min="783" max="783" width="1.7109375" style="1414" customWidth="1"/>
    <col min="784" max="785" width="6.5703125" style="1414" customWidth="1"/>
    <col min="786" max="786" width="1.7109375" style="1414" customWidth="1"/>
    <col min="787" max="787" width="6.5703125" style="1414" customWidth="1"/>
    <col min="788" max="788" width="12.7109375" style="1414" customWidth="1"/>
    <col min="789" max="789" width="16.5703125" style="1414" customWidth="1"/>
    <col min="790" max="791" width="9.5703125" style="1414" customWidth="1"/>
    <col min="792" max="792" width="16" style="1414" bestFit="1" customWidth="1"/>
    <col min="793" max="793" width="4.5703125" style="1414" customWidth="1"/>
    <col min="794" max="798" width="9.140625" style="1414"/>
    <col min="799" max="799" width="11.5703125" style="1414" bestFit="1" customWidth="1"/>
    <col min="800" max="1024" width="9.140625" style="1414"/>
    <col min="1025" max="1025" width="4.5703125" style="1414" customWidth="1"/>
    <col min="1026" max="1026" width="6.5703125" style="1414" customWidth="1"/>
    <col min="1027" max="1027" width="1.7109375" style="1414" customWidth="1"/>
    <col min="1028" max="1029" width="6.5703125" style="1414" customWidth="1"/>
    <col min="1030" max="1030" width="1.7109375" style="1414" customWidth="1"/>
    <col min="1031" max="1031" width="6.5703125" style="1414" customWidth="1"/>
    <col min="1032" max="1032" width="12.7109375" style="1414" customWidth="1"/>
    <col min="1033" max="1033" width="15.140625" style="1414" customWidth="1"/>
    <col min="1034" max="1035" width="9.5703125" style="1414" customWidth="1"/>
    <col min="1036" max="1036" width="16" style="1414" bestFit="1" customWidth="1"/>
    <col min="1037" max="1037" width="2.7109375" style="1414" customWidth="1"/>
    <col min="1038" max="1038" width="6.5703125" style="1414" customWidth="1"/>
    <col min="1039" max="1039" width="1.7109375" style="1414" customWidth="1"/>
    <col min="1040" max="1041" width="6.5703125" style="1414" customWidth="1"/>
    <col min="1042" max="1042" width="1.7109375" style="1414" customWidth="1"/>
    <col min="1043" max="1043" width="6.5703125" style="1414" customWidth="1"/>
    <col min="1044" max="1044" width="12.7109375" style="1414" customWidth="1"/>
    <col min="1045" max="1045" width="16.5703125" style="1414" customWidth="1"/>
    <col min="1046" max="1047" width="9.5703125" style="1414" customWidth="1"/>
    <col min="1048" max="1048" width="16" style="1414" bestFit="1" customWidth="1"/>
    <col min="1049" max="1049" width="4.5703125" style="1414" customWidth="1"/>
    <col min="1050" max="1054" width="9.140625" style="1414"/>
    <col min="1055" max="1055" width="11.5703125" style="1414" bestFit="1" customWidth="1"/>
    <col min="1056" max="1280" width="9.140625" style="1414"/>
    <col min="1281" max="1281" width="4.5703125" style="1414" customWidth="1"/>
    <col min="1282" max="1282" width="6.5703125" style="1414" customWidth="1"/>
    <col min="1283" max="1283" width="1.7109375" style="1414" customWidth="1"/>
    <col min="1284" max="1285" width="6.5703125" style="1414" customWidth="1"/>
    <col min="1286" max="1286" width="1.7109375" style="1414" customWidth="1"/>
    <col min="1287" max="1287" width="6.5703125" style="1414" customWidth="1"/>
    <col min="1288" max="1288" width="12.7109375" style="1414" customWidth="1"/>
    <col min="1289" max="1289" width="15.140625" style="1414" customWidth="1"/>
    <col min="1290" max="1291" width="9.5703125" style="1414" customWidth="1"/>
    <col min="1292" max="1292" width="16" style="1414" bestFit="1" customWidth="1"/>
    <col min="1293" max="1293" width="2.7109375" style="1414" customWidth="1"/>
    <col min="1294" max="1294" width="6.5703125" style="1414" customWidth="1"/>
    <col min="1295" max="1295" width="1.7109375" style="1414" customWidth="1"/>
    <col min="1296" max="1297" width="6.5703125" style="1414" customWidth="1"/>
    <col min="1298" max="1298" width="1.7109375" style="1414" customWidth="1"/>
    <col min="1299" max="1299" width="6.5703125" style="1414" customWidth="1"/>
    <col min="1300" max="1300" width="12.7109375" style="1414" customWidth="1"/>
    <col min="1301" max="1301" width="16.5703125" style="1414" customWidth="1"/>
    <col min="1302" max="1303" width="9.5703125" style="1414" customWidth="1"/>
    <col min="1304" max="1304" width="16" style="1414" bestFit="1" customWidth="1"/>
    <col min="1305" max="1305" width="4.5703125" style="1414" customWidth="1"/>
    <col min="1306" max="1310" width="9.140625" style="1414"/>
    <col min="1311" max="1311" width="11.5703125" style="1414" bestFit="1" customWidth="1"/>
    <col min="1312" max="1536" width="9.140625" style="1414"/>
    <col min="1537" max="1537" width="4.5703125" style="1414" customWidth="1"/>
    <col min="1538" max="1538" width="6.5703125" style="1414" customWidth="1"/>
    <col min="1539" max="1539" width="1.7109375" style="1414" customWidth="1"/>
    <col min="1540" max="1541" width="6.5703125" style="1414" customWidth="1"/>
    <col min="1542" max="1542" width="1.7109375" style="1414" customWidth="1"/>
    <col min="1543" max="1543" width="6.5703125" style="1414" customWidth="1"/>
    <col min="1544" max="1544" width="12.7109375" style="1414" customWidth="1"/>
    <col min="1545" max="1545" width="15.140625" style="1414" customWidth="1"/>
    <col min="1546" max="1547" width="9.5703125" style="1414" customWidth="1"/>
    <col min="1548" max="1548" width="16" style="1414" bestFit="1" customWidth="1"/>
    <col min="1549" max="1549" width="2.7109375" style="1414" customWidth="1"/>
    <col min="1550" max="1550" width="6.5703125" style="1414" customWidth="1"/>
    <col min="1551" max="1551" width="1.7109375" style="1414" customWidth="1"/>
    <col min="1552" max="1553" width="6.5703125" style="1414" customWidth="1"/>
    <col min="1554" max="1554" width="1.7109375" style="1414" customWidth="1"/>
    <col min="1555" max="1555" width="6.5703125" style="1414" customWidth="1"/>
    <col min="1556" max="1556" width="12.7109375" style="1414" customWidth="1"/>
    <col min="1557" max="1557" width="16.5703125" style="1414" customWidth="1"/>
    <col min="1558" max="1559" width="9.5703125" style="1414" customWidth="1"/>
    <col min="1560" max="1560" width="16" style="1414" bestFit="1" customWidth="1"/>
    <col min="1561" max="1561" width="4.5703125" style="1414" customWidth="1"/>
    <col min="1562" max="1566" width="9.140625" style="1414"/>
    <col min="1567" max="1567" width="11.5703125" style="1414" bestFit="1" customWidth="1"/>
    <col min="1568" max="1792" width="9.140625" style="1414"/>
    <col min="1793" max="1793" width="4.5703125" style="1414" customWidth="1"/>
    <col min="1794" max="1794" width="6.5703125" style="1414" customWidth="1"/>
    <col min="1795" max="1795" width="1.7109375" style="1414" customWidth="1"/>
    <col min="1796" max="1797" width="6.5703125" style="1414" customWidth="1"/>
    <col min="1798" max="1798" width="1.7109375" style="1414" customWidth="1"/>
    <col min="1799" max="1799" width="6.5703125" style="1414" customWidth="1"/>
    <col min="1800" max="1800" width="12.7109375" style="1414" customWidth="1"/>
    <col min="1801" max="1801" width="15.140625" style="1414" customWidth="1"/>
    <col min="1802" max="1803" width="9.5703125" style="1414" customWidth="1"/>
    <col min="1804" max="1804" width="16" style="1414" bestFit="1" customWidth="1"/>
    <col min="1805" max="1805" width="2.7109375" style="1414" customWidth="1"/>
    <col min="1806" max="1806" width="6.5703125" style="1414" customWidth="1"/>
    <col min="1807" max="1807" width="1.7109375" style="1414" customWidth="1"/>
    <col min="1808" max="1809" width="6.5703125" style="1414" customWidth="1"/>
    <col min="1810" max="1810" width="1.7109375" style="1414" customWidth="1"/>
    <col min="1811" max="1811" width="6.5703125" style="1414" customWidth="1"/>
    <col min="1812" max="1812" width="12.7109375" style="1414" customWidth="1"/>
    <col min="1813" max="1813" width="16.5703125" style="1414" customWidth="1"/>
    <col min="1814" max="1815" width="9.5703125" style="1414" customWidth="1"/>
    <col min="1816" max="1816" width="16" style="1414" bestFit="1" customWidth="1"/>
    <col min="1817" max="1817" width="4.5703125" style="1414" customWidth="1"/>
    <col min="1818" max="1822" width="9.140625" style="1414"/>
    <col min="1823" max="1823" width="11.5703125" style="1414" bestFit="1" customWidth="1"/>
    <col min="1824" max="2048" width="9.140625" style="1414"/>
    <col min="2049" max="2049" width="4.5703125" style="1414" customWidth="1"/>
    <col min="2050" max="2050" width="6.5703125" style="1414" customWidth="1"/>
    <col min="2051" max="2051" width="1.7109375" style="1414" customWidth="1"/>
    <col min="2052" max="2053" width="6.5703125" style="1414" customWidth="1"/>
    <col min="2054" max="2054" width="1.7109375" style="1414" customWidth="1"/>
    <col min="2055" max="2055" width="6.5703125" style="1414" customWidth="1"/>
    <col min="2056" max="2056" width="12.7109375" style="1414" customWidth="1"/>
    <col min="2057" max="2057" width="15.140625" style="1414" customWidth="1"/>
    <col min="2058" max="2059" width="9.5703125" style="1414" customWidth="1"/>
    <col min="2060" max="2060" width="16" style="1414" bestFit="1" customWidth="1"/>
    <col min="2061" max="2061" width="2.7109375" style="1414" customWidth="1"/>
    <col min="2062" max="2062" width="6.5703125" style="1414" customWidth="1"/>
    <col min="2063" max="2063" width="1.7109375" style="1414" customWidth="1"/>
    <col min="2064" max="2065" width="6.5703125" style="1414" customWidth="1"/>
    <col min="2066" max="2066" width="1.7109375" style="1414" customWidth="1"/>
    <col min="2067" max="2067" width="6.5703125" style="1414" customWidth="1"/>
    <col min="2068" max="2068" width="12.7109375" style="1414" customWidth="1"/>
    <col min="2069" max="2069" width="16.5703125" style="1414" customWidth="1"/>
    <col min="2070" max="2071" width="9.5703125" style="1414" customWidth="1"/>
    <col min="2072" max="2072" width="16" style="1414" bestFit="1" customWidth="1"/>
    <col min="2073" max="2073" width="4.5703125" style="1414" customWidth="1"/>
    <col min="2074" max="2078" width="9.140625" style="1414"/>
    <col min="2079" max="2079" width="11.5703125" style="1414" bestFit="1" customWidth="1"/>
    <col min="2080" max="2304" width="9.140625" style="1414"/>
    <col min="2305" max="2305" width="4.5703125" style="1414" customWidth="1"/>
    <col min="2306" max="2306" width="6.5703125" style="1414" customWidth="1"/>
    <col min="2307" max="2307" width="1.7109375" style="1414" customWidth="1"/>
    <col min="2308" max="2309" width="6.5703125" style="1414" customWidth="1"/>
    <col min="2310" max="2310" width="1.7109375" style="1414" customWidth="1"/>
    <col min="2311" max="2311" width="6.5703125" style="1414" customWidth="1"/>
    <col min="2312" max="2312" width="12.7109375" style="1414" customWidth="1"/>
    <col min="2313" max="2313" width="15.140625" style="1414" customWidth="1"/>
    <col min="2314" max="2315" width="9.5703125" style="1414" customWidth="1"/>
    <col min="2316" max="2316" width="16" style="1414" bestFit="1" customWidth="1"/>
    <col min="2317" max="2317" width="2.7109375" style="1414" customWidth="1"/>
    <col min="2318" max="2318" width="6.5703125" style="1414" customWidth="1"/>
    <col min="2319" max="2319" width="1.7109375" style="1414" customWidth="1"/>
    <col min="2320" max="2321" width="6.5703125" style="1414" customWidth="1"/>
    <col min="2322" max="2322" width="1.7109375" style="1414" customWidth="1"/>
    <col min="2323" max="2323" width="6.5703125" style="1414" customWidth="1"/>
    <col min="2324" max="2324" width="12.7109375" style="1414" customWidth="1"/>
    <col min="2325" max="2325" width="16.5703125" style="1414" customWidth="1"/>
    <col min="2326" max="2327" width="9.5703125" style="1414" customWidth="1"/>
    <col min="2328" max="2328" width="16" style="1414" bestFit="1" customWidth="1"/>
    <col min="2329" max="2329" width="4.5703125" style="1414" customWidth="1"/>
    <col min="2330" max="2334" width="9.140625" style="1414"/>
    <col min="2335" max="2335" width="11.5703125" style="1414" bestFit="1" customWidth="1"/>
    <col min="2336" max="2560" width="9.140625" style="1414"/>
    <col min="2561" max="2561" width="4.5703125" style="1414" customWidth="1"/>
    <col min="2562" max="2562" width="6.5703125" style="1414" customWidth="1"/>
    <col min="2563" max="2563" width="1.7109375" style="1414" customWidth="1"/>
    <col min="2564" max="2565" width="6.5703125" style="1414" customWidth="1"/>
    <col min="2566" max="2566" width="1.7109375" style="1414" customWidth="1"/>
    <col min="2567" max="2567" width="6.5703125" style="1414" customWidth="1"/>
    <col min="2568" max="2568" width="12.7109375" style="1414" customWidth="1"/>
    <col min="2569" max="2569" width="15.140625" style="1414" customWidth="1"/>
    <col min="2570" max="2571" width="9.5703125" style="1414" customWidth="1"/>
    <col min="2572" max="2572" width="16" style="1414" bestFit="1" customWidth="1"/>
    <col min="2573" max="2573" width="2.7109375" style="1414" customWidth="1"/>
    <col min="2574" max="2574" width="6.5703125" style="1414" customWidth="1"/>
    <col min="2575" max="2575" width="1.7109375" style="1414" customWidth="1"/>
    <col min="2576" max="2577" width="6.5703125" style="1414" customWidth="1"/>
    <col min="2578" max="2578" width="1.7109375" style="1414" customWidth="1"/>
    <col min="2579" max="2579" width="6.5703125" style="1414" customWidth="1"/>
    <col min="2580" max="2580" width="12.7109375" style="1414" customWidth="1"/>
    <col min="2581" max="2581" width="16.5703125" style="1414" customWidth="1"/>
    <col min="2582" max="2583" width="9.5703125" style="1414" customWidth="1"/>
    <col min="2584" max="2584" width="16" style="1414" bestFit="1" customWidth="1"/>
    <col min="2585" max="2585" width="4.5703125" style="1414" customWidth="1"/>
    <col min="2586" max="2590" width="9.140625" style="1414"/>
    <col min="2591" max="2591" width="11.5703125" style="1414" bestFit="1" customWidth="1"/>
    <col min="2592" max="2816" width="9.140625" style="1414"/>
    <col min="2817" max="2817" width="4.5703125" style="1414" customWidth="1"/>
    <col min="2818" max="2818" width="6.5703125" style="1414" customWidth="1"/>
    <col min="2819" max="2819" width="1.7109375" style="1414" customWidth="1"/>
    <col min="2820" max="2821" width="6.5703125" style="1414" customWidth="1"/>
    <col min="2822" max="2822" width="1.7109375" style="1414" customWidth="1"/>
    <col min="2823" max="2823" width="6.5703125" style="1414" customWidth="1"/>
    <col min="2824" max="2824" width="12.7109375" style="1414" customWidth="1"/>
    <col min="2825" max="2825" width="15.140625" style="1414" customWidth="1"/>
    <col min="2826" max="2827" width="9.5703125" style="1414" customWidth="1"/>
    <col min="2828" max="2828" width="16" style="1414" bestFit="1" customWidth="1"/>
    <col min="2829" max="2829" width="2.7109375" style="1414" customWidth="1"/>
    <col min="2830" max="2830" width="6.5703125" style="1414" customWidth="1"/>
    <col min="2831" max="2831" width="1.7109375" style="1414" customWidth="1"/>
    <col min="2832" max="2833" width="6.5703125" style="1414" customWidth="1"/>
    <col min="2834" max="2834" width="1.7109375" style="1414" customWidth="1"/>
    <col min="2835" max="2835" width="6.5703125" style="1414" customWidth="1"/>
    <col min="2836" max="2836" width="12.7109375" style="1414" customWidth="1"/>
    <col min="2837" max="2837" width="16.5703125" style="1414" customWidth="1"/>
    <col min="2838" max="2839" width="9.5703125" style="1414" customWidth="1"/>
    <col min="2840" max="2840" width="16" style="1414" bestFit="1" customWidth="1"/>
    <col min="2841" max="2841" width="4.5703125" style="1414" customWidth="1"/>
    <col min="2842" max="2846" width="9.140625" style="1414"/>
    <col min="2847" max="2847" width="11.5703125" style="1414" bestFit="1" customWidth="1"/>
    <col min="2848" max="3072" width="9.140625" style="1414"/>
    <col min="3073" max="3073" width="4.5703125" style="1414" customWidth="1"/>
    <col min="3074" max="3074" width="6.5703125" style="1414" customWidth="1"/>
    <col min="3075" max="3075" width="1.7109375" style="1414" customWidth="1"/>
    <col min="3076" max="3077" width="6.5703125" style="1414" customWidth="1"/>
    <col min="3078" max="3078" width="1.7109375" style="1414" customWidth="1"/>
    <col min="3079" max="3079" width="6.5703125" style="1414" customWidth="1"/>
    <col min="3080" max="3080" width="12.7109375" style="1414" customWidth="1"/>
    <col min="3081" max="3081" width="15.140625" style="1414" customWidth="1"/>
    <col min="3082" max="3083" width="9.5703125" style="1414" customWidth="1"/>
    <col min="3084" max="3084" width="16" style="1414" bestFit="1" customWidth="1"/>
    <col min="3085" max="3085" width="2.7109375" style="1414" customWidth="1"/>
    <col min="3086" max="3086" width="6.5703125" style="1414" customWidth="1"/>
    <col min="3087" max="3087" width="1.7109375" style="1414" customWidth="1"/>
    <col min="3088" max="3089" width="6.5703125" style="1414" customWidth="1"/>
    <col min="3090" max="3090" width="1.7109375" style="1414" customWidth="1"/>
    <col min="3091" max="3091" width="6.5703125" style="1414" customWidth="1"/>
    <col min="3092" max="3092" width="12.7109375" style="1414" customWidth="1"/>
    <col min="3093" max="3093" width="16.5703125" style="1414" customWidth="1"/>
    <col min="3094" max="3095" width="9.5703125" style="1414" customWidth="1"/>
    <col min="3096" max="3096" width="16" style="1414" bestFit="1" customWidth="1"/>
    <col min="3097" max="3097" width="4.5703125" style="1414" customWidth="1"/>
    <col min="3098" max="3102" width="9.140625" style="1414"/>
    <col min="3103" max="3103" width="11.5703125" style="1414" bestFit="1" customWidth="1"/>
    <col min="3104" max="3328" width="9.140625" style="1414"/>
    <col min="3329" max="3329" width="4.5703125" style="1414" customWidth="1"/>
    <col min="3330" max="3330" width="6.5703125" style="1414" customWidth="1"/>
    <col min="3331" max="3331" width="1.7109375" style="1414" customWidth="1"/>
    <col min="3332" max="3333" width="6.5703125" style="1414" customWidth="1"/>
    <col min="3334" max="3334" width="1.7109375" style="1414" customWidth="1"/>
    <col min="3335" max="3335" width="6.5703125" style="1414" customWidth="1"/>
    <col min="3336" max="3336" width="12.7109375" style="1414" customWidth="1"/>
    <col min="3337" max="3337" width="15.140625" style="1414" customWidth="1"/>
    <col min="3338" max="3339" width="9.5703125" style="1414" customWidth="1"/>
    <col min="3340" max="3340" width="16" style="1414" bestFit="1" customWidth="1"/>
    <col min="3341" max="3341" width="2.7109375" style="1414" customWidth="1"/>
    <col min="3342" max="3342" width="6.5703125" style="1414" customWidth="1"/>
    <col min="3343" max="3343" width="1.7109375" style="1414" customWidth="1"/>
    <col min="3344" max="3345" width="6.5703125" style="1414" customWidth="1"/>
    <col min="3346" max="3346" width="1.7109375" style="1414" customWidth="1"/>
    <col min="3347" max="3347" width="6.5703125" style="1414" customWidth="1"/>
    <col min="3348" max="3348" width="12.7109375" style="1414" customWidth="1"/>
    <col min="3349" max="3349" width="16.5703125" style="1414" customWidth="1"/>
    <col min="3350" max="3351" width="9.5703125" style="1414" customWidth="1"/>
    <col min="3352" max="3352" width="16" style="1414" bestFit="1" customWidth="1"/>
    <col min="3353" max="3353" width="4.5703125" style="1414" customWidth="1"/>
    <col min="3354" max="3358" width="9.140625" style="1414"/>
    <col min="3359" max="3359" width="11.5703125" style="1414" bestFit="1" customWidth="1"/>
    <col min="3360" max="3584" width="9.140625" style="1414"/>
    <col min="3585" max="3585" width="4.5703125" style="1414" customWidth="1"/>
    <col min="3586" max="3586" width="6.5703125" style="1414" customWidth="1"/>
    <col min="3587" max="3587" width="1.7109375" style="1414" customWidth="1"/>
    <col min="3588" max="3589" width="6.5703125" style="1414" customWidth="1"/>
    <col min="3590" max="3590" width="1.7109375" style="1414" customWidth="1"/>
    <col min="3591" max="3591" width="6.5703125" style="1414" customWidth="1"/>
    <col min="3592" max="3592" width="12.7109375" style="1414" customWidth="1"/>
    <col min="3593" max="3593" width="15.140625" style="1414" customWidth="1"/>
    <col min="3594" max="3595" width="9.5703125" style="1414" customWidth="1"/>
    <col min="3596" max="3596" width="16" style="1414" bestFit="1" customWidth="1"/>
    <col min="3597" max="3597" width="2.7109375" style="1414" customWidth="1"/>
    <col min="3598" max="3598" width="6.5703125" style="1414" customWidth="1"/>
    <col min="3599" max="3599" width="1.7109375" style="1414" customWidth="1"/>
    <col min="3600" max="3601" width="6.5703125" style="1414" customWidth="1"/>
    <col min="3602" max="3602" width="1.7109375" style="1414" customWidth="1"/>
    <col min="3603" max="3603" width="6.5703125" style="1414" customWidth="1"/>
    <col min="3604" max="3604" width="12.7109375" style="1414" customWidth="1"/>
    <col min="3605" max="3605" width="16.5703125" style="1414" customWidth="1"/>
    <col min="3606" max="3607" width="9.5703125" style="1414" customWidth="1"/>
    <col min="3608" max="3608" width="16" style="1414" bestFit="1" customWidth="1"/>
    <col min="3609" max="3609" width="4.5703125" style="1414" customWidth="1"/>
    <col min="3610" max="3614" width="9.140625" style="1414"/>
    <col min="3615" max="3615" width="11.5703125" style="1414" bestFit="1" customWidth="1"/>
    <col min="3616" max="3840" width="9.140625" style="1414"/>
    <col min="3841" max="3841" width="4.5703125" style="1414" customWidth="1"/>
    <col min="3842" max="3842" width="6.5703125" style="1414" customWidth="1"/>
    <col min="3843" max="3843" width="1.7109375" style="1414" customWidth="1"/>
    <col min="3844" max="3845" width="6.5703125" style="1414" customWidth="1"/>
    <col min="3846" max="3846" width="1.7109375" style="1414" customWidth="1"/>
    <col min="3847" max="3847" width="6.5703125" style="1414" customWidth="1"/>
    <col min="3848" max="3848" width="12.7109375" style="1414" customWidth="1"/>
    <col min="3849" max="3849" width="15.140625" style="1414" customWidth="1"/>
    <col min="3850" max="3851" width="9.5703125" style="1414" customWidth="1"/>
    <col min="3852" max="3852" width="16" style="1414" bestFit="1" customWidth="1"/>
    <col min="3853" max="3853" width="2.7109375" style="1414" customWidth="1"/>
    <col min="3854" max="3854" width="6.5703125" style="1414" customWidth="1"/>
    <col min="3855" max="3855" width="1.7109375" style="1414" customWidth="1"/>
    <col min="3856" max="3857" width="6.5703125" style="1414" customWidth="1"/>
    <col min="3858" max="3858" width="1.7109375" style="1414" customWidth="1"/>
    <col min="3859" max="3859" width="6.5703125" style="1414" customWidth="1"/>
    <col min="3860" max="3860" width="12.7109375" style="1414" customWidth="1"/>
    <col min="3861" max="3861" width="16.5703125" style="1414" customWidth="1"/>
    <col min="3862" max="3863" width="9.5703125" style="1414" customWidth="1"/>
    <col min="3864" max="3864" width="16" style="1414" bestFit="1" customWidth="1"/>
    <col min="3865" max="3865" width="4.5703125" style="1414" customWidth="1"/>
    <col min="3866" max="3870" width="9.140625" style="1414"/>
    <col min="3871" max="3871" width="11.5703125" style="1414" bestFit="1" customWidth="1"/>
    <col min="3872" max="4096" width="9.140625" style="1414"/>
    <col min="4097" max="4097" width="4.5703125" style="1414" customWidth="1"/>
    <col min="4098" max="4098" width="6.5703125" style="1414" customWidth="1"/>
    <col min="4099" max="4099" width="1.7109375" style="1414" customWidth="1"/>
    <col min="4100" max="4101" width="6.5703125" style="1414" customWidth="1"/>
    <col min="4102" max="4102" width="1.7109375" style="1414" customWidth="1"/>
    <col min="4103" max="4103" width="6.5703125" style="1414" customWidth="1"/>
    <col min="4104" max="4104" width="12.7109375" style="1414" customWidth="1"/>
    <col min="4105" max="4105" width="15.140625" style="1414" customWidth="1"/>
    <col min="4106" max="4107" width="9.5703125" style="1414" customWidth="1"/>
    <col min="4108" max="4108" width="16" style="1414" bestFit="1" customWidth="1"/>
    <col min="4109" max="4109" width="2.7109375" style="1414" customWidth="1"/>
    <col min="4110" max="4110" width="6.5703125" style="1414" customWidth="1"/>
    <col min="4111" max="4111" width="1.7109375" style="1414" customWidth="1"/>
    <col min="4112" max="4113" width="6.5703125" style="1414" customWidth="1"/>
    <col min="4114" max="4114" width="1.7109375" style="1414" customWidth="1"/>
    <col min="4115" max="4115" width="6.5703125" style="1414" customWidth="1"/>
    <col min="4116" max="4116" width="12.7109375" style="1414" customWidth="1"/>
    <col min="4117" max="4117" width="16.5703125" style="1414" customWidth="1"/>
    <col min="4118" max="4119" width="9.5703125" style="1414" customWidth="1"/>
    <col min="4120" max="4120" width="16" style="1414" bestFit="1" customWidth="1"/>
    <col min="4121" max="4121" width="4.5703125" style="1414" customWidth="1"/>
    <col min="4122" max="4126" width="9.140625" style="1414"/>
    <col min="4127" max="4127" width="11.5703125" style="1414" bestFit="1" customWidth="1"/>
    <col min="4128" max="4352" width="9.140625" style="1414"/>
    <col min="4353" max="4353" width="4.5703125" style="1414" customWidth="1"/>
    <col min="4354" max="4354" width="6.5703125" style="1414" customWidth="1"/>
    <col min="4355" max="4355" width="1.7109375" style="1414" customWidth="1"/>
    <col min="4356" max="4357" width="6.5703125" style="1414" customWidth="1"/>
    <col min="4358" max="4358" width="1.7109375" style="1414" customWidth="1"/>
    <col min="4359" max="4359" width="6.5703125" style="1414" customWidth="1"/>
    <col min="4360" max="4360" width="12.7109375" style="1414" customWidth="1"/>
    <col min="4361" max="4361" width="15.140625" style="1414" customWidth="1"/>
    <col min="4362" max="4363" width="9.5703125" style="1414" customWidth="1"/>
    <col min="4364" max="4364" width="16" style="1414" bestFit="1" customWidth="1"/>
    <col min="4365" max="4365" width="2.7109375" style="1414" customWidth="1"/>
    <col min="4366" max="4366" width="6.5703125" style="1414" customWidth="1"/>
    <col min="4367" max="4367" width="1.7109375" style="1414" customWidth="1"/>
    <col min="4368" max="4369" width="6.5703125" style="1414" customWidth="1"/>
    <col min="4370" max="4370" width="1.7109375" style="1414" customWidth="1"/>
    <col min="4371" max="4371" width="6.5703125" style="1414" customWidth="1"/>
    <col min="4372" max="4372" width="12.7109375" style="1414" customWidth="1"/>
    <col min="4373" max="4373" width="16.5703125" style="1414" customWidth="1"/>
    <col min="4374" max="4375" width="9.5703125" style="1414" customWidth="1"/>
    <col min="4376" max="4376" width="16" style="1414" bestFit="1" customWidth="1"/>
    <col min="4377" max="4377" width="4.5703125" style="1414" customWidth="1"/>
    <col min="4378" max="4382" width="9.140625" style="1414"/>
    <col min="4383" max="4383" width="11.5703125" style="1414" bestFit="1" customWidth="1"/>
    <col min="4384" max="4608" width="9.140625" style="1414"/>
    <col min="4609" max="4609" width="4.5703125" style="1414" customWidth="1"/>
    <col min="4610" max="4610" width="6.5703125" style="1414" customWidth="1"/>
    <col min="4611" max="4611" width="1.7109375" style="1414" customWidth="1"/>
    <col min="4612" max="4613" width="6.5703125" style="1414" customWidth="1"/>
    <col min="4614" max="4614" width="1.7109375" style="1414" customWidth="1"/>
    <col min="4615" max="4615" width="6.5703125" style="1414" customWidth="1"/>
    <col min="4616" max="4616" width="12.7109375" style="1414" customWidth="1"/>
    <col min="4617" max="4617" width="15.140625" style="1414" customWidth="1"/>
    <col min="4618" max="4619" width="9.5703125" style="1414" customWidth="1"/>
    <col min="4620" max="4620" width="16" style="1414" bestFit="1" customWidth="1"/>
    <col min="4621" max="4621" width="2.7109375" style="1414" customWidth="1"/>
    <col min="4622" max="4622" width="6.5703125" style="1414" customWidth="1"/>
    <col min="4623" max="4623" width="1.7109375" style="1414" customWidth="1"/>
    <col min="4624" max="4625" width="6.5703125" style="1414" customWidth="1"/>
    <col min="4626" max="4626" width="1.7109375" style="1414" customWidth="1"/>
    <col min="4627" max="4627" width="6.5703125" style="1414" customWidth="1"/>
    <col min="4628" max="4628" width="12.7109375" style="1414" customWidth="1"/>
    <col min="4629" max="4629" width="16.5703125" style="1414" customWidth="1"/>
    <col min="4630" max="4631" width="9.5703125" style="1414" customWidth="1"/>
    <col min="4632" max="4632" width="16" style="1414" bestFit="1" customWidth="1"/>
    <col min="4633" max="4633" width="4.5703125" style="1414" customWidth="1"/>
    <col min="4634" max="4638" width="9.140625" style="1414"/>
    <col min="4639" max="4639" width="11.5703125" style="1414" bestFit="1" customWidth="1"/>
    <col min="4640" max="4864" width="9.140625" style="1414"/>
    <col min="4865" max="4865" width="4.5703125" style="1414" customWidth="1"/>
    <col min="4866" max="4866" width="6.5703125" style="1414" customWidth="1"/>
    <col min="4867" max="4867" width="1.7109375" style="1414" customWidth="1"/>
    <col min="4868" max="4869" width="6.5703125" style="1414" customWidth="1"/>
    <col min="4870" max="4870" width="1.7109375" style="1414" customWidth="1"/>
    <col min="4871" max="4871" width="6.5703125" style="1414" customWidth="1"/>
    <col min="4872" max="4872" width="12.7109375" style="1414" customWidth="1"/>
    <col min="4873" max="4873" width="15.140625" style="1414" customWidth="1"/>
    <col min="4874" max="4875" width="9.5703125" style="1414" customWidth="1"/>
    <col min="4876" max="4876" width="16" style="1414" bestFit="1" customWidth="1"/>
    <col min="4877" max="4877" width="2.7109375" style="1414" customWidth="1"/>
    <col min="4878" max="4878" width="6.5703125" style="1414" customWidth="1"/>
    <col min="4879" max="4879" width="1.7109375" style="1414" customWidth="1"/>
    <col min="4880" max="4881" width="6.5703125" style="1414" customWidth="1"/>
    <col min="4882" max="4882" width="1.7109375" style="1414" customWidth="1"/>
    <col min="4883" max="4883" width="6.5703125" style="1414" customWidth="1"/>
    <col min="4884" max="4884" width="12.7109375" style="1414" customWidth="1"/>
    <col min="4885" max="4885" width="16.5703125" style="1414" customWidth="1"/>
    <col min="4886" max="4887" width="9.5703125" style="1414" customWidth="1"/>
    <col min="4888" max="4888" width="16" style="1414" bestFit="1" customWidth="1"/>
    <col min="4889" max="4889" width="4.5703125" style="1414" customWidth="1"/>
    <col min="4890" max="4894" width="9.140625" style="1414"/>
    <col min="4895" max="4895" width="11.5703125" style="1414" bestFit="1" customWidth="1"/>
    <col min="4896" max="5120" width="9.140625" style="1414"/>
    <col min="5121" max="5121" width="4.5703125" style="1414" customWidth="1"/>
    <col min="5122" max="5122" width="6.5703125" style="1414" customWidth="1"/>
    <col min="5123" max="5123" width="1.7109375" style="1414" customWidth="1"/>
    <col min="5124" max="5125" width="6.5703125" style="1414" customWidth="1"/>
    <col min="5126" max="5126" width="1.7109375" style="1414" customWidth="1"/>
    <col min="5127" max="5127" width="6.5703125" style="1414" customWidth="1"/>
    <col min="5128" max="5128" width="12.7109375" style="1414" customWidth="1"/>
    <col min="5129" max="5129" width="15.140625" style="1414" customWidth="1"/>
    <col min="5130" max="5131" width="9.5703125" style="1414" customWidth="1"/>
    <col min="5132" max="5132" width="16" style="1414" bestFit="1" customWidth="1"/>
    <col min="5133" max="5133" width="2.7109375" style="1414" customWidth="1"/>
    <col min="5134" max="5134" width="6.5703125" style="1414" customWidth="1"/>
    <col min="5135" max="5135" width="1.7109375" style="1414" customWidth="1"/>
    <col min="5136" max="5137" width="6.5703125" style="1414" customWidth="1"/>
    <col min="5138" max="5138" width="1.7109375" style="1414" customWidth="1"/>
    <col min="5139" max="5139" width="6.5703125" style="1414" customWidth="1"/>
    <col min="5140" max="5140" width="12.7109375" style="1414" customWidth="1"/>
    <col min="5141" max="5141" width="16.5703125" style="1414" customWidth="1"/>
    <col min="5142" max="5143" width="9.5703125" style="1414" customWidth="1"/>
    <col min="5144" max="5144" width="16" style="1414" bestFit="1" customWidth="1"/>
    <col min="5145" max="5145" width="4.5703125" style="1414" customWidth="1"/>
    <col min="5146" max="5150" width="9.140625" style="1414"/>
    <col min="5151" max="5151" width="11.5703125" style="1414" bestFit="1" customWidth="1"/>
    <col min="5152" max="5376" width="9.140625" style="1414"/>
    <col min="5377" max="5377" width="4.5703125" style="1414" customWidth="1"/>
    <col min="5378" max="5378" width="6.5703125" style="1414" customWidth="1"/>
    <col min="5379" max="5379" width="1.7109375" style="1414" customWidth="1"/>
    <col min="5380" max="5381" width="6.5703125" style="1414" customWidth="1"/>
    <col min="5382" max="5382" width="1.7109375" style="1414" customWidth="1"/>
    <col min="5383" max="5383" width="6.5703125" style="1414" customWidth="1"/>
    <col min="5384" max="5384" width="12.7109375" style="1414" customWidth="1"/>
    <col min="5385" max="5385" width="15.140625" style="1414" customWidth="1"/>
    <col min="5386" max="5387" width="9.5703125" style="1414" customWidth="1"/>
    <col min="5388" max="5388" width="16" style="1414" bestFit="1" customWidth="1"/>
    <col min="5389" max="5389" width="2.7109375" style="1414" customWidth="1"/>
    <col min="5390" max="5390" width="6.5703125" style="1414" customWidth="1"/>
    <col min="5391" max="5391" width="1.7109375" style="1414" customWidth="1"/>
    <col min="5392" max="5393" width="6.5703125" style="1414" customWidth="1"/>
    <col min="5394" max="5394" width="1.7109375" style="1414" customWidth="1"/>
    <col min="5395" max="5395" width="6.5703125" style="1414" customWidth="1"/>
    <col min="5396" max="5396" width="12.7109375" style="1414" customWidth="1"/>
    <col min="5397" max="5397" width="16.5703125" style="1414" customWidth="1"/>
    <col min="5398" max="5399" width="9.5703125" style="1414" customWidth="1"/>
    <col min="5400" max="5400" width="16" style="1414" bestFit="1" customWidth="1"/>
    <col min="5401" max="5401" width="4.5703125" style="1414" customWidth="1"/>
    <col min="5402" max="5406" width="9.140625" style="1414"/>
    <col min="5407" max="5407" width="11.5703125" style="1414" bestFit="1" customWidth="1"/>
    <col min="5408" max="5632" width="9.140625" style="1414"/>
    <col min="5633" max="5633" width="4.5703125" style="1414" customWidth="1"/>
    <col min="5634" max="5634" width="6.5703125" style="1414" customWidth="1"/>
    <col min="5635" max="5635" width="1.7109375" style="1414" customWidth="1"/>
    <col min="5636" max="5637" width="6.5703125" style="1414" customWidth="1"/>
    <col min="5638" max="5638" width="1.7109375" style="1414" customWidth="1"/>
    <col min="5639" max="5639" width="6.5703125" style="1414" customWidth="1"/>
    <col min="5640" max="5640" width="12.7109375" style="1414" customWidth="1"/>
    <col min="5641" max="5641" width="15.140625" style="1414" customWidth="1"/>
    <col min="5642" max="5643" width="9.5703125" style="1414" customWidth="1"/>
    <col min="5644" max="5644" width="16" style="1414" bestFit="1" customWidth="1"/>
    <col min="5645" max="5645" width="2.7109375" style="1414" customWidth="1"/>
    <col min="5646" max="5646" width="6.5703125" style="1414" customWidth="1"/>
    <col min="5647" max="5647" width="1.7109375" style="1414" customWidth="1"/>
    <col min="5648" max="5649" width="6.5703125" style="1414" customWidth="1"/>
    <col min="5650" max="5650" width="1.7109375" style="1414" customWidth="1"/>
    <col min="5651" max="5651" width="6.5703125" style="1414" customWidth="1"/>
    <col min="5652" max="5652" width="12.7109375" style="1414" customWidth="1"/>
    <col min="5653" max="5653" width="16.5703125" style="1414" customWidth="1"/>
    <col min="5654" max="5655" width="9.5703125" style="1414" customWidth="1"/>
    <col min="5656" max="5656" width="16" style="1414" bestFit="1" customWidth="1"/>
    <col min="5657" max="5657" width="4.5703125" style="1414" customWidth="1"/>
    <col min="5658" max="5662" width="9.140625" style="1414"/>
    <col min="5663" max="5663" width="11.5703125" style="1414" bestFit="1" customWidth="1"/>
    <col min="5664" max="5888" width="9.140625" style="1414"/>
    <col min="5889" max="5889" width="4.5703125" style="1414" customWidth="1"/>
    <col min="5890" max="5890" width="6.5703125" style="1414" customWidth="1"/>
    <col min="5891" max="5891" width="1.7109375" style="1414" customWidth="1"/>
    <col min="5892" max="5893" width="6.5703125" style="1414" customWidth="1"/>
    <col min="5894" max="5894" width="1.7109375" style="1414" customWidth="1"/>
    <col min="5895" max="5895" width="6.5703125" style="1414" customWidth="1"/>
    <col min="5896" max="5896" width="12.7109375" style="1414" customWidth="1"/>
    <col min="5897" max="5897" width="15.140625" style="1414" customWidth="1"/>
    <col min="5898" max="5899" width="9.5703125" style="1414" customWidth="1"/>
    <col min="5900" max="5900" width="16" style="1414" bestFit="1" customWidth="1"/>
    <col min="5901" max="5901" width="2.7109375" style="1414" customWidth="1"/>
    <col min="5902" max="5902" width="6.5703125" style="1414" customWidth="1"/>
    <col min="5903" max="5903" width="1.7109375" style="1414" customWidth="1"/>
    <col min="5904" max="5905" width="6.5703125" style="1414" customWidth="1"/>
    <col min="5906" max="5906" width="1.7109375" style="1414" customWidth="1"/>
    <col min="5907" max="5907" width="6.5703125" style="1414" customWidth="1"/>
    <col min="5908" max="5908" width="12.7109375" style="1414" customWidth="1"/>
    <col min="5909" max="5909" width="16.5703125" style="1414" customWidth="1"/>
    <col min="5910" max="5911" width="9.5703125" style="1414" customWidth="1"/>
    <col min="5912" max="5912" width="16" style="1414" bestFit="1" customWidth="1"/>
    <col min="5913" max="5913" width="4.5703125" style="1414" customWidth="1"/>
    <col min="5914" max="5918" width="9.140625" style="1414"/>
    <col min="5919" max="5919" width="11.5703125" style="1414" bestFit="1" customWidth="1"/>
    <col min="5920" max="6144" width="9.140625" style="1414"/>
    <col min="6145" max="6145" width="4.5703125" style="1414" customWidth="1"/>
    <col min="6146" max="6146" width="6.5703125" style="1414" customWidth="1"/>
    <col min="6147" max="6147" width="1.7109375" style="1414" customWidth="1"/>
    <col min="6148" max="6149" width="6.5703125" style="1414" customWidth="1"/>
    <col min="6150" max="6150" width="1.7109375" style="1414" customWidth="1"/>
    <col min="6151" max="6151" width="6.5703125" style="1414" customWidth="1"/>
    <col min="6152" max="6152" width="12.7109375" style="1414" customWidth="1"/>
    <col min="6153" max="6153" width="15.140625" style="1414" customWidth="1"/>
    <col min="6154" max="6155" width="9.5703125" style="1414" customWidth="1"/>
    <col min="6156" max="6156" width="16" style="1414" bestFit="1" customWidth="1"/>
    <col min="6157" max="6157" width="2.7109375" style="1414" customWidth="1"/>
    <col min="6158" max="6158" width="6.5703125" style="1414" customWidth="1"/>
    <col min="6159" max="6159" width="1.7109375" style="1414" customWidth="1"/>
    <col min="6160" max="6161" width="6.5703125" style="1414" customWidth="1"/>
    <col min="6162" max="6162" width="1.7109375" style="1414" customWidth="1"/>
    <col min="6163" max="6163" width="6.5703125" style="1414" customWidth="1"/>
    <col min="6164" max="6164" width="12.7109375" style="1414" customWidth="1"/>
    <col min="6165" max="6165" width="16.5703125" style="1414" customWidth="1"/>
    <col min="6166" max="6167" width="9.5703125" style="1414" customWidth="1"/>
    <col min="6168" max="6168" width="16" style="1414" bestFit="1" customWidth="1"/>
    <col min="6169" max="6169" width="4.5703125" style="1414" customWidth="1"/>
    <col min="6170" max="6174" width="9.140625" style="1414"/>
    <col min="6175" max="6175" width="11.5703125" style="1414" bestFit="1" customWidth="1"/>
    <col min="6176" max="6400" width="9.140625" style="1414"/>
    <col min="6401" max="6401" width="4.5703125" style="1414" customWidth="1"/>
    <col min="6402" max="6402" width="6.5703125" style="1414" customWidth="1"/>
    <col min="6403" max="6403" width="1.7109375" style="1414" customWidth="1"/>
    <col min="6404" max="6405" width="6.5703125" style="1414" customWidth="1"/>
    <col min="6406" max="6406" width="1.7109375" style="1414" customWidth="1"/>
    <col min="6407" max="6407" width="6.5703125" style="1414" customWidth="1"/>
    <col min="6408" max="6408" width="12.7109375" style="1414" customWidth="1"/>
    <col min="6409" max="6409" width="15.140625" style="1414" customWidth="1"/>
    <col min="6410" max="6411" width="9.5703125" style="1414" customWidth="1"/>
    <col min="6412" max="6412" width="16" style="1414" bestFit="1" customWidth="1"/>
    <col min="6413" max="6413" width="2.7109375" style="1414" customWidth="1"/>
    <col min="6414" max="6414" width="6.5703125" style="1414" customWidth="1"/>
    <col min="6415" max="6415" width="1.7109375" style="1414" customWidth="1"/>
    <col min="6416" max="6417" width="6.5703125" style="1414" customWidth="1"/>
    <col min="6418" max="6418" width="1.7109375" style="1414" customWidth="1"/>
    <col min="6419" max="6419" width="6.5703125" style="1414" customWidth="1"/>
    <col min="6420" max="6420" width="12.7109375" style="1414" customWidth="1"/>
    <col min="6421" max="6421" width="16.5703125" style="1414" customWidth="1"/>
    <col min="6422" max="6423" width="9.5703125" style="1414" customWidth="1"/>
    <col min="6424" max="6424" width="16" style="1414" bestFit="1" customWidth="1"/>
    <col min="6425" max="6425" width="4.5703125" style="1414" customWidth="1"/>
    <col min="6426" max="6430" width="9.140625" style="1414"/>
    <col min="6431" max="6431" width="11.5703125" style="1414" bestFit="1" customWidth="1"/>
    <col min="6432" max="6656" width="9.140625" style="1414"/>
    <col min="6657" max="6657" width="4.5703125" style="1414" customWidth="1"/>
    <col min="6658" max="6658" width="6.5703125" style="1414" customWidth="1"/>
    <col min="6659" max="6659" width="1.7109375" style="1414" customWidth="1"/>
    <col min="6660" max="6661" width="6.5703125" style="1414" customWidth="1"/>
    <col min="6662" max="6662" width="1.7109375" style="1414" customWidth="1"/>
    <col min="6663" max="6663" width="6.5703125" style="1414" customWidth="1"/>
    <col min="6664" max="6664" width="12.7109375" style="1414" customWidth="1"/>
    <col min="6665" max="6665" width="15.140625" style="1414" customWidth="1"/>
    <col min="6666" max="6667" width="9.5703125" style="1414" customWidth="1"/>
    <col min="6668" max="6668" width="16" style="1414" bestFit="1" customWidth="1"/>
    <col min="6669" max="6669" width="2.7109375" style="1414" customWidth="1"/>
    <col min="6670" max="6670" width="6.5703125" style="1414" customWidth="1"/>
    <col min="6671" max="6671" width="1.7109375" style="1414" customWidth="1"/>
    <col min="6672" max="6673" width="6.5703125" style="1414" customWidth="1"/>
    <col min="6674" max="6674" width="1.7109375" style="1414" customWidth="1"/>
    <col min="6675" max="6675" width="6.5703125" style="1414" customWidth="1"/>
    <col min="6676" max="6676" width="12.7109375" style="1414" customWidth="1"/>
    <col min="6677" max="6677" width="16.5703125" style="1414" customWidth="1"/>
    <col min="6678" max="6679" width="9.5703125" style="1414" customWidth="1"/>
    <col min="6680" max="6680" width="16" style="1414" bestFit="1" customWidth="1"/>
    <col min="6681" max="6681" width="4.5703125" style="1414" customWidth="1"/>
    <col min="6682" max="6686" width="9.140625" style="1414"/>
    <col min="6687" max="6687" width="11.5703125" style="1414" bestFit="1" customWidth="1"/>
    <col min="6688" max="6912" width="9.140625" style="1414"/>
    <col min="6913" max="6913" width="4.5703125" style="1414" customWidth="1"/>
    <col min="6914" max="6914" width="6.5703125" style="1414" customWidth="1"/>
    <col min="6915" max="6915" width="1.7109375" style="1414" customWidth="1"/>
    <col min="6916" max="6917" width="6.5703125" style="1414" customWidth="1"/>
    <col min="6918" max="6918" width="1.7109375" style="1414" customWidth="1"/>
    <col min="6919" max="6919" width="6.5703125" style="1414" customWidth="1"/>
    <col min="6920" max="6920" width="12.7109375" style="1414" customWidth="1"/>
    <col min="6921" max="6921" width="15.140625" style="1414" customWidth="1"/>
    <col min="6922" max="6923" width="9.5703125" style="1414" customWidth="1"/>
    <col min="6924" max="6924" width="16" style="1414" bestFit="1" customWidth="1"/>
    <col min="6925" max="6925" width="2.7109375" style="1414" customWidth="1"/>
    <col min="6926" max="6926" width="6.5703125" style="1414" customWidth="1"/>
    <col min="6927" max="6927" width="1.7109375" style="1414" customWidth="1"/>
    <col min="6928" max="6929" width="6.5703125" style="1414" customWidth="1"/>
    <col min="6930" max="6930" width="1.7109375" style="1414" customWidth="1"/>
    <col min="6931" max="6931" width="6.5703125" style="1414" customWidth="1"/>
    <col min="6932" max="6932" width="12.7109375" style="1414" customWidth="1"/>
    <col min="6933" max="6933" width="16.5703125" style="1414" customWidth="1"/>
    <col min="6934" max="6935" width="9.5703125" style="1414" customWidth="1"/>
    <col min="6936" max="6936" width="16" style="1414" bestFit="1" customWidth="1"/>
    <col min="6937" max="6937" width="4.5703125" style="1414" customWidth="1"/>
    <col min="6938" max="6942" width="9.140625" style="1414"/>
    <col min="6943" max="6943" width="11.5703125" style="1414" bestFit="1" customWidth="1"/>
    <col min="6944" max="7168" width="9.140625" style="1414"/>
    <col min="7169" max="7169" width="4.5703125" style="1414" customWidth="1"/>
    <col min="7170" max="7170" width="6.5703125" style="1414" customWidth="1"/>
    <col min="7171" max="7171" width="1.7109375" style="1414" customWidth="1"/>
    <col min="7172" max="7173" width="6.5703125" style="1414" customWidth="1"/>
    <col min="7174" max="7174" width="1.7109375" style="1414" customWidth="1"/>
    <col min="7175" max="7175" width="6.5703125" style="1414" customWidth="1"/>
    <col min="7176" max="7176" width="12.7109375" style="1414" customWidth="1"/>
    <col min="7177" max="7177" width="15.140625" style="1414" customWidth="1"/>
    <col min="7178" max="7179" width="9.5703125" style="1414" customWidth="1"/>
    <col min="7180" max="7180" width="16" style="1414" bestFit="1" customWidth="1"/>
    <col min="7181" max="7181" width="2.7109375" style="1414" customWidth="1"/>
    <col min="7182" max="7182" width="6.5703125" style="1414" customWidth="1"/>
    <col min="7183" max="7183" width="1.7109375" style="1414" customWidth="1"/>
    <col min="7184" max="7185" width="6.5703125" style="1414" customWidth="1"/>
    <col min="7186" max="7186" width="1.7109375" style="1414" customWidth="1"/>
    <col min="7187" max="7187" width="6.5703125" style="1414" customWidth="1"/>
    <col min="7188" max="7188" width="12.7109375" style="1414" customWidth="1"/>
    <col min="7189" max="7189" width="16.5703125" style="1414" customWidth="1"/>
    <col min="7190" max="7191" width="9.5703125" style="1414" customWidth="1"/>
    <col min="7192" max="7192" width="16" style="1414" bestFit="1" customWidth="1"/>
    <col min="7193" max="7193" width="4.5703125" style="1414" customWidth="1"/>
    <col min="7194" max="7198" width="9.140625" style="1414"/>
    <col min="7199" max="7199" width="11.5703125" style="1414" bestFit="1" customWidth="1"/>
    <col min="7200" max="7424" width="9.140625" style="1414"/>
    <col min="7425" max="7425" width="4.5703125" style="1414" customWidth="1"/>
    <col min="7426" max="7426" width="6.5703125" style="1414" customWidth="1"/>
    <col min="7427" max="7427" width="1.7109375" style="1414" customWidth="1"/>
    <col min="7428" max="7429" width="6.5703125" style="1414" customWidth="1"/>
    <col min="7430" max="7430" width="1.7109375" style="1414" customWidth="1"/>
    <col min="7431" max="7431" width="6.5703125" style="1414" customWidth="1"/>
    <col min="7432" max="7432" width="12.7109375" style="1414" customWidth="1"/>
    <col min="7433" max="7433" width="15.140625" style="1414" customWidth="1"/>
    <col min="7434" max="7435" width="9.5703125" style="1414" customWidth="1"/>
    <col min="7436" max="7436" width="16" style="1414" bestFit="1" customWidth="1"/>
    <col min="7437" max="7437" width="2.7109375" style="1414" customWidth="1"/>
    <col min="7438" max="7438" width="6.5703125" style="1414" customWidth="1"/>
    <col min="7439" max="7439" width="1.7109375" style="1414" customWidth="1"/>
    <col min="7440" max="7441" width="6.5703125" style="1414" customWidth="1"/>
    <col min="7442" max="7442" width="1.7109375" style="1414" customWidth="1"/>
    <col min="7443" max="7443" width="6.5703125" style="1414" customWidth="1"/>
    <col min="7444" max="7444" width="12.7109375" style="1414" customWidth="1"/>
    <col min="7445" max="7445" width="16.5703125" style="1414" customWidth="1"/>
    <col min="7446" max="7447" width="9.5703125" style="1414" customWidth="1"/>
    <col min="7448" max="7448" width="16" style="1414" bestFit="1" customWidth="1"/>
    <col min="7449" max="7449" width="4.5703125" style="1414" customWidth="1"/>
    <col min="7450" max="7454" width="9.140625" style="1414"/>
    <col min="7455" max="7455" width="11.5703125" style="1414" bestFit="1" customWidth="1"/>
    <col min="7456" max="7680" width="9.140625" style="1414"/>
    <col min="7681" max="7681" width="4.5703125" style="1414" customWidth="1"/>
    <col min="7682" max="7682" width="6.5703125" style="1414" customWidth="1"/>
    <col min="7683" max="7683" width="1.7109375" style="1414" customWidth="1"/>
    <col min="7684" max="7685" width="6.5703125" style="1414" customWidth="1"/>
    <col min="7686" max="7686" width="1.7109375" style="1414" customWidth="1"/>
    <col min="7687" max="7687" width="6.5703125" style="1414" customWidth="1"/>
    <col min="7688" max="7688" width="12.7109375" style="1414" customWidth="1"/>
    <col min="7689" max="7689" width="15.140625" style="1414" customWidth="1"/>
    <col min="7690" max="7691" width="9.5703125" style="1414" customWidth="1"/>
    <col min="7692" max="7692" width="16" style="1414" bestFit="1" customWidth="1"/>
    <col min="7693" max="7693" width="2.7109375" style="1414" customWidth="1"/>
    <col min="7694" max="7694" width="6.5703125" style="1414" customWidth="1"/>
    <col min="7695" max="7695" width="1.7109375" style="1414" customWidth="1"/>
    <col min="7696" max="7697" width="6.5703125" style="1414" customWidth="1"/>
    <col min="7698" max="7698" width="1.7109375" style="1414" customWidth="1"/>
    <col min="7699" max="7699" width="6.5703125" style="1414" customWidth="1"/>
    <col min="7700" max="7700" width="12.7109375" style="1414" customWidth="1"/>
    <col min="7701" max="7701" width="16.5703125" style="1414" customWidth="1"/>
    <col min="7702" max="7703" width="9.5703125" style="1414" customWidth="1"/>
    <col min="7704" max="7704" width="16" style="1414" bestFit="1" customWidth="1"/>
    <col min="7705" max="7705" width="4.5703125" style="1414" customWidth="1"/>
    <col min="7706" max="7710" width="9.140625" style="1414"/>
    <col min="7711" max="7711" width="11.5703125" style="1414" bestFit="1" customWidth="1"/>
    <col min="7712" max="7936" width="9.140625" style="1414"/>
    <col min="7937" max="7937" width="4.5703125" style="1414" customWidth="1"/>
    <col min="7938" max="7938" width="6.5703125" style="1414" customWidth="1"/>
    <col min="7939" max="7939" width="1.7109375" style="1414" customWidth="1"/>
    <col min="7940" max="7941" width="6.5703125" style="1414" customWidth="1"/>
    <col min="7942" max="7942" width="1.7109375" style="1414" customWidth="1"/>
    <col min="7943" max="7943" width="6.5703125" style="1414" customWidth="1"/>
    <col min="7944" max="7944" width="12.7109375" style="1414" customWidth="1"/>
    <col min="7945" max="7945" width="15.140625" style="1414" customWidth="1"/>
    <col min="7946" max="7947" width="9.5703125" style="1414" customWidth="1"/>
    <col min="7948" max="7948" width="16" style="1414" bestFit="1" customWidth="1"/>
    <col min="7949" max="7949" width="2.7109375" style="1414" customWidth="1"/>
    <col min="7950" max="7950" width="6.5703125" style="1414" customWidth="1"/>
    <col min="7951" max="7951" width="1.7109375" style="1414" customWidth="1"/>
    <col min="7952" max="7953" width="6.5703125" style="1414" customWidth="1"/>
    <col min="7954" max="7954" width="1.7109375" style="1414" customWidth="1"/>
    <col min="7955" max="7955" width="6.5703125" style="1414" customWidth="1"/>
    <col min="7956" max="7956" width="12.7109375" style="1414" customWidth="1"/>
    <col min="7957" max="7957" width="16.5703125" style="1414" customWidth="1"/>
    <col min="7958" max="7959" width="9.5703125" style="1414" customWidth="1"/>
    <col min="7960" max="7960" width="16" style="1414" bestFit="1" customWidth="1"/>
    <col min="7961" max="7961" width="4.5703125" style="1414" customWidth="1"/>
    <col min="7962" max="7966" width="9.140625" style="1414"/>
    <col min="7967" max="7967" width="11.5703125" style="1414" bestFit="1" customWidth="1"/>
    <col min="7968" max="8192" width="9.140625" style="1414"/>
    <col min="8193" max="8193" width="4.5703125" style="1414" customWidth="1"/>
    <col min="8194" max="8194" width="6.5703125" style="1414" customWidth="1"/>
    <col min="8195" max="8195" width="1.7109375" style="1414" customWidth="1"/>
    <col min="8196" max="8197" width="6.5703125" style="1414" customWidth="1"/>
    <col min="8198" max="8198" width="1.7109375" style="1414" customWidth="1"/>
    <col min="8199" max="8199" width="6.5703125" style="1414" customWidth="1"/>
    <col min="8200" max="8200" width="12.7109375" style="1414" customWidth="1"/>
    <col min="8201" max="8201" width="15.140625" style="1414" customWidth="1"/>
    <col min="8202" max="8203" width="9.5703125" style="1414" customWidth="1"/>
    <col min="8204" max="8204" width="16" style="1414" bestFit="1" customWidth="1"/>
    <col min="8205" max="8205" width="2.7109375" style="1414" customWidth="1"/>
    <col min="8206" max="8206" width="6.5703125" style="1414" customWidth="1"/>
    <col min="8207" max="8207" width="1.7109375" style="1414" customWidth="1"/>
    <col min="8208" max="8209" width="6.5703125" style="1414" customWidth="1"/>
    <col min="8210" max="8210" width="1.7109375" style="1414" customWidth="1"/>
    <col min="8211" max="8211" width="6.5703125" style="1414" customWidth="1"/>
    <col min="8212" max="8212" width="12.7109375" style="1414" customWidth="1"/>
    <col min="8213" max="8213" width="16.5703125" style="1414" customWidth="1"/>
    <col min="8214" max="8215" width="9.5703125" style="1414" customWidth="1"/>
    <col min="8216" max="8216" width="16" style="1414" bestFit="1" customWidth="1"/>
    <col min="8217" max="8217" width="4.5703125" style="1414" customWidth="1"/>
    <col min="8218" max="8222" width="9.140625" style="1414"/>
    <col min="8223" max="8223" width="11.5703125" style="1414" bestFit="1" customWidth="1"/>
    <col min="8224" max="8448" width="9.140625" style="1414"/>
    <col min="8449" max="8449" width="4.5703125" style="1414" customWidth="1"/>
    <col min="8450" max="8450" width="6.5703125" style="1414" customWidth="1"/>
    <col min="8451" max="8451" width="1.7109375" style="1414" customWidth="1"/>
    <col min="8452" max="8453" width="6.5703125" style="1414" customWidth="1"/>
    <col min="8454" max="8454" width="1.7109375" style="1414" customWidth="1"/>
    <col min="8455" max="8455" width="6.5703125" style="1414" customWidth="1"/>
    <col min="8456" max="8456" width="12.7109375" style="1414" customWidth="1"/>
    <col min="8457" max="8457" width="15.140625" style="1414" customWidth="1"/>
    <col min="8458" max="8459" width="9.5703125" style="1414" customWidth="1"/>
    <col min="8460" max="8460" width="16" style="1414" bestFit="1" customWidth="1"/>
    <col min="8461" max="8461" width="2.7109375" style="1414" customWidth="1"/>
    <col min="8462" max="8462" width="6.5703125" style="1414" customWidth="1"/>
    <col min="8463" max="8463" width="1.7109375" style="1414" customWidth="1"/>
    <col min="8464" max="8465" width="6.5703125" style="1414" customWidth="1"/>
    <col min="8466" max="8466" width="1.7109375" style="1414" customWidth="1"/>
    <col min="8467" max="8467" width="6.5703125" style="1414" customWidth="1"/>
    <col min="8468" max="8468" width="12.7109375" style="1414" customWidth="1"/>
    <col min="8469" max="8469" width="16.5703125" style="1414" customWidth="1"/>
    <col min="8470" max="8471" width="9.5703125" style="1414" customWidth="1"/>
    <col min="8472" max="8472" width="16" style="1414" bestFit="1" customWidth="1"/>
    <col min="8473" max="8473" width="4.5703125" style="1414" customWidth="1"/>
    <col min="8474" max="8478" width="9.140625" style="1414"/>
    <col min="8479" max="8479" width="11.5703125" style="1414" bestFit="1" customWidth="1"/>
    <col min="8480" max="8704" width="9.140625" style="1414"/>
    <col min="8705" max="8705" width="4.5703125" style="1414" customWidth="1"/>
    <col min="8706" max="8706" width="6.5703125" style="1414" customWidth="1"/>
    <col min="8707" max="8707" width="1.7109375" style="1414" customWidth="1"/>
    <col min="8708" max="8709" width="6.5703125" style="1414" customWidth="1"/>
    <col min="8710" max="8710" width="1.7109375" style="1414" customWidth="1"/>
    <col min="8711" max="8711" width="6.5703125" style="1414" customWidth="1"/>
    <col min="8712" max="8712" width="12.7109375" style="1414" customWidth="1"/>
    <col min="8713" max="8713" width="15.140625" style="1414" customWidth="1"/>
    <col min="8714" max="8715" width="9.5703125" style="1414" customWidth="1"/>
    <col min="8716" max="8716" width="16" style="1414" bestFit="1" customWidth="1"/>
    <col min="8717" max="8717" width="2.7109375" style="1414" customWidth="1"/>
    <col min="8718" max="8718" width="6.5703125" style="1414" customWidth="1"/>
    <col min="8719" max="8719" width="1.7109375" style="1414" customWidth="1"/>
    <col min="8720" max="8721" width="6.5703125" style="1414" customWidth="1"/>
    <col min="8722" max="8722" width="1.7109375" style="1414" customWidth="1"/>
    <col min="8723" max="8723" width="6.5703125" style="1414" customWidth="1"/>
    <col min="8724" max="8724" width="12.7109375" style="1414" customWidth="1"/>
    <col min="8725" max="8725" width="16.5703125" style="1414" customWidth="1"/>
    <col min="8726" max="8727" width="9.5703125" style="1414" customWidth="1"/>
    <col min="8728" max="8728" width="16" style="1414" bestFit="1" customWidth="1"/>
    <col min="8729" max="8729" width="4.5703125" style="1414" customWidth="1"/>
    <col min="8730" max="8734" width="9.140625" style="1414"/>
    <col min="8735" max="8735" width="11.5703125" style="1414" bestFit="1" customWidth="1"/>
    <col min="8736" max="8960" width="9.140625" style="1414"/>
    <col min="8961" max="8961" width="4.5703125" style="1414" customWidth="1"/>
    <col min="8962" max="8962" width="6.5703125" style="1414" customWidth="1"/>
    <col min="8963" max="8963" width="1.7109375" style="1414" customWidth="1"/>
    <col min="8964" max="8965" width="6.5703125" style="1414" customWidth="1"/>
    <col min="8966" max="8966" width="1.7109375" style="1414" customWidth="1"/>
    <col min="8967" max="8967" width="6.5703125" style="1414" customWidth="1"/>
    <col min="8968" max="8968" width="12.7109375" style="1414" customWidth="1"/>
    <col min="8969" max="8969" width="15.140625" style="1414" customWidth="1"/>
    <col min="8970" max="8971" width="9.5703125" style="1414" customWidth="1"/>
    <col min="8972" max="8972" width="16" style="1414" bestFit="1" customWidth="1"/>
    <col min="8973" max="8973" width="2.7109375" style="1414" customWidth="1"/>
    <col min="8974" max="8974" width="6.5703125" style="1414" customWidth="1"/>
    <col min="8975" max="8975" width="1.7109375" style="1414" customWidth="1"/>
    <col min="8976" max="8977" width="6.5703125" style="1414" customWidth="1"/>
    <col min="8978" max="8978" width="1.7109375" style="1414" customWidth="1"/>
    <col min="8979" max="8979" width="6.5703125" style="1414" customWidth="1"/>
    <col min="8980" max="8980" width="12.7109375" style="1414" customWidth="1"/>
    <col min="8981" max="8981" width="16.5703125" style="1414" customWidth="1"/>
    <col min="8982" max="8983" width="9.5703125" style="1414" customWidth="1"/>
    <col min="8984" max="8984" width="16" style="1414" bestFit="1" customWidth="1"/>
    <col min="8985" max="8985" width="4.5703125" style="1414" customWidth="1"/>
    <col min="8986" max="8990" width="9.140625" style="1414"/>
    <col min="8991" max="8991" width="11.5703125" style="1414" bestFit="1" customWidth="1"/>
    <col min="8992" max="9216" width="9.140625" style="1414"/>
    <col min="9217" max="9217" width="4.5703125" style="1414" customWidth="1"/>
    <col min="9218" max="9218" width="6.5703125" style="1414" customWidth="1"/>
    <col min="9219" max="9219" width="1.7109375" style="1414" customWidth="1"/>
    <col min="9220" max="9221" width="6.5703125" style="1414" customWidth="1"/>
    <col min="9222" max="9222" width="1.7109375" style="1414" customWidth="1"/>
    <col min="9223" max="9223" width="6.5703125" style="1414" customWidth="1"/>
    <col min="9224" max="9224" width="12.7109375" style="1414" customWidth="1"/>
    <col min="9225" max="9225" width="15.140625" style="1414" customWidth="1"/>
    <col min="9226" max="9227" width="9.5703125" style="1414" customWidth="1"/>
    <col min="9228" max="9228" width="16" style="1414" bestFit="1" customWidth="1"/>
    <col min="9229" max="9229" width="2.7109375" style="1414" customWidth="1"/>
    <col min="9230" max="9230" width="6.5703125" style="1414" customWidth="1"/>
    <col min="9231" max="9231" width="1.7109375" style="1414" customWidth="1"/>
    <col min="9232" max="9233" width="6.5703125" style="1414" customWidth="1"/>
    <col min="9234" max="9234" width="1.7109375" style="1414" customWidth="1"/>
    <col min="9235" max="9235" width="6.5703125" style="1414" customWidth="1"/>
    <col min="9236" max="9236" width="12.7109375" style="1414" customWidth="1"/>
    <col min="9237" max="9237" width="16.5703125" style="1414" customWidth="1"/>
    <col min="9238" max="9239" width="9.5703125" style="1414" customWidth="1"/>
    <col min="9240" max="9240" width="16" style="1414" bestFit="1" customWidth="1"/>
    <col min="9241" max="9241" width="4.5703125" style="1414" customWidth="1"/>
    <col min="9242" max="9246" width="9.140625" style="1414"/>
    <col min="9247" max="9247" width="11.5703125" style="1414" bestFit="1" customWidth="1"/>
    <col min="9248" max="9472" width="9.140625" style="1414"/>
    <col min="9473" max="9473" width="4.5703125" style="1414" customWidth="1"/>
    <col min="9474" max="9474" width="6.5703125" style="1414" customWidth="1"/>
    <col min="9475" max="9475" width="1.7109375" style="1414" customWidth="1"/>
    <col min="9476" max="9477" width="6.5703125" style="1414" customWidth="1"/>
    <col min="9478" max="9478" width="1.7109375" style="1414" customWidth="1"/>
    <col min="9479" max="9479" width="6.5703125" style="1414" customWidth="1"/>
    <col min="9480" max="9480" width="12.7109375" style="1414" customWidth="1"/>
    <col min="9481" max="9481" width="15.140625" style="1414" customWidth="1"/>
    <col min="9482" max="9483" width="9.5703125" style="1414" customWidth="1"/>
    <col min="9484" max="9484" width="16" style="1414" bestFit="1" customWidth="1"/>
    <col min="9485" max="9485" width="2.7109375" style="1414" customWidth="1"/>
    <col min="9486" max="9486" width="6.5703125" style="1414" customWidth="1"/>
    <col min="9487" max="9487" width="1.7109375" style="1414" customWidth="1"/>
    <col min="9488" max="9489" width="6.5703125" style="1414" customWidth="1"/>
    <col min="9490" max="9490" width="1.7109375" style="1414" customWidth="1"/>
    <col min="9491" max="9491" width="6.5703125" style="1414" customWidth="1"/>
    <col min="9492" max="9492" width="12.7109375" style="1414" customWidth="1"/>
    <col min="9493" max="9493" width="16.5703125" style="1414" customWidth="1"/>
    <col min="9494" max="9495" width="9.5703125" style="1414" customWidth="1"/>
    <col min="9496" max="9496" width="16" style="1414" bestFit="1" customWidth="1"/>
    <col min="9497" max="9497" width="4.5703125" style="1414" customWidth="1"/>
    <col min="9498" max="9502" width="9.140625" style="1414"/>
    <col min="9503" max="9503" width="11.5703125" style="1414" bestFit="1" customWidth="1"/>
    <col min="9504" max="9728" width="9.140625" style="1414"/>
    <col min="9729" max="9729" width="4.5703125" style="1414" customWidth="1"/>
    <col min="9730" max="9730" width="6.5703125" style="1414" customWidth="1"/>
    <col min="9731" max="9731" width="1.7109375" style="1414" customWidth="1"/>
    <col min="9732" max="9733" width="6.5703125" style="1414" customWidth="1"/>
    <col min="9734" max="9734" width="1.7109375" style="1414" customWidth="1"/>
    <col min="9735" max="9735" width="6.5703125" style="1414" customWidth="1"/>
    <col min="9736" max="9736" width="12.7109375" style="1414" customWidth="1"/>
    <col min="9737" max="9737" width="15.140625" style="1414" customWidth="1"/>
    <col min="9738" max="9739" width="9.5703125" style="1414" customWidth="1"/>
    <col min="9740" max="9740" width="16" style="1414" bestFit="1" customWidth="1"/>
    <col min="9741" max="9741" width="2.7109375" style="1414" customWidth="1"/>
    <col min="9742" max="9742" width="6.5703125" style="1414" customWidth="1"/>
    <col min="9743" max="9743" width="1.7109375" style="1414" customWidth="1"/>
    <col min="9744" max="9745" width="6.5703125" style="1414" customWidth="1"/>
    <col min="9746" max="9746" width="1.7109375" style="1414" customWidth="1"/>
    <col min="9747" max="9747" width="6.5703125" style="1414" customWidth="1"/>
    <col min="9748" max="9748" width="12.7109375" style="1414" customWidth="1"/>
    <col min="9749" max="9749" width="16.5703125" style="1414" customWidth="1"/>
    <col min="9750" max="9751" width="9.5703125" style="1414" customWidth="1"/>
    <col min="9752" max="9752" width="16" style="1414" bestFit="1" customWidth="1"/>
    <col min="9753" max="9753" width="4.5703125" style="1414" customWidth="1"/>
    <col min="9754" max="9758" width="9.140625" style="1414"/>
    <col min="9759" max="9759" width="11.5703125" style="1414" bestFit="1" customWidth="1"/>
    <col min="9760" max="9984" width="9.140625" style="1414"/>
    <col min="9985" max="9985" width="4.5703125" style="1414" customWidth="1"/>
    <col min="9986" max="9986" width="6.5703125" style="1414" customWidth="1"/>
    <col min="9987" max="9987" width="1.7109375" style="1414" customWidth="1"/>
    <col min="9988" max="9989" width="6.5703125" style="1414" customWidth="1"/>
    <col min="9990" max="9990" width="1.7109375" style="1414" customWidth="1"/>
    <col min="9991" max="9991" width="6.5703125" style="1414" customWidth="1"/>
    <col min="9992" max="9992" width="12.7109375" style="1414" customWidth="1"/>
    <col min="9993" max="9993" width="15.140625" style="1414" customWidth="1"/>
    <col min="9994" max="9995" width="9.5703125" style="1414" customWidth="1"/>
    <col min="9996" max="9996" width="16" style="1414" bestFit="1" customWidth="1"/>
    <col min="9997" max="9997" width="2.7109375" style="1414" customWidth="1"/>
    <col min="9998" max="9998" width="6.5703125" style="1414" customWidth="1"/>
    <col min="9999" max="9999" width="1.7109375" style="1414" customWidth="1"/>
    <col min="10000" max="10001" width="6.5703125" style="1414" customWidth="1"/>
    <col min="10002" max="10002" width="1.7109375" style="1414" customWidth="1"/>
    <col min="10003" max="10003" width="6.5703125" style="1414" customWidth="1"/>
    <col min="10004" max="10004" width="12.7109375" style="1414" customWidth="1"/>
    <col min="10005" max="10005" width="16.5703125" style="1414" customWidth="1"/>
    <col min="10006" max="10007" width="9.5703125" style="1414" customWidth="1"/>
    <col min="10008" max="10008" width="16" style="1414" bestFit="1" customWidth="1"/>
    <col min="10009" max="10009" width="4.5703125" style="1414" customWidth="1"/>
    <col min="10010" max="10014" width="9.140625" style="1414"/>
    <col min="10015" max="10015" width="11.5703125" style="1414" bestFit="1" customWidth="1"/>
    <col min="10016" max="10240" width="9.140625" style="1414"/>
    <col min="10241" max="10241" width="4.5703125" style="1414" customWidth="1"/>
    <col min="10242" max="10242" width="6.5703125" style="1414" customWidth="1"/>
    <col min="10243" max="10243" width="1.7109375" style="1414" customWidth="1"/>
    <col min="10244" max="10245" width="6.5703125" style="1414" customWidth="1"/>
    <col min="10246" max="10246" width="1.7109375" style="1414" customWidth="1"/>
    <col min="10247" max="10247" width="6.5703125" style="1414" customWidth="1"/>
    <col min="10248" max="10248" width="12.7109375" style="1414" customWidth="1"/>
    <col min="10249" max="10249" width="15.140625" style="1414" customWidth="1"/>
    <col min="10250" max="10251" width="9.5703125" style="1414" customWidth="1"/>
    <col min="10252" max="10252" width="16" style="1414" bestFit="1" customWidth="1"/>
    <col min="10253" max="10253" width="2.7109375" style="1414" customWidth="1"/>
    <col min="10254" max="10254" width="6.5703125" style="1414" customWidth="1"/>
    <col min="10255" max="10255" width="1.7109375" style="1414" customWidth="1"/>
    <col min="10256" max="10257" width="6.5703125" style="1414" customWidth="1"/>
    <col min="10258" max="10258" width="1.7109375" style="1414" customWidth="1"/>
    <col min="10259" max="10259" width="6.5703125" style="1414" customWidth="1"/>
    <col min="10260" max="10260" width="12.7109375" style="1414" customWidth="1"/>
    <col min="10261" max="10261" width="16.5703125" style="1414" customWidth="1"/>
    <col min="10262" max="10263" width="9.5703125" style="1414" customWidth="1"/>
    <col min="10264" max="10264" width="16" style="1414" bestFit="1" customWidth="1"/>
    <col min="10265" max="10265" width="4.5703125" style="1414" customWidth="1"/>
    <col min="10266" max="10270" width="9.140625" style="1414"/>
    <col min="10271" max="10271" width="11.5703125" style="1414" bestFit="1" customWidth="1"/>
    <col min="10272" max="10496" width="9.140625" style="1414"/>
    <col min="10497" max="10497" width="4.5703125" style="1414" customWidth="1"/>
    <col min="10498" max="10498" width="6.5703125" style="1414" customWidth="1"/>
    <col min="10499" max="10499" width="1.7109375" style="1414" customWidth="1"/>
    <col min="10500" max="10501" width="6.5703125" style="1414" customWidth="1"/>
    <col min="10502" max="10502" width="1.7109375" style="1414" customWidth="1"/>
    <col min="10503" max="10503" width="6.5703125" style="1414" customWidth="1"/>
    <col min="10504" max="10504" width="12.7109375" style="1414" customWidth="1"/>
    <col min="10505" max="10505" width="15.140625" style="1414" customWidth="1"/>
    <col min="10506" max="10507" width="9.5703125" style="1414" customWidth="1"/>
    <col min="10508" max="10508" width="16" style="1414" bestFit="1" customWidth="1"/>
    <col min="10509" max="10509" width="2.7109375" style="1414" customWidth="1"/>
    <col min="10510" max="10510" width="6.5703125" style="1414" customWidth="1"/>
    <col min="10511" max="10511" width="1.7109375" style="1414" customWidth="1"/>
    <col min="10512" max="10513" width="6.5703125" style="1414" customWidth="1"/>
    <col min="10514" max="10514" width="1.7109375" style="1414" customWidth="1"/>
    <col min="10515" max="10515" width="6.5703125" style="1414" customWidth="1"/>
    <col min="10516" max="10516" width="12.7109375" style="1414" customWidth="1"/>
    <col min="10517" max="10517" width="16.5703125" style="1414" customWidth="1"/>
    <col min="10518" max="10519" width="9.5703125" style="1414" customWidth="1"/>
    <col min="10520" max="10520" width="16" style="1414" bestFit="1" customWidth="1"/>
    <col min="10521" max="10521" width="4.5703125" style="1414" customWidth="1"/>
    <col min="10522" max="10526" width="9.140625" style="1414"/>
    <col min="10527" max="10527" width="11.5703125" style="1414" bestFit="1" customWidth="1"/>
    <col min="10528" max="10752" width="9.140625" style="1414"/>
    <col min="10753" max="10753" width="4.5703125" style="1414" customWidth="1"/>
    <col min="10754" max="10754" width="6.5703125" style="1414" customWidth="1"/>
    <col min="10755" max="10755" width="1.7109375" style="1414" customWidth="1"/>
    <col min="10756" max="10757" width="6.5703125" style="1414" customWidth="1"/>
    <col min="10758" max="10758" width="1.7109375" style="1414" customWidth="1"/>
    <col min="10759" max="10759" width="6.5703125" style="1414" customWidth="1"/>
    <col min="10760" max="10760" width="12.7109375" style="1414" customWidth="1"/>
    <col min="10761" max="10761" width="15.140625" style="1414" customWidth="1"/>
    <col min="10762" max="10763" width="9.5703125" style="1414" customWidth="1"/>
    <col min="10764" max="10764" width="16" style="1414" bestFit="1" customWidth="1"/>
    <col min="10765" max="10765" width="2.7109375" style="1414" customWidth="1"/>
    <col min="10766" max="10766" width="6.5703125" style="1414" customWidth="1"/>
    <col min="10767" max="10767" width="1.7109375" style="1414" customWidth="1"/>
    <col min="10768" max="10769" width="6.5703125" style="1414" customWidth="1"/>
    <col min="10770" max="10770" width="1.7109375" style="1414" customWidth="1"/>
    <col min="10771" max="10771" width="6.5703125" style="1414" customWidth="1"/>
    <col min="10772" max="10772" width="12.7109375" style="1414" customWidth="1"/>
    <col min="10773" max="10773" width="16.5703125" style="1414" customWidth="1"/>
    <col min="10774" max="10775" width="9.5703125" style="1414" customWidth="1"/>
    <col min="10776" max="10776" width="16" style="1414" bestFit="1" customWidth="1"/>
    <col min="10777" max="10777" width="4.5703125" style="1414" customWidth="1"/>
    <col min="10778" max="10782" width="9.140625" style="1414"/>
    <col min="10783" max="10783" width="11.5703125" style="1414" bestFit="1" customWidth="1"/>
    <col min="10784" max="11008" width="9.140625" style="1414"/>
    <col min="11009" max="11009" width="4.5703125" style="1414" customWidth="1"/>
    <col min="11010" max="11010" width="6.5703125" style="1414" customWidth="1"/>
    <col min="11011" max="11011" width="1.7109375" style="1414" customWidth="1"/>
    <col min="11012" max="11013" width="6.5703125" style="1414" customWidth="1"/>
    <col min="11014" max="11014" width="1.7109375" style="1414" customWidth="1"/>
    <col min="11015" max="11015" width="6.5703125" style="1414" customWidth="1"/>
    <col min="11016" max="11016" width="12.7109375" style="1414" customWidth="1"/>
    <col min="11017" max="11017" width="15.140625" style="1414" customWidth="1"/>
    <col min="11018" max="11019" width="9.5703125" style="1414" customWidth="1"/>
    <col min="11020" max="11020" width="16" style="1414" bestFit="1" customWidth="1"/>
    <col min="11021" max="11021" width="2.7109375" style="1414" customWidth="1"/>
    <col min="11022" max="11022" width="6.5703125" style="1414" customWidth="1"/>
    <col min="11023" max="11023" width="1.7109375" style="1414" customWidth="1"/>
    <col min="11024" max="11025" width="6.5703125" style="1414" customWidth="1"/>
    <col min="11026" max="11026" width="1.7109375" style="1414" customWidth="1"/>
    <col min="11027" max="11027" width="6.5703125" style="1414" customWidth="1"/>
    <col min="11028" max="11028" width="12.7109375" style="1414" customWidth="1"/>
    <col min="11029" max="11029" width="16.5703125" style="1414" customWidth="1"/>
    <col min="11030" max="11031" width="9.5703125" style="1414" customWidth="1"/>
    <col min="11032" max="11032" width="16" style="1414" bestFit="1" customWidth="1"/>
    <col min="11033" max="11033" width="4.5703125" style="1414" customWidth="1"/>
    <col min="11034" max="11038" width="9.140625" style="1414"/>
    <col min="11039" max="11039" width="11.5703125" style="1414" bestFit="1" customWidth="1"/>
    <col min="11040" max="11264" width="9.140625" style="1414"/>
    <col min="11265" max="11265" width="4.5703125" style="1414" customWidth="1"/>
    <col min="11266" max="11266" width="6.5703125" style="1414" customWidth="1"/>
    <col min="11267" max="11267" width="1.7109375" style="1414" customWidth="1"/>
    <col min="11268" max="11269" width="6.5703125" style="1414" customWidth="1"/>
    <col min="11270" max="11270" width="1.7109375" style="1414" customWidth="1"/>
    <col min="11271" max="11271" width="6.5703125" style="1414" customWidth="1"/>
    <col min="11272" max="11272" width="12.7109375" style="1414" customWidth="1"/>
    <col min="11273" max="11273" width="15.140625" style="1414" customWidth="1"/>
    <col min="11274" max="11275" width="9.5703125" style="1414" customWidth="1"/>
    <col min="11276" max="11276" width="16" style="1414" bestFit="1" customWidth="1"/>
    <col min="11277" max="11277" width="2.7109375" style="1414" customWidth="1"/>
    <col min="11278" max="11278" width="6.5703125" style="1414" customWidth="1"/>
    <col min="11279" max="11279" width="1.7109375" style="1414" customWidth="1"/>
    <col min="11280" max="11281" width="6.5703125" style="1414" customWidth="1"/>
    <col min="11282" max="11282" width="1.7109375" style="1414" customWidth="1"/>
    <col min="11283" max="11283" width="6.5703125" style="1414" customWidth="1"/>
    <col min="11284" max="11284" width="12.7109375" style="1414" customWidth="1"/>
    <col min="11285" max="11285" width="16.5703125" style="1414" customWidth="1"/>
    <col min="11286" max="11287" width="9.5703125" style="1414" customWidth="1"/>
    <col min="11288" max="11288" width="16" style="1414" bestFit="1" customWidth="1"/>
    <col min="11289" max="11289" width="4.5703125" style="1414" customWidth="1"/>
    <col min="11290" max="11294" width="9.140625" style="1414"/>
    <col min="11295" max="11295" width="11.5703125" style="1414" bestFit="1" customWidth="1"/>
    <col min="11296" max="11520" width="9.140625" style="1414"/>
    <col min="11521" max="11521" width="4.5703125" style="1414" customWidth="1"/>
    <col min="11522" max="11522" width="6.5703125" style="1414" customWidth="1"/>
    <col min="11523" max="11523" width="1.7109375" style="1414" customWidth="1"/>
    <col min="11524" max="11525" width="6.5703125" style="1414" customWidth="1"/>
    <col min="11526" max="11526" width="1.7109375" style="1414" customWidth="1"/>
    <col min="11527" max="11527" width="6.5703125" style="1414" customWidth="1"/>
    <col min="11528" max="11528" width="12.7109375" style="1414" customWidth="1"/>
    <col min="11529" max="11529" width="15.140625" style="1414" customWidth="1"/>
    <col min="11530" max="11531" width="9.5703125" style="1414" customWidth="1"/>
    <col min="11532" max="11532" width="16" style="1414" bestFit="1" customWidth="1"/>
    <col min="11533" max="11533" width="2.7109375" style="1414" customWidth="1"/>
    <col min="11534" max="11534" width="6.5703125" style="1414" customWidth="1"/>
    <col min="11535" max="11535" width="1.7109375" style="1414" customWidth="1"/>
    <col min="11536" max="11537" width="6.5703125" style="1414" customWidth="1"/>
    <col min="11538" max="11538" width="1.7109375" style="1414" customWidth="1"/>
    <col min="11539" max="11539" width="6.5703125" style="1414" customWidth="1"/>
    <col min="11540" max="11540" width="12.7109375" style="1414" customWidth="1"/>
    <col min="11541" max="11541" width="16.5703125" style="1414" customWidth="1"/>
    <col min="11542" max="11543" width="9.5703125" style="1414" customWidth="1"/>
    <col min="11544" max="11544" width="16" style="1414" bestFit="1" customWidth="1"/>
    <col min="11545" max="11545" width="4.5703125" style="1414" customWidth="1"/>
    <col min="11546" max="11550" width="9.140625" style="1414"/>
    <col min="11551" max="11551" width="11.5703125" style="1414" bestFit="1" customWidth="1"/>
    <col min="11552" max="11776" width="9.140625" style="1414"/>
    <col min="11777" max="11777" width="4.5703125" style="1414" customWidth="1"/>
    <col min="11778" max="11778" width="6.5703125" style="1414" customWidth="1"/>
    <col min="11779" max="11779" width="1.7109375" style="1414" customWidth="1"/>
    <col min="11780" max="11781" width="6.5703125" style="1414" customWidth="1"/>
    <col min="11782" max="11782" width="1.7109375" style="1414" customWidth="1"/>
    <col min="11783" max="11783" width="6.5703125" style="1414" customWidth="1"/>
    <col min="11784" max="11784" width="12.7109375" style="1414" customWidth="1"/>
    <col min="11785" max="11785" width="15.140625" style="1414" customWidth="1"/>
    <col min="11786" max="11787" width="9.5703125" style="1414" customWidth="1"/>
    <col min="11788" max="11788" width="16" style="1414" bestFit="1" customWidth="1"/>
    <col min="11789" max="11789" width="2.7109375" style="1414" customWidth="1"/>
    <col min="11790" max="11790" width="6.5703125" style="1414" customWidth="1"/>
    <col min="11791" max="11791" width="1.7109375" style="1414" customWidth="1"/>
    <col min="11792" max="11793" width="6.5703125" style="1414" customWidth="1"/>
    <col min="11794" max="11794" width="1.7109375" style="1414" customWidth="1"/>
    <col min="11795" max="11795" width="6.5703125" style="1414" customWidth="1"/>
    <col min="11796" max="11796" width="12.7109375" style="1414" customWidth="1"/>
    <col min="11797" max="11797" width="16.5703125" style="1414" customWidth="1"/>
    <col min="11798" max="11799" width="9.5703125" style="1414" customWidth="1"/>
    <col min="11800" max="11800" width="16" style="1414" bestFit="1" customWidth="1"/>
    <col min="11801" max="11801" width="4.5703125" style="1414" customWidth="1"/>
    <col min="11802" max="11806" width="9.140625" style="1414"/>
    <col min="11807" max="11807" width="11.5703125" style="1414" bestFit="1" customWidth="1"/>
    <col min="11808" max="12032" width="9.140625" style="1414"/>
    <col min="12033" max="12033" width="4.5703125" style="1414" customWidth="1"/>
    <col min="12034" max="12034" width="6.5703125" style="1414" customWidth="1"/>
    <col min="12035" max="12035" width="1.7109375" style="1414" customWidth="1"/>
    <col min="12036" max="12037" width="6.5703125" style="1414" customWidth="1"/>
    <col min="12038" max="12038" width="1.7109375" style="1414" customWidth="1"/>
    <col min="12039" max="12039" width="6.5703125" style="1414" customWidth="1"/>
    <col min="12040" max="12040" width="12.7109375" style="1414" customWidth="1"/>
    <col min="12041" max="12041" width="15.140625" style="1414" customWidth="1"/>
    <col min="12042" max="12043" width="9.5703125" style="1414" customWidth="1"/>
    <col min="12044" max="12044" width="16" style="1414" bestFit="1" customWidth="1"/>
    <col min="12045" max="12045" width="2.7109375" style="1414" customWidth="1"/>
    <col min="12046" max="12046" width="6.5703125" style="1414" customWidth="1"/>
    <col min="12047" max="12047" width="1.7109375" style="1414" customWidth="1"/>
    <col min="12048" max="12049" width="6.5703125" style="1414" customWidth="1"/>
    <col min="12050" max="12050" width="1.7109375" style="1414" customWidth="1"/>
    <col min="12051" max="12051" width="6.5703125" style="1414" customWidth="1"/>
    <col min="12052" max="12052" width="12.7109375" style="1414" customWidth="1"/>
    <col min="12053" max="12053" width="16.5703125" style="1414" customWidth="1"/>
    <col min="12054" max="12055" width="9.5703125" style="1414" customWidth="1"/>
    <col min="12056" max="12056" width="16" style="1414" bestFit="1" customWidth="1"/>
    <col min="12057" max="12057" width="4.5703125" style="1414" customWidth="1"/>
    <col min="12058" max="12062" width="9.140625" style="1414"/>
    <col min="12063" max="12063" width="11.5703125" style="1414" bestFit="1" customWidth="1"/>
    <col min="12064" max="12288" width="9.140625" style="1414"/>
    <col min="12289" max="12289" width="4.5703125" style="1414" customWidth="1"/>
    <col min="12290" max="12290" width="6.5703125" style="1414" customWidth="1"/>
    <col min="12291" max="12291" width="1.7109375" style="1414" customWidth="1"/>
    <col min="12292" max="12293" width="6.5703125" style="1414" customWidth="1"/>
    <col min="12294" max="12294" width="1.7109375" style="1414" customWidth="1"/>
    <col min="12295" max="12295" width="6.5703125" style="1414" customWidth="1"/>
    <col min="12296" max="12296" width="12.7109375" style="1414" customWidth="1"/>
    <col min="12297" max="12297" width="15.140625" style="1414" customWidth="1"/>
    <col min="12298" max="12299" width="9.5703125" style="1414" customWidth="1"/>
    <col min="12300" max="12300" width="16" style="1414" bestFit="1" customWidth="1"/>
    <col min="12301" max="12301" width="2.7109375" style="1414" customWidth="1"/>
    <col min="12302" max="12302" width="6.5703125" style="1414" customWidth="1"/>
    <col min="12303" max="12303" width="1.7109375" style="1414" customWidth="1"/>
    <col min="12304" max="12305" width="6.5703125" style="1414" customWidth="1"/>
    <col min="12306" max="12306" width="1.7109375" style="1414" customWidth="1"/>
    <col min="12307" max="12307" width="6.5703125" style="1414" customWidth="1"/>
    <col min="12308" max="12308" width="12.7109375" style="1414" customWidth="1"/>
    <col min="12309" max="12309" width="16.5703125" style="1414" customWidth="1"/>
    <col min="12310" max="12311" width="9.5703125" style="1414" customWidth="1"/>
    <col min="12312" max="12312" width="16" style="1414" bestFit="1" customWidth="1"/>
    <col min="12313" max="12313" width="4.5703125" style="1414" customWidth="1"/>
    <col min="12314" max="12318" width="9.140625" style="1414"/>
    <col min="12319" max="12319" width="11.5703125" style="1414" bestFit="1" customWidth="1"/>
    <col min="12320" max="12544" width="9.140625" style="1414"/>
    <col min="12545" max="12545" width="4.5703125" style="1414" customWidth="1"/>
    <col min="12546" max="12546" width="6.5703125" style="1414" customWidth="1"/>
    <col min="12547" max="12547" width="1.7109375" style="1414" customWidth="1"/>
    <col min="12548" max="12549" width="6.5703125" style="1414" customWidth="1"/>
    <col min="12550" max="12550" width="1.7109375" style="1414" customWidth="1"/>
    <col min="12551" max="12551" width="6.5703125" style="1414" customWidth="1"/>
    <col min="12552" max="12552" width="12.7109375" style="1414" customWidth="1"/>
    <col min="12553" max="12553" width="15.140625" style="1414" customWidth="1"/>
    <col min="12554" max="12555" width="9.5703125" style="1414" customWidth="1"/>
    <col min="12556" max="12556" width="16" style="1414" bestFit="1" customWidth="1"/>
    <col min="12557" max="12557" width="2.7109375" style="1414" customWidth="1"/>
    <col min="12558" max="12558" width="6.5703125" style="1414" customWidth="1"/>
    <col min="12559" max="12559" width="1.7109375" style="1414" customWidth="1"/>
    <col min="12560" max="12561" width="6.5703125" style="1414" customWidth="1"/>
    <col min="12562" max="12562" width="1.7109375" style="1414" customWidth="1"/>
    <col min="12563" max="12563" width="6.5703125" style="1414" customWidth="1"/>
    <col min="12564" max="12564" width="12.7109375" style="1414" customWidth="1"/>
    <col min="12565" max="12565" width="16.5703125" style="1414" customWidth="1"/>
    <col min="12566" max="12567" width="9.5703125" style="1414" customWidth="1"/>
    <col min="12568" max="12568" width="16" style="1414" bestFit="1" customWidth="1"/>
    <col min="12569" max="12569" width="4.5703125" style="1414" customWidth="1"/>
    <col min="12570" max="12574" width="9.140625" style="1414"/>
    <col min="12575" max="12575" width="11.5703125" style="1414" bestFit="1" customWidth="1"/>
    <col min="12576" max="12800" width="9.140625" style="1414"/>
    <col min="12801" max="12801" width="4.5703125" style="1414" customWidth="1"/>
    <col min="12802" max="12802" width="6.5703125" style="1414" customWidth="1"/>
    <col min="12803" max="12803" width="1.7109375" style="1414" customWidth="1"/>
    <col min="12804" max="12805" width="6.5703125" style="1414" customWidth="1"/>
    <col min="12806" max="12806" width="1.7109375" style="1414" customWidth="1"/>
    <col min="12807" max="12807" width="6.5703125" style="1414" customWidth="1"/>
    <col min="12808" max="12808" width="12.7109375" style="1414" customWidth="1"/>
    <col min="12809" max="12809" width="15.140625" style="1414" customWidth="1"/>
    <col min="12810" max="12811" width="9.5703125" style="1414" customWidth="1"/>
    <col min="12812" max="12812" width="16" style="1414" bestFit="1" customWidth="1"/>
    <col min="12813" max="12813" width="2.7109375" style="1414" customWidth="1"/>
    <col min="12814" max="12814" width="6.5703125" style="1414" customWidth="1"/>
    <col min="12815" max="12815" width="1.7109375" style="1414" customWidth="1"/>
    <col min="12816" max="12817" width="6.5703125" style="1414" customWidth="1"/>
    <col min="12818" max="12818" width="1.7109375" style="1414" customWidth="1"/>
    <col min="12819" max="12819" width="6.5703125" style="1414" customWidth="1"/>
    <col min="12820" max="12820" width="12.7109375" style="1414" customWidth="1"/>
    <col min="12821" max="12821" width="16.5703125" style="1414" customWidth="1"/>
    <col min="12822" max="12823" width="9.5703125" style="1414" customWidth="1"/>
    <col min="12824" max="12824" width="16" style="1414" bestFit="1" customWidth="1"/>
    <col min="12825" max="12825" width="4.5703125" style="1414" customWidth="1"/>
    <col min="12826" max="12830" width="9.140625" style="1414"/>
    <col min="12831" max="12831" width="11.5703125" style="1414" bestFit="1" customWidth="1"/>
    <col min="12832" max="13056" width="9.140625" style="1414"/>
    <col min="13057" max="13057" width="4.5703125" style="1414" customWidth="1"/>
    <col min="13058" max="13058" width="6.5703125" style="1414" customWidth="1"/>
    <col min="13059" max="13059" width="1.7109375" style="1414" customWidth="1"/>
    <col min="13060" max="13061" width="6.5703125" style="1414" customWidth="1"/>
    <col min="13062" max="13062" width="1.7109375" style="1414" customWidth="1"/>
    <col min="13063" max="13063" width="6.5703125" style="1414" customWidth="1"/>
    <col min="13064" max="13064" width="12.7109375" style="1414" customWidth="1"/>
    <col min="13065" max="13065" width="15.140625" style="1414" customWidth="1"/>
    <col min="13066" max="13067" width="9.5703125" style="1414" customWidth="1"/>
    <col min="13068" max="13068" width="16" style="1414" bestFit="1" customWidth="1"/>
    <col min="13069" max="13069" width="2.7109375" style="1414" customWidth="1"/>
    <col min="13070" max="13070" width="6.5703125" style="1414" customWidth="1"/>
    <col min="13071" max="13071" width="1.7109375" style="1414" customWidth="1"/>
    <col min="13072" max="13073" width="6.5703125" style="1414" customWidth="1"/>
    <col min="13074" max="13074" width="1.7109375" style="1414" customWidth="1"/>
    <col min="13075" max="13075" width="6.5703125" style="1414" customWidth="1"/>
    <col min="13076" max="13076" width="12.7109375" style="1414" customWidth="1"/>
    <col min="13077" max="13077" width="16.5703125" style="1414" customWidth="1"/>
    <col min="13078" max="13079" width="9.5703125" style="1414" customWidth="1"/>
    <col min="13080" max="13080" width="16" style="1414" bestFit="1" customWidth="1"/>
    <col min="13081" max="13081" width="4.5703125" style="1414" customWidth="1"/>
    <col min="13082" max="13086" width="9.140625" style="1414"/>
    <col min="13087" max="13087" width="11.5703125" style="1414" bestFit="1" customWidth="1"/>
    <col min="13088" max="13312" width="9.140625" style="1414"/>
    <col min="13313" max="13313" width="4.5703125" style="1414" customWidth="1"/>
    <col min="13314" max="13314" width="6.5703125" style="1414" customWidth="1"/>
    <col min="13315" max="13315" width="1.7109375" style="1414" customWidth="1"/>
    <col min="13316" max="13317" width="6.5703125" style="1414" customWidth="1"/>
    <col min="13318" max="13318" width="1.7109375" style="1414" customWidth="1"/>
    <col min="13319" max="13319" width="6.5703125" style="1414" customWidth="1"/>
    <col min="13320" max="13320" width="12.7109375" style="1414" customWidth="1"/>
    <col min="13321" max="13321" width="15.140625" style="1414" customWidth="1"/>
    <col min="13322" max="13323" width="9.5703125" style="1414" customWidth="1"/>
    <col min="13324" max="13324" width="16" style="1414" bestFit="1" customWidth="1"/>
    <col min="13325" max="13325" width="2.7109375" style="1414" customWidth="1"/>
    <col min="13326" max="13326" width="6.5703125" style="1414" customWidth="1"/>
    <col min="13327" max="13327" width="1.7109375" style="1414" customWidth="1"/>
    <col min="13328" max="13329" width="6.5703125" style="1414" customWidth="1"/>
    <col min="13330" max="13330" width="1.7109375" style="1414" customWidth="1"/>
    <col min="13331" max="13331" width="6.5703125" style="1414" customWidth="1"/>
    <col min="13332" max="13332" width="12.7109375" style="1414" customWidth="1"/>
    <col min="13333" max="13333" width="16.5703125" style="1414" customWidth="1"/>
    <col min="13334" max="13335" width="9.5703125" style="1414" customWidth="1"/>
    <col min="13336" max="13336" width="16" style="1414" bestFit="1" customWidth="1"/>
    <col min="13337" max="13337" width="4.5703125" style="1414" customWidth="1"/>
    <col min="13338" max="13342" width="9.140625" style="1414"/>
    <col min="13343" max="13343" width="11.5703125" style="1414" bestFit="1" customWidth="1"/>
    <col min="13344" max="13568" width="9.140625" style="1414"/>
    <col min="13569" max="13569" width="4.5703125" style="1414" customWidth="1"/>
    <col min="13570" max="13570" width="6.5703125" style="1414" customWidth="1"/>
    <col min="13571" max="13571" width="1.7109375" style="1414" customWidth="1"/>
    <col min="13572" max="13573" width="6.5703125" style="1414" customWidth="1"/>
    <col min="13574" max="13574" width="1.7109375" style="1414" customWidth="1"/>
    <col min="13575" max="13575" width="6.5703125" style="1414" customWidth="1"/>
    <col min="13576" max="13576" width="12.7109375" style="1414" customWidth="1"/>
    <col min="13577" max="13577" width="15.140625" style="1414" customWidth="1"/>
    <col min="13578" max="13579" width="9.5703125" style="1414" customWidth="1"/>
    <col min="13580" max="13580" width="16" style="1414" bestFit="1" customWidth="1"/>
    <col min="13581" max="13581" width="2.7109375" style="1414" customWidth="1"/>
    <col min="13582" max="13582" width="6.5703125" style="1414" customWidth="1"/>
    <col min="13583" max="13583" width="1.7109375" style="1414" customWidth="1"/>
    <col min="13584" max="13585" width="6.5703125" style="1414" customWidth="1"/>
    <col min="13586" max="13586" width="1.7109375" style="1414" customWidth="1"/>
    <col min="13587" max="13587" width="6.5703125" style="1414" customWidth="1"/>
    <col min="13588" max="13588" width="12.7109375" style="1414" customWidth="1"/>
    <col min="13589" max="13589" width="16.5703125" style="1414" customWidth="1"/>
    <col min="13590" max="13591" width="9.5703125" style="1414" customWidth="1"/>
    <col min="13592" max="13592" width="16" style="1414" bestFit="1" customWidth="1"/>
    <col min="13593" max="13593" width="4.5703125" style="1414" customWidth="1"/>
    <col min="13594" max="13598" width="9.140625" style="1414"/>
    <col min="13599" max="13599" width="11.5703125" style="1414" bestFit="1" customWidth="1"/>
    <col min="13600" max="13824" width="9.140625" style="1414"/>
    <col min="13825" max="13825" width="4.5703125" style="1414" customWidth="1"/>
    <col min="13826" max="13826" width="6.5703125" style="1414" customWidth="1"/>
    <col min="13827" max="13827" width="1.7109375" style="1414" customWidth="1"/>
    <col min="13828" max="13829" width="6.5703125" style="1414" customWidth="1"/>
    <col min="13830" max="13830" width="1.7109375" style="1414" customWidth="1"/>
    <col min="13831" max="13831" width="6.5703125" style="1414" customWidth="1"/>
    <col min="13832" max="13832" width="12.7109375" style="1414" customWidth="1"/>
    <col min="13833" max="13833" width="15.140625" style="1414" customWidth="1"/>
    <col min="13834" max="13835" width="9.5703125" style="1414" customWidth="1"/>
    <col min="13836" max="13836" width="16" style="1414" bestFit="1" customWidth="1"/>
    <col min="13837" max="13837" width="2.7109375" style="1414" customWidth="1"/>
    <col min="13838" max="13838" width="6.5703125" style="1414" customWidth="1"/>
    <col min="13839" max="13839" width="1.7109375" style="1414" customWidth="1"/>
    <col min="13840" max="13841" width="6.5703125" style="1414" customWidth="1"/>
    <col min="13842" max="13842" width="1.7109375" style="1414" customWidth="1"/>
    <col min="13843" max="13843" width="6.5703125" style="1414" customWidth="1"/>
    <col min="13844" max="13844" width="12.7109375" style="1414" customWidth="1"/>
    <col min="13845" max="13845" width="16.5703125" style="1414" customWidth="1"/>
    <col min="13846" max="13847" width="9.5703125" style="1414" customWidth="1"/>
    <col min="13848" max="13848" width="16" style="1414" bestFit="1" customWidth="1"/>
    <col min="13849" max="13849" width="4.5703125" style="1414" customWidth="1"/>
    <col min="13850" max="13854" width="9.140625" style="1414"/>
    <col min="13855" max="13855" width="11.5703125" style="1414" bestFit="1" customWidth="1"/>
    <col min="13856" max="14080" width="9.140625" style="1414"/>
    <col min="14081" max="14081" width="4.5703125" style="1414" customWidth="1"/>
    <col min="14082" max="14082" width="6.5703125" style="1414" customWidth="1"/>
    <col min="14083" max="14083" width="1.7109375" style="1414" customWidth="1"/>
    <col min="14084" max="14085" width="6.5703125" style="1414" customWidth="1"/>
    <col min="14086" max="14086" width="1.7109375" style="1414" customWidth="1"/>
    <col min="14087" max="14087" width="6.5703125" style="1414" customWidth="1"/>
    <col min="14088" max="14088" width="12.7109375" style="1414" customWidth="1"/>
    <col min="14089" max="14089" width="15.140625" style="1414" customWidth="1"/>
    <col min="14090" max="14091" width="9.5703125" style="1414" customWidth="1"/>
    <col min="14092" max="14092" width="16" style="1414" bestFit="1" customWidth="1"/>
    <col min="14093" max="14093" width="2.7109375" style="1414" customWidth="1"/>
    <col min="14094" max="14094" width="6.5703125" style="1414" customWidth="1"/>
    <col min="14095" max="14095" width="1.7109375" style="1414" customWidth="1"/>
    <col min="14096" max="14097" width="6.5703125" style="1414" customWidth="1"/>
    <col min="14098" max="14098" width="1.7109375" style="1414" customWidth="1"/>
    <col min="14099" max="14099" width="6.5703125" style="1414" customWidth="1"/>
    <col min="14100" max="14100" width="12.7109375" style="1414" customWidth="1"/>
    <col min="14101" max="14101" width="16.5703125" style="1414" customWidth="1"/>
    <col min="14102" max="14103" width="9.5703125" style="1414" customWidth="1"/>
    <col min="14104" max="14104" width="16" style="1414" bestFit="1" customWidth="1"/>
    <col min="14105" max="14105" width="4.5703125" style="1414" customWidth="1"/>
    <col min="14106" max="14110" width="9.140625" style="1414"/>
    <col min="14111" max="14111" width="11.5703125" style="1414" bestFit="1" customWidth="1"/>
    <col min="14112" max="14336" width="9.140625" style="1414"/>
    <col min="14337" max="14337" width="4.5703125" style="1414" customWidth="1"/>
    <col min="14338" max="14338" width="6.5703125" style="1414" customWidth="1"/>
    <col min="14339" max="14339" width="1.7109375" style="1414" customWidth="1"/>
    <col min="14340" max="14341" width="6.5703125" style="1414" customWidth="1"/>
    <col min="14342" max="14342" width="1.7109375" style="1414" customWidth="1"/>
    <col min="14343" max="14343" width="6.5703125" style="1414" customWidth="1"/>
    <col min="14344" max="14344" width="12.7109375" style="1414" customWidth="1"/>
    <col min="14345" max="14345" width="15.140625" style="1414" customWidth="1"/>
    <col min="14346" max="14347" width="9.5703125" style="1414" customWidth="1"/>
    <col min="14348" max="14348" width="16" style="1414" bestFit="1" customWidth="1"/>
    <col min="14349" max="14349" width="2.7109375" style="1414" customWidth="1"/>
    <col min="14350" max="14350" width="6.5703125" style="1414" customWidth="1"/>
    <col min="14351" max="14351" width="1.7109375" style="1414" customWidth="1"/>
    <col min="14352" max="14353" width="6.5703125" style="1414" customWidth="1"/>
    <col min="14354" max="14354" width="1.7109375" style="1414" customWidth="1"/>
    <col min="14355" max="14355" width="6.5703125" style="1414" customWidth="1"/>
    <col min="14356" max="14356" width="12.7109375" style="1414" customWidth="1"/>
    <col min="14357" max="14357" width="16.5703125" style="1414" customWidth="1"/>
    <col min="14358" max="14359" width="9.5703125" style="1414" customWidth="1"/>
    <col min="14360" max="14360" width="16" style="1414" bestFit="1" customWidth="1"/>
    <col min="14361" max="14361" width="4.5703125" style="1414" customWidth="1"/>
    <col min="14362" max="14366" width="9.140625" style="1414"/>
    <col min="14367" max="14367" width="11.5703125" style="1414" bestFit="1" customWidth="1"/>
    <col min="14368" max="14592" width="9.140625" style="1414"/>
    <col min="14593" max="14593" width="4.5703125" style="1414" customWidth="1"/>
    <col min="14594" max="14594" width="6.5703125" style="1414" customWidth="1"/>
    <col min="14595" max="14595" width="1.7109375" style="1414" customWidth="1"/>
    <col min="14596" max="14597" width="6.5703125" style="1414" customWidth="1"/>
    <col min="14598" max="14598" width="1.7109375" style="1414" customWidth="1"/>
    <col min="14599" max="14599" width="6.5703125" style="1414" customWidth="1"/>
    <col min="14600" max="14600" width="12.7109375" style="1414" customWidth="1"/>
    <col min="14601" max="14601" width="15.140625" style="1414" customWidth="1"/>
    <col min="14602" max="14603" width="9.5703125" style="1414" customWidth="1"/>
    <col min="14604" max="14604" width="16" style="1414" bestFit="1" customWidth="1"/>
    <col min="14605" max="14605" width="2.7109375" style="1414" customWidth="1"/>
    <col min="14606" max="14606" width="6.5703125" style="1414" customWidth="1"/>
    <col min="14607" max="14607" width="1.7109375" style="1414" customWidth="1"/>
    <col min="14608" max="14609" width="6.5703125" style="1414" customWidth="1"/>
    <col min="14610" max="14610" width="1.7109375" style="1414" customWidth="1"/>
    <col min="14611" max="14611" width="6.5703125" style="1414" customWidth="1"/>
    <col min="14612" max="14612" width="12.7109375" style="1414" customWidth="1"/>
    <col min="14613" max="14613" width="16.5703125" style="1414" customWidth="1"/>
    <col min="14614" max="14615" width="9.5703125" style="1414" customWidth="1"/>
    <col min="14616" max="14616" width="16" style="1414" bestFit="1" customWidth="1"/>
    <col min="14617" max="14617" width="4.5703125" style="1414" customWidth="1"/>
    <col min="14618" max="14622" width="9.140625" style="1414"/>
    <col min="14623" max="14623" width="11.5703125" style="1414" bestFit="1" customWidth="1"/>
    <col min="14624" max="14848" width="9.140625" style="1414"/>
    <col min="14849" max="14849" width="4.5703125" style="1414" customWidth="1"/>
    <col min="14850" max="14850" width="6.5703125" style="1414" customWidth="1"/>
    <col min="14851" max="14851" width="1.7109375" style="1414" customWidth="1"/>
    <col min="14852" max="14853" width="6.5703125" style="1414" customWidth="1"/>
    <col min="14854" max="14854" width="1.7109375" style="1414" customWidth="1"/>
    <col min="14855" max="14855" width="6.5703125" style="1414" customWidth="1"/>
    <col min="14856" max="14856" width="12.7109375" style="1414" customWidth="1"/>
    <col min="14857" max="14857" width="15.140625" style="1414" customWidth="1"/>
    <col min="14858" max="14859" width="9.5703125" style="1414" customWidth="1"/>
    <col min="14860" max="14860" width="16" style="1414" bestFit="1" customWidth="1"/>
    <col min="14861" max="14861" width="2.7109375" style="1414" customWidth="1"/>
    <col min="14862" max="14862" width="6.5703125" style="1414" customWidth="1"/>
    <col min="14863" max="14863" width="1.7109375" style="1414" customWidth="1"/>
    <col min="14864" max="14865" width="6.5703125" style="1414" customWidth="1"/>
    <col min="14866" max="14866" width="1.7109375" style="1414" customWidth="1"/>
    <col min="14867" max="14867" width="6.5703125" style="1414" customWidth="1"/>
    <col min="14868" max="14868" width="12.7109375" style="1414" customWidth="1"/>
    <col min="14869" max="14869" width="16.5703125" style="1414" customWidth="1"/>
    <col min="14870" max="14871" width="9.5703125" style="1414" customWidth="1"/>
    <col min="14872" max="14872" width="16" style="1414" bestFit="1" customWidth="1"/>
    <col min="14873" max="14873" width="4.5703125" style="1414" customWidth="1"/>
    <col min="14874" max="14878" width="9.140625" style="1414"/>
    <col min="14879" max="14879" width="11.5703125" style="1414" bestFit="1" customWidth="1"/>
    <col min="14880" max="15104" width="9.140625" style="1414"/>
    <col min="15105" max="15105" width="4.5703125" style="1414" customWidth="1"/>
    <col min="15106" max="15106" width="6.5703125" style="1414" customWidth="1"/>
    <col min="15107" max="15107" width="1.7109375" style="1414" customWidth="1"/>
    <col min="15108" max="15109" width="6.5703125" style="1414" customWidth="1"/>
    <col min="15110" max="15110" width="1.7109375" style="1414" customWidth="1"/>
    <col min="15111" max="15111" width="6.5703125" style="1414" customWidth="1"/>
    <col min="15112" max="15112" width="12.7109375" style="1414" customWidth="1"/>
    <col min="15113" max="15113" width="15.140625" style="1414" customWidth="1"/>
    <col min="15114" max="15115" width="9.5703125" style="1414" customWidth="1"/>
    <col min="15116" max="15116" width="16" style="1414" bestFit="1" customWidth="1"/>
    <col min="15117" max="15117" width="2.7109375" style="1414" customWidth="1"/>
    <col min="15118" max="15118" width="6.5703125" style="1414" customWidth="1"/>
    <col min="15119" max="15119" width="1.7109375" style="1414" customWidth="1"/>
    <col min="15120" max="15121" width="6.5703125" style="1414" customWidth="1"/>
    <col min="15122" max="15122" width="1.7109375" style="1414" customWidth="1"/>
    <col min="15123" max="15123" width="6.5703125" style="1414" customWidth="1"/>
    <col min="15124" max="15124" width="12.7109375" style="1414" customWidth="1"/>
    <col min="15125" max="15125" width="16.5703125" style="1414" customWidth="1"/>
    <col min="15126" max="15127" width="9.5703125" style="1414" customWidth="1"/>
    <col min="15128" max="15128" width="16" style="1414" bestFit="1" customWidth="1"/>
    <col min="15129" max="15129" width="4.5703125" style="1414" customWidth="1"/>
    <col min="15130" max="15134" width="9.140625" style="1414"/>
    <col min="15135" max="15135" width="11.5703125" style="1414" bestFit="1" customWidth="1"/>
    <col min="15136" max="15360" width="9.140625" style="1414"/>
    <col min="15361" max="15361" width="4.5703125" style="1414" customWidth="1"/>
    <col min="15362" max="15362" width="6.5703125" style="1414" customWidth="1"/>
    <col min="15363" max="15363" width="1.7109375" style="1414" customWidth="1"/>
    <col min="15364" max="15365" width="6.5703125" style="1414" customWidth="1"/>
    <col min="15366" max="15366" width="1.7109375" style="1414" customWidth="1"/>
    <col min="15367" max="15367" width="6.5703125" style="1414" customWidth="1"/>
    <col min="15368" max="15368" width="12.7109375" style="1414" customWidth="1"/>
    <col min="15369" max="15369" width="15.140625" style="1414" customWidth="1"/>
    <col min="15370" max="15371" width="9.5703125" style="1414" customWidth="1"/>
    <col min="15372" max="15372" width="16" style="1414" bestFit="1" customWidth="1"/>
    <col min="15373" max="15373" width="2.7109375" style="1414" customWidth="1"/>
    <col min="15374" max="15374" width="6.5703125" style="1414" customWidth="1"/>
    <col min="15375" max="15375" width="1.7109375" style="1414" customWidth="1"/>
    <col min="15376" max="15377" width="6.5703125" style="1414" customWidth="1"/>
    <col min="15378" max="15378" width="1.7109375" style="1414" customWidth="1"/>
    <col min="15379" max="15379" width="6.5703125" style="1414" customWidth="1"/>
    <col min="15380" max="15380" width="12.7109375" style="1414" customWidth="1"/>
    <col min="15381" max="15381" width="16.5703125" style="1414" customWidth="1"/>
    <col min="15382" max="15383" width="9.5703125" style="1414" customWidth="1"/>
    <col min="15384" max="15384" width="16" style="1414" bestFit="1" customWidth="1"/>
    <col min="15385" max="15385" width="4.5703125" style="1414" customWidth="1"/>
    <col min="15386" max="15390" width="9.140625" style="1414"/>
    <col min="15391" max="15391" width="11.5703125" style="1414" bestFit="1" customWidth="1"/>
    <col min="15392" max="15616" width="9.140625" style="1414"/>
    <col min="15617" max="15617" width="4.5703125" style="1414" customWidth="1"/>
    <col min="15618" max="15618" width="6.5703125" style="1414" customWidth="1"/>
    <col min="15619" max="15619" width="1.7109375" style="1414" customWidth="1"/>
    <col min="15620" max="15621" width="6.5703125" style="1414" customWidth="1"/>
    <col min="15622" max="15622" width="1.7109375" style="1414" customWidth="1"/>
    <col min="15623" max="15623" width="6.5703125" style="1414" customWidth="1"/>
    <col min="15624" max="15624" width="12.7109375" style="1414" customWidth="1"/>
    <col min="15625" max="15625" width="15.140625" style="1414" customWidth="1"/>
    <col min="15626" max="15627" width="9.5703125" style="1414" customWidth="1"/>
    <col min="15628" max="15628" width="16" style="1414" bestFit="1" customWidth="1"/>
    <col min="15629" max="15629" width="2.7109375" style="1414" customWidth="1"/>
    <col min="15630" max="15630" width="6.5703125" style="1414" customWidth="1"/>
    <col min="15631" max="15631" width="1.7109375" style="1414" customWidth="1"/>
    <col min="15632" max="15633" width="6.5703125" style="1414" customWidth="1"/>
    <col min="15634" max="15634" width="1.7109375" style="1414" customWidth="1"/>
    <col min="15635" max="15635" width="6.5703125" style="1414" customWidth="1"/>
    <col min="15636" max="15636" width="12.7109375" style="1414" customWidth="1"/>
    <col min="15637" max="15637" width="16.5703125" style="1414" customWidth="1"/>
    <col min="15638" max="15639" width="9.5703125" style="1414" customWidth="1"/>
    <col min="15640" max="15640" width="16" style="1414" bestFit="1" customWidth="1"/>
    <col min="15641" max="15641" width="4.5703125" style="1414" customWidth="1"/>
    <col min="15642" max="15646" width="9.140625" style="1414"/>
    <col min="15647" max="15647" width="11.5703125" style="1414" bestFit="1" customWidth="1"/>
    <col min="15648" max="15872" width="9.140625" style="1414"/>
    <col min="15873" max="15873" width="4.5703125" style="1414" customWidth="1"/>
    <col min="15874" max="15874" width="6.5703125" style="1414" customWidth="1"/>
    <col min="15875" max="15875" width="1.7109375" style="1414" customWidth="1"/>
    <col min="15876" max="15877" width="6.5703125" style="1414" customWidth="1"/>
    <col min="15878" max="15878" width="1.7109375" style="1414" customWidth="1"/>
    <col min="15879" max="15879" width="6.5703125" style="1414" customWidth="1"/>
    <col min="15880" max="15880" width="12.7109375" style="1414" customWidth="1"/>
    <col min="15881" max="15881" width="15.140625" style="1414" customWidth="1"/>
    <col min="15882" max="15883" width="9.5703125" style="1414" customWidth="1"/>
    <col min="15884" max="15884" width="16" style="1414" bestFit="1" customWidth="1"/>
    <col min="15885" max="15885" width="2.7109375" style="1414" customWidth="1"/>
    <col min="15886" max="15886" width="6.5703125" style="1414" customWidth="1"/>
    <col min="15887" max="15887" width="1.7109375" style="1414" customWidth="1"/>
    <col min="15888" max="15889" width="6.5703125" style="1414" customWidth="1"/>
    <col min="15890" max="15890" width="1.7109375" style="1414" customWidth="1"/>
    <col min="15891" max="15891" width="6.5703125" style="1414" customWidth="1"/>
    <col min="15892" max="15892" width="12.7109375" style="1414" customWidth="1"/>
    <col min="15893" max="15893" width="16.5703125" style="1414" customWidth="1"/>
    <col min="15894" max="15895" width="9.5703125" style="1414" customWidth="1"/>
    <col min="15896" max="15896" width="16" style="1414" bestFit="1" customWidth="1"/>
    <col min="15897" max="15897" width="4.5703125" style="1414" customWidth="1"/>
    <col min="15898" max="15902" width="9.140625" style="1414"/>
    <col min="15903" max="15903" width="11.5703125" style="1414" bestFit="1" customWidth="1"/>
    <col min="15904" max="16128" width="9.140625" style="1414"/>
    <col min="16129" max="16129" width="4.5703125" style="1414" customWidth="1"/>
    <col min="16130" max="16130" width="6.5703125" style="1414" customWidth="1"/>
    <col min="16131" max="16131" width="1.7109375" style="1414" customWidth="1"/>
    <col min="16132" max="16133" width="6.5703125" style="1414" customWidth="1"/>
    <col min="16134" max="16134" width="1.7109375" style="1414" customWidth="1"/>
    <col min="16135" max="16135" width="6.5703125" style="1414" customWidth="1"/>
    <col min="16136" max="16136" width="12.7109375" style="1414" customWidth="1"/>
    <col min="16137" max="16137" width="15.140625" style="1414" customWidth="1"/>
    <col min="16138" max="16139" width="9.5703125" style="1414" customWidth="1"/>
    <col min="16140" max="16140" width="16" style="1414" bestFit="1" customWidth="1"/>
    <col min="16141" max="16141" width="2.7109375" style="1414" customWidth="1"/>
    <col min="16142" max="16142" width="6.5703125" style="1414" customWidth="1"/>
    <col min="16143" max="16143" width="1.7109375" style="1414" customWidth="1"/>
    <col min="16144" max="16145" width="6.5703125" style="1414" customWidth="1"/>
    <col min="16146" max="16146" width="1.7109375" style="1414" customWidth="1"/>
    <col min="16147" max="16147" width="6.5703125" style="1414" customWidth="1"/>
    <col min="16148" max="16148" width="12.7109375" style="1414" customWidth="1"/>
    <col min="16149" max="16149" width="16.5703125" style="1414" customWidth="1"/>
    <col min="16150" max="16151" width="9.5703125" style="1414" customWidth="1"/>
    <col min="16152" max="16152" width="16" style="1414" bestFit="1" customWidth="1"/>
    <col min="16153" max="16153" width="4.5703125" style="1414" customWidth="1"/>
    <col min="16154" max="16158" width="9.140625" style="1414"/>
    <col min="16159" max="16159" width="11.5703125" style="1414" bestFit="1" customWidth="1"/>
    <col min="16160" max="16384" width="9.140625" style="1414"/>
  </cols>
  <sheetData>
    <row r="1" spans="1:31">
      <c r="A1" s="1199"/>
      <c r="B1" s="1201"/>
      <c r="C1" s="1201"/>
      <c r="D1" s="1201"/>
      <c r="E1" s="1201"/>
      <c r="F1" s="1201"/>
      <c r="G1" s="1201"/>
      <c r="H1" s="1201"/>
      <c r="I1" s="1201"/>
      <c r="J1" s="1201"/>
      <c r="K1" s="1201"/>
      <c r="L1" s="1201"/>
      <c r="M1" s="1201"/>
      <c r="N1" s="1201"/>
      <c r="O1" s="1201"/>
      <c r="P1" s="1201"/>
      <c r="Q1" s="1201"/>
      <c r="R1" s="1201"/>
      <c r="S1" s="1201"/>
      <c r="T1" s="1201"/>
      <c r="U1" s="1201"/>
      <c r="V1" s="1201"/>
      <c r="W1" s="1201"/>
      <c r="X1" s="1201"/>
      <c r="Y1" s="1203"/>
    </row>
    <row r="2" spans="1:31" ht="12.75" customHeight="1">
      <c r="A2" s="1415"/>
      <c r="B2" s="2338" t="s">
        <v>1337</v>
      </c>
      <c r="C2" s="2338"/>
      <c r="D2" s="2338"/>
      <c r="E2" s="2338"/>
      <c r="F2" s="2338"/>
      <c r="G2" s="2338"/>
      <c r="H2" s="2338"/>
      <c r="I2" s="2338"/>
      <c r="J2" s="2338"/>
      <c r="K2" s="2338"/>
      <c r="L2" s="2338"/>
      <c r="M2" s="2338"/>
      <c r="N2" s="2338"/>
      <c r="O2" s="2338"/>
      <c r="P2" s="2338"/>
      <c r="Q2" s="2338"/>
      <c r="R2" s="2338"/>
      <c r="S2" s="2338"/>
      <c r="T2" s="2338"/>
      <c r="U2" s="2338"/>
      <c r="V2" s="2338"/>
      <c r="W2" s="2338"/>
      <c r="X2" s="2338"/>
      <c r="Y2" s="1416"/>
    </row>
    <row r="3" spans="1:31" ht="9.9499999999999993" customHeight="1">
      <c r="A3" s="1415"/>
      <c r="B3" s="2338"/>
      <c r="C3" s="2338"/>
      <c r="D3" s="2338"/>
      <c r="E3" s="2338"/>
      <c r="F3" s="2338"/>
      <c r="G3" s="2338"/>
      <c r="H3" s="2338"/>
      <c r="I3" s="2338"/>
      <c r="J3" s="2338"/>
      <c r="K3" s="2338"/>
      <c r="L3" s="2338"/>
      <c r="M3" s="2338"/>
      <c r="N3" s="2338"/>
      <c r="O3" s="2338"/>
      <c r="P3" s="2338"/>
      <c r="Q3" s="2338"/>
      <c r="R3" s="2338"/>
      <c r="S3" s="2338"/>
      <c r="T3" s="2338"/>
      <c r="U3" s="2338"/>
      <c r="V3" s="2338"/>
      <c r="W3" s="2338"/>
      <c r="X3" s="2338"/>
      <c r="Y3" s="1416"/>
    </row>
    <row r="4" spans="1:31" ht="9.9499999999999993" customHeight="1">
      <c r="A4" s="1415"/>
      <c r="B4" s="1417"/>
      <c r="C4" s="1417"/>
      <c r="D4" s="1417"/>
      <c r="E4" s="1417"/>
      <c r="F4" s="1417"/>
      <c r="G4" s="1417"/>
      <c r="H4" s="1417"/>
      <c r="I4" s="1417"/>
      <c r="J4" s="1417"/>
      <c r="K4" s="1417"/>
      <c r="L4" s="1417"/>
      <c r="M4" s="1418"/>
      <c r="N4" s="1417"/>
      <c r="O4" s="1417"/>
      <c r="P4" s="1417"/>
      <c r="Q4" s="1417"/>
      <c r="R4" s="1417"/>
      <c r="S4" s="1417"/>
      <c r="T4" s="1417"/>
      <c r="U4" s="1417"/>
      <c r="V4" s="1417"/>
      <c r="W4" s="1417"/>
      <c r="X4" s="1417"/>
      <c r="Y4" s="1416"/>
    </row>
    <row r="5" spans="1:31" ht="12.75" customHeight="1">
      <c r="A5" s="1415"/>
      <c r="B5" s="2339" t="s">
        <v>272</v>
      </c>
      <c r="C5" s="2340"/>
      <c r="D5" s="2340"/>
      <c r="E5" s="2340"/>
      <c r="F5" s="2340"/>
      <c r="G5" s="2340"/>
      <c r="H5" s="2341" t="s">
        <v>251</v>
      </c>
      <c r="I5" s="2343" t="s">
        <v>1338</v>
      </c>
      <c r="J5" s="2343"/>
      <c r="K5" s="2343"/>
      <c r="L5" s="1419" t="s">
        <v>1339</v>
      </c>
      <c r="M5" s="1420"/>
      <c r="N5" s="2339" t="s">
        <v>272</v>
      </c>
      <c r="O5" s="2340"/>
      <c r="P5" s="2340"/>
      <c r="Q5" s="2340"/>
      <c r="R5" s="2340"/>
      <c r="S5" s="2340"/>
      <c r="T5" s="2341" t="s">
        <v>251</v>
      </c>
      <c r="U5" s="2343" t="s">
        <v>1338</v>
      </c>
      <c r="V5" s="2343"/>
      <c r="W5" s="2343"/>
      <c r="X5" s="1419" t="s">
        <v>1339</v>
      </c>
      <c r="Y5" s="1416"/>
    </row>
    <row r="6" spans="1:31" ht="12.75" customHeight="1">
      <c r="A6" s="1415"/>
      <c r="B6" s="2344" t="s">
        <v>253</v>
      </c>
      <c r="C6" s="2345"/>
      <c r="D6" s="2345"/>
      <c r="E6" s="2345" t="s">
        <v>1340</v>
      </c>
      <c r="F6" s="2345"/>
      <c r="G6" s="2345"/>
      <c r="H6" s="2342"/>
      <c r="I6" s="1421" t="s">
        <v>1341</v>
      </c>
      <c r="J6" s="1421" t="s">
        <v>1342</v>
      </c>
      <c r="K6" s="1421" t="s">
        <v>1343</v>
      </c>
      <c r="L6" s="1422" t="s">
        <v>1344</v>
      </c>
      <c r="M6" s="1420"/>
      <c r="N6" s="2344" t="s">
        <v>253</v>
      </c>
      <c r="O6" s="2345"/>
      <c r="P6" s="2345"/>
      <c r="Q6" s="2345" t="s">
        <v>1340</v>
      </c>
      <c r="R6" s="2345"/>
      <c r="S6" s="2345"/>
      <c r="T6" s="2342"/>
      <c r="U6" s="1421" t="s">
        <v>1341</v>
      </c>
      <c r="V6" s="1421" t="s">
        <v>1342</v>
      </c>
      <c r="W6" s="1421" t="s">
        <v>1343</v>
      </c>
      <c r="X6" s="1422" t="s">
        <v>1344</v>
      </c>
      <c r="Y6" s="1416"/>
    </row>
    <row r="7" spans="1:31" ht="15.75" customHeight="1">
      <c r="A7" s="1415"/>
      <c r="B7" s="2354" t="s">
        <v>1345</v>
      </c>
      <c r="C7" s="2355"/>
      <c r="D7" s="2355"/>
      <c r="E7" s="2355"/>
      <c r="F7" s="2355"/>
      <c r="G7" s="2355"/>
      <c r="H7" s="2355"/>
      <c r="I7" s="2355"/>
      <c r="J7" s="2355"/>
      <c r="K7" s="2355"/>
      <c r="L7" s="2356"/>
      <c r="M7" s="1423"/>
      <c r="N7" s="2346" t="s">
        <v>1346</v>
      </c>
      <c r="O7" s="2347"/>
      <c r="P7" s="2347"/>
      <c r="Q7" s="2347"/>
      <c r="R7" s="2347"/>
      <c r="S7" s="2347"/>
      <c r="T7" s="2347"/>
      <c r="U7" s="2347"/>
      <c r="V7" s="2347"/>
      <c r="W7" s="2347"/>
      <c r="X7" s="2348"/>
      <c r="Y7" s="1416"/>
    </row>
    <row r="8" spans="1:31" ht="12.75" customHeight="1">
      <c r="A8" s="1415"/>
      <c r="B8" s="2349" t="s">
        <v>1347</v>
      </c>
      <c r="C8" s="2350"/>
      <c r="D8" s="2350"/>
      <c r="E8" s="2350"/>
      <c r="F8" s="2350"/>
      <c r="G8" s="2350"/>
      <c r="H8" s="2350"/>
      <c r="I8" s="2350"/>
      <c r="J8" s="2350"/>
      <c r="K8" s="2350"/>
      <c r="L8" s="2351"/>
      <c r="M8" s="1424"/>
      <c r="N8" s="2349" t="s">
        <v>1347</v>
      </c>
      <c r="O8" s="2350"/>
      <c r="P8" s="2350"/>
      <c r="Q8" s="2350"/>
      <c r="R8" s="2350"/>
      <c r="S8" s="2350"/>
      <c r="T8" s="2350"/>
      <c r="U8" s="2350"/>
      <c r="V8" s="2350"/>
      <c r="W8" s="2350"/>
      <c r="X8" s="2351"/>
      <c r="Y8" s="1416"/>
    </row>
    <row r="9" spans="1:31" ht="12.75" customHeight="1">
      <c r="A9" s="1415"/>
      <c r="B9" s="1425">
        <v>117</v>
      </c>
      <c r="C9" s="1426" t="s">
        <v>605</v>
      </c>
      <c r="D9" s="1427">
        <v>0</v>
      </c>
      <c r="E9" s="1428">
        <v>121</v>
      </c>
      <c r="F9" s="1426" t="s">
        <v>605</v>
      </c>
      <c r="G9" s="1427">
        <v>0</v>
      </c>
      <c r="H9" s="1429" t="s">
        <v>260</v>
      </c>
      <c r="I9" s="1430">
        <f>(E9-B9)*20+(G9-D9)</f>
        <v>80</v>
      </c>
      <c r="J9" s="1431">
        <v>1.8</v>
      </c>
      <c r="K9" s="1431">
        <f>(L9/(I9*J9))</f>
        <v>8.3333333333333329E-2</v>
      </c>
      <c r="L9" s="1432">
        <v>12</v>
      </c>
      <c r="M9" s="1424"/>
      <c r="N9" s="1433">
        <v>92</v>
      </c>
      <c r="O9" s="1426" t="s">
        <v>605</v>
      </c>
      <c r="P9" s="1434">
        <v>1.59</v>
      </c>
      <c r="Q9" s="1435">
        <v>117</v>
      </c>
      <c r="R9" s="1426" t="s">
        <v>605</v>
      </c>
      <c r="S9" s="1427">
        <v>0</v>
      </c>
      <c r="T9" s="1429" t="s">
        <v>260</v>
      </c>
      <c r="U9" s="1430">
        <f>(Q9-N9)*20+(S9-P9)</f>
        <v>498.41</v>
      </c>
      <c r="V9" s="1436">
        <v>1.41</v>
      </c>
      <c r="W9" s="1437">
        <f>(X9/(U9*V9))</f>
        <v>1.3731609781516569</v>
      </c>
      <c r="X9" s="1438">
        <v>965</v>
      </c>
      <c r="Y9" s="1416"/>
    </row>
    <row r="10" spans="1:31" ht="12.75" customHeight="1">
      <c r="A10" s="1415"/>
      <c r="B10" s="1425">
        <v>128</v>
      </c>
      <c r="C10" s="1426" t="s">
        <v>605</v>
      </c>
      <c r="D10" s="1427">
        <v>0</v>
      </c>
      <c r="E10" s="1428">
        <v>132</v>
      </c>
      <c r="F10" s="1426" t="s">
        <v>605</v>
      </c>
      <c r="G10" s="1434">
        <v>12.14</v>
      </c>
      <c r="H10" s="1429" t="s">
        <v>260</v>
      </c>
      <c r="I10" s="1430">
        <f>(E10-B10)*20+(G10-D10)</f>
        <v>92.14</v>
      </c>
      <c r="J10" s="1431">
        <v>1.8</v>
      </c>
      <c r="K10" s="1431">
        <f>(L10/(I10*J10))</f>
        <v>0.33162096326845619</v>
      </c>
      <c r="L10" s="1432">
        <v>55</v>
      </c>
      <c r="M10" s="1424"/>
      <c r="N10" s="1433">
        <v>121</v>
      </c>
      <c r="O10" s="1426" t="s">
        <v>605</v>
      </c>
      <c r="P10" s="1434">
        <v>0</v>
      </c>
      <c r="Q10" s="1435">
        <v>128</v>
      </c>
      <c r="R10" s="1426" t="s">
        <v>605</v>
      </c>
      <c r="S10" s="1427">
        <v>0</v>
      </c>
      <c r="T10" s="1429" t="s">
        <v>260</v>
      </c>
      <c r="U10" s="1430">
        <f>(Q10-N10)*20+(S10-P10)</f>
        <v>140</v>
      </c>
      <c r="V10" s="1436">
        <v>1.41</v>
      </c>
      <c r="W10" s="1437">
        <f>(X10/(U10*V10))</f>
        <v>0.30395136778115506</v>
      </c>
      <c r="X10" s="1438">
        <v>60</v>
      </c>
      <c r="Y10" s="1416"/>
    </row>
    <row r="11" spans="1:31" ht="12.75" customHeight="1">
      <c r="A11" s="1415"/>
      <c r="B11" s="1439"/>
      <c r="C11" s="1440"/>
      <c r="D11" s="1441"/>
      <c r="E11" s="1442"/>
      <c r="F11" s="1440"/>
      <c r="G11" s="1441"/>
      <c r="H11" s="1443"/>
      <c r="I11" s="1444"/>
      <c r="J11" s="1445"/>
      <c r="K11" s="1445"/>
      <c r="L11" s="1446"/>
      <c r="M11" s="1424"/>
      <c r="N11" s="1433"/>
      <c r="O11" s="1426"/>
      <c r="P11" s="1434"/>
      <c r="Q11" s="1435"/>
      <c r="R11" s="1426"/>
      <c r="S11" s="1434"/>
      <c r="T11" s="1429"/>
      <c r="U11" s="1430"/>
      <c r="V11" s="1436"/>
      <c r="W11" s="1437"/>
      <c r="X11" s="1438"/>
      <c r="Y11" s="1416"/>
    </row>
    <row r="12" spans="1:31" ht="12.75" customHeight="1">
      <c r="A12" s="1415"/>
      <c r="B12" s="1425"/>
      <c r="C12" s="1426"/>
      <c r="D12" s="1434"/>
      <c r="E12" s="1435"/>
      <c r="F12" s="1426"/>
      <c r="G12" s="1434"/>
      <c r="H12" s="1429"/>
      <c r="I12" s="1430"/>
      <c r="J12" s="1431"/>
      <c r="K12" s="1437"/>
      <c r="L12" s="1438"/>
      <c r="M12" s="1447"/>
      <c r="N12" s="1433"/>
      <c r="O12" s="1426"/>
      <c r="P12" s="1434"/>
      <c r="Q12" s="1435"/>
      <c r="R12" s="1426"/>
      <c r="S12" s="1434"/>
      <c r="T12" s="1429"/>
      <c r="U12" s="1448"/>
      <c r="V12" s="1436"/>
      <c r="W12" s="1449"/>
      <c r="X12" s="1438"/>
      <c r="Y12" s="1416"/>
    </row>
    <row r="13" spans="1:31" ht="12.75" customHeight="1">
      <c r="A13" s="1415"/>
      <c r="B13" s="1425"/>
      <c r="C13" s="1426"/>
      <c r="D13" s="1434"/>
      <c r="E13" s="1435"/>
      <c r="F13" s="1426"/>
      <c r="G13" s="1434"/>
      <c r="H13" s="1429"/>
      <c r="I13" s="1430"/>
      <c r="J13" s="1431"/>
      <c r="K13" s="1437"/>
      <c r="L13" s="1438"/>
      <c r="M13" s="1447"/>
      <c r="N13" s="1433"/>
      <c r="O13" s="1426"/>
      <c r="P13" s="1434"/>
      <c r="Q13" s="1435"/>
      <c r="R13" s="1426"/>
      <c r="S13" s="1434"/>
      <c r="T13" s="1429"/>
      <c r="U13" s="1448"/>
      <c r="V13" s="1436"/>
      <c r="W13" s="1449"/>
      <c r="X13" s="1438"/>
      <c r="Y13" s="1416"/>
    </row>
    <row r="14" spans="1:31" ht="13.5" customHeight="1">
      <c r="A14" s="1415"/>
      <c r="B14" s="2352" t="s">
        <v>1348</v>
      </c>
      <c r="C14" s="2353"/>
      <c r="D14" s="2353"/>
      <c r="E14" s="2353"/>
      <c r="F14" s="2353"/>
      <c r="G14" s="2353"/>
      <c r="H14" s="2353"/>
      <c r="I14" s="2353"/>
      <c r="J14" s="2353"/>
      <c r="K14" s="2353"/>
      <c r="L14" s="1450">
        <f>SUM(L8:L13)</f>
        <v>67</v>
      </c>
      <c r="M14" s="1447"/>
      <c r="N14" s="2352" t="s">
        <v>1349</v>
      </c>
      <c r="O14" s="2353"/>
      <c r="P14" s="2353"/>
      <c r="Q14" s="2353"/>
      <c r="R14" s="2353"/>
      <c r="S14" s="2353"/>
      <c r="T14" s="2353"/>
      <c r="U14" s="2353"/>
      <c r="V14" s="2353"/>
      <c r="W14" s="2353"/>
      <c r="X14" s="1450">
        <f>SUM(X8:X13)</f>
        <v>1025</v>
      </c>
      <c r="Y14" s="1416"/>
    </row>
    <row r="15" spans="1:31" ht="12.75" customHeight="1">
      <c r="A15" s="1415"/>
      <c r="B15" s="1451"/>
      <c r="C15" s="1452"/>
      <c r="D15" s="1453"/>
      <c r="E15" s="1451"/>
      <c r="F15" s="1452"/>
      <c r="G15" s="1453"/>
      <c r="H15" s="1452"/>
      <c r="I15" s="1454"/>
      <c r="J15" s="1455"/>
      <c r="K15" s="1456"/>
      <c r="L15" s="1457"/>
      <c r="M15" s="1458"/>
      <c r="N15" s="1451"/>
      <c r="O15" s="1452"/>
      <c r="P15" s="1453"/>
      <c r="Q15" s="1459"/>
      <c r="R15" s="1452"/>
      <c r="S15" s="1452"/>
      <c r="T15" s="1452"/>
      <c r="U15" s="1455"/>
      <c r="V15" s="1455"/>
      <c r="W15" s="1456"/>
      <c r="X15" s="1454"/>
      <c r="Y15" s="1416"/>
      <c r="AA15" s="1460"/>
      <c r="AB15" s="1461"/>
      <c r="AC15" s="1461"/>
      <c r="AD15" s="1461"/>
      <c r="AE15" s="1462"/>
    </row>
    <row r="16" spans="1:31" ht="12.75" customHeight="1">
      <c r="A16" s="1415"/>
      <c r="M16" s="1458"/>
      <c r="Y16" s="1416"/>
    </row>
    <row r="17" spans="1:25" ht="12.75" customHeight="1">
      <c r="A17" s="1415"/>
      <c r="B17" s="1467" t="s">
        <v>266</v>
      </c>
      <c r="Y17" s="1416"/>
    </row>
    <row r="18" spans="1:25" ht="12.75" customHeight="1">
      <c r="A18" s="1468"/>
      <c r="B18" s="1469" t="s">
        <v>1350</v>
      </c>
      <c r="C18" s="1470"/>
      <c r="D18" s="1470" t="str">
        <f>CONCATENATE("Total das Áreas de Semeadura nos Aterros  (m²): ",TEXT(SUM(L14,),"#.##0,00"))</f>
        <v>Total das Áreas de Semeadura nos Aterros  (m²): 67,00</v>
      </c>
      <c r="E18" s="1470"/>
      <c r="F18" s="1470"/>
      <c r="G18" s="1470"/>
      <c r="H18" s="1470"/>
      <c r="I18" s="1470"/>
      <c r="J18" s="1470"/>
      <c r="K18" s="1470"/>
      <c r="L18" s="1470"/>
      <c r="M18" s="1471"/>
      <c r="N18" s="1469"/>
      <c r="O18" s="1472"/>
      <c r="P18" s="1473"/>
      <c r="Q18" s="1474"/>
      <c r="R18" s="1472"/>
      <c r="S18" s="1472"/>
      <c r="T18" s="1472"/>
      <c r="U18" s="1472"/>
      <c r="V18" s="1472"/>
      <c r="W18" s="1472"/>
      <c r="X18" s="1471"/>
      <c r="Y18" s="1475"/>
    </row>
    <row r="19" spans="1:25" ht="12.75" customHeight="1">
      <c r="A19" s="1468"/>
      <c r="B19" s="1469" t="s">
        <v>1351</v>
      </c>
      <c r="C19" s="1472"/>
      <c r="D19" s="1473" t="str">
        <f>CONCATENATE("Total das Áreas de Semeadura nos Cortes  (m²): ",TEXT(SUM(X14),"#.##0,00"))</f>
        <v>Total das Áreas de Semeadura nos Cortes  (m²): 1.025,00</v>
      </c>
      <c r="E19" s="1469"/>
      <c r="F19" s="1472"/>
      <c r="G19" s="1473"/>
      <c r="H19" s="1472"/>
      <c r="I19" s="1472"/>
      <c r="J19" s="1472"/>
      <c r="K19" s="1472"/>
      <c r="L19" s="1471"/>
      <c r="M19" s="1471"/>
      <c r="N19" s="1469"/>
      <c r="O19" s="1472"/>
      <c r="P19" s="1473"/>
      <c r="Q19" s="1474"/>
      <c r="R19" s="1472"/>
      <c r="S19" s="1472"/>
      <c r="T19" s="1472"/>
      <c r="U19" s="1472"/>
      <c r="V19" s="1472"/>
      <c r="W19" s="1472"/>
      <c r="X19" s="1471"/>
      <c r="Y19" s="1475"/>
    </row>
    <row r="20" spans="1:25" ht="12.75" customHeight="1">
      <c r="A20" s="1468"/>
      <c r="B20" s="1469"/>
      <c r="C20" s="1472"/>
      <c r="D20" s="1473"/>
      <c r="E20" s="1469"/>
      <c r="F20" s="1472"/>
      <c r="G20" s="1473"/>
      <c r="H20" s="1472"/>
      <c r="I20" s="1472"/>
      <c r="J20" s="1472"/>
      <c r="K20" s="1472"/>
      <c r="L20" s="1471"/>
      <c r="M20" s="1471"/>
      <c r="N20" s="1469"/>
      <c r="O20" s="1472"/>
      <c r="P20" s="1473"/>
      <c r="Q20" s="1474"/>
      <c r="R20" s="1472"/>
      <c r="S20" s="1472"/>
      <c r="T20" s="1472"/>
      <c r="U20" s="1472"/>
      <c r="V20" s="1472"/>
      <c r="W20" s="1472"/>
      <c r="X20" s="1471"/>
      <c r="Y20" s="1475"/>
    </row>
    <row r="21" spans="1:25" ht="12.75" customHeight="1" thickBot="1">
      <c r="A21" s="1476"/>
      <c r="B21" s="1477"/>
      <c r="C21" s="1478"/>
      <c r="D21" s="1479"/>
      <c r="E21" s="1477"/>
      <c r="F21" s="1478"/>
      <c r="G21" s="1479"/>
      <c r="H21" s="1478"/>
      <c r="I21" s="1478"/>
      <c r="J21" s="1478"/>
      <c r="K21" s="1478"/>
      <c r="L21" s="1480"/>
      <c r="M21" s="1480"/>
      <c r="N21" s="1477"/>
      <c r="O21" s="1478"/>
      <c r="P21" s="1479"/>
      <c r="Q21" s="1481"/>
      <c r="R21" s="1478"/>
      <c r="S21" s="1478"/>
      <c r="T21" s="1478"/>
      <c r="U21" s="1478"/>
      <c r="V21" s="1478"/>
      <c r="W21" s="1478"/>
      <c r="X21" s="1480"/>
      <c r="Y21" s="1482"/>
    </row>
    <row r="22" spans="1:25" ht="12.75" customHeight="1"/>
    <row r="23" spans="1:25" ht="12.75" customHeight="1"/>
    <row r="24" spans="1:25" ht="12.75" customHeight="1"/>
    <row r="25" spans="1:25" ht="12.75" customHeight="1"/>
    <row r="26" spans="1:25" ht="12.75" customHeight="1"/>
    <row r="27" spans="1:25" ht="12.75" customHeight="1"/>
    <row r="28" spans="1:25" ht="12.75" customHeight="1"/>
    <row r="29" spans="1:25" ht="12.75" customHeight="1"/>
    <row r="30" spans="1:25" ht="12.75" customHeight="1"/>
    <row r="31" spans="1:25" ht="12.75" customHeight="1"/>
    <row r="32" spans="1:25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</sheetData>
  <mergeCells count="17">
    <mergeCell ref="N7:X7"/>
    <mergeCell ref="B8:L8"/>
    <mergeCell ref="N8:X8"/>
    <mergeCell ref="B14:K14"/>
    <mergeCell ref="N14:W14"/>
    <mergeCell ref="B7:L7"/>
    <mergeCell ref="B2:X3"/>
    <mergeCell ref="B5:G5"/>
    <mergeCell ref="H5:H6"/>
    <mergeCell ref="I5:K5"/>
    <mergeCell ref="N5:S5"/>
    <mergeCell ref="T5:T6"/>
    <mergeCell ref="U5:W5"/>
    <mergeCell ref="B6:D6"/>
    <mergeCell ref="E6:G6"/>
    <mergeCell ref="N6:P6"/>
    <mergeCell ref="Q6:S6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25" min="1" max="64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B0702-C859-451D-9C7B-16E7EF3D11B4}">
  <sheetPr>
    <tabColor theme="9" tint="0.59999389629810485"/>
    <pageSetUpPr fitToPage="1"/>
  </sheetPr>
  <dimension ref="A1:P233"/>
  <sheetViews>
    <sheetView showGridLines="0" zoomScale="89" zoomScaleNormal="89" zoomScaleSheetLayoutView="100" workbookViewId="0">
      <selection activeCell="D19" sqref="D19:I19"/>
    </sheetView>
  </sheetViews>
  <sheetFormatPr defaultRowHeight="12.75"/>
  <cols>
    <col min="1" max="1" width="4.5703125" style="1414" customWidth="1"/>
    <col min="2" max="2" width="6.5703125" style="1463" customWidth="1"/>
    <col min="3" max="3" width="1.7109375" style="1414" customWidth="1"/>
    <col min="4" max="4" width="6.5703125" style="1464" customWidth="1"/>
    <col min="5" max="5" width="6.5703125" style="1463" customWidth="1"/>
    <col min="6" max="6" width="1.7109375" style="1414" customWidth="1"/>
    <col min="7" max="7" width="6.5703125" style="1464" customWidth="1"/>
    <col min="8" max="8" width="12.7109375" style="1414" customWidth="1"/>
    <col min="9" max="9" width="15.140625" style="1414" customWidth="1"/>
    <col min="10" max="11" width="9.5703125" style="1414" customWidth="1"/>
    <col min="12" max="12" width="16" style="1465" bestFit="1" customWidth="1"/>
    <col min="13" max="13" width="2.7109375" style="1465" customWidth="1"/>
    <col min="14" max="14" width="4.5703125" style="1414" customWidth="1"/>
    <col min="15" max="256" width="9.140625" style="1414"/>
    <col min="257" max="257" width="4.5703125" style="1414" customWidth="1"/>
    <col min="258" max="258" width="6.5703125" style="1414" customWidth="1"/>
    <col min="259" max="259" width="1.7109375" style="1414" customWidth="1"/>
    <col min="260" max="261" width="6.5703125" style="1414" customWidth="1"/>
    <col min="262" max="262" width="1.7109375" style="1414" customWidth="1"/>
    <col min="263" max="263" width="6.5703125" style="1414" customWidth="1"/>
    <col min="264" max="264" width="12.7109375" style="1414" customWidth="1"/>
    <col min="265" max="265" width="15.140625" style="1414" customWidth="1"/>
    <col min="266" max="267" width="9.5703125" style="1414" customWidth="1"/>
    <col min="268" max="268" width="16" style="1414" bestFit="1" customWidth="1"/>
    <col min="269" max="269" width="2.7109375" style="1414" customWidth="1"/>
    <col min="270" max="270" width="4.5703125" style="1414" customWidth="1"/>
    <col min="271" max="512" width="9.140625" style="1414"/>
    <col min="513" max="513" width="4.5703125" style="1414" customWidth="1"/>
    <col min="514" max="514" width="6.5703125" style="1414" customWidth="1"/>
    <col min="515" max="515" width="1.7109375" style="1414" customWidth="1"/>
    <col min="516" max="517" width="6.5703125" style="1414" customWidth="1"/>
    <col min="518" max="518" width="1.7109375" style="1414" customWidth="1"/>
    <col min="519" max="519" width="6.5703125" style="1414" customWidth="1"/>
    <col min="520" max="520" width="12.7109375" style="1414" customWidth="1"/>
    <col min="521" max="521" width="15.140625" style="1414" customWidth="1"/>
    <col min="522" max="523" width="9.5703125" style="1414" customWidth="1"/>
    <col min="524" max="524" width="16" style="1414" bestFit="1" customWidth="1"/>
    <col min="525" max="525" width="2.7109375" style="1414" customWidth="1"/>
    <col min="526" max="526" width="4.5703125" style="1414" customWidth="1"/>
    <col min="527" max="768" width="9.140625" style="1414"/>
    <col min="769" max="769" width="4.5703125" style="1414" customWidth="1"/>
    <col min="770" max="770" width="6.5703125" style="1414" customWidth="1"/>
    <col min="771" max="771" width="1.7109375" style="1414" customWidth="1"/>
    <col min="772" max="773" width="6.5703125" style="1414" customWidth="1"/>
    <col min="774" max="774" width="1.7109375" style="1414" customWidth="1"/>
    <col min="775" max="775" width="6.5703125" style="1414" customWidth="1"/>
    <col min="776" max="776" width="12.7109375" style="1414" customWidth="1"/>
    <col min="777" max="777" width="15.140625" style="1414" customWidth="1"/>
    <col min="778" max="779" width="9.5703125" style="1414" customWidth="1"/>
    <col min="780" max="780" width="16" style="1414" bestFit="1" customWidth="1"/>
    <col min="781" max="781" width="2.7109375" style="1414" customWidth="1"/>
    <col min="782" max="782" width="4.5703125" style="1414" customWidth="1"/>
    <col min="783" max="1024" width="9.140625" style="1414"/>
    <col min="1025" max="1025" width="4.5703125" style="1414" customWidth="1"/>
    <col min="1026" max="1026" width="6.5703125" style="1414" customWidth="1"/>
    <col min="1027" max="1027" width="1.7109375" style="1414" customWidth="1"/>
    <col min="1028" max="1029" width="6.5703125" style="1414" customWidth="1"/>
    <col min="1030" max="1030" width="1.7109375" style="1414" customWidth="1"/>
    <col min="1031" max="1031" width="6.5703125" style="1414" customWidth="1"/>
    <col min="1032" max="1032" width="12.7109375" style="1414" customWidth="1"/>
    <col min="1033" max="1033" width="15.140625" style="1414" customWidth="1"/>
    <col min="1034" max="1035" width="9.5703125" style="1414" customWidth="1"/>
    <col min="1036" max="1036" width="16" style="1414" bestFit="1" customWidth="1"/>
    <col min="1037" max="1037" width="2.7109375" style="1414" customWidth="1"/>
    <col min="1038" max="1038" width="4.5703125" style="1414" customWidth="1"/>
    <col min="1039" max="1280" width="9.140625" style="1414"/>
    <col min="1281" max="1281" width="4.5703125" style="1414" customWidth="1"/>
    <col min="1282" max="1282" width="6.5703125" style="1414" customWidth="1"/>
    <col min="1283" max="1283" width="1.7109375" style="1414" customWidth="1"/>
    <col min="1284" max="1285" width="6.5703125" style="1414" customWidth="1"/>
    <col min="1286" max="1286" width="1.7109375" style="1414" customWidth="1"/>
    <col min="1287" max="1287" width="6.5703125" style="1414" customWidth="1"/>
    <col min="1288" max="1288" width="12.7109375" style="1414" customWidth="1"/>
    <col min="1289" max="1289" width="15.140625" style="1414" customWidth="1"/>
    <col min="1290" max="1291" width="9.5703125" style="1414" customWidth="1"/>
    <col min="1292" max="1292" width="16" style="1414" bestFit="1" customWidth="1"/>
    <col min="1293" max="1293" width="2.7109375" style="1414" customWidth="1"/>
    <col min="1294" max="1294" width="4.5703125" style="1414" customWidth="1"/>
    <col min="1295" max="1536" width="9.140625" style="1414"/>
    <col min="1537" max="1537" width="4.5703125" style="1414" customWidth="1"/>
    <col min="1538" max="1538" width="6.5703125" style="1414" customWidth="1"/>
    <col min="1539" max="1539" width="1.7109375" style="1414" customWidth="1"/>
    <col min="1540" max="1541" width="6.5703125" style="1414" customWidth="1"/>
    <col min="1542" max="1542" width="1.7109375" style="1414" customWidth="1"/>
    <col min="1543" max="1543" width="6.5703125" style="1414" customWidth="1"/>
    <col min="1544" max="1544" width="12.7109375" style="1414" customWidth="1"/>
    <col min="1545" max="1545" width="15.140625" style="1414" customWidth="1"/>
    <col min="1546" max="1547" width="9.5703125" style="1414" customWidth="1"/>
    <col min="1548" max="1548" width="16" style="1414" bestFit="1" customWidth="1"/>
    <col min="1549" max="1549" width="2.7109375" style="1414" customWidth="1"/>
    <col min="1550" max="1550" width="4.5703125" style="1414" customWidth="1"/>
    <col min="1551" max="1792" width="9.140625" style="1414"/>
    <col min="1793" max="1793" width="4.5703125" style="1414" customWidth="1"/>
    <col min="1794" max="1794" width="6.5703125" style="1414" customWidth="1"/>
    <col min="1795" max="1795" width="1.7109375" style="1414" customWidth="1"/>
    <col min="1796" max="1797" width="6.5703125" style="1414" customWidth="1"/>
    <col min="1798" max="1798" width="1.7109375" style="1414" customWidth="1"/>
    <col min="1799" max="1799" width="6.5703125" style="1414" customWidth="1"/>
    <col min="1800" max="1800" width="12.7109375" style="1414" customWidth="1"/>
    <col min="1801" max="1801" width="15.140625" style="1414" customWidth="1"/>
    <col min="1802" max="1803" width="9.5703125" style="1414" customWidth="1"/>
    <col min="1804" max="1804" width="16" style="1414" bestFit="1" customWidth="1"/>
    <col min="1805" max="1805" width="2.7109375" style="1414" customWidth="1"/>
    <col min="1806" max="1806" width="4.5703125" style="1414" customWidth="1"/>
    <col min="1807" max="2048" width="9.140625" style="1414"/>
    <col min="2049" max="2049" width="4.5703125" style="1414" customWidth="1"/>
    <col min="2050" max="2050" width="6.5703125" style="1414" customWidth="1"/>
    <col min="2051" max="2051" width="1.7109375" style="1414" customWidth="1"/>
    <col min="2052" max="2053" width="6.5703125" style="1414" customWidth="1"/>
    <col min="2054" max="2054" width="1.7109375" style="1414" customWidth="1"/>
    <col min="2055" max="2055" width="6.5703125" style="1414" customWidth="1"/>
    <col min="2056" max="2056" width="12.7109375" style="1414" customWidth="1"/>
    <col min="2057" max="2057" width="15.140625" style="1414" customWidth="1"/>
    <col min="2058" max="2059" width="9.5703125" style="1414" customWidth="1"/>
    <col min="2060" max="2060" width="16" style="1414" bestFit="1" customWidth="1"/>
    <col min="2061" max="2061" width="2.7109375" style="1414" customWidth="1"/>
    <col min="2062" max="2062" width="4.5703125" style="1414" customWidth="1"/>
    <col min="2063" max="2304" width="9.140625" style="1414"/>
    <col min="2305" max="2305" width="4.5703125" style="1414" customWidth="1"/>
    <col min="2306" max="2306" width="6.5703125" style="1414" customWidth="1"/>
    <col min="2307" max="2307" width="1.7109375" style="1414" customWidth="1"/>
    <col min="2308" max="2309" width="6.5703125" style="1414" customWidth="1"/>
    <col min="2310" max="2310" width="1.7109375" style="1414" customWidth="1"/>
    <col min="2311" max="2311" width="6.5703125" style="1414" customWidth="1"/>
    <col min="2312" max="2312" width="12.7109375" style="1414" customWidth="1"/>
    <col min="2313" max="2313" width="15.140625" style="1414" customWidth="1"/>
    <col min="2314" max="2315" width="9.5703125" style="1414" customWidth="1"/>
    <col min="2316" max="2316" width="16" style="1414" bestFit="1" customWidth="1"/>
    <col min="2317" max="2317" width="2.7109375" style="1414" customWidth="1"/>
    <col min="2318" max="2318" width="4.5703125" style="1414" customWidth="1"/>
    <col min="2319" max="2560" width="9.140625" style="1414"/>
    <col min="2561" max="2561" width="4.5703125" style="1414" customWidth="1"/>
    <col min="2562" max="2562" width="6.5703125" style="1414" customWidth="1"/>
    <col min="2563" max="2563" width="1.7109375" style="1414" customWidth="1"/>
    <col min="2564" max="2565" width="6.5703125" style="1414" customWidth="1"/>
    <col min="2566" max="2566" width="1.7109375" style="1414" customWidth="1"/>
    <col min="2567" max="2567" width="6.5703125" style="1414" customWidth="1"/>
    <col min="2568" max="2568" width="12.7109375" style="1414" customWidth="1"/>
    <col min="2569" max="2569" width="15.140625" style="1414" customWidth="1"/>
    <col min="2570" max="2571" width="9.5703125" style="1414" customWidth="1"/>
    <col min="2572" max="2572" width="16" style="1414" bestFit="1" customWidth="1"/>
    <col min="2573" max="2573" width="2.7109375" style="1414" customWidth="1"/>
    <col min="2574" max="2574" width="4.5703125" style="1414" customWidth="1"/>
    <col min="2575" max="2816" width="9.140625" style="1414"/>
    <col min="2817" max="2817" width="4.5703125" style="1414" customWidth="1"/>
    <col min="2818" max="2818" width="6.5703125" style="1414" customWidth="1"/>
    <col min="2819" max="2819" width="1.7109375" style="1414" customWidth="1"/>
    <col min="2820" max="2821" width="6.5703125" style="1414" customWidth="1"/>
    <col min="2822" max="2822" width="1.7109375" style="1414" customWidth="1"/>
    <col min="2823" max="2823" width="6.5703125" style="1414" customWidth="1"/>
    <col min="2824" max="2824" width="12.7109375" style="1414" customWidth="1"/>
    <col min="2825" max="2825" width="15.140625" style="1414" customWidth="1"/>
    <col min="2826" max="2827" width="9.5703125" style="1414" customWidth="1"/>
    <col min="2828" max="2828" width="16" style="1414" bestFit="1" customWidth="1"/>
    <col min="2829" max="2829" width="2.7109375" style="1414" customWidth="1"/>
    <col min="2830" max="2830" width="4.5703125" style="1414" customWidth="1"/>
    <col min="2831" max="3072" width="9.140625" style="1414"/>
    <col min="3073" max="3073" width="4.5703125" style="1414" customWidth="1"/>
    <col min="3074" max="3074" width="6.5703125" style="1414" customWidth="1"/>
    <col min="3075" max="3075" width="1.7109375" style="1414" customWidth="1"/>
    <col min="3076" max="3077" width="6.5703125" style="1414" customWidth="1"/>
    <col min="3078" max="3078" width="1.7109375" style="1414" customWidth="1"/>
    <col min="3079" max="3079" width="6.5703125" style="1414" customWidth="1"/>
    <col min="3080" max="3080" width="12.7109375" style="1414" customWidth="1"/>
    <col min="3081" max="3081" width="15.140625" style="1414" customWidth="1"/>
    <col min="3082" max="3083" width="9.5703125" style="1414" customWidth="1"/>
    <col min="3084" max="3084" width="16" style="1414" bestFit="1" customWidth="1"/>
    <col min="3085" max="3085" width="2.7109375" style="1414" customWidth="1"/>
    <col min="3086" max="3086" width="4.5703125" style="1414" customWidth="1"/>
    <col min="3087" max="3328" width="9.140625" style="1414"/>
    <col min="3329" max="3329" width="4.5703125" style="1414" customWidth="1"/>
    <col min="3330" max="3330" width="6.5703125" style="1414" customWidth="1"/>
    <col min="3331" max="3331" width="1.7109375" style="1414" customWidth="1"/>
    <col min="3332" max="3333" width="6.5703125" style="1414" customWidth="1"/>
    <col min="3334" max="3334" width="1.7109375" style="1414" customWidth="1"/>
    <col min="3335" max="3335" width="6.5703125" style="1414" customWidth="1"/>
    <col min="3336" max="3336" width="12.7109375" style="1414" customWidth="1"/>
    <col min="3337" max="3337" width="15.140625" style="1414" customWidth="1"/>
    <col min="3338" max="3339" width="9.5703125" style="1414" customWidth="1"/>
    <col min="3340" max="3340" width="16" style="1414" bestFit="1" customWidth="1"/>
    <col min="3341" max="3341" width="2.7109375" style="1414" customWidth="1"/>
    <col min="3342" max="3342" width="4.5703125" style="1414" customWidth="1"/>
    <col min="3343" max="3584" width="9.140625" style="1414"/>
    <col min="3585" max="3585" width="4.5703125" style="1414" customWidth="1"/>
    <col min="3586" max="3586" width="6.5703125" style="1414" customWidth="1"/>
    <col min="3587" max="3587" width="1.7109375" style="1414" customWidth="1"/>
    <col min="3588" max="3589" width="6.5703125" style="1414" customWidth="1"/>
    <col min="3590" max="3590" width="1.7109375" style="1414" customWidth="1"/>
    <col min="3591" max="3591" width="6.5703125" style="1414" customWidth="1"/>
    <col min="3592" max="3592" width="12.7109375" style="1414" customWidth="1"/>
    <col min="3593" max="3593" width="15.140625" style="1414" customWidth="1"/>
    <col min="3594" max="3595" width="9.5703125" style="1414" customWidth="1"/>
    <col min="3596" max="3596" width="16" style="1414" bestFit="1" customWidth="1"/>
    <col min="3597" max="3597" width="2.7109375" style="1414" customWidth="1"/>
    <col min="3598" max="3598" width="4.5703125" style="1414" customWidth="1"/>
    <col min="3599" max="3840" width="9.140625" style="1414"/>
    <col min="3841" max="3841" width="4.5703125" style="1414" customWidth="1"/>
    <col min="3842" max="3842" width="6.5703125" style="1414" customWidth="1"/>
    <col min="3843" max="3843" width="1.7109375" style="1414" customWidth="1"/>
    <col min="3844" max="3845" width="6.5703125" style="1414" customWidth="1"/>
    <col min="3846" max="3846" width="1.7109375" style="1414" customWidth="1"/>
    <col min="3847" max="3847" width="6.5703125" style="1414" customWidth="1"/>
    <col min="3848" max="3848" width="12.7109375" style="1414" customWidth="1"/>
    <col min="3849" max="3849" width="15.140625" style="1414" customWidth="1"/>
    <col min="3850" max="3851" width="9.5703125" style="1414" customWidth="1"/>
    <col min="3852" max="3852" width="16" style="1414" bestFit="1" customWidth="1"/>
    <col min="3853" max="3853" width="2.7109375" style="1414" customWidth="1"/>
    <col min="3854" max="3854" width="4.5703125" style="1414" customWidth="1"/>
    <col min="3855" max="4096" width="9.140625" style="1414"/>
    <col min="4097" max="4097" width="4.5703125" style="1414" customWidth="1"/>
    <col min="4098" max="4098" width="6.5703125" style="1414" customWidth="1"/>
    <col min="4099" max="4099" width="1.7109375" style="1414" customWidth="1"/>
    <col min="4100" max="4101" width="6.5703125" style="1414" customWidth="1"/>
    <col min="4102" max="4102" width="1.7109375" style="1414" customWidth="1"/>
    <col min="4103" max="4103" width="6.5703125" style="1414" customWidth="1"/>
    <col min="4104" max="4104" width="12.7109375" style="1414" customWidth="1"/>
    <col min="4105" max="4105" width="15.140625" style="1414" customWidth="1"/>
    <col min="4106" max="4107" width="9.5703125" style="1414" customWidth="1"/>
    <col min="4108" max="4108" width="16" style="1414" bestFit="1" customWidth="1"/>
    <col min="4109" max="4109" width="2.7109375" style="1414" customWidth="1"/>
    <col min="4110" max="4110" width="4.5703125" style="1414" customWidth="1"/>
    <col min="4111" max="4352" width="9.140625" style="1414"/>
    <col min="4353" max="4353" width="4.5703125" style="1414" customWidth="1"/>
    <col min="4354" max="4354" width="6.5703125" style="1414" customWidth="1"/>
    <col min="4355" max="4355" width="1.7109375" style="1414" customWidth="1"/>
    <col min="4356" max="4357" width="6.5703125" style="1414" customWidth="1"/>
    <col min="4358" max="4358" width="1.7109375" style="1414" customWidth="1"/>
    <col min="4359" max="4359" width="6.5703125" style="1414" customWidth="1"/>
    <col min="4360" max="4360" width="12.7109375" style="1414" customWidth="1"/>
    <col min="4361" max="4361" width="15.140625" style="1414" customWidth="1"/>
    <col min="4362" max="4363" width="9.5703125" style="1414" customWidth="1"/>
    <col min="4364" max="4364" width="16" style="1414" bestFit="1" customWidth="1"/>
    <col min="4365" max="4365" width="2.7109375" style="1414" customWidth="1"/>
    <col min="4366" max="4366" width="4.5703125" style="1414" customWidth="1"/>
    <col min="4367" max="4608" width="9.140625" style="1414"/>
    <col min="4609" max="4609" width="4.5703125" style="1414" customWidth="1"/>
    <col min="4610" max="4610" width="6.5703125" style="1414" customWidth="1"/>
    <col min="4611" max="4611" width="1.7109375" style="1414" customWidth="1"/>
    <col min="4612" max="4613" width="6.5703125" style="1414" customWidth="1"/>
    <col min="4614" max="4614" width="1.7109375" style="1414" customWidth="1"/>
    <col min="4615" max="4615" width="6.5703125" style="1414" customWidth="1"/>
    <col min="4616" max="4616" width="12.7109375" style="1414" customWidth="1"/>
    <col min="4617" max="4617" width="15.140625" style="1414" customWidth="1"/>
    <col min="4618" max="4619" width="9.5703125" style="1414" customWidth="1"/>
    <col min="4620" max="4620" width="16" style="1414" bestFit="1" customWidth="1"/>
    <col min="4621" max="4621" width="2.7109375" style="1414" customWidth="1"/>
    <col min="4622" max="4622" width="4.5703125" style="1414" customWidth="1"/>
    <col min="4623" max="4864" width="9.140625" style="1414"/>
    <col min="4865" max="4865" width="4.5703125" style="1414" customWidth="1"/>
    <col min="4866" max="4866" width="6.5703125" style="1414" customWidth="1"/>
    <col min="4867" max="4867" width="1.7109375" style="1414" customWidth="1"/>
    <col min="4868" max="4869" width="6.5703125" style="1414" customWidth="1"/>
    <col min="4870" max="4870" width="1.7109375" style="1414" customWidth="1"/>
    <col min="4871" max="4871" width="6.5703125" style="1414" customWidth="1"/>
    <col min="4872" max="4872" width="12.7109375" style="1414" customWidth="1"/>
    <col min="4873" max="4873" width="15.140625" style="1414" customWidth="1"/>
    <col min="4874" max="4875" width="9.5703125" style="1414" customWidth="1"/>
    <col min="4876" max="4876" width="16" style="1414" bestFit="1" customWidth="1"/>
    <col min="4877" max="4877" width="2.7109375" style="1414" customWidth="1"/>
    <col min="4878" max="4878" width="4.5703125" style="1414" customWidth="1"/>
    <col min="4879" max="5120" width="9.140625" style="1414"/>
    <col min="5121" max="5121" width="4.5703125" style="1414" customWidth="1"/>
    <col min="5122" max="5122" width="6.5703125" style="1414" customWidth="1"/>
    <col min="5123" max="5123" width="1.7109375" style="1414" customWidth="1"/>
    <col min="5124" max="5125" width="6.5703125" style="1414" customWidth="1"/>
    <col min="5126" max="5126" width="1.7109375" style="1414" customWidth="1"/>
    <col min="5127" max="5127" width="6.5703125" style="1414" customWidth="1"/>
    <col min="5128" max="5128" width="12.7109375" style="1414" customWidth="1"/>
    <col min="5129" max="5129" width="15.140625" style="1414" customWidth="1"/>
    <col min="5130" max="5131" width="9.5703125" style="1414" customWidth="1"/>
    <col min="5132" max="5132" width="16" style="1414" bestFit="1" customWidth="1"/>
    <col min="5133" max="5133" width="2.7109375" style="1414" customWidth="1"/>
    <col min="5134" max="5134" width="4.5703125" style="1414" customWidth="1"/>
    <col min="5135" max="5376" width="9.140625" style="1414"/>
    <col min="5377" max="5377" width="4.5703125" style="1414" customWidth="1"/>
    <col min="5378" max="5378" width="6.5703125" style="1414" customWidth="1"/>
    <col min="5379" max="5379" width="1.7109375" style="1414" customWidth="1"/>
    <col min="5380" max="5381" width="6.5703125" style="1414" customWidth="1"/>
    <col min="5382" max="5382" width="1.7109375" style="1414" customWidth="1"/>
    <col min="5383" max="5383" width="6.5703125" style="1414" customWidth="1"/>
    <col min="5384" max="5384" width="12.7109375" style="1414" customWidth="1"/>
    <col min="5385" max="5385" width="15.140625" style="1414" customWidth="1"/>
    <col min="5386" max="5387" width="9.5703125" style="1414" customWidth="1"/>
    <col min="5388" max="5388" width="16" style="1414" bestFit="1" customWidth="1"/>
    <col min="5389" max="5389" width="2.7109375" style="1414" customWidth="1"/>
    <col min="5390" max="5390" width="4.5703125" style="1414" customWidth="1"/>
    <col min="5391" max="5632" width="9.140625" style="1414"/>
    <col min="5633" max="5633" width="4.5703125" style="1414" customWidth="1"/>
    <col min="5634" max="5634" width="6.5703125" style="1414" customWidth="1"/>
    <col min="5635" max="5635" width="1.7109375" style="1414" customWidth="1"/>
    <col min="5636" max="5637" width="6.5703125" style="1414" customWidth="1"/>
    <col min="5638" max="5638" width="1.7109375" style="1414" customWidth="1"/>
    <col min="5639" max="5639" width="6.5703125" style="1414" customWidth="1"/>
    <col min="5640" max="5640" width="12.7109375" style="1414" customWidth="1"/>
    <col min="5641" max="5641" width="15.140625" style="1414" customWidth="1"/>
    <col min="5642" max="5643" width="9.5703125" style="1414" customWidth="1"/>
    <col min="5644" max="5644" width="16" style="1414" bestFit="1" customWidth="1"/>
    <col min="5645" max="5645" width="2.7109375" style="1414" customWidth="1"/>
    <col min="5646" max="5646" width="4.5703125" style="1414" customWidth="1"/>
    <col min="5647" max="5888" width="9.140625" style="1414"/>
    <col min="5889" max="5889" width="4.5703125" style="1414" customWidth="1"/>
    <col min="5890" max="5890" width="6.5703125" style="1414" customWidth="1"/>
    <col min="5891" max="5891" width="1.7109375" style="1414" customWidth="1"/>
    <col min="5892" max="5893" width="6.5703125" style="1414" customWidth="1"/>
    <col min="5894" max="5894" width="1.7109375" style="1414" customWidth="1"/>
    <col min="5895" max="5895" width="6.5703125" style="1414" customWidth="1"/>
    <col min="5896" max="5896" width="12.7109375" style="1414" customWidth="1"/>
    <col min="5897" max="5897" width="15.140625" style="1414" customWidth="1"/>
    <col min="5898" max="5899" width="9.5703125" style="1414" customWidth="1"/>
    <col min="5900" max="5900" width="16" style="1414" bestFit="1" customWidth="1"/>
    <col min="5901" max="5901" width="2.7109375" style="1414" customWidth="1"/>
    <col min="5902" max="5902" width="4.5703125" style="1414" customWidth="1"/>
    <col min="5903" max="6144" width="9.140625" style="1414"/>
    <col min="6145" max="6145" width="4.5703125" style="1414" customWidth="1"/>
    <col min="6146" max="6146" width="6.5703125" style="1414" customWidth="1"/>
    <col min="6147" max="6147" width="1.7109375" style="1414" customWidth="1"/>
    <col min="6148" max="6149" width="6.5703125" style="1414" customWidth="1"/>
    <col min="6150" max="6150" width="1.7109375" style="1414" customWidth="1"/>
    <col min="6151" max="6151" width="6.5703125" style="1414" customWidth="1"/>
    <col min="6152" max="6152" width="12.7109375" style="1414" customWidth="1"/>
    <col min="6153" max="6153" width="15.140625" style="1414" customWidth="1"/>
    <col min="6154" max="6155" width="9.5703125" style="1414" customWidth="1"/>
    <col min="6156" max="6156" width="16" style="1414" bestFit="1" customWidth="1"/>
    <col min="6157" max="6157" width="2.7109375" style="1414" customWidth="1"/>
    <col min="6158" max="6158" width="4.5703125" style="1414" customWidth="1"/>
    <col min="6159" max="6400" width="9.140625" style="1414"/>
    <col min="6401" max="6401" width="4.5703125" style="1414" customWidth="1"/>
    <col min="6402" max="6402" width="6.5703125" style="1414" customWidth="1"/>
    <col min="6403" max="6403" width="1.7109375" style="1414" customWidth="1"/>
    <col min="6404" max="6405" width="6.5703125" style="1414" customWidth="1"/>
    <col min="6406" max="6406" width="1.7109375" style="1414" customWidth="1"/>
    <col min="6407" max="6407" width="6.5703125" style="1414" customWidth="1"/>
    <col min="6408" max="6408" width="12.7109375" style="1414" customWidth="1"/>
    <col min="6409" max="6409" width="15.140625" style="1414" customWidth="1"/>
    <col min="6410" max="6411" width="9.5703125" style="1414" customWidth="1"/>
    <col min="6412" max="6412" width="16" style="1414" bestFit="1" customWidth="1"/>
    <col min="6413" max="6413" width="2.7109375" style="1414" customWidth="1"/>
    <col min="6414" max="6414" width="4.5703125" style="1414" customWidth="1"/>
    <col min="6415" max="6656" width="9.140625" style="1414"/>
    <col min="6657" max="6657" width="4.5703125" style="1414" customWidth="1"/>
    <col min="6658" max="6658" width="6.5703125" style="1414" customWidth="1"/>
    <col min="6659" max="6659" width="1.7109375" style="1414" customWidth="1"/>
    <col min="6660" max="6661" width="6.5703125" style="1414" customWidth="1"/>
    <col min="6662" max="6662" width="1.7109375" style="1414" customWidth="1"/>
    <col min="6663" max="6663" width="6.5703125" style="1414" customWidth="1"/>
    <col min="6664" max="6664" width="12.7109375" style="1414" customWidth="1"/>
    <col min="6665" max="6665" width="15.140625" style="1414" customWidth="1"/>
    <col min="6666" max="6667" width="9.5703125" style="1414" customWidth="1"/>
    <col min="6668" max="6668" width="16" style="1414" bestFit="1" customWidth="1"/>
    <col min="6669" max="6669" width="2.7109375" style="1414" customWidth="1"/>
    <col min="6670" max="6670" width="4.5703125" style="1414" customWidth="1"/>
    <col min="6671" max="6912" width="9.140625" style="1414"/>
    <col min="6913" max="6913" width="4.5703125" style="1414" customWidth="1"/>
    <col min="6914" max="6914" width="6.5703125" style="1414" customWidth="1"/>
    <col min="6915" max="6915" width="1.7109375" style="1414" customWidth="1"/>
    <col min="6916" max="6917" width="6.5703125" style="1414" customWidth="1"/>
    <col min="6918" max="6918" width="1.7109375" style="1414" customWidth="1"/>
    <col min="6919" max="6919" width="6.5703125" style="1414" customWidth="1"/>
    <col min="6920" max="6920" width="12.7109375" style="1414" customWidth="1"/>
    <col min="6921" max="6921" width="15.140625" style="1414" customWidth="1"/>
    <col min="6922" max="6923" width="9.5703125" style="1414" customWidth="1"/>
    <col min="6924" max="6924" width="16" style="1414" bestFit="1" customWidth="1"/>
    <col min="6925" max="6925" width="2.7109375" style="1414" customWidth="1"/>
    <col min="6926" max="6926" width="4.5703125" style="1414" customWidth="1"/>
    <col min="6927" max="7168" width="9.140625" style="1414"/>
    <col min="7169" max="7169" width="4.5703125" style="1414" customWidth="1"/>
    <col min="7170" max="7170" width="6.5703125" style="1414" customWidth="1"/>
    <col min="7171" max="7171" width="1.7109375" style="1414" customWidth="1"/>
    <col min="7172" max="7173" width="6.5703125" style="1414" customWidth="1"/>
    <col min="7174" max="7174" width="1.7109375" style="1414" customWidth="1"/>
    <col min="7175" max="7175" width="6.5703125" style="1414" customWidth="1"/>
    <col min="7176" max="7176" width="12.7109375" style="1414" customWidth="1"/>
    <col min="7177" max="7177" width="15.140625" style="1414" customWidth="1"/>
    <col min="7178" max="7179" width="9.5703125" style="1414" customWidth="1"/>
    <col min="7180" max="7180" width="16" style="1414" bestFit="1" customWidth="1"/>
    <col min="7181" max="7181" width="2.7109375" style="1414" customWidth="1"/>
    <col min="7182" max="7182" width="4.5703125" style="1414" customWidth="1"/>
    <col min="7183" max="7424" width="9.140625" style="1414"/>
    <col min="7425" max="7425" width="4.5703125" style="1414" customWidth="1"/>
    <col min="7426" max="7426" width="6.5703125" style="1414" customWidth="1"/>
    <col min="7427" max="7427" width="1.7109375" style="1414" customWidth="1"/>
    <col min="7428" max="7429" width="6.5703125" style="1414" customWidth="1"/>
    <col min="7430" max="7430" width="1.7109375" style="1414" customWidth="1"/>
    <col min="7431" max="7431" width="6.5703125" style="1414" customWidth="1"/>
    <col min="7432" max="7432" width="12.7109375" style="1414" customWidth="1"/>
    <col min="7433" max="7433" width="15.140625" style="1414" customWidth="1"/>
    <col min="7434" max="7435" width="9.5703125" style="1414" customWidth="1"/>
    <col min="7436" max="7436" width="16" style="1414" bestFit="1" customWidth="1"/>
    <col min="7437" max="7437" width="2.7109375" style="1414" customWidth="1"/>
    <col min="7438" max="7438" width="4.5703125" style="1414" customWidth="1"/>
    <col min="7439" max="7680" width="9.140625" style="1414"/>
    <col min="7681" max="7681" width="4.5703125" style="1414" customWidth="1"/>
    <col min="7682" max="7682" width="6.5703125" style="1414" customWidth="1"/>
    <col min="7683" max="7683" width="1.7109375" style="1414" customWidth="1"/>
    <col min="7684" max="7685" width="6.5703125" style="1414" customWidth="1"/>
    <col min="7686" max="7686" width="1.7109375" style="1414" customWidth="1"/>
    <col min="7687" max="7687" width="6.5703125" style="1414" customWidth="1"/>
    <col min="7688" max="7688" width="12.7109375" style="1414" customWidth="1"/>
    <col min="7689" max="7689" width="15.140625" style="1414" customWidth="1"/>
    <col min="7690" max="7691" width="9.5703125" style="1414" customWidth="1"/>
    <col min="7692" max="7692" width="16" style="1414" bestFit="1" customWidth="1"/>
    <col min="7693" max="7693" width="2.7109375" style="1414" customWidth="1"/>
    <col min="7694" max="7694" width="4.5703125" style="1414" customWidth="1"/>
    <col min="7695" max="7936" width="9.140625" style="1414"/>
    <col min="7937" max="7937" width="4.5703125" style="1414" customWidth="1"/>
    <col min="7938" max="7938" width="6.5703125" style="1414" customWidth="1"/>
    <col min="7939" max="7939" width="1.7109375" style="1414" customWidth="1"/>
    <col min="7940" max="7941" width="6.5703125" style="1414" customWidth="1"/>
    <col min="7942" max="7942" width="1.7109375" style="1414" customWidth="1"/>
    <col min="7943" max="7943" width="6.5703125" style="1414" customWidth="1"/>
    <col min="7944" max="7944" width="12.7109375" style="1414" customWidth="1"/>
    <col min="7945" max="7945" width="15.140625" style="1414" customWidth="1"/>
    <col min="7946" max="7947" width="9.5703125" style="1414" customWidth="1"/>
    <col min="7948" max="7948" width="16" style="1414" bestFit="1" customWidth="1"/>
    <col min="7949" max="7949" width="2.7109375" style="1414" customWidth="1"/>
    <col min="7950" max="7950" width="4.5703125" style="1414" customWidth="1"/>
    <col min="7951" max="8192" width="9.140625" style="1414"/>
    <col min="8193" max="8193" width="4.5703125" style="1414" customWidth="1"/>
    <col min="8194" max="8194" width="6.5703125" style="1414" customWidth="1"/>
    <col min="8195" max="8195" width="1.7109375" style="1414" customWidth="1"/>
    <col min="8196" max="8197" width="6.5703125" style="1414" customWidth="1"/>
    <col min="8198" max="8198" width="1.7109375" style="1414" customWidth="1"/>
    <col min="8199" max="8199" width="6.5703125" style="1414" customWidth="1"/>
    <col min="8200" max="8200" width="12.7109375" style="1414" customWidth="1"/>
    <col min="8201" max="8201" width="15.140625" style="1414" customWidth="1"/>
    <col min="8202" max="8203" width="9.5703125" style="1414" customWidth="1"/>
    <col min="8204" max="8204" width="16" style="1414" bestFit="1" customWidth="1"/>
    <col min="8205" max="8205" width="2.7109375" style="1414" customWidth="1"/>
    <col min="8206" max="8206" width="4.5703125" style="1414" customWidth="1"/>
    <col min="8207" max="8448" width="9.140625" style="1414"/>
    <col min="8449" max="8449" width="4.5703125" style="1414" customWidth="1"/>
    <col min="8450" max="8450" width="6.5703125" style="1414" customWidth="1"/>
    <col min="8451" max="8451" width="1.7109375" style="1414" customWidth="1"/>
    <col min="8452" max="8453" width="6.5703125" style="1414" customWidth="1"/>
    <col min="8454" max="8454" width="1.7109375" style="1414" customWidth="1"/>
    <col min="8455" max="8455" width="6.5703125" style="1414" customWidth="1"/>
    <col min="8456" max="8456" width="12.7109375" style="1414" customWidth="1"/>
    <col min="8457" max="8457" width="15.140625" style="1414" customWidth="1"/>
    <col min="8458" max="8459" width="9.5703125" style="1414" customWidth="1"/>
    <col min="8460" max="8460" width="16" style="1414" bestFit="1" customWidth="1"/>
    <col min="8461" max="8461" width="2.7109375" style="1414" customWidth="1"/>
    <col min="8462" max="8462" width="4.5703125" style="1414" customWidth="1"/>
    <col min="8463" max="8704" width="9.140625" style="1414"/>
    <col min="8705" max="8705" width="4.5703125" style="1414" customWidth="1"/>
    <col min="8706" max="8706" width="6.5703125" style="1414" customWidth="1"/>
    <col min="8707" max="8707" width="1.7109375" style="1414" customWidth="1"/>
    <col min="8708" max="8709" width="6.5703125" style="1414" customWidth="1"/>
    <col min="8710" max="8710" width="1.7109375" style="1414" customWidth="1"/>
    <col min="8711" max="8711" width="6.5703125" style="1414" customWidth="1"/>
    <col min="8712" max="8712" width="12.7109375" style="1414" customWidth="1"/>
    <col min="8713" max="8713" width="15.140625" style="1414" customWidth="1"/>
    <col min="8714" max="8715" width="9.5703125" style="1414" customWidth="1"/>
    <col min="8716" max="8716" width="16" style="1414" bestFit="1" customWidth="1"/>
    <col min="8717" max="8717" width="2.7109375" style="1414" customWidth="1"/>
    <col min="8718" max="8718" width="4.5703125" style="1414" customWidth="1"/>
    <col min="8719" max="8960" width="9.140625" style="1414"/>
    <col min="8961" max="8961" width="4.5703125" style="1414" customWidth="1"/>
    <col min="8962" max="8962" width="6.5703125" style="1414" customWidth="1"/>
    <col min="8963" max="8963" width="1.7109375" style="1414" customWidth="1"/>
    <col min="8964" max="8965" width="6.5703125" style="1414" customWidth="1"/>
    <col min="8966" max="8966" width="1.7109375" style="1414" customWidth="1"/>
    <col min="8967" max="8967" width="6.5703125" style="1414" customWidth="1"/>
    <col min="8968" max="8968" width="12.7109375" style="1414" customWidth="1"/>
    <col min="8969" max="8969" width="15.140625" style="1414" customWidth="1"/>
    <col min="8970" max="8971" width="9.5703125" style="1414" customWidth="1"/>
    <col min="8972" max="8972" width="16" style="1414" bestFit="1" customWidth="1"/>
    <col min="8973" max="8973" width="2.7109375" style="1414" customWidth="1"/>
    <col min="8974" max="8974" width="4.5703125" style="1414" customWidth="1"/>
    <col min="8975" max="9216" width="9.140625" style="1414"/>
    <col min="9217" max="9217" width="4.5703125" style="1414" customWidth="1"/>
    <col min="9218" max="9218" width="6.5703125" style="1414" customWidth="1"/>
    <col min="9219" max="9219" width="1.7109375" style="1414" customWidth="1"/>
    <col min="9220" max="9221" width="6.5703125" style="1414" customWidth="1"/>
    <col min="9222" max="9222" width="1.7109375" style="1414" customWidth="1"/>
    <col min="9223" max="9223" width="6.5703125" style="1414" customWidth="1"/>
    <col min="9224" max="9224" width="12.7109375" style="1414" customWidth="1"/>
    <col min="9225" max="9225" width="15.140625" style="1414" customWidth="1"/>
    <col min="9226" max="9227" width="9.5703125" style="1414" customWidth="1"/>
    <col min="9228" max="9228" width="16" style="1414" bestFit="1" customWidth="1"/>
    <col min="9229" max="9229" width="2.7109375" style="1414" customWidth="1"/>
    <col min="9230" max="9230" width="4.5703125" style="1414" customWidth="1"/>
    <col min="9231" max="9472" width="9.140625" style="1414"/>
    <col min="9473" max="9473" width="4.5703125" style="1414" customWidth="1"/>
    <col min="9474" max="9474" width="6.5703125" style="1414" customWidth="1"/>
    <col min="9475" max="9475" width="1.7109375" style="1414" customWidth="1"/>
    <col min="9476" max="9477" width="6.5703125" style="1414" customWidth="1"/>
    <col min="9478" max="9478" width="1.7109375" style="1414" customWidth="1"/>
    <col min="9479" max="9479" width="6.5703125" style="1414" customWidth="1"/>
    <col min="9480" max="9480" width="12.7109375" style="1414" customWidth="1"/>
    <col min="9481" max="9481" width="15.140625" style="1414" customWidth="1"/>
    <col min="9482" max="9483" width="9.5703125" style="1414" customWidth="1"/>
    <col min="9484" max="9484" width="16" style="1414" bestFit="1" customWidth="1"/>
    <col min="9485" max="9485" width="2.7109375" style="1414" customWidth="1"/>
    <col min="9486" max="9486" width="4.5703125" style="1414" customWidth="1"/>
    <col min="9487" max="9728" width="9.140625" style="1414"/>
    <col min="9729" max="9729" width="4.5703125" style="1414" customWidth="1"/>
    <col min="9730" max="9730" width="6.5703125" style="1414" customWidth="1"/>
    <col min="9731" max="9731" width="1.7109375" style="1414" customWidth="1"/>
    <col min="9732" max="9733" width="6.5703125" style="1414" customWidth="1"/>
    <col min="9734" max="9734" width="1.7109375" style="1414" customWidth="1"/>
    <col min="9735" max="9735" width="6.5703125" style="1414" customWidth="1"/>
    <col min="9736" max="9736" width="12.7109375" style="1414" customWidth="1"/>
    <col min="9737" max="9737" width="15.140625" style="1414" customWidth="1"/>
    <col min="9738" max="9739" width="9.5703125" style="1414" customWidth="1"/>
    <col min="9740" max="9740" width="16" style="1414" bestFit="1" customWidth="1"/>
    <col min="9741" max="9741" width="2.7109375" style="1414" customWidth="1"/>
    <col min="9742" max="9742" width="4.5703125" style="1414" customWidth="1"/>
    <col min="9743" max="9984" width="9.140625" style="1414"/>
    <col min="9985" max="9985" width="4.5703125" style="1414" customWidth="1"/>
    <col min="9986" max="9986" width="6.5703125" style="1414" customWidth="1"/>
    <col min="9987" max="9987" width="1.7109375" style="1414" customWidth="1"/>
    <col min="9988" max="9989" width="6.5703125" style="1414" customWidth="1"/>
    <col min="9990" max="9990" width="1.7109375" style="1414" customWidth="1"/>
    <col min="9991" max="9991" width="6.5703125" style="1414" customWidth="1"/>
    <col min="9992" max="9992" width="12.7109375" style="1414" customWidth="1"/>
    <col min="9993" max="9993" width="15.140625" style="1414" customWidth="1"/>
    <col min="9994" max="9995" width="9.5703125" style="1414" customWidth="1"/>
    <col min="9996" max="9996" width="16" style="1414" bestFit="1" customWidth="1"/>
    <col min="9997" max="9997" width="2.7109375" style="1414" customWidth="1"/>
    <col min="9998" max="9998" width="4.5703125" style="1414" customWidth="1"/>
    <col min="9999" max="10240" width="9.140625" style="1414"/>
    <col min="10241" max="10241" width="4.5703125" style="1414" customWidth="1"/>
    <col min="10242" max="10242" width="6.5703125" style="1414" customWidth="1"/>
    <col min="10243" max="10243" width="1.7109375" style="1414" customWidth="1"/>
    <col min="10244" max="10245" width="6.5703125" style="1414" customWidth="1"/>
    <col min="10246" max="10246" width="1.7109375" style="1414" customWidth="1"/>
    <col min="10247" max="10247" width="6.5703125" style="1414" customWidth="1"/>
    <col min="10248" max="10248" width="12.7109375" style="1414" customWidth="1"/>
    <col min="10249" max="10249" width="15.140625" style="1414" customWidth="1"/>
    <col min="10250" max="10251" width="9.5703125" style="1414" customWidth="1"/>
    <col min="10252" max="10252" width="16" style="1414" bestFit="1" customWidth="1"/>
    <col min="10253" max="10253" width="2.7109375" style="1414" customWidth="1"/>
    <col min="10254" max="10254" width="4.5703125" style="1414" customWidth="1"/>
    <col min="10255" max="10496" width="9.140625" style="1414"/>
    <col min="10497" max="10497" width="4.5703125" style="1414" customWidth="1"/>
    <col min="10498" max="10498" width="6.5703125" style="1414" customWidth="1"/>
    <col min="10499" max="10499" width="1.7109375" style="1414" customWidth="1"/>
    <col min="10500" max="10501" width="6.5703125" style="1414" customWidth="1"/>
    <col min="10502" max="10502" width="1.7109375" style="1414" customWidth="1"/>
    <col min="10503" max="10503" width="6.5703125" style="1414" customWidth="1"/>
    <col min="10504" max="10504" width="12.7109375" style="1414" customWidth="1"/>
    <col min="10505" max="10505" width="15.140625" style="1414" customWidth="1"/>
    <col min="10506" max="10507" width="9.5703125" style="1414" customWidth="1"/>
    <col min="10508" max="10508" width="16" style="1414" bestFit="1" customWidth="1"/>
    <col min="10509" max="10509" width="2.7109375" style="1414" customWidth="1"/>
    <col min="10510" max="10510" width="4.5703125" style="1414" customWidth="1"/>
    <col min="10511" max="10752" width="9.140625" style="1414"/>
    <col min="10753" max="10753" width="4.5703125" style="1414" customWidth="1"/>
    <col min="10754" max="10754" width="6.5703125" style="1414" customWidth="1"/>
    <col min="10755" max="10755" width="1.7109375" style="1414" customWidth="1"/>
    <col min="10756" max="10757" width="6.5703125" style="1414" customWidth="1"/>
    <col min="10758" max="10758" width="1.7109375" style="1414" customWidth="1"/>
    <col min="10759" max="10759" width="6.5703125" style="1414" customWidth="1"/>
    <col min="10760" max="10760" width="12.7109375" style="1414" customWidth="1"/>
    <col min="10761" max="10761" width="15.140625" style="1414" customWidth="1"/>
    <col min="10762" max="10763" width="9.5703125" style="1414" customWidth="1"/>
    <col min="10764" max="10764" width="16" style="1414" bestFit="1" customWidth="1"/>
    <col min="10765" max="10765" width="2.7109375" style="1414" customWidth="1"/>
    <col min="10766" max="10766" width="4.5703125" style="1414" customWidth="1"/>
    <col min="10767" max="11008" width="9.140625" style="1414"/>
    <col min="11009" max="11009" width="4.5703125" style="1414" customWidth="1"/>
    <col min="11010" max="11010" width="6.5703125" style="1414" customWidth="1"/>
    <col min="11011" max="11011" width="1.7109375" style="1414" customWidth="1"/>
    <col min="11012" max="11013" width="6.5703125" style="1414" customWidth="1"/>
    <col min="11014" max="11014" width="1.7109375" style="1414" customWidth="1"/>
    <col min="11015" max="11015" width="6.5703125" style="1414" customWidth="1"/>
    <col min="11016" max="11016" width="12.7109375" style="1414" customWidth="1"/>
    <col min="11017" max="11017" width="15.140625" style="1414" customWidth="1"/>
    <col min="11018" max="11019" width="9.5703125" style="1414" customWidth="1"/>
    <col min="11020" max="11020" width="16" style="1414" bestFit="1" customWidth="1"/>
    <col min="11021" max="11021" width="2.7109375" style="1414" customWidth="1"/>
    <col min="11022" max="11022" width="4.5703125" style="1414" customWidth="1"/>
    <col min="11023" max="11264" width="9.140625" style="1414"/>
    <col min="11265" max="11265" width="4.5703125" style="1414" customWidth="1"/>
    <col min="11266" max="11266" width="6.5703125" style="1414" customWidth="1"/>
    <col min="11267" max="11267" width="1.7109375" style="1414" customWidth="1"/>
    <col min="11268" max="11269" width="6.5703125" style="1414" customWidth="1"/>
    <col min="11270" max="11270" width="1.7109375" style="1414" customWidth="1"/>
    <col min="11271" max="11271" width="6.5703125" style="1414" customWidth="1"/>
    <col min="11272" max="11272" width="12.7109375" style="1414" customWidth="1"/>
    <col min="11273" max="11273" width="15.140625" style="1414" customWidth="1"/>
    <col min="11274" max="11275" width="9.5703125" style="1414" customWidth="1"/>
    <col min="11276" max="11276" width="16" style="1414" bestFit="1" customWidth="1"/>
    <col min="11277" max="11277" width="2.7109375" style="1414" customWidth="1"/>
    <col min="11278" max="11278" width="4.5703125" style="1414" customWidth="1"/>
    <col min="11279" max="11520" width="9.140625" style="1414"/>
    <col min="11521" max="11521" width="4.5703125" style="1414" customWidth="1"/>
    <col min="11522" max="11522" width="6.5703125" style="1414" customWidth="1"/>
    <col min="11523" max="11523" width="1.7109375" style="1414" customWidth="1"/>
    <col min="11524" max="11525" width="6.5703125" style="1414" customWidth="1"/>
    <col min="11526" max="11526" width="1.7109375" style="1414" customWidth="1"/>
    <col min="11527" max="11527" width="6.5703125" style="1414" customWidth="1"/>
    <col min="11528" max="11528" width="12.7109375" style="1414" customWidth="1"/>
    <col min="11529" max="11529" width="15.140625" style="1414" customWidth="1"/>
    <col min="11530" max="11531" width="9.5703125" style="1414" customWidth="1"/>
    <col min="11532" max="11532" width="16" style="1414" bestFit="1" customWidth="1"/>
    <col min="11533" max="11533" width="2.7109375" style="1414" customWidth="1"/>
    <col min="11534" max="11534" width="4.5703125" style="1414" customWidth="1"/>
    <col min="11535" max="11776" width="9.140625" style="1414"/>
    <col min="11777" max="11777" width="4.5703125" style="1414" customWidth="1"/>
    <col min="11778" max="11778" width="6.5703125" style="1414" customWidth="1"/>
    <col min="11779" max="11779" width="1.7109375" style="1414" customWidth="1"/>
    <col min="11780" max="11781" width="6.5703125" style="1414" customWidth="1"/>
    <col min="11782" max="11782" width="1.7109375" style="1414" customWidth="1"/>
    <col min="11783" max="11783" width="6.5703125" style="1414" customWidth="1"/>
    <col min="11784" max="11784" width="12.7109375" style="1414" customWidth="1"/>
    <col min="11785" max="11785" width="15.140625" style="1414" customWidth="1"/>
    <col min="11786" max="11787" width="9.5703125" style="1414" customWidth="1"/>
    <col min="11788" max="11788" width="16" style="1414" bestFit="1" customWidth="1"/>
    <col min="11789" max="11789" width="2.7109375" style="1414" customWidth="1"/>
    <col min="11790" max="11790" width="4.5703125" style="1414" customWidth="1"/>
    <col min="11791" max="12032" width="9.140625" style="1414"/>
    <col min="12033" max="12033" width="4.5703125" style="1414" customWidth="1"/>
    <col min="12034" max="12034" width="6.5703125" style="1414" customWidth="1"/>
    <col min="12035" max="12035" width="1.7109375" style="1414" customWidth="1"/>
    <col min="12036" max="12037" width="6.5703125" style="1414" customWidth="1"/>
    <col min="12038" max="12038" width="1.7109375" style="1414" customWidth="1"/>
    <col min="12039" max="12039" width="6.5703125" style="1414" customWidth="1"/>
    <col min="12040" max="12040" width="12.7109375" style="1414" customWidth="1"/>
    <col min="12041" max="12041" width="15.140625" style="1414" customWidth="1"/>
    <col min="12042" max="12043" width="9.5703125" style="1414" customWidth="1"/>
    <col min="12044" max="12044" width="16" style="1414" bestFit="1" customWidth="1"/>
    <col min="12045" max="12045" width="2.7109375" style="1414" customWidth="1"/>
    <col min="12046" max="12046" width="4.5703125" style="1414" customWidth="1"/>
    <col min="12047" max="12288" width="9.140625" style="1414"/>
    <col min="12289" max="12289" width="4.5703125" style="1414" customWidth="1"/>
    <col min="12290" max="12290" width="6.5703125" style="1414" customWidth="1"/>
    <col min="12291" max="12291" width="1.7109375" style="1414" customWidth="1"/>
    <col min="12292" max="12293" width="6.5703125" style="1414" customWidth="1"/>
    <col min="12294" max="12294" width="1.7109375" style="1414" customWidth="1"/>
    <col min="12295" max="12295" width="6.5703125" style="1414" customWidth="1"/>
    <col min="12296" max="12296" width="12.7109375" style="1414" customWidth="1"/>
    <col min="12297" max="12297" width="15.140625" style="1414" customWidth="1"/>
    <col min="12298" max="12299" width="9.5703125" style="1414" customWidth="1"/>
    <col min="12300" max="12300" width="16" style="1414" bestFit="1" customWidth="1"/>
    <col min="12301" max="12301" width="2.7109375" style="1414" customWidth="1"/>
    <col min="12302" max="12302" width="4.5703125" style="1414" customWidth="1"/>
    <col min="12303" max="12544" width="9.140625" style="1414"/>
    <col min="12545" max="12545" width="4.5703125" style="1414" customWidth="1"/>
    <col min="12546" max="12546" width="6.5703125" style="1414" customWidth="1"/>
    <col min="12547" max="12547" width="1.7109375" style="1414" customWidth="1"/>
    <col min="12548" max="12549" width="6.5703125" style="1414" customWidth="1"/>
    <col min="12550" max="12550" width="1.7109375" style="1414" customWidth="1"/>
    <col min="12551" max="12551" width="6.5703125" style="1414" customWidth="1"/>
    <col min="12552" max="12552" width="12.7109375" style="1414" customWidth="1"/>
    <col min="12553" max="12553" width="15.140625" style="1414" customWidth="1"/>
    <col min="12554" max="12555" width="9.5703125" style="1414" customWidth="1"/>
    <col min="12556" max="12556" width="16" style="1414" bestFit="1" customWidth="1"/>
    <col min="12557" max="12557" width="2.7109375" style="1414" customWidth="1"/>
    <col min="12558" max="12558" width="4.5703125" style="1414" customWidth="1"/>
    <col min="12559" max="12800" width="9.140625" style="1414"/>
    <col min="12801" max="12801" width="4.5703125" style="1414" customWidth="1"/>
    <col min="12802" max="12802" width="6.5703125" style="1414" customWidth="1"/>
    <col min="12803" max="12803" width="1.7109375" style="1414" customWidth="1"/>
    <col min="12804" max="12805" width="6.5703125" style="1414" customWidth="1"/>
    <col min="12806" max="12806" width="1.7109375" style="1414" customWidth="1"/>
    <col min="12807" max="12807" width="6.5703125" style="1414" customWidth="1"/>
    <col min="12808" max="12808" width="12.7109375" style="1414" customWidth="1"/>
    <col min="12809" max="12809" width="15.140625" style="1414" customWidth="1"/>
    <col min="12810" max="12811" width="9.5703125" style="1414" customWidth="1"/>
    <col min="12812" max="12812" width="16" style="1414" bestFit="1" customWidth="1"/>
    <col min="12813" max="12813" width="2.7109375" style="1414" customWidth="1"/>
    <col min="12814" max="12814" width="4.5703125" style="1414" customWidth="1"/>
    <col min="12815" max="13056" width="9.140625" style="1414"/>
    <col min="13057" max="13057" width="4.5703125" style="1414" customWidth="1"/>
    <col min="13058" max="13058" width="6.5703125" style="1414" customWidth="1"/>
    <col min="13059" max="13059" width="1.7109375" style="1414" customWidth="1"/>
    <col min="13060" max="13061" width="6.5703125" style="1414" customWidth="1"/>
    <col min="13062" max="13062" width="1.7109375" style="1414" customWidth="1"/>
    <col min="13063" max="13063" width="6.5703125" style="1414" customWidth="1"/>
    <col min="13064" max="13064" width="12.7109375" style="1414" customWidth="1"/>
    <col min="13065" max="13065" width="15.140625" style="1414" customWidth="1"/>
    <col min="13066" max="13067" width="9.5703125" style="1414" customWidth="1"/>
    <col min="13068" max="13068" width="16" style="1414" bestFit="1" customWidth="1"/>
    <col min="13069" max="13069" width="2.7109375" style="1414" customWidth="1"/>
    <col min="13070" max="13070" width="4.5703125" style="1414" customWidth="1"/>
    <col min="13071" max="13312" width="9.140625" style="1414"/>
    <col min="13313" max="13313" width="4.5703125" style="1414" customWidth="1"/>
    <col min="13314" max="13314" width="6.5703125" style="1414" customWidth="1"/>
    <col min="13315" max="13315" width="1.7109375" style="1414" customWidth="1"/>
    <col min="13316" max="13317" width="6.5703125" style="1414" customWidth="1"/>
    <col min="13318" max="13318" width="1.7109375" style="1414" customWidth="1"/>
    <col min="13319" max="13319" width="6.5703125" style="1414" customWidth="1"/>
    <col min="13320" max="13320" width="12.7109375" style="1414" customWidth="1"/>
    <col min="13321" max="13321" width="15.140625" style="1414" customWidth="1"/>
    <col min="13322" max="13323" width="9.5703125" style="1414" customWidth="1"/>
    <col min="13324" max="13324" width="16" style="1414" bestFit="1" customWidth="1"/>
    <col min="13325" max="13325" width="2.7109375" style="1414" customWidth="1"/>
    <col min="13326" max="13326" width="4.5703125" style="1414" customWidth="1"/>
    <col min="13327" max="13568" width="9.140625" style="1414"/>
    <col min="13569" max="13569" width="4.5703125" style="1414" customWidth="1"/>
    <col min="13570" max="13570" width="6.5703125" style="1414" customWidth="1"/>
    <col min="13571" max="13571" width="1.7109375" style="1414" customWidth="1"/>
    <col min="13572" max="13573" width="6.5703125" style="1414" customWidth="1"/>
    <col min="13574" max="13574" width="1.7109375" style="1414" customWidth="1"/>
    <col min="13575" max="13575" width="6.5703125" style="1414" customWidth="1"/>
    <col min="13576" max="13576" width="12.7109375" style="1414" customWidth="1"/>
    <col min="13577" max="13577" width="15.140625" style="1414" customWidth="1"/>
    <col min="13578" max="13579" width="9.5703125" style="1414" customWidth="1"/>
    <col min="13580" max="13580" width="16" style="1414" bestFit="1" customWidth="1"/>
    <col min="13581" max="13581" width="2.7109375" style="1414" customWidth="1"/>
    <col min="13582" max="13582" width="4.5703125" style="1414" customWidth="1"/>
    <col min="13583" max="13824" width="9.140625" style="1414"/>
    <col min="13825" max="13825" width="4.5703125" style="1414" customWidth="1"/>
    <col min="13826" max="13826" width="6.5703125" style="1414" customWidth="1"/>
    <col min="13827" max="13827" width="1.7109375" style="1414" customWidth="1"/>
    <col min="13828" max="13829" width="6.5703125" style="1414" customWidth="1"/>
    <col min="13830" max="13830" width="1.7109375" style="1414" customWidth="1"/>
    <col min="13831" max="13831" width="6.5703125" style="1414" customWidth="1"/>
    <col min="13832" max="13832" width="12.7109375" style="1414" customWidth="1"/>
    <col min="13833" max="13833" width="15.140625" style="1414" customWidth="1"/>
    <col min="13834" max="13835" width="9.5703125" style="1414" customWidth="1"/>
    <col min="13836" max="13836" width="16" style="1414" bestFit="1" customWidth="1"/>
    <col min="13837" max="13837" width="2.7109375" style="1414" customWidth="1"/>
    <col min="13838" max="13838" width="4.5703125" style="1414" customWidth="1"/>
    <col min="13839" max="14080" width="9.140625" style="1414"/>
    <col min="14081" max="14081" width="4.5703125" style="1414" customWidth="1"/>
    <col min="14082" max="14082" width="6.5703125" style="1414" customWidth="1"/>
    <col min="14083" max="14083" width="1.7109375" style="1414" customWidth="1"/>
    <col min="14084" max="14085" width="6.5703125" style="1414" customWidth="1"/>
    <col min="14086" max="14086" width="1.7109375" style="1414" customWidth="1"/>
    <col min="14087" max="14087" width="6.5703125" style="1414" customWidth="1"/>
    <col min="14088" max="14088" width="12.7109375" style="1414" customWidth="1"/>
    <col min="14089" max="14089" width="15.140625" style="1414" customWidth="1"/>
    <col min="14090" max="14091" width="9.5703125" style="1414" customWidth="1"/>
    <col min="14092" max="14092" width="16" style="1414" bestFit="1" customWidth="1"/>
    <col min="14093" max="14093" width="2.7109375" style="1414" customWidth="1"/>
    <col min="14094" max="14094" width="4.5703125" style="1414" customWidth="1"/>
    <col min="14095" max="14336" width="9.140625" style="1414"/>
    <col min="14337" max="14337" width="4.5703125" style="1414" customWidth="1"/>
    <col min="14338" max="14338" width="6.5703125" style="1414" customWidth="1"/>
    <col min="14339" max="14339" width="1.7109375" style="1414" customWidth="1"/>
    <col min="14340" max="14341" width="6.5703125" style="1414" customWidth="1"/>
    <col min="14342" max="14342" width="1.7109375" style="1414" customWidth="1"/>
    <col min="14343" max="14343" width="6.5703125" style="1414" customWidth="1"/>
    <col min="14344" max="14344" width="12.7109375" style="1414" customWidth="1"/>
    <col min="14345" max="14345" width="15.140625" style="1414" customWidth="1"/>
    <col min="14346" max="14347" width="9.5703125" style="1414" customWidth="1"/>
    <col min="14348" max="14348" width="16" style="1414" bestFit="1" customWidth="1"/>
    <col min="14349" max="14349" width="2.7109375" style="1414" customWidth="1"/>
    <col min="14350" max="14350" width="4.5703125" style="1414" customWidth="1"/>
    <col min="14351" max="14592" width="9.140625" style="1414"/>
    <col min="14593" max="14593" width="4.5703125" style="1414" customWidth="1"/>
    <col min="14594" max="14594" width="6.5703125" style="1414" customWidth="1"/>
    <col min="14595" max="14595" width="1.7109375" style="1414" customWidth="1"/>
    <col min="14596" max="14597" width="6.5703125" style="1414" customWidth="1"/>
    <col min="14598" max="14598" width="1.7109375" style="1414" customWidth="1"/>
    <col min="14599" max="14599" width="6.5703125" style="1414" customWidth="1"/>
    <col min="14600" max="14600" width="12.7109375" style="1414" customWidth="1"/>
    <col min="14601" max="14601" width="15.140625" style="1414" customWidth="1"/>
    <col min="14602" max="14603" width="9.5703125" style="1414" customWidth="1"/>
    <col min="14604" max="14604" width="16" style="1414" bestFit="1" customWidth="1"/>
    <col min="14605" max="14605" width="2.7109375" style="1414" customWidth="1"/>
    <col min="14606" max="14606" width="4.5703125" style="1414" customWidth="1"/>
    <col min="14607" max="14848" width="9.140625" style="1414"/>
    <col min="14849" max="14849" width="4.5703125" style="1414" customWidth="1"/>
    <col min="14850" max="14850" width="6.5703125" style="1414" customWidth="1"/>
    <col min="14851" max="14851" width="1.7109375" style="1414" customWidth="1"/>
    <col min="14852" max="14853" width="6.5703125" style="1414" customWidth="1"/>
    <col min="14854" max="14854" width="1.7109375" style="1414" customWidth="1"/>
    <col min="14855" max="14855" width="6.5703125" style="1414" customWidth="1"/>
    <col min="14856" max="14856" width="12.7109375" style="1414" customWidth="1"/>
    <col min="14857" max="14857" width="15.140625" style="1414" customWidth="1"/>
    <col min="14858" max="14859" width="9.5703125" style="1414" customWidth="1"/>
    <col min="14860" max="14860" width="16" style="1414" bestFit="1" customWidth="1"/>
    <col min="14861" max="14861" width="2.7109375" style="1414" customWidth="1"/>
    <col min="14862" max="14862" width="4.5703125" style="1414" customWidth="1"/>
    <col min="14863" max="15104" width="9.140625" style="1414"/>
    <col min="15105" max="15105" width="4.5703125" style="1414" customWidth="1"/>
    <col min="15106" max="15106" width="6.5703125" style="1414" customWidth="1"/>
    <col min="15107" max="15107" width="1.7109375" style="1414" customWidth="1"/>
    <col min="15108" max="15109" width="6.5703125" style="1414" customWidth="1"/>
    <col min="15110" max="15110" width="1.7109375" style="1414" customWidth="1"/>
    <col min="15111" max="15111" width="6.5703125" style="1414" customWidth="1"/>
    <col min="15112" max="15112" width="12.7109375" style="1414" customWidth="1"/>
    <col min="15113" max="15113" width="15.140625" style="1414" customWidth="1"/>
    <col min="15114" max="15115" width="9.5703125" style="1414" customWidth="1"/>
    <col min="15116" max="15116" width="16" style="1414" bestFit="1" customWidth="1"/>
    <col min="15117" max="15117" width="2.7109375" style="1414" customWidth="1"/>
    <col min="15118" max="15118" width="4.5703125" style="1414" customWidth="1"/>
    <col min="15119" max="15360" width="9.140625" style="1414"/>
    <col min="15361" max="15361" width="4.5703125" style="1414" customWidth="1"/>
    <col min="15362" max="15362" width="6.5703125" style="1414" customWidth="1"/>
    <col min="15363" max="15363" width="1.7109375" style="1414" customWidth="1"/>
    <col min="15364" max="15365" width="6.5703125" style="1414" customWidth="1"/>
    <col min="15366" max="15366" width="1.7109375" style="1414" customWidth="1"/>
    <col min="15367" max="15367" width="6.5703125" style="1414" customWidth="1"/>
    <col min="15368" max="15368" width="12.7109375" style="1414" customWidth="1"/>
    <col min="15369" max="15369" width="15.140625" style="1414" customWidth="1"/>
    <col min="15370" max="15371" width="9.5703125" style="1414" customWidth="1"/>
    <col min="15372" max="15372" width="16" style="1414" bestFit="1" customWidth="1"/>
    <col min="15373" max="15373" width="2.7109375" style="1414" customWidth="1"/>
    <col min="15374" max="15374" width="4.5703125" style="1414" customWidth="1"/>
    <col min="15375" max="15616" width="9.140625" style="1414"/>
    <col min="15617" max="15617" width="4.5703125" style="1414" customWidth="1"/>
    <col min="15618" max="15618" width="6.5703125" style="1414" customWidth="1"/>
    <col min="15619" max="15619" width="1.7109375" style="1414" customWidth="1"/>
    <col min="15620" max="15621" width="6.5703125" style="1414" customWidth="1"/>
    <col min="15622" max="15622" width="1.7109375" style="1414" customWidth="1"/>
    <col min="15623" max="15623" width="6.5703125" style="1414" customWidth="1"/>
    <col min="15624" max="15624" width="12.7109375" style="1414" customWidth="1"/>
    <col min="15625" max="15625" width="15.140625" style="1414" customWidth="1"/>
    <col min="15626" max="15627" width="9.5703125" style="1414" customWidth="1"/>
    <col min="15628" max="15628" width="16" style="1414" bestFit="1" customWidth="1"/>
    <col min="15629" max="15629" width="2.7109375" style="1414" customWidth="1"/>
    <col min="15630" max="15630" width="4.5703125" style="1414" customWidth="1"/>
    <col min="15631" max="15872" width="9.140625" style="1414"/>
    <col min="15873" max="15873" width="4.5703125" style="1414" customWidth="1"/>
    <col min="15874" max="15874" width="6.5703125" style="1414" customWidth="1"/>
    <col min="15875" max="15875" width="1.7109375" style="1414" customWidth="1"/>
    <col min="15876" max="15877" width="6.5703125" style="1414" customWidth="1"/>
    <col min="15878" max="15878" width="1.7109375" style="1414" customWidth="1"/>
    <col min="15879" max="15879" width="6.5703125" style="1414" customWidth="1"/>
    <col min="15880" max="15880" width="12.7109375" style="1414" customWidth="1"/>
    <col min="15881" max="15881" width="15.140625" style="1414" customWidth="1"/>
    <col min="15882" max="15883" width="9.5703125" style="1414" customWidth="1"/>
    <col min="15884" max="15884" width="16" style="1414" bestFit="1" customWidth="1"/>
    <col min="15885" max="15885" width="2.7109375" style="1414" customWidth="1"/>
    <col min="15886" max="15886" width="4.5703125" style="1414" customWidth="1"/>
    <col min="15887" max="16128" width="9.140625" style="1414"/>
    <col min="16129" max="16129" width="4.5703125" style="1414" customWidth="1"/>
    <col min="16130" max="16130" width="6.5703125" style="1414" customWidth="1"/>
    <col min="16131" max="16131" width="1.7109375" style="1414" customWidth="1"/>
    <col min="16132" max="16133" width="6.5703125" style="1414" customWidth="1"/>
    <col min="16134" max="16134" width="1.7109375" style="1414" customWidth="1"/>
    <col min="16135" max="16135" width="6.5703125" style="1414" customWidth="1"/>
    <col min="16136" max="16136" width="12.7109375" style="1414" customWidth="1"/>
    <col min="16137" max="16137" width="15.140625" style="1414" customWidth="1"/>
    <col min="16138" max="16139" width="9.5703125" style="1414" customWidth="1"/>
    <col min="16140" max="16140" width="16" style="1414" bestFit="1" customWidth="1"/>
    <col min="16141" max="16141" width="2.7109375" style="1414" customWidth="1"/>
    <col min="16142" max="16142" width="4.5703125" style="1414" customWidth="1"/>
    <col min="16143" max="16384" width="9.140625" style="1414"/>
  </cols>
  <sheetData>
    <row r="1" spans="1:14" ht="12.75" customHeight="1">
      <c r="A1" s="1483"/>
      <c r="B1" s="1484"/>
      <c r="C1" s="1485"/>
      <c r="D1" s="1486"/>
      <c r="E1" s="1484"/>
      <c r="F1" s="1485"/>
      <c r="G1" s="1486"/>
      <c r="H1" s="1485"/>
      <c r="I1" s="1485"/>
      <c r="J1" s="1485"/>
      <c r="K1" s="1485"/>
      <c r="L1" s="1487"/>
      <c r="M1" s="1487"/>
      <c r="N1" s="1488"/>
    </row>
    <row r="2" spans="1:14" ht="20.25" customHeight="1">
      <c r="A2" s="1415"/>
      <c r="B2" s="2338" t="s">
        <v>1337</v>
      </c>
      <c r="C2" s="2338"/>
      <c r="D2" s="2338"/>
      <c r="E2" s="2338"/>
      <c r="F2" s="2338"/>
      <c r="G2" s="2338"/>
      <c r="H2" s="2338"/>
      <c r="I2" s="2338"/>
      <c r="J2" s="2338"/>
      <c r="K2" s="2338"/>
      <c r="L2" s="2338"/>
      <c r="M2" s="2338"/>
      <c r="N2" s="1416"/>
    </row>
    <row r="3" spans="1:14" ht="9.9499999999999993" customHeight="1">
      <c r="A3" s="1415"/>
      <c r="B3" s="1417"/>
      <c r="C3" s="1417"/>
      <c r="D3" s="1417"/>
      <c r="E3" s="1417"/>
      <c r="F3" s="1417"/>
      <c r="G3" s="1417"/>
      <c r="H3" s="1417"/>
      <c r="I3" s="1417"/>
      <c r="J3" s="1417"/>
      <c r="K3" s="1417"/>
      <c r="L3" s="1417"/>
      <c r="M3" s="1418"/>
      <c r="N3" s="1416"/>
    </row>
    <row r="4" spans="1:14" ht="12.75" customHeight="1">
      <c r="A4" s="1415"/>
      <c r="B4" s="2339" t="s">
        <v>272</v>
      </c>
      <c r="C4" s="2340"/>
      <c r="D4" s="2340"/>
      <c r="E4" s="2340"/>
      <c r="F4" s="2340"/>
      <c r="G4" s="2340"/>
      <c r="H4" s="2341" t="s">
        <v>251</v>
      </c>
      <c r="I4" s="2343" t="s">
        <v>1338</v>
      </c>
      <c r="J4" s="2343"/>
      <c r="K4" s="2343"/>
      <c r="L4" s="1419" t="s">
        <v>1339</v>
      </c>
      <c r="M4" s="1420"/>
      <c r="N4" s="1416"/>
    </row>
    <row r="5" spans="1:14" ht="12.75" customHeight="1">
      <c r="A5" s="1415"/>
      <c r="B5" s="2344" t="s">
        <v>253</v>
      </c>
      <c r="C5" s="2345"/>
      <c r="D5" s="2345"/>
      <c r="E5" s="2345" t="s">
        <v>1340</v>
      </c>
      <c r="F5" s="2345"/>
      <c r="G5" s="2345"/>
      <c r="H5" s="2342"/>
      <c r="I5" s="1421" t="s">
        <v>1341</v>
      </c>
      <c r="J5" s="1421" t="s">
        <v>1342</v>
      </c>
      <c r="K5" s="1421" t="s">
        <v>1343</v>
      </c>
      <c r="L5" s="1422" t="s">
        <v>1344</v>
      </c>
      <c r="M5" s="1420"/>
      <c r="N5" s="1416"/>
    </row>
    <row r="6" spans="1:14" ht="15.75" customHeight="1">
      <c r="A6" s="1415"/>
      <c r="B6" s="2346" t="s">
        <v>1345</v>
      </c>
      <c r="C6" s="2347"/>
      <c r="D6" s="2347"/>
      <c r="E6" s="2347"/>
      <c r="F6" s="2347"/>
      <c r="G6" s="2347"/>
      <c r="H6" s="2347"/>
      <c r="I6" s="2347"/>
      <c r="J6" s="2347"/>
      <c r="K6" s="2347"/>
      <c r="L6" s="2348"/>
      <c r="M6" s="1423"/>
      <c r="N6" s="1416"/>
    </row>
    <row r="7" spans="1:14" ht="12.75" customHeight="1">
      <c r="A7" s="1415"/>
      <c r="B7" s="1425"/>
      <c r="C7" s="1489"/>
      <c r="D7" s="1434"/>
      <c r="E7" s="1428"/>
      <c r="F7" s="1489"/>
      <c r="G7" s="1434"/>
      <c r="H7" s="1429"/>
      <c r="I7" s="1448"/>
      <c r="J7" s="1436"/>
      <c r="K7" s="1436"/>
      <c r="L7" s="1432"/>
      <c r="M7" s="1447"/>
      <c r="N7" s="1416"/>
    </row>
    <row r="8" spans="1:14" ht="12.75" customHeight="1">
      <c r="A8" s="1415"/>
      <c r="B8" s="2349" t="s">
        <v>1352</v>
      </c>
      <c r="C8" s="2350"/>
      <c r="D8" s="2350"/>
      <c r="E8" s="2350"/>
      <c r="F8" s="2350"/>
      <c r="G8" s="2350"/>
      <c r="H8" s="2350"/>
      <c r="I8" s="2350"/>
      <c r="J8" s="2350"/>
      <c r="K8" s="2350"/>
      <c r="L8" s="2351"/>
      <c r="M8" s="1447"/>
      <c r="N8" s="1416"/>
    </row>
    <row r="9" spans="1:14" ht="12.75" customHeight="1">
      <c r="A9" s="1415"/>
      <c r="B9" s="1490">
        <v>6</v>
      </c>
      <c r="C9" s="1489" t="s">
        <v>605</v>
      </c>
      <c r="D9" s="1427">
        <v>0</v>
      </c>
      <c r="E9" s="1491">
        <v>9</v>
      </c>
      <c r="F9" s="1489" t="s">
        <v>605</v>
      </c>
      <c r="G9" s="1427">
        <v>0</v>
      </c>
      <c r="H9" s="1429" t="s">
        <v>260</v>
      </c>
      <c r="I9" s="1448">
        <f>((E9-B9)*20)+(G9-D9)</f>
        <v>60</v>
      </c>
      <c r="J9" s="1431">
        <f>IF(B9&lt;&gt;"",1.8,0)</f>
        <v>1.8</v>
      </c>
      <c r="K9" s="1436">
        <f>(L9/(I9*J9))</f>
        <v>0.17592592592592593</v>
      </c>
      <c r="L9" s="1432">
        <v>19</v>
      </c>
      <c r="M9" s="1424"/>
      <c r="N9" s="1416"/>
    </row>
    <row r="10" spans="1:14" ht="12.75" customHeight="1">
      <c r="A10" s="1415"/>
      <c r="B10" s="1425">
        <v>10</v>
      </c>
      <c r="C10" s="1489" t="s">
        <v>605</v>
      </c>
      <c r="D10" s="1427">
        <v>3.17</v>
      </c>
      <c r="E10" s="1428">
        <v>18</v>
      </c>
      <c r="F10" s="1489" t="s">
        <v>605</v>
      </c>
      <c r="G10" s="1427">
        <v>0</v>
      </c>
      <c r="H10" s="1429" t="s">
        <v>260</v>
      </c>
      <c r="I10" s="1448">
        <f>((E10-B10)*20)+(G10-D10)</f>
        <v>156.83000000000001</v>
      </c>
      <c r="J10" s="1431">
        <f>IF(B10&lt;&gt;"",1.8,0)</f>
        <v>1.8</v>
      </c>
      <c r="K10" s="1436">
        <f>(L10/(I10*J10))</f>
        <v>0.81121100696437032</v>
      </c>
      <c r="L10" s="1432">
        <v>229</v>
      </c>
      <c r="M10" s="1424"/>
      <c r="N10" s="1416"/>
    </row>
    <row r="11" spans="1:14" ht="12.75" customHeight="1">
      <c r="A11" s="1415"/>
      <c r="B11" s="1425">
        <v>20</v>
      </c>
      <c r="C11" s="1489" t="s">
        <v>605</v>
      </c>
      <c r="D11" s="1427">
        <v>0</v>
      </c>
      <c r="E11" s="1435">
        <v>23</v>
      </c>
      <c r="F11" s="1489" t="s">
        <v>605</v>
      </c>
      <c r="G11" s="1427">
        <v>0</v>
      </c>
      <c r="H11" s="1429" t="s">
        <v>260</v>
      </c>
      <c r="I11" s="1448">
        <f>((E11-B11)*20)+(G11-D11)</f>
        <v>60</v>
      </c>
      <c r="J11" s="1436">
        <f>IF(B11&lt;&gt;"",1.8,0)</f>
        <v>1.8</v>
      </c>
      <c r="K11" s="1436">
        <f>(L11/(I11*J11))</f>
        <v>5.5555555555555552E-2</v>
      </c>
      <c r="L11" s="1438">
        <v>6</v>
      </c>
      <c r="M11" s="1424"/>
      <c r="N11" s="1416"/>
    </row>
    <row r="12" spans="1:14" ht="12.75" customHeight="1">
      <c r="A12" s="1415"/>
      <c r="B12" s="1425">
        <v>25</v>
      </c>
      <c r="C12" s="1489" t="s">
        <v>605</v>
      </c>
      <c r="D12" s="1427">
        <v>0</v>
      </c>
      <c r="E12" s="1435">
        <v>55</v>
      </c>
      <c r="F12" s="1489" t="s">
        <v>605</v>
      </c>
      <c r="G12" s="1427">
        <v>0</v>
      </c>
      <c r="H12" s="1429" t="s">
        <v>260</v>
      </c>
      <c r="I12" s="1448">
        <f>((E12-B12)*20)+(G12-D12)</f>
        <v>600</v>
      </c>
      <c r="J12" s="1431">
        <f>IF(B12&lt;&gt;"",1.8,0)</f>
        <v>1.8</v>
      </c>
      <c r="K12" s="1436">
        <f>(L12/(I12*J12))</f>
        <v>0.875</v>
      </c>
      <c r="L12" s="1438">
        <v>945</v>
      </c>
      <c r="M12" s="1424"/>
      <c r="N12" s="1416"/>
    </row>
    <row r="13" spans="1:14" ht="12.75" customHeight="1">
      <c r="A13" s="1415"/>
      <c r="B13" s="1425"/>
      <c r="C13" s="1489"/>
      <c r="D13" s="1434"/>
      <c r="E13" s="1428"/>
      <c r="F13" s="1489"/>
      <c r="G13" s="1434"/>
      <c r="H13" s="1429"/>
      <c r="I13" s="1448"/>
      <c r="J13" s="1431"/>
      <c r="K13" s="1436"/>
      <c r="L13" s="1432"/>
      <c r="M13" s="1424"/>
      <c r="N13" s="1416"/>
    </row>
    <row r="14" spans="1:14" ht="12.75" customHeight="1">
      <c r="A14" s="1415"/>
      <c r="B14" s="1425"/>
      <c r="C14" s="1489"/>
      <c r="D14" s="1434"/>
      <c r="E14" s="1428"/>
      <c r="F14" s="1489"/>
      <c r="G14" s="1434"/>
      <c r="H14" s="1429"/>
      <c r="I14" s="1448"/>
      <c r="J14" s="1431"/>
      <c r="K14" s="1436"/>
      <c r="L14" s="1432"/>
      <c r="M14" s="1424"/>
      <c r="N14" s="1416"/>
    </row>
    <row r="15" spans="1:14" ht="12.75" customHeight="1">
      <c r="A15" s="1415"/>
      <c r="B15" s="2349" t="s">
        <v>1353</v>
      </c>
      <c r="C15" s="2350"/>
      <c r="D15" s="2350"/>
      <c r="E15" s="2350"/>
      <c r="F15" s="2350"/>
      <c r="G15" s="2350"/>
      <c r="H15" s="2350"/>
      <c r="I15" s="2350"/>
      <c r="J15" s="2350"/>
      <c r="K15" s="2350"/>
      <c r="L15" s="2351"/>
      <c r="M15" s="1447"/>
      <c r="N15" s="1416"/>
    </row>
    <row r="16" spans="1:14" ht="12.75" customHeight="1">
      <c r="A16" s="1415"/>
      <c r="B16" s="1490">
        <v>0</v>
      </c>
      <c r="C16" s="1489" t="s">
        <v>605</v>
      </c>
      <c r="D16" s="1427">
        <v>0</v>
      </c>
      <c r="E16" s="1491">
        <v>8</v>
      </c>
      <c r="F16" s="1489" t="s">
        <v>605</v>
      </c>
      <c r="G16" s="1427">
        <v>0</v>
      </c>
      <c r="H16" s="1429" t="s">
        <v>260</v>
      </c>
      <c r="I16" s="1448">
        <f>((E16-B16)*20)+(G16-D16)</f>
        <v>160</v>
      </c>
      <c r="J16" s="1431">
        <f>IF(B16&lt;&gt;"",1.8,0)</f>
        <v>1.8</v>
      </c>
      <c r="K16" s="1436">
        <f>(L16/(I16*J16))</f>
        <v>0.85069444444444442</v>
      </c>
      <c r="L16" s="1432">
        <v>245</v>
      </c>
      <c r="M16" s="1447"/>
      <c r="N16" s="1416"/>
    </row>
    <row r="17" spans="1:14" ht="12.75" customHeight="1">
      <c r="A17" s="1415"/>
      <c r="B17" s="1425">
        <v>14</v>
      </c>
      <c r="C17" s="1489" t="s">
        <v>605</v>
      </c>
      <c r="D17" s="1427">
        <v>0</v>
      </c>
      <c r="E17" s="1435">
        <v>15</v>
      </c>
      <c r="F17" s="1489" t="s">
        <v>605</v>
      </c>
      <c r="G17" s="1427">
        <v>0</v>
      </c>
      <c r="H17" s="1429" t="s">
        <v>260</v>
      </c>
      <c r="I17" s="1448">
        <f>((E17-B17)*20)+(G17-D17)</f>
        <v>20</v>
      </c>
      <c r="J17" s="1431">
        <f>IF(B17&lt;&gt;"",1.8,0)</f>
        <v>1.8</v>
      </c>
      <c r="K17" s="1436">
        <f>(L17/(I17*J17))</f>
        <v>0.22222222222222221</v>
      </c>
      <c r="L17" s="1432">
        <v>8</v>
      </c>
      <c r="M17" s="1447"/>
      <c r="N17" s="1416"/>
    </row>
    <row r="18" spans="1:14" ht="12.75" customHeight="1">
      <c r="A18" s="1415"/>
      <c r="B18" s="1425">
        <v>19</v>
      </c>
      <c r="C18" s="1489" t="s">
        <v>605</v>
      </c>
      <c r="D18" s="1427">
        <v>0</v>
      </c>
      <c r="E18" s="1435">
        <v>37</v>
      </c>
      <c r="F18" s="1489" t="s">
        <v>605</v>
      </c>
      <c r="G18" s="1427">
        <v>0</v>
      </c>
      <c r="H18" s="1429" t="s">
        <v>260</v>
      </c>
      <c r="I18" s="1448">
        <f>((E18-B18)*20)+(G18-D18)</f>
        <v>360</v>
      </c>
      <c r="J18" s="1431">
        <f>IF(B18&lt;&gt;"",1.8,0)</f>
        <v>1.8</v>
      </c>
      <c r="K18" s="1436">
        <f>(L18/(I18*J18))</f>
        <v>0.375</v>
      </c>
      <c r="L18" s="1432">
        <v>243</v>
      </c>
      <c r="M18" s="1447"/>
      <c r="N18" s="1416"/>
    </row>
    <row r="19" spans="1:14" ht="12.75" customHeight="1">
      <c r="A19" s="1415"/>
      <c r="B19" s="1425">
        <v>41</v>
      </c>
      <c r="C19" s="1489" t="s">
        <v>605</v>
      </c>
      <c r="D19" s="1427">
        <v>0</v>
      </c>
      <c r="E19" s="1435">
        <v>42</v>
      </c>
      <c r="F19" s="1489" t="s">
        <v>605</v>
      </c>
      <c r="G19" s="1427">
        <v>0</v>
      </c>
      <c r="H19" s="1429" t="s">
        <v>260</v>
      </c>
      <c r="I19" s="1448">
        <f>((E19-B19)*20)+(G19-D19)</f>
        <v>20</v>
      </c>
      <c r="J19" s="1431">
        <f>IF(B19&lt;&gt;"",1.8,0)</f>
        <v>1.8</v>
      </c>
      <c r="K19" s="1436">
        <f>(L19/(I19*J19))</f>
        <v>8.3333333333333329E-2</v>
      </c>
      <c r="L19" s="1432">
        <v>3</v>
      </c>
      <c r="M19" s="1447"/>
      <c r="N19" s="1416"/>
    </row>
    <row r="20" spans="1:14" ht="12.75" customHeight="1">
      <c r="A20" s="1415"/>
      <c r="B20" s="1492"/>
      <c r="C20" s="1426"/>
      <c r="D20" s="1493"/>
      <c r="E20" s="1494"/>
      <c r="F20" s="1426"/>
      <c r="G20" s="1493"/>
      <c r="H20" s="1495"/>
      <c r="I20" s="1448"/>
      <c r="J20" s="1431"/>
      <c r="K20" s="1436"/>
      <c r="L20" s="1432"/>
      <c r="M20" s="1447"/>
      <c r="N20" s="1416"/>
    </row>
    <row r="21" spans="1:14" ht="12.75" customHeight="1">
      <c r="A21" s="1415"/>
      <c r="B21" s="1492"/>
      <c r="C21" s="1426"/>
      <c r="D21" s="1493"/>
      <c r="E21" s="1494"/>
      <c r="F21" s="1426"/>
      <c r="G21" s="1493"/>
      <c r="H21" s="1495"/>
      <c r="I21" s="1448"/>
      <c r="J21" s="1431"/>
      <c r="K21" s="1436"/>
      <c r="L21" s="1432"/>
      <c r="M21" s="1447"/>
      <c r="N21" s="1416"/>
    </row>
    <row r="22" spans="1:14" ht="12.75" customHeight="1">
      <c r="A22" s="1415"/>
      <c r="B22" s="1492"/>
      <c r="C22" s="1426"/>
      <c r="D22" s="1493"/>
      <c r="E22" s="1494"/>
      <c r="F22" s="1426"/>
      <c r="G22" s="1493"/>
      <c r="H22" s="1495"/>
      <c r="I22" s="1448"/>
      <c r="J22" s="1431"/>
      <c r="K22" s="1436"/>
      <c r="L22" s="1432"/>
      <c r="M22" s="1447"/>
      <c r="N22" s="1416"/>
    </row>
    <row r="23" spans="1:14" ht="12.75" customHeight="1">
      <c r="A23" s="1415"/>
      <c r="B23" s="1492"/>
      <c r="C23" s="1426"/>
      <c r="D23" s="1493"/>
      <c r="E23" s="1494"/>
      <c r="F23" s="1426"/>
      <c r="G23" s="1493"/>
      <c r="H23" s="1495"/>
      <c r="I23" s="1448"/>
      <c r="J23" s="1431"/>
      <c r="K23" s="1436"/>
      <c r="L23" s="1432"/>
      <c r="M23" s="1447"/>
      <c r="N23" s="1416"/>
    </row>
    <row r="24" spans="1:14" ht="12.75" customHeight="1">
      <c r="A24" s="1415"/>
      <c r="B24" s="1425"/>
      <c r="C24" s="1489"/>
      <c r="D24" s="1434"/>
      <c r="E24" s="1435"/>
      <c r="F24" s="1489"/>
      <c r="G24" s="1434"/>
      <c r="H24" s="1429"/>
      <c r="I24" s="1448"/>
      <c r="J24" s="1431"/>
      <c r="K24" s="1436"/>
      <c r="L24" s="1432"/>
      <c r="M24" s="1447"/>
      <c r="N24" s="1416"/>
    </row>
    <row r="25" spans="1:14" ht="12.75" customHeight="1">
      <c r="A25" s="1415"/>
      <c r="B25" s="1492"/>
      <c r="C25" s="1426"/>
      <c r="D25" s="1496"/>
      <c r="E25" s="1494"/>
      <c r="F25" s="1426"/>
      <c r="G25" s="1496"/>
      <c r="H25" s="1495"/>
      <c r="I25" s="1448"/>
      <c r="J25" s="1431"/>
      <c r="K25" s="1436"/>
      <c r="L25" s="1432"/>
      <c r="M25" s="1447"/>
      <c r="N25" s="1416"/>
    </row>
    <row r="26" spans="1:14" ht="12.75" customHeight="1">
      <c r="A26" s="1415"/>
      <c r="B26" s="1492"/>
      <c r="C26" s="1426"/>
      <c r="D26" s="1496"/>
      <c r="E26" s="1494"/>
      <c r="F26" s="1426"/>
      <c r="G26" s="1496"/>
      <c r="H26" s="1495"/>
      <c r="I26" s="1448"/>
      <c r="J26" s="1431"/>
      <c r="K26" s="1436"/>
      <c r="L26" s="1432"/>
      <c r="M26" s="1447"/>
      <c r="N26" s="1416"/>
    </row>
    <row r="27" spans="1:14" ht="12.75" customHeight="1">
      <c r="A27" s="1415"/>
      <c r="B27" s="1492"/>
      <c r="C27" s="1426"/>
      <c r="D27" s="1496"/>
      <c r="E27" s="1494"/>
      <c r="F27" s="1426"/>
      <c r="G27" s="1496"/>
      <c r="H27" s="1495"/>
      <c r="I27" s="1448"/>
      <c r="J27" s="1431"/>
      <c r="K27" s="1436"/>
      <c r="L27" s="1432"/>
      <c r="M27" s="1447"/>
      <c r="N27" s="1416"/>
    </row>
    <row r="28" spans="1:14" ht="12.75" customHeight="1">
      <c r="A28" s="1415"/>
      <c r="B28" s="1492"/>
      <c r="C28" s="1426"/>
      <c r="D28" s="1496"/>
      <c r="E28" s="1494"/>
      <c r="F28" s="1426"/>
      <c r="G28" s="1496"/>
      <c r="H28" s="1495"/>
      <c r="I28" s="1448"/>
      <c r="J28" s="1431"/>
      <c r="K28" s="1436"/>
      <c r="L28" s="1432"/>
      <c r="M28" s="1447"/>
      <c r="N28" s="1416"/>
    </row>
    <row r="29" spans="1:14" ht="12.75" customHeight="1">
      <c r="A29" s="1415"/>
      <c r="B29" s="1425"/>
      <c r="C29" s="1489"/>
      <c r="D29" s="1434"/>
      <c r="E29" s="1435"/>
      <c r="F29" s="1489"/>
      <c r="G29" s="1434"/>
      <c r="H29" s="1429"/>
      <c r="I29" s="1448"/>
      <c r="J29" s="1436"/>
      <c r="K29" s="1436"/>
      <c r="L29" s="1438"/>
      <c r="M29" s="1447"/>
      <c r="N29" s="1416"/>
    </row>
    <row r="30" spans="1:14" ht="12.75" customHeight="1">
      <c r="A30" s="1415"/>
      <c r="B30" s="1425"/>
      <c r="C30" s="1489"/>
      <c r="D30" s="1434"/>
      <c r="E30" s="1435"/>
      <c r="F30" s="1489"/>
      <c r="G30" s="1434"/>
      <c r="H30" s="1429"/>
      <c r="I30" s="1448"/>
      <c r="J30" s="1436"/>
      <c r="K30" s="1436"/>
      <c r="L30" s="1438"/>
      <c r="M30" s="1447"/>
      <c r="N30" s="1416"/>
    </row>
    <row r="31" spans="1:14" ht="12.75" customHeight="1">
      <c r="A31" s="1415"/>
      <c r="B31" s="1425"/>
      <c r="C31" s="1489"/>
      <c r="D31" s="1434"/>
      <c r="E31" s="1435"/>
      <c r="F31" s="1489"/>
      <c r="G31" s="1434"/>
      <c r="H31" s="1429"/>
      <c r="I31" s="1448"/>
      <c r="J31" s="1436"/>
      <c r="K31" s="1436"/>
      <c r="L31" s="1438"/>
      <c r="M31" s="1447"/>
      <c r="N31" s="1416"/>
    </row>
    <row r="32" spans="1:14" ht="12.75" customHeight="1">
      <c r="A32" s="1415"/>
      <c r="B32" s="1425"/>
      <c r="C32" s="1489"/>
      <c r="D32" s="1434"/>
      <c r="E32" s="1435"/>
      <c r="F32" s="1489"/>
      <c r="G32" s="1434"/>
      <c r="H32" s="1429"/>
      <c r="I32" s="1448"/>
      <c r="J32" s="1436"/>
      <c r="K32" s="1436"/>
      <c r="L32" s="1438"/>
      <c r="M32" s="1447"/>
      <c r="N32" s="1416"/>
    </row>
    <row r="33" spans="1:16" ht="12.75" customHeight="1">
      <c r="A33" s="1415"/>
      <c r="B33" s="1425"/>
      <c r="C33" s="1489"/>
      <c r="D33" s="1434"/>
      <c r="E33" s="1435"/>
      <c r="F33" s="1489"/>
      <c r="G33" s="1434"/>
      <c r="H33" s="1429"/>
      <c r="I33" s="1448"/>
      <c r="J33" s="1436"/>
      <c r="K33" s="1436"/>
      <c r="L33" s="1438"/>
      <c r="M33" s="1447"/>
      <c r="N33" s="1416"/>
    </row>
    <row r="34" spans="1:16" ht="12.75" customHeight="1">
      <c r="A34" s="1415"/>
      <c r="B34" s="1425"/>
      <c r="C34" s="1489"/>
      <c r="D34" s="1434"/>
      <c r="E34" s="1435"/>
      <c r="F34" s="1489"/>
      <c r="G34" s="1434"/>
      <c r="H34" s="1429"/>
      <c r="I34" s="1448"/>
      <c r="J34" s="1436"/>
      <c r="K34" s="1436"/>
      <c r="L34" s="1438"/>
      <c r="M34" s="1447"/>
      <c r="N34" s="1416"/>
    </row>
    <row r="35" spans="1:16" ht="12.75" customHeight="1">
      <c r="A35" s="1415"/>
      <c r="B35" s="2352" t="s">
        <v>1348</v>
      </c>
      <c r="C35" s="2353"/>
      <c r="D35" s="2353"/>
      <c r="E35" s="2353"/>
      <c r="F35" s="2353"/>
      <c r="G35" s="2353"/>
      <c r="H35" s="2353"/>
      <c r="I35" s="2353"/>
      <c r="J35" s="2353"/>
      <c r="K35" s="2353"/>
      <c r="L35" s="1450">
        <f>SUM(L7:L34)</f>
        <v>1698</v>
      </c>
      <c r="M35" s="1447"/>
      <c r="N35" s="1416"/>
    </row>
    <row r="36" spans="1:16" ht="12.75" customHeight="1">
      <c r="A36" s="1415"/>
      <c r="B36" s="1204"/>
      <c r="C36" s="1204"/>
      <c r="D36" s="1204"/>
      <c r="E36" s="1204"/>
      <c r="F36" s="1204"/>
      <c r="G36" s="1204"/>
      <c r="H36" s="1204"/>
      <c r="I36" s="1204"/>
      <c r="J36" s="1204"/>
      <c r="K36" s="1204"/>
      <c r="L36" s="1204"/>
      <c r="M36" s="1204"/>
      <c r="N36" s="1206"/>
    </row>
    <row r="37" spans="1:16" ht="13.5" customHeight="1">
      <c r="A37" s="1415"/>
      <c r="B37" s="1204"/>
      <c r="C37" s="1204"/>
      <c r="D37" s="1204"/>
      <c r="E37" s="1204"/>
      <c r="F37" s="1204"/>
      <c r="G37" s="1204"/>
      <c r="H37" s="1204"/>
      <c r="I37" s="1204"/>
      <c r="J37" s="1204"/>
      <c r="K37" s="1204"/>
      <c r="L37" s="1204"/>
      <c r="M37" s="1204"/>
      <c r="N37" s="1206"/>
    </row>
    <row r="38" spans="1:16" ht="12.75" customHeight="1">
      <c r="A38" s="1415"/>
      <c r="B38" s="1467" t="s">
        <v>266</v>
      </c>
      <c r="M38" s="1458"/>
      <c r="N38" s="1416"/>
    </row>
    <row r="39" spans="1:16" ht="12.75" customHeight="1">
      <c r="A39" s="1415"/>
      <c r="B39" s="1469" t="s">
        <v>1350</v>
      </c>
      <c r="C39" s="1470"/>
      <c r="D39" s="1470" t="str">
        <f>CONCATENATE("Total das Áreas de Semeadura nos Aterros  (m²): ",TEXT(SUM(L35,),"#.##0,00"))</f>
        <v>Total das Áreas de Semeadura nos Aterros  (m²): 1.698,00</v>
      </c>
      <c r="E39" s="1470"/>
      <c r="F39" s="1470"/>
      <c r="G39" s="1470"/>
      <c r="H39" s="1470"/>
      <c r="I39" s="1470"/>
      <c r="J39" s="1470"/>
      <c r="K39" s="1470"/>
      <c r="L39" s="1470"/>
      <c r="M39" s="1458"/>
      <c r="N39" s="1416"/>
    </row>
    <row r="40" spans="1:16" ht="12.75" customHeight="1">
      <c r="A40" s="1415"/>
      <c r="B40" s="1469"/>
      <c r="C40" s="1472"/>
      <c r="D40" s="1473"/>
      <c r="E40" s="1469"/>
      <c r="F40" s="1472"/>
      <c r="G40" s="1473"/>
      <c r="H40" s="1472"/>
      <c r="I40" s="1472"/>
      <c r="J40" s="1472"/>
      <c r="K40" s="1472"/>
      <c r="L40" s="1471"/>
      <c r="N40" s="1416"/>
    </row>
    <row r="41" spans="1:16" ht="12.75" customHeight="1">
      <c r="A41" s="1468"/>
      <c r="B41" s="1469"/>
      <c r="C41" s="1472"/>
      <c r="D41" s="1473"/>
      <c r="E41" s="1469"/>
      <c r="F41" s="1472"/>
      <c r="G41" s="1473"/>
      <c r="H41" s="1472"/>
      <c r="I41" s="1472"/>
      <c r="J41" s="1472"/>
      <c r="K41" s="1472"/>
      <c r="L41" s="1471"/>
      <c r="M41" s="1471"/>
      <c r="N41" s="1475"/>
    </row>
    <row r="42" spans="1:16" ht="12.75" customHeight="1" thickBot="1">
      <c r="A42" s="1476"/>
      <c r="B42" s="1477"/>
      <c r="C42" s="1478"/>
      <c r="D42" s="1479"/>
      <c r="E42" s="1477"/>
      <c r="F42" s="1478"/>
      <c r="G42" s="1479"/>
      <c r="H42" s="1478"/>
      <c r="I42" s="1478"/>
      <c r="J42" s="1478"/>
      <c r="K42" s="1478"/>
      <c r="L42" s="1480"/>
      <c r="M42" s="1480"/>
      <c r="N42" s="1482"/>
    </row>
    <row r="43" spans="1:16" ht="12.75" customHeight="1">
      <c r="A43" s="1468"/>
      <c r="M43" s="1471"/>
      <c r="N43" s="1204"/>
      <c r="O43" s="1204"/>
      <c r="P43" s="1204"/>
    </row>
    <row r="44" spans="1:16" ht="12.75" customHeight="1">
      <c r="A44" s="1415"/>
      <c r="N44" s="1204"/>
      <c r="O44" s="1204"/>
      <c r="P44" s="1204"/>
    </row>
    <row r="45" spans="1:16" ht="12.75" customHeight="1">
      <c r="A45" s="1415"/>
    </row>
    <row r="46" spans="1:16" ht="12.75" customHeight="1"/>
    <row r="47" spans="1:16" ht="12.75" customHeight="1"/>
    <row r="48" spans="1:1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</sheetData>
  <mergeCells count="10">
    <mergeCell ref="B6:L6"/>
    <mergeCell ref="B8:L8"/>
    <mergeCell ref="B15:L15"/>
    <mergeCell ref="B35:K35"/>
    <mergeCell ref="B2:M2"/>
    <mergeCell ref="B4:G4"/>
    <mergeCell ref="H4:H5"/>
    <mergeCell ref="I4:K4"/>
    <mergeCell ref="B5:D5"/>
    <mergeCell ref="E5:G5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14" max="63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470B0-0190-4F6C-810D-55514C34AE34}">
  <sheetPr>
    <tabColor theme="9" tint="0.59999389629810485"/>
    <pageSetUpPr fitToPage="1"/>
  </sheetPr>
  <dimension ref="A1:N220"/>
  <sheetViews>
    <sheetView showGridLines="0" zoomScale="112" zoomScaleNormal="112" zoomScaleSheetLayoutView="100" workbookViewId="0">
      <selection activeCell="D19" sqref="D19:I19"/>
    </sheetView>
  </sheetViews>
  <sheetFormatPr defaultRowHeight="12.75"/>
  <cols>
    <col min="1" max="1" width="4.5703125" style="1414" customWidth="1"/>
    <col min="2" max="2" width="6.5703125" style="1463" customWidth="1"/>
    <col min="3" max="3" width="1.7109375" style="1414" customWidth="1"/>
    <col min="4" max="4" width="6.5703125" style="1464" customWidth="1"/>
    <col min="5" max="5" width="6.5703125" style="1463" customWidth="1"/>
    <col min="6" max="6" width="1.7109375" style="1414" customWidth="1"/>
    <col min="7" max="7" width="6.5703125" style="1464" customWidth="1"/>
    <col min="8" max="8" width="12.7109375" style="1414" customWidth="1"/>
    <col min="9" max="9" width="15.140625" style="1414" customWidth="1"/>
    <col min="10" max="11" width="9.5703125" style="1414" customWidth="1"/>
    <col min="12" max="12" width="16" style="1465" bestFit="1" customWidth="1"/>
    <col min="13" max="13" width="2.7109375" style="1465" customWidth="1"/>
    <col min="14" max="14" width="4.5703125" style="1414" customWidth="1"/>
    <col min="15" max="256" width="9.140625" style="1414"/>
    <col min="257" max="257" width="4.5703125" style="1414" customWidth="1"/>
    <col min="258" max="258" width="6.5703125" style="1414" customWidth="1"/>
    <col min="259" max="259" width="1.7109375" style="1414" customWidth="1"/>
    <col min="260" max="261" width="6.5703125" style="1414" customWidth="1"/>
    <col min="262" max="262" width="1.7109375" style="1414" customWidth="1"/>
    <col min="263" max="263" width="6.5703125" style="1414" customWidth="1"/>
    <col min="264" max="264" width="12.7109375" style="1414" customWidth="1"/>
    <col min="265" max="265" width="15.140625" style="1414" customWidth="1"/>
    <col min="266" max="267" width="9.5703125" style="1414" customWidth="1"/>
    <col min="268" max="268" width="16" style="1414" bestFit="1" customWidth="1"/>
    <col min="269" max="269" width="2.7109375" style="1414" customWidth="1"/>
    <col min="270" max="270" width="4.5703125" style="1414" customWidth="1"/>
    <col min="271" max="512" width="9.140625" style="1414"/>
    <col min="513" max="513" width="4.5703125" style="1414" customWidth="1"/>
    <col min="514" max="514" width="6.5703125" style="1414" customWidth="1"/>
    <col min="515" max="515" width="1.7109375" style="1414" customWidth="1"/>
    <col min="516" max="517" width="6.5703125" style="1414" customWidth="1"/>
    <col min="518" max="518" width="1.7109375" style="1414" customWidth="1"/>
    <col min="519" max="519" width="6.5703125" style="1414" customWidth="1"/>
    <col min="520" max="520" width="12.7109375" style="1414" customWidth="1"/>
    <col min="521" max="521" width="15.140625" style="1414" customWidth="1"/>
    <col min="522" max="523" width="9.5703125" style="1414" customWidth="1"/>
    <col min="524" max="524" width="16" style="1414" bestFit="1" customWidth="1"/>
    <col min="525" max="525" width="2.7109375" style="1414" customWidth="1"/>
    <col min="526" max="526" width="4.5703125" style="1414" customWidth="1"/>
    <col min="527" max="768" width="9.140625" style="1414"/>
    <col min="769" max="769" width="4.5703125" style="1414" customWidth="1"/>
    <col min="770" max="770" width="6.5703125" style="1414" customWidth="1"/>
    <col min="771" max="771" width="1.7109375" style="1414" customWidth="1"/>
    <col min="772" max="773" width="6.5703125" style="1414" customWidth="1"/>
    <col min="774" max="774" width="1.7109375" style="1414" customWidth="1"/>
    <col min="775" max="775" width="6.5703125" style="1414" customWidth="1"/>
    <col min="776" max="776" width="12.7109375" style="1414" customWidth="1"/>
    <col min="777" max="777" width="15.140625" style="1414" customWidth="1"/>
    <col min="778" max="779" width="9.5703125" style="1414" customWidth="1"/>
    <col min="780" max="780" width="16" style="1414" bestFit="1" customWidth="1"/>
    <col min="781" max="781" width="2.7109375" style="1414" customWidth="1"/>
    <col min="782" max="782" width="4.5703125" style="1414" customWidth="1"/>
    <col min="783" max="1024" width="9.140625" style="1414"/>
    <col min="1025" max="1025" width="4.5703125" style="1414" customWidth="1"/>
    <col min="1026" max="1026" width="6.5703125" style="1414" customWidth="1"/>
    <col min="1027" max="1027" width="1.7109375" style="1414" customWidth="1"/>
    <col min="1028" max="1029" width="6.5703125" style="1414" customWidth="1"/>
    <col min="1030" max="1030" width="1.7109375" style="1414" customWidth="1"/>
    <col min="1031" max="1031" width="6.5703125" style="1414" customWidth="1"/>
    <col min="1032" max="1032" width="12.7109375" style="1414" customWidth="1"/>
    <col min="1033" max="1033" width="15.140625" style="1414" customWidth="1"/>
    <col min="1034" max="1035" width="9.5703125" style="1414" customWidth="1"/>
    <col min="1036" max="1036" width="16" style="1414" bestFit="1" customWidth="1"/>
    <col min="1037" max="1037" width="2.7109375" style="1414" customWidth="1"/>
    <col min="1038" max="1038" width="4.5703125" style="1414" customWidth="1"/>
    <col min="1039" max="1280" width="9.140625" style="1414"/>
    <col min="1281" max="1281" width="4.5703125" style="1414" customWidth="1"/>
    <col min="1282" max="1282" width="6.5703125" style="1414" customWidth="1"/>
    <col min="1283" max="1283" width="1.7109375" style="1414" customWidth="1"/>
    <col min="1284" max="1285" width="6.5703125" style="1414" customWidth="1"/>
    <col min="1286" max="1286" width="1.7109375" style="1414" customWidth="1"/>
    <col min="1287" max="1287" width="6.5703125" style="1414" customWidth="1"/>
    <col min="1288" max="1288" width="12.7109375" style="1414" customWidth="1"/>
    <col min="1289" max="1289" width="15.140625" style="1414" customWidth="1"/>
    <col min="1290" max="1291" width="9.5703125" style="1414" customWidth="1"/>
    <col min="1292" max="1292" width="16" style="1414" bestFit="1" customWidth="1"/>
    <col min="1293" max="1293" width="2.7109375" style="1414" customWidth="1"/>
    <col min="1294" max="1294" width="4.5703125" style="1414" customWidth="1"/>
    <col min="1295" max="1536" width="9.140625" style="1414"/>
    <col min="1537" max="1537" width="4.5703125" style="1414" customWidth="1"/>
    <col min="1538" max="1538" width="6.5703125" style="1414" customWidth="1"/>
    <col min="1539" max="1539" width="1.7109375" style="1414" customWidth="1"/>
    <col min="1540" max="1541" width="6.5703125" style="1414" customWidth="1"/>
    <col min="1542" max="1542" width="1.7109375" style="1414" customWidth="1"/>
    <col min="1543" max="1543" width="6.5703125" style="1414" customWidth="1"/>
    <col min="1544" max="1544" width="12.7109375" style="1414" customWidth="1"/>
    <col min="1545" max="1545" width="15.140625" style="1414" customWidth="1"/>
    <col min="1546" max="1547" width="9.5703125" style="1414" customWidth="1"/>
    <col min="1548" max="1548" width="16" style="1414" bestFit="1" customWidth="1"/>
    <col min="1549" max="1549" width="2.7109375" style="1414" customWidth="1"/>
    <col min="1550" max="1550" width="4.5703125" style="1414" customWidth="1"/>
    <col min="1551" max="1792" width="9.140625" style="1414"/>
    <col min="1793" max="1793" width="4.5703125" style="1414" customWidth="1"/>
    <col min="1794" max="1794" width="6.5703125" style="1414" customWidth="1"/>
    <col min="1795" max="1795" width="1.7109375" style="1414" customWidth="1"/>
    <col min="1796" max="1797" width="6.5703125" style="1414" customWidth="1"/>
    <col min="1798" max="1798" width="1.7109375" style="1414" customWidth="1"/>
    <col min="1799" max="1799" width="6.5703125" style="1414" customWidth="1"/>
    <col min="1800" max="1800" width="12.7109375" style="1414" customWidth="1"/>
    <col min="1801" max="1801" width="15.140625" style="1414" customWidth="1"/>
    <col min="1802" max="1803" width="9.5703125" style="1414" customWidth="1"/>
    <col min="1804" max="1804" width="16" style="1414" bestFit="1" customWidth="1"/>
    <col min="1805" max="1805" width="2.7109375" style="1414" customWidth="1"/>
    <col min="1806" max="1806" width="4.5703125" style="1414" customWidth="1"/>
    <col min="1807" max="2048" width="9.140625" style="1414"/>
    <col min="2049" max="2049" width="4.5703125" style="1414" customWidth="1"/>
    <col min="2050" max="2050" width="6.5703125" style="1414" customWidth="1"/>
    <col min="2051" max="2051" width="1.7109375" style="1414" customWidth="1"/>
    <col min="2052" max="2053" width="6.5703125" style="1414" customWidth="1"/>
    <col min="2054" max="2054" width="1.7109375" style="1414" customWidth="1"/>
    <col min="2055" max="2055" width="6.5703125" style="1414" customWidth="1"/>
    <col min="2056" max="2056" width="12.7109375" style="1414" customWidth="1"/>
    <col min="2057" max="2057" width="15.140625" style="1414" customWidth="1"/>
    <col min="2058" max="2059" width="9.5703125" style="1414" customWidth="1"/>
    <col min="2060" max="2060" width="16" style="1414" bestFit="1" customWidth="1"/>
    <col min="2061" max="2061" width="2.7109375" style="1414" customWidth="1"/>
    <col min="2062" max="2062" width="4.5703125" style="1414" customWidth="1"/>
    <col min="2063" max="2304" width="9.140625" style="1414"/>
    <col min="2305" max="2305" width="4.5703125" style="1414" customWidth="1"/>
    <col min="2306" max="2306" width="6.5703125" style="1414" customWidth="1"/>
    <col min="2307" max="2307" width="1.7109375" style="1414" customWidth="1"/>
    <col min="2308" max="2309" width="6.5703125" style="1414" customWidth="1"/>
    <col min="2310" max="2310" width="1.7109375" style="1414" customWidth="1"/>
    <col min="2311" max="2311" width="6.5703125" style="1414" customWidth="1"/>
    <col min="2312" max="2312" width="12.7109375" style="1414" customWidth="1"/>
    <col min="2313" max="2313" width="15.140625" style="1414" customWidth="1"/>
    <col min="2314" max="2315" width="9.5703125" style="1414" customWidth="1"/>
    <col min="2316" max="2316" width="16" style="1414" bestFit="1" customWidth="1"/>
    <col min="2317" max="2317" width="2.7109375" style="1414" customWidth="1"/>
    <col min="2318" max="2318" width="4.5703125" style="1414" customWidth="1"/>
    <col min="2319" max="2560" width="9.140625" style="1414"/>
    <col min="2561" max="2561" width="4.5703125" style="1414" customWidth="1"/>
    <col min="2562" max="2562" width="6.5703125" style="1414" customWidth="1"/>
    <col min="2563" max="2563" width="1.7109375" style="1414" customWidth="1"/>
    <col min="2564" max="2565" width="6.5703125" style="1414" customWidth="1"/>
    <col min="2566" max="2566" width="1.7109375" style="1414" customWidth="1"/>
    <col min="2567" max="2567" width="6.5703125" style="1414" customWidth="1"/>
    <col min="2568" max="2568" width="12.7109375" style="1414" customWidth="1"/>
    <col min="2569" max="2569" width="15.140625" style="1414" customWidth="1"/>
    <col min="2570" max="2571" width="9.5703125" style="1414" customWidth="1"/>
    <col min="2572" max="2572" width="16" style="1414" bestFit="1" customWidth="1"/>
    <col min="2573" max="2573" width="2.7109375" style="1414" customWidth="1"/>
    <col min="2574" max="2574" width="4.5703125" style="1414" customWidth="1"/>
    <col min="2575" max="2816" width="9.140625" style="1414"/>
    <col min="2817" max="2817" width="4.5703125" style="1414" customWidth="1"/>
    <col min="2818" max="2818" width="6.5703125" style="1414" customWidth="1"/>
    <col min="2819" max="2819" width="1.7109375" style="1414" customWidth="1"/>
    <col min="2820" max="2821" width="6.5703125" style="1414" customWidth="1"/>
    <col min="2822" max="2822" width="1.7109375" style="1414" customWidth="1"/>
    <col min="2823" max="2823" width="6.5703125" style="1414" customWidth="1"/>
    <col min="2824" max="2824" width="12.7109375" style="1414" customWidth="1"/>
    <col min="2825" max="2825" width="15.140625" style="1414" customWidth="1"/>
    <col min="2826" max="2827" width="9.5703125" style="1414" customWidth="1"/>
    <col min="2828" max="2828" width="16" style="1414" bestFit="1" customWidth="1"/>
    <col min="2829" max="2829" width="2.7109375" style="1414" customWidth="1"/>
    <col min="2830" max="2830" width="4.5703125" style="1414" customWidth="1"/>
    <col min="2831" max="3072" width="9.140625" style="1414"/>
    <col min="3073" max="3073" width="4.5703125" style="1414" customWidth="1"/>
    <col min="3074" max="3074" width="6.5703125" style="1414" customWidth="1"/>
    <col min="3075" max="3075" width="1.7109375" style="1414" customWidth="1"/>
    <col min="3076" max="3077" width="6.5703125" style="1414" customWidth="1"/>
    <col min="3078" max="3078" width="1.7109375" style="1414" customWidth="1"/>
    <col min="3079" max="3079" width="6.5703125" style="1414" customWidth="1"/>
    <col min="3080" max="3080" width="12.7109375" style="1414" customWidth="1"/>
    <col min="3081" max="3081" width="15.140625" style="1414" customWidth="1"/>
    <col min="3082" max="3083" width="9.5703125" style="1414" customWidth="1"/>
    <col min="3084" max="3084" width="16" style="1414" bestFit="1" customWidth="1"/>
    <col min="3085" max="3085" width="2.7109375" style="1414" customWidth="1"/>
    <col min="3086" max="3086" width="4.5703125" style="1414" customWidth="1"/>
    <col min="3087" max="3328" width="9.140625" style="1414"/>
    <col min="3329" max="3329" width="4.5703125" style="1414" customWidth="1"/>
    <col min="3330" max="3330" width="6.5703125" style="1414" customWidth="1"/>
    <col min="3331" max="3331" width="1.7109375" style="1414" customWidth="1"/>
    <col min="3332" max="3333" width="6.5703125" style="1414" customWidth="1"/>
    <col min="3334" max="3334" width="1.7109375" style="1414" customWidth="1"/>
    <col min="3335" max="3335" width="6.5703125" style="1414" customWidth="1"/>
    <col min="3336" max="3336" width="12.7109375" style="1414" customWidth="1"/>
    <col min="3337" max="3337" width="15.140625" style="1414" customWidth="1"/>
    <col min="3338" max="3339" width="9.5703125" style="1414" customWidth="1"/>
    <col min="3340" max="3340" width="16" style="1414" bestFit="1" customWidth="1"/>
    <col min="3341" max="3341" width="2.7109375" style="1414" customWidth="1"/>
    <col min="3342" max="3342" width="4.5703125" style="1414" customWidth="1"/>
    <col min="3343" max="3584" width="9.140625" style="1414"/>
    <col min="3585" max="3585" width="4.5703125" style="1414" customWidth="1"/>
    <col min="3586" max="3586" width="6.5703125" style="1414" customWidth="1"/>
    <col min="3587" max="3587" width="1.7109375" style="1414" customWidth="1"/>
    <col min="3588" max="3589" width="6.5703125" style="1414" customWidth="1"/>
    <col min="3590" max="3590" width="1.7109375" style="1414" customWidth="1"/>
    <col min="3591" max="3591" width="6.5703125" style="1414" customWidth="1"/>
    <col min="3592" max="3592" width="12.7109375" style="1414" customWidth="1"/>
    <col min="3593" max="3593" width="15.140625" style="1414" customWidth="1"/>
    <col min="3594" max="3595" width="9.5703125" style="1414" customWidth="1"/>
    <col min="3596" max="3596" width="16" style="1414" bestFit="1" customWidth="1"/>
    <col min="3597" max="3597" width="2.7109375" style="1414" customWidth="1"/>
    <col min="3598" max="3598" width="4.5703125" style="1414" customWidth="1"/>
    <col min="3599" max="3840" width="9.140625" style="1414"/>
    <col min="3841" max="3841" width="4.5703125" style="1414" customWidth="1"/>
    <col min="3842" max="3842" width="6.5703125" style="1414" customWidth="1"/>
    <col min="3843" max="3843" width="1.7109375" style="1414" customWidth="1"/>
    <col min="3844" max="3845" width="6.5703125" style="1414" customWidth="1"/>
    <col min="3846" max="3846" width="1.7109375" style="1414" customWidth="1"/>
    <col min="3847" max="3847" width="6.5703125" style="1414" customWidth="1"/>
    <col min="3848" max="3848" width="12.7109375" style="1414" customWidth="1"/>
    <col min="3849" max="3849" width="15.140625" style="1414" customWidth="1"/>
    <col min="3850" max="3851" width="9.5703125" style="1414" customWidth="1"/>
    <col min="3852" max="3852" width="16" style="1414" bestFit="1" customWidth="1"/>
    <col min="3853" max="3853" width="2.7109375" style="1414" customWidth="1"/>
    <col min="3854" max="3854" width="4.5703125" style="1414" customWidth="1"/>
    <col min="3855" max="4096" width="9.140625" style="1414"/>
    <col min="4097" max="4097" width="4.5703125" style="1414" customWidth="1"/>
    <col min="4098" max="4098" width="6.5703125" style="1414" customWidth="1"/>
    <col min="4099" max="4099" width="1.7109375" style="1414" customWidth="1"/>
    <col min="4100" max="4101" width="6.5703125" style="1414" customWidth="1"/>
    <col min="4102" max="4102" width="1.7109375" style="1414" customWidth="1"/>
    <col min="4103" max="4103" width="6.5703125" style="1414" customWidth="1"/>
    <col min="4104" max="4104" width="12.7109375" style="1414" customWidth="1"/>
    <col min="4105" max="4105" width="15.140625" style="1414" customWidth="1"/>
    <col min="4106" max="4107" width="9.5703125" style="1414" customWidth="1"/>
    <col min="4108" max="4108" width="16" style="1414" bestFit="1" customWidth="1"/>
    <col min="4109" max="4109" width="2.7109375" style="1414" customWidth="1"/>
    <col min="4110" max="4110" width="4.5703125" style="1414" customWidth="1"/>
    <col min="4111" max="4352" width="9.140625" style="1414"/>
    <col min="4353" max="4353" width="4.5703125" style="1414" customWidth="1"/>
    <col min="4354" max="4354" width="6.5703125" style="1414" customWidth="1"/>
    <col min="4355" max="4355" width="1.7109375" style="1414" customWidth="1"/>
    <col min="4356" max="4357" width="6.5703125" style="1414" customWidth="1"/>
    <col min="4358" max="4358" width="1.7109375" style="1414" customWidth="1"/>
    <col min="4359" max="4359" width="6.5703125" style="1414" customWidth="1"/>
    <col min="4360" max="4360" width="12.7109375" style="1414" customWidth="1"/>
    <col min="4361" max="4361" width="15.140625" style="1414" customWidth="1"/>
    <col min="4362" max="4363" width="9.5703125" style="1414" customWidth="1"/>
    <col min="4364" max="4364" width="16" style="1414" bestFit="1" customWidth="1"/>
    <col min="4365" max="4365" width="2.7109375" style="1414" customWidth="1"/>
    <col min="4366" max="4366" width="4.5703125" style="1414" customWidth="1"/>
    <col min="4367" max="4608" width="9.140625" style="1414"/>
    <col min="4609" max="4609" width="4.5703125" style="1414" customWidth="1"/>
    <col min="4610" max="4610" width="6.5703125" style="1414" customWidth="1"/>
    <col min="4611" max="4611" width="1.7109375" style="1414" customWidth="1"/>
    <col min="4612" max="4613" width="6.5703125" style="1414" customWidth="1"/>
    <col min="4614" max="4614" width="1.7109375" style="1414" customWidth="1"/>
    <col min="4615" max="4615" width="6.5703125" style="1414" customWidth="1"/>
    <col min="4616" max="4616" width="12.7109375" style="1414" customWidth="1"/>
    <col min="4617" max="4617" width="15.140625" style="1414" customWidth="1"/>
    <col min="4618" max="4619" width="9.5703125" style="1414" customWidth="1"/>
    <col min="4620" max="4620" width="16" style="1414" bestFit="1" customWidth="1"/>
    <col min="4621" max="4621" width="2.7109375" style="1414" customWidth="1"/>
    <col min="4622" max="4622" width="4.5703125" style="1414" customWidth="1"/>
    <col min="4623" max="4864" width="9.140625" style="1414"/>
    <col min="4865" max="4865" width="4.5703125" style="1414" customWidth="1"/>
    <col min="4866" max="4866" width="6.5703125" style="1414" customWidth="1"/>
    <col min="4867" max="4867" width="1.7109375" style="1414" customWidth="1"/>
    <col min="4868" max="4869" width="6.5703125" style="1414" customWidth="1"/>
    <col min="4870" max="4870" width="1.7109375" style="1414" customWidth="1"/>
    <col min="4871" max="4871" width="6.5703125" style="1414" customWidth="1"/>
    <col min="4872" max="4872" width="12.7109375" style="1414" customWidth="1"/>
    <col min="4873" max="4873" width="15.140625" style="1414" customWidth="1"/>
    <col min="4874" max="4875" width="9.5703125" style="1414" customWidth="1"/>
    <col min="4876" max="4876" width="16" style="1414" bestFit="1" customWidth="1"/>
    <col min="4877" max="4877" width="2.7109375" style="1414" customWidth="1"/>
    <col min="4878" max="4878" width="4.5703125" style="1414" customWidth="1"/>
    <col min="4879" max="5120" width="9.140625" style="1414"/>
    <col min="5121" max="5121" width="4.5703125" style="1414" customWidth="1"/>
    <col min="5122" max="5122" width="6.5703125" style="1414" customWidth="1"/>
    <col min="5123" max="5123" width="1.7109375" style="1414" customWidth="1"/>
    <col min="5124" max="5125" width="6.5703125" style="1414" customWidth="1"/>
    <col min="5126" max="5126" width="1.7109375" style="1414" customWidth="1"/>
    <col min="5127" max="5127" width="6.5703125" style="1414" customWidth="1"/>
    <col min="5128" max="5128" width="12.7109375" style="1414" customWidth="1"/>
    <col min="5129" max="5129" width="15.140625" style="1414" customWidth="1"/>
    <col min="5130" max="5131" width="9.5703125" style="1414" customWidth="1"/>
    <col min="5132" max="5132" width="16" style="1414" bestFit="1" customWidth="1"/>
    <col min="5133" max="5133" width="2.7109375" style="1414" customWidth="1"/>
    <col min="5134" max="5134" width="4.5703125" style="1414" customWidth="1"/>
    <col min="5135" max="5376" width="9.140625" style="1414"/>
    <col min="5377" max="5377" width="4.5703125" style="1414" customWidth="1"/>
    <col min="5378" max="5378" width="6.5703125" style="1414" customWidth="1"/>
    <col min="5379" max="5379" width="1.7109375" style="1414" customWidth="1"/>
    <col min="5380" max="5381" width="6.5703125" style="1414" customWidth="1"/>
    <col min="5382" max="5382" width="1.7109375" style="1414" customWidth="1"/>
    <col min="5383" max="5383" width="6.5703125" style="1414" customWidth="1"/>
    <col min="5384" max="5384" width="12.7109375" style="1414" customWidth="1"/>
    <col min="5385" max="5385" width="15.140625" style="1414" customWidth="1"/>
    <col min="5386" max="5387" width="9.5703125" style="1414" customWidth="1"/>
    <col min="5388" max="5388" width="16" style="1414" bestFit="1" customWidth="1"/>
    <col min="5389" max="5389" width="2.7109375" style="1414" customWidth="1"/>
    <col min="5390" max="5390" width="4.5703125" style="1414" customWidth="1"/>
    <col min="5391" max="5632" width="9.140625" style="1414"/>
    <col min="5633" max="5633" width="4.5703125" style="1414" customWidth="1"/>
    <col min="5634" max="5634" width="6.5703125" style="1414" customWidth="1"/>
    <col min="5635" max="5635" width="1.7109375" style="1414" customWidth="1"/>
    <col min="5636" max="5637" width="6.5703125" style="1414" customWidth="1"/>
    <col min="5638" max="5638" width="1.7109375" style="1414" customWidth="1"/>
    <col min="5639" max="5639" width="6.5703125" style="1414" customWidth="1"/>
    <col min="5640" max="5640" width="12.7109375" style="1414" customWidth="1"/>
    <col min="5641" max="5641" width="15.140625" style="1414" customWidth="1"/>
    <col min="5642" max="5643" width="9.5703125" style="1414" customWidth="1"/>
    <col min="5644" max="5644" width="16" style="1414" bestFit="1" customWidth="1"/>
    <col min="5645" max="5645" width="2.7109375" style="1414" customWidth="1"/>
    <col min="5646" max="5646" width="4.5703125" style="1414" customWidth="1"/>
    <col min="5647" max="5888" width="9.140625" style="1414"/>
    <col min="5889" max="5889" width="4.5703125" style="1414" customWidth="1"/>
    <col min="5890" max="5890" width="6.5703125" style="1414" customWidth="1"/>
    <col min="5891" max="5891" width="1.7109375" style="1414" customWidth="1"/>
    <col min="5892" max="5893" width="6.5703125" style="1414" customWidth="1"/>
    <col min="5894" max="5894" width="1.7109375" style="1414" customWidth="1"/>
    <col min="5895" max="5895" width="6.5703125" style="1414" customWidth="1"/>
    <col min="5896" max="5896" width="12.7109375" style="1414" customWidth="1"/>
    <col min="5897" max="5897" width="15.140625" style="1414" customWidth="1"/>
    <col min="5898" max="5899" width="9.5703125" style="1414" customWidth="1"/>
    <col min="5900" max="5900" width="16" style="1414" bestFit="1" customWidth="1"/>
    <col min="5901" max="5901" width="2.7109375" style="1414" customWidth="1"/>
    <col min="5902" max="5902" width="4.5703125" style="1414" customWidth="1"/>
    <col min="5903" max="6144" width="9.140625" style="1414"/>
    <col min="6145" max="6145" width="4.5703125" style="1414" customWidth="1"/>
    <col min="6146" max="6146" width="6.5703125" style="1414" customWidth="1"/>
    <col min="6147" max="6147" width="1.7109375" style="1414" customWidth="1"/>
    <col min="6148" max="6149" width="6.5703125" style="1414" customWidth="1"/>
    <col min="6150" max="6150" width="1.7109375" style="1414" customWidth="1"/>
    <col min="6151" max="6151" width="6.5703125" style="1414" customWidth="1"/>
    <col min="6152" max="6152" width="12.7109375" style="1414" customWidth="1"/>
    <col min="6153" max="6153" width="15.140625" style="1414" customWidth="1"/>
    <col min="6154" max="6155" width="9.5703125" style="1414" customWidth="1"/>
    <col min="6156" max="6156" width="16" style="1414" bestFit="1" customWidth="1"/>
    <col min="6157" max="6157" width="2.7109375" style="1414" customWidth="1"/>
    <col min="6158" max="6158" width="4.5703125" style="1414" customWidth="1"/>
    <col min="6159" max="6400" width="9.140625" style="1414"/>
    <col min="6401" max="6401" width="4.5703125" style="1414" customWidth="1"/>
    <col min="6402" max="6402" width="6.5703125" style="1414" customWidth="1"/>
    <col min="6403" max="6403" width="1.7109375" style="1414" customWidth="1"/>
    <col min="6404" max="6405" width="6.5703125" style="1414" customWidth="1"/>
    <col min="6406" max="6406" width="1.7109375" style="1414" customWidth="1"/>
    <col min="6407" max="6407" width="6.5703125" style="1414" customWidth="1"/>
    <col min="6408" max="6408" width="12.7109375" style="1414" customWidth="1"/>
    <col min="6409" max="6409" width="15.140625" style="1414" customWidth="1"/>
    <col min="6410" max="6411" width="9.5703125" style="1414" customWidth="1"/>
    <col min="6412" max="6412" width="16" style="1414" bestFit="1" customWidth="1"/>
    <col min="6413" max="6413" width="2.7109375" style="1414" customWidth="1"/>
    <col min="6414" max="6414" width="4.5703125" style="1414" customWidth="1"/>
    <col min="6415" max="6656" width="9.140625" style="1414"/>
    <col min="6657" max="6657" width="4.5703125" style="1414" customWidth="1"/>
    <col min="6658" max="6658" width="6.5703125" style="1414" customWidth="1"/>
    <col min="6659" max="6659" width="1.7109375" style="1414" customWidth="1"/>
    <col min="6660" max="6661" width="6.5703125" style="1414" customWidth="1"/>
    <col min="6662" max="6662" width="1.7109375" style="1414" customWidth="1"/>
    <col min="6663" max="6663" width="6.5703125" style="1414" customWidth="1"/>
    <col min="6664" max="6664" width="12.7109375" style="1414" customWidth="1"/>
    <col min="6665" max="6665" width="15.140625" style="1414" customWidth="1"/>
    <col min="6666" max="6667" width="9.5703125" style="1414" customWidth="1"/>
    <col min="6668" max="6668" width="16" style="1414" bestFit="1" customWidth="1"/>
    <col min="6669" max="6669" width="2.7109375" style="1414" customWidth="1"/>
    <col min="6670" max="6670" width="4.5703125" style="1414" customWidth="1"/>
    <col min="6671" max="6912" width="9.140625" style="1414"/>
    <col min="6913" max="6913" width="4.5703125" style="1414" customWidth="1"/>
    <col min="6914" max="6914" width="6.5703125" style="1414" customWidth="1"/>
    <col min="6915" max="6915" width="1.7109375" style="1414" customWidth="1"/>
    <col min="6916" max="6917" width="6.5703125" style="1414" customWidth="1"/>
    <col min="6918" max="6918" width="1.7109375" style="1414" customWidth="1"/>
    <col min="6919" max="6919" width="6.5703125" style="1414" customWidth="1"/>
    <col min="6920" max="6920" width="12.7109375" style="1414" customWidth="1"/>
    <col min="6921" max="6921" width="15.140625" style="1414" customWidth="1"/>
    <col min="6922" max="6923" width="9.5703125" style="1414" customWidth="1"/>
    <col min="6924" max="6924" width="16" style="1414" bestFit="1" customWidth="1"/>
    <col min="6925" max="6925" width="2.7109375" style="1414" customWidth="1"/>
    <col min="6926" max="6926" width="4.5703125" style="1414" customWidth="1"/>
    <col min="6927" max="7168" width="9.140625" style="1414"/>
    <col min="7169" max="7169" width="4.5703125" style="1414" customWidth="1"/>
    <col min="7170" max="7170" width="6.5703125" style="1414" customWidth="1"/>
    <col min="7171" max="7171" width="1.7109375" style="1414" customWidth="1"/>
    <col min="7172" max="7173" width="6.5703125" style="1414" customWidth="1"/>
    <col min="7174" max="7174" width="1.7109375" style="1414" customWidth="1"/>
    <col min="7175" max="7175" width="6.5703125" style="1414" customWidth="1"/>
    <col min="7176" max="7176" width="12.7109375" style="1414" customWidth="1"/>
    <col min="7177" max="7177" width="15.140625" style="1414" customWidth="1"/>
    <col min="7178" max="7179" width="9.5703125" style="1414" customWidth="1"/>
    <col min="7180" max="7180" width="16" style="1414" bestFit="1" customWidth="1"/>
    <col min="7181" max="7181" width="2.7109375" style="1414" customWidth="1"/>
    <col min="7182" max="7182" width="4.5703125" style="1414" customWidth="1"/>
    <col min="7183" max="7424" width="9.140625" style="1414"/>
    <col min="7425" max="7425" width="4.5703125" style="1414" customWidth="1"/>
    <col min="7426" max="7426" width="6.5703125" style="1414" customWidth="1"/>
    <col min="7427" max="7427" width="1.7109375" style="1414" customWidth="1"/>
    <col min="7428" max="7429" width="6.5703125" style="1414" customWidth="1"/>
    <col min="7430" max="7430" width="1.7109375" style="1414" customWidth="1"/>
    <col min="7431" max="7431" width="6.5703125" style="1414" customWidth="1"/>
    <col min="7432" max="7432" width="12.7109375" style="1414" customWidth="1"/>
    <col min="7433" max="7433" width="15.140625" style="1414" customWidth="1"/>
    <col min="7434" max="7435" width="9.5703125" style="1414" customWidth="1"/>
    <col min="7436" max="7436" width="16" style="1414" bestFit="1" customWidth="1"/>
    <col min="7437" max="7437" width="2.7109375" style="1414" customWidth="1"/>
    <col min="7438" max="7438" width="4.5703125" style="1414" customWidth="1"/>
    <col min="7439" max="7680" width="9.140625" style="1414"/>
    <col min="7681" max="7681" width="4.5703125" style="1414" customWidth="1"/>
    <col min="7682" max="7682" width="6.5703125" style="1414" customWidth="1"/>
    <col min="7683" max="7683" width="1.7109375" style="1414" customWidth="1"/>
    <col min="7684" max="7685" width="6.5703125" style="1414" customWidth="1"/>
    <col min="7686" max="7686" width="1.7109375" style="1414" customWidth="1"/>
    <col min="7687" max="7687" width="6.5703125" style="1414" customWidth="1"/>
    <col min="7688" max="7688" width="12.7109375" style="1414" customWidth="1"/>
    <col min="7689" max="7689" width="15.140625" style="1414" customWidth="1"/>
    <col min="7690" max="7691" width="9.5703125" style="1414" customWidth="1"/>
    <col min="7692" max="7692" width="16" style="1414" bestFit="1" customWidth="1"/>
    <col min="7693" max="7693" width="2.7109375" style="1414" customWidth="1"/>
    <col min="7694" max="7694" width="4.5703125" style="1414" customWidth="1"/>
    <col min="7695" max="7936" width="9.140625" style="1414"/>
    <col min="7937" max="7937" width="4.5703125" style="1414" customWidth="1"/>
    <col min="7938" max="7938" width="6.5703125" style="1414" customWidth="1"/>
    <col min="7939" max="7939" width="1.7109375" style="1414" customWidth="1"/>
    <col min="7940" max="7941" width="6.5703125" style="1414" customWidth="1"/>
    <col min="7942" max="7942" width="1.7109375" style="1414" customWidth="1"/>
    <col min="7943" max="7943" width="6.5703125" style="1414" customWidth="1"/>
    <col min="7944" max="7944" width="12.7109375" style="1414" customWidth="1"/>
    <col min="7945" max="7945" width="15.140625" style="1414" customWidth="1"/>
    <col min="7946" max="7947" width="9.5703125" style="1414" customWidth="1"/>
    <col min="7948" max="7948" width="16" style="1414" bestFit="1" customWidth="1"/>
    <col min="7949" max="7949" width="2.7109375" style="1414" customWidth="1"/>
    <col min="7950" max="7950" width="4.5703125" style="1414" customWidth="1"/>
    <col min="7951" max="8192" width="9.140625" style="1414"/>
    <col min="8193" max="8193" width="4.5703125" style="1414" customWidth="1"/>
    <col min="8194" max="8194" width="6.5703125" style="1414" customWidth="1"/>
    <col min="8195" max="8195" width="1.7109375" style="1414" customWidth="1"/>
    <col min="8196" max="8197" width="6.5703125" style="1414" customWidth="1"/>
    <col min="8198" max="8198" width="1.7109375" style="1414" customWidth="1"/>
    <col min="8199" max="8199" width="6.5703125" style="1414" customWidth="1"/>
    <col min="8200" max="8200" width="12.7109375" style="1414" customWidth="1"/>
    <col min="8201" max="8201" width="15.140625" style="1414" customWidth="1"/>
    <col min="8202" max="8203" width="9.5703125" style="1414" customWidth="1"/>
    <col min="8204" max="8204" width="16" style="1414" bestFit="1" customWidth="1"/>
    <col min="8205" max="8205" width="2.7109375" style="1414" customWidth="1"/>
    <col min="8206" max="8206" width="4.5703125" style="1414" customWidth="1"/>
    <col min="8207" max="8448" width="9.140625" style="1414"/>
    <col min="8449" max="8449" width="4.5703125" style="1414" customWidth="1"/>
    <col min="8450" max="8450" width="6.5703125" style="1414" customWidth="1"/>
    <col min="8451" max="8451" width="1.7109375" style="1414" customWidth="1"/>
    <col min="8452" max="8453" width="6.5703125" style="1414" customWidth="1"/>
    <col min="8454" max="8454" width="1.7109375" style="1414" customWidth="1"/>
    <col min="8455" max="8455" width="6.5703125" style="1414" customWidth="1"/>
    <col min="8456" max="8456" width="12.7109375" style="1414" customWidth="1"/>
    <col min="8457" max="8457" width="15.140625" style="1414" customWidth="1"/>
    <col min="8458" max="8459" width="9.5703125" style="1414" customWidth="1"/>
    <col min="8460" max="8460" width="16" style="1414" bestFit="1" customWidth="1"/>
    <col min="8461" max="8461" width="2.7109375" style="1414" customWidth="1"/>
    <col min="8462" max="8462" width="4.5703125" style="1414" customWidth="1"/>
    <col min="8463" max="8704" width="9.140625" style="1414"/>
    <col min="8705" max="8705" width="4.5703125" style="1414" customWidth="1"/>
    <col min="8706" max="8706" width="6.5703125" style="1414" customWidth="1"/>
    <col min="8707" max="8707" width="1.7109375" style="1414" customWidth="1"/>
    <col min="8708" max="8709" width="6.5703125" style="1414" customWidth="1"/>
    <col min="8710" max="8710" width="1.7109375" style="1414" customWidth="1"/>
    <col min="8711" max="8711" width="6.5703125" style="1414" customWidth="1"/>
    <col min="8712" max="8712" width="12.7109375" style="1414" customWidth="1"/>
    <col min="8713" max="8713" width="15.140625" style="1414" customWidth="1"/>
    <col min="8714" max="8715" width="9.5703125" style="1414" customWidth="1"/>
    <col min="8716" max="8716" width="16" style="1414" bestFit="1" customWidth="1"/>
    <col min="8717" max="8717" width="2.7109375" style="1414" customWidth="1"/>
    <col min="8718" max="8718" width="4.5703125" style="1414" customWidth="1"/>
    <col min="8719" max="8960" width="9.140625" style="1414"/>
    <col min="8961" max="8961" width="4.5703125" style="1414" customWidth="1"/>
    <col min="8962" max="8962" width="6.5703125" style="1414" customWidth="1"/>
    <col min="8963" max="8963" width="1.7109375" style="1414" customWidth="1"/>
    <col min="8964" max="8965" width="6.5703125" style="1414" customWidth="1"/>
    <col min="8966" max="8966" width="1.7109375" style="1414" customWidth="1"/>
    <col min="8967" max="8967" width="6.5703125" style="1414" customWidth="1"/>
    <col min="8968" max="8968" width="12.7109375" style="1414" customWidth="1"/>
    <col min="8969" max="8969" width="15.140625" style="1414" customWidth="1"/>
    <col min="8970" max="8971" width="9.5703125" style="1414" customWidth="1"/>
    <col min="8972" max="8972" width="16" style="1414" bestFit="1" customWidth="1"/>
    <col min="8973" max="8973" width="2.7109375" style="1414" customWidth="1"/>
    <col min="8974" max="8974" width="4.5703125" style="1414" customWidth="1"/>
    <col min="8975" max="9216" width="9.140625" style="1414"/>
    <col min="9217" max="9217" width="4.5703125" style="1414" customWidth="1"/>
    <col min="9218" max="9218" width="6.5703125" style="1414" customWidth="1"/>
    <col min="9219" max="9219" width="1.7109375" style="1414" customWidth="1"/>
    <col min="9220" max="9221" width="6.5703125" style="1414" customWidth="1"/>
    <col min="9222" max="9222" width="1.7109375" style="1414" customWidth="1"/>
    <col min="9223" max="9223" width="6.5703125" style="1414" customWidth="1"/>
    <col min="9224" max="9224" width="12.7109375" style="1414" customWidth="1"/>
    <col min="9225" max="9225" width="15.140625" style="1414" customWidth="1"/>
    <col min="9226" max="9227" width="9.5703125" style="1414" customWidth="1"/>
    <col min="9228" max="9228" width="16" style="1414" bestFit="1" customWidth="1"/>
    <col min="9229" max="9229" width="2.7109375" style="1414" customWidth="1"/>
    <col min="9230" max="9230" width="4.5703125" style="1414" customWidth="1"/>
    <col min="9231" max="9472" width="9.140625" style="1414"/>
    <col min="9473" max="9473" width="4.5703125" style="1414" customWidth="1"/>
    <col min="9474" max="9474" width="6.5703125" style="1414" customWidth="1"/>
    <col min="9475" max="9475" width="1.7109375" style="1414" customWidth="1"/>
    <col min="9476" max="9477" width="6.5703125" style="1414" customWidth="1"/>
    <col min="9478" max="9478" width="1.7109375" style="1414" customWidth="1"/>
    <col min="9479" max="9479" width="6.5703125" style="1414" customWidth="1"/>
    <col min="9480" max="9480" width="12.7109375" style="1414" customWidth="1"/>
    <col min="9481" max="9481" width="15.140625" style="1414" customWidth="1"/>
    <col min="9482" max="9483" width="9.5703125" style="1414" customWidth="1"/>
    <col min="9484" max="9484" width="16" style="1414" bestFit="1" customWidth="1"/>
    <col min="9485" max="9485" width="2.7109375" style="1414" customWidth="1"/>
    <col min="9486" max="9486" width="4.5703125" style="1414" customWidth="1"/>
    <col min="9487" max="9728" width="9.140625" style="1414"/>
    <col min="9729" max="9729" width="4.5703125" style="1414" customWidth="1"/>
    <col min="9730" max="9730" width="6.5703125" style="1414" customWidth="1"/>
    <col min="9731" max="9731" width="1.7109375" style="1414" customWidth="1"/>
    <col min="9732" max="9733" width="6.5703125" style="1414" customWidth="1"/>
    <col min="9734" max="9734" width="1.7109375" style="1414" customWidth="1"/>
    <col min="9735" max="9735" width="6.5703125" style="1414" customWidth="1"/>
    <col min="9736" max="9736" width="12.7109375" style="1414" customWidth="1"/>
    <col min="9737" max="9737" width="15.140625" style="1414" customWidth="1"/>
    <col min="9738" max="9739" width="9.5703125" style="1414" customWidth="1"/>
    <col min="9740" max="9740" width="16" style="1414" bestFit="1" customWidth="1"/>
    <col min="9741" max="9741" width="2.7109375" style="1414" customWidth="1"/>
    <col min="9742" max="9742" width="4.5703125" style="1414" customWidth="1"/>
    <col min="9743" max="9984" width="9.140625" style="1414"/>
    <col min="9985" max="9985" width="4.5703125" style="1414" customWidth="1"/>
    <col min="9986" max="9986" width="6.5703125" style="1414" customWidth="1"/>
    <col min="9987" max="9987" width="1.7109375" style="1414" customWidth="1"/>
    <col min="9988" max="9989" width="6.5703125" style="1414" customWidth="1"/>
    <col min="9990" max="9990" width="1.7109375" style="1414" customWidth="1"/>
    <col min="9991" max="9991" width="6.5703125" style="1414" customWidth="1"/>
    <col min="9992" max="9992" width="12.7109375" style="1414" customWidth="1"/>
    <col min="9993" max="9993" width="15.140625" style="1414" customWidth="1"/>
    <col min="9994" max="9995" width="9.5703125" style="1414" customWidth="1"/>
    <col min="9996" max="9996" width="16" style="1414" bestFit="1" customWidth="1"/>
    <col min="9997" max="9997" width="2.7109375" style="1414" customWidth="1"/>
    <col min="9998" max="9998" width="4.5703125" style="1414" customWidth="1"/>
    <col min="9999" max="10240" width="9.140625" style="1414"/>
    <col min="10241" max="10241" width="4.5703125" style="1414" customWidth="1"/>
    <col min="10242" max="10242" width="6.5703125" style="1414" customWidth="1"/>
    <col min="10243" max="10243" width="1.7109375" style="1414" customWidth="1"/>
    <col min="10244" max="10245" width="6.5703125" style="1414" customWidth="1"/>
    <col min="10246" max="10246" width="1.7109375" style="1414" customWidth="1"/>
    <col min="10247" max="10247" width="6.5703125" style="1414" customWidth="1"/>
    <col min="10248" max="10248" width="12.7109375" style="1414" customWidth="1"/>
    <col min="10249" max="10249" width="15.140625" style="1414" customWidth="1"/>
    <col min="10250" max="10251" width="9.5703125" style="1414" customWidth="1"/>
    <col min="10252" max="10252" width="16" style="1414" bestFit="1" customWidth="1"/>
    <col min="10253" max="10253" width="2.7109375" style="1414" customWidth="1"/>
    <col min="10254" max="10254" width="4.5703125" style="1414" customWidth="1"/>
    <col min="10255" max="10496" width="9.140625" style="1414"/>
    <col min="10497" max="10497" width="4.5703125" style="1414" customWidth="1"/>
    <col min="10498" max="10498" width="6.5703125" style="1414" customWidth="1"/>
    <col min="10499" max="10499" width="1.7109375" style="1414" customWidth="1"/>
    <col min="10500" max="10501" width="6.5703125" style="1414" customWidth="1"/>
    <col min="10502" max="10502" width="1.7109375" style="1414" customWidth="1"/>
    <col min="10503" max="10503" width="6.5703125" style="1414" customWidth="1"/>
    <col min="10504" max="10504" width="12.7109375" style="1414" customWidth="1"/>
    <col min="10505" max="10505" width="15.140625" style="1414" customWidth="1"/>
    <col min="10506" max="10507" width="9.5703125" style="1414" customWidth="1"/>
    <col min="10508" max="10508" width="16" style="1414" bestFit="1" customWidth="1"/>
    <col min="10509" max="10509" width="2.7109375" style="1414" customWidth="1"/>
    <col min="10510" max="10510" width="4.5703125" style="1414" customWidth="1"/>
    <col min="10511" max="10752" width="9.140625" style="1414"/>
    <col min="10753" max="10753" width="4.5703125" style="1414" customWidth="1"/>
    <col min="10754" max="10754" width="6.5703125" style="1414" customWidth="1"/>
    <col min="10755" max="10755" width="1.7109375" style="1414" customWidth="1"/>
    <col min="10756" max="10757" width="6.5703125" style="1414" customWidth="1"/>
    <col min="10758" max="10758" width="1.7109375" style="1414" customWidth="1"/>
    <col min="10759" max="10759" width="6.5703125" style="1414" customWidth="1"/>
    <col min="10760" max="10760" width="12.7109375" style="1414" customWidth="1"/>
    <col min="10761" max="10761" width="15.140625" style="1414" customWidth="1"/>
    <col min="10762" max="10763" width="9.5703125" style="1414" customWidth="1"/>
    <col min="10764" max="10764" width="16" style="1414" bestFit="1" customWidth="1"/>
    <col min="10765" max="10765" width="2.7109375" style="1414" customWidth="1"/>
    <col min="10766" max="10766" width="4.5703125" style="1414" customWidth="1"/>
    <col min="10767" max="11008" width="9.140625" style="1414"/>
    <col min="11009" max="11009" width="4.5703125" style="1414" customWidth="1"/>
    <col min="11010" max="11010" width="6.5703125" style="1414" customWidth="1"/>
    <col min="11011" max="11011" width="1.7109375" style="1414" customWidth="1"/>
    <col min="11012" max="11013" width="6.5703125" style="1414" customWidth="1"/>
    <col min="11014" max="11014" width="1.7109375" style="1414" customWidth="1"/>
    <col min="11015" max="11015" width="6.5703125" style="1414" customWidth="1"/>
    <col min="11016" max="11016" width="12.7109375" style="1414" customWidth="1"/>
    <col min="11017" max="11017" width="15.140625" style="1414" customWidth="1"/>
    <col min="11018" max="11019" width="9.5703125" style="1414" customWidth="1"/>
    <col min="11020" max="11020" width="16" style="1414" bestFit="1" customWidth="1"/>
    <col min="11021" max="11021" width="2.7109375" style="1414" customWidth="1"/>
    <col min="11022" max="11022" width="4.5703125" style="1414" customWidth="1"/>
    <col min="11023" max="11264" width="9.140625" style="1414"/>
    <col min="11265" max="11265" width="4.5703125" style="1414" customWidth="1"/>
    <col min="11266" max="11266" width="6.5703125" style="1414" customWidth="1"/>
    <col min="11267" max="11267" width="1.7109375" style="1414" customWidth="1"/>
    <col min="11268" max="11269" width="6.5703125" style="1414" customWidth="1"/>
    <col min="11270" max="11270" width="1.7109375" style="1414" customWidth="1"/>
    <col min="11271" max="11271" width="6.5703125" style="1414" customWidth="1"/>
    <col min="11272" max="11272" width="12.7109375" style="1414" customWidth="1"/>
    <col min="11273" max="11273" width="15.140625" style="1414" customWidth="1"/>
    <col min="11274" max="11275" width="9.5703125" style="1414" customWidth="1"/>
    <col min="11276" max="11276" width="16" style="1414" bestFit="1" customWidth="1"/>
    <col min="11277" max="11277" width="2.7109375" style="1414" customWidth="1"/>
    <col min="11278" max="11278" width="4.5703125" style="1414" customWidth="1"/>
    <col min="11279" max="11520" width="9.140625" style="1414"/>
    <col min="11521" max="11521" width="4.5703125" style="1414" customWidth="1"/>
    <col min="11522" max="11522" width="6.5703125" style="1414" customWidth="1"/>
    <col min="11523" max="11523" width="1.7109375" style="1414" customWidth="1"/>
    <col min="11524" max="11525" width="6.5703125" style="1414" customWidth="1"/>
    <col min="11526" max="11526" width="1.7109375" style="1414" customWidth="1"/>
    <col min="11527" max="11527" width="6.5703125" style="1414" customWidth="1"/>
    <col min="11528" max="11528" width="12.7109375" style="1414" customWidth="1"/>
    <col min="11529" max="11529" width="15.140625" style="1414" customWidth="1"/>
    <col min="11530" max="11531" width="9.5703125" style="1414" customWidth="1"/>
    <col min="11532" max="11532" width="16" style="1414" bestFit="1" customWidth="1"/>
    <col min="11533" max="11533" width="2.7109375" style="1414" customWidth="1"/>
    <col min="11534" max="11534" width="4.5703125" style="1414" customWidth="1"/>
    <col min="11535" max="11776" width="9.140625" style="1414"/>
    <col min="11777" max="11777" width="4.5703125" style="1414" customWidth="1"/>
    <col min="11778" max="11778" width="6.5703125" style="1414" customWidth="1"/>
    <col min="11779" max="11779" width="1.7109375" style="1414" customWidth="1"/>
    <col min="11780" max="11781" width="6.5703125" style="1414" customWidth="1"/>
    <col min="11782" max="11782" width="1.7109375" style="1414" customWidth="1"/>
    <col min="11783" max="11783" width="6.5703125" style="1414" customWidth="1"/>
    <col min="11784" max="11784" width="12.7109375" style="1414" customWidth="1"/>
    <col min="11785" max="11785" width="15.140625" style="1414" customWidth="1"/>
    <col min="11786" max="11787" width="9.5703125" style="1414" customWidth="1"/>
    <col min="11788" max="11788" width="16" style="1414" bestFit="1" customWidth="1"/>
    <col min="11789" max="11789" width="2.7109375" style="1414" customWidth="1"/>
    <col min="11790" max="11790" width="4.5703125" style="1414" customWidth="1"/>
    <col min="11791" max="12032" width="9.140625" style="1414"/>
    <col min="12033" max="12033" width="4.5703125" style="1414" customWidth="1"/>
    <col min="12034" max="12034" width="6.5703125" style="1414" customWidth="1"/>
    <col min="12035" max="12035" width="1.7109375" style="1414" customWidth="1"/>
    <col min="12036" max="12037" width="6.5703125" style="1414" customWidth="1"/>
    <col min="12038" max="12038" width="1.7109375" style="1414" customWidth="1"/>
    <col min="12039" max="12039" width="6.5703125" style="1414" customWidth="1"/>
    <col min="12040" max="12040" width="12.7109375" style="1414" customWidth="1"/>
    <col min="12041" max="12041" width="15.140625" style="1414" customWidth="1"/>
    <col min="12042" max="12043" width="9.5703125" style="1414" customWidth="1"/>
    <col min="12044" max="12044" width="16" style="1414" bestFit="1" customWidth="1"/>
    <col min="12045" max="12045" width="2.7109375" style="1414" customWidth="1"/>
    <col min="12046" max="12046" width="4.5703125" style="1414" customWidth="1"/>
    <col min="12047" max="12288" width="9.140625" style="1414"/>
    <col min="12289" max="12289" width="4.5703125" style="1414" customWidth="1"/>
    <col min="12290" max="12290" width="6.5703125" style="1414" customWidth="1"/>
    <col min="12291" max="12291" width="1.7109375" style="1414" customWidth="1"/>
    <col min="12292" max="12293" width="6.5703125" style="1414" customWidth="1"/>
    <col min="12294" max="12294" width="1.7109375" style="1414" customWidth="1"/>
    <col min="12295" max="12295" width="6.5703125" style="1414" customWidth="1"/>
    <col min="12296" max="12296" width="12.7109375" style="1414" customWidth="1"/>
    <col min="12297" max="12297" width="15.140625" style="1414" customWidth="1"/>
    <col min="12298" max="12299" width="9.5703125" style="1414" customWidth="1"/>
    <col min="12300" max="12300" width="16" style="1414" bestFit="1" customWidth="1"/>
    <col min="12301" max="12301" width="2.7109375" style="1414" customWidth="1"/>
    <col min="12302" max="12302" width="4.5703125" style="1414" customWidth="1"/>
    <col min="12303" max="12544" width="9.140625" style="1414"/>
    <col min="12545" max="12545" width="4.5703125" style="1414" customWidth="1"/>
    <col min="12546" max="12546" width="6.5703125" style="1414" customWidth="1"/>
    <col min="12547" max="12547" width="1.7109375" style="1414" customWidth="1"/>
    <col min="12548" max="12549" width="6.5703125" style="1414" customWidth="1"/>
    <col min="12550" max="12550" width="1.7109375" style="1414" customWidth="1"/>
    <col min="12551" max="12551" width="6.5703125" style="1414" customWidth="1"/>
    <col min="12552" max="12552" width="12.7109375" style="1414" customWidth="1"/>
    <col min="12553" max="12553" width="15.140625" style="1414" customWidth="1"/>
    <col min="12554" max="12555" width="9.5703125" style="1414" customWidth="1"/>
    <col min="12556" max="12556" width="16" style="1414" bestFit="1" customWidth="1"/>
    <col min="12557" max="12557" width="2.7109375" style="1414" customWidth="1"/>
    <col min="12558" max="12558" width="4.5703125" style="1414" customWidth="1"/>
    <col min="12559" max="12800" width="9.140625" style="1414"/>
    <col min="12801" max="12801" width="4.5703125" style="1414" customWidth="1"/>
    <col min="12802" max="12802" width="6.5703125" style="1414" customWidth="1"/>
    <col min="12803" max="12803" width="1.7109375" style="1414" customWidth="1"/>
    <col min="12804" max="12805" width="6.5703125" style="1414" customWidth="1"/>
    <col min="12806" max="12806" width="1.7109375" style="1414" customWidth="1"/>
    <col min="12807" max="12807" width="6.5703125" style="1414" customWidth="1"/>
    <col min="12808" max="12808" width="12.7109375" style="1414" customWidth="1"/>
    <col min="12809" max="12809" width="15.140625" style="1414" customWidth="1"/>
    <col min="12810" max="12811" width="9.5703125" style="1414" customWidth="1"/>
    <col min="12812" max="12812" width="16" style="1414" bestFit="1" customWidth="1"/>
    <col min="12813" max="12813" width="2.7109375" style="1414" customWidth="1"/>
    <col min="12814" max="12814" width="4.5703125" style="1414" customWidth="1"/>
    <col min="12815" max="13056" width="9.140625" style="1414"/>
    <col min="13057" max="13057" width="4.5703125" style="1414" customWidth="1"/>
    <col min="13058" max="13058" width="6.5703125" style="1414" customWidth="1"/>
    <col min="13059" max="13059" width="1.7109375" style="1414" customWidth="1"/>
    <col min="13060" max="13061" width="6.5703125" style="1414" customWidth="1"/>
    <col min="13062" max="13062" width="1.7109375" style="1414" customWidth="1"/>
    <col min="13063" max="13063" width="6.5703125" style="1414" customWidth="1"/>
    <col min="13064" max="13064" width="12.7109375" style="1414" customWidth="1"/>
    <col min="13065" max="13065" width="15.140625" style="1414" customWidth="1"/>
    <col min="13066" max="13067" width="9.5703125" style="1414" customWidth="1"/>
    <col min="13068" max="13068" width="16" style="1414" bestFit="1" customWidth="1"/>
    <col min="13069" max="13069" width="2.7109375" style="1414" customWidth="1"/>
    <col min="13070" max="13070" width="4.5703125" style="1414" customWidth="1"/>
    <col min="13071" max="13312" width="9.140625" style="1414"/>
    <col min="13313" max="13313" width="4.5703125" style="1414" customWidth="1"/>
    <col min="13314" max="13314" width="6.5703125" style="1414" customWidth="1"/>
    <col min="13315" max="13315" width="1.7109375" style="1414" customWidth="1"/>
    <col min="13316" max="13317" width="6.5703125" style="1414" customWidth="1"/>
    <col min="13318" max="13318" width="1.7109375" style="1414" customWidth="1"/>
    <col min="13319" max="13319" width="6.5703125" style="1414" customWidth="1"/>
    <col min="13320" max="13320" width="12.7109375" style="1414" customWidth="1"/>
    <col min="13321" max="13321" width="15.140625" style="1414" customWidth="1"/>
    <col min="13322" max="13323" width="9.5703125" style="1414" customWidth="1"/>
    <col min="13324" max="13324" width="16" style="1414" bestFit="1" customWidth="1"/>
    <col min="13325" max="13325" width="2.7109375" style="1414" customWidth="1"/>
    <col min="13326" max="13326" width="4.5703125" style="1414" customWidth="1"/>
    <col min="13327" max="13568" width="9.140625" style="1414"/>
    <col min="13569" max="13569" width="4.5703125" style="1414" customWidth="1"/>
    <col min="13570" max="13570" width="6.5703125" style="1414" customWidth="1"/>
    <col min="13571" max="13571" width="1.7109375" style="1414" customWidth="1"/>
    <col min="13572" max="13573" width="6.5703125" style="1414" customWidth="1"/>
    <col min="13574" max="13574" width="1.7109375" style="1414" customWidth="1"/>
    <col min="13575" max="13575" width="6.5703125" style="1414" customWidth="1"/>
    <col min="13576" max="13576" width="12.7109375" style="1414" customWidth="1"/>
    <col min="13577" max="13577" width="15.140625" style="1414" customWidth="1"/>
    <col min="13578" max="13579" width="9.5703125" style="1414" customWidth="1"/>
    <col min="13580" max="13580" width="16" style="1414" bestFit="1" customWidth="1"/>
    <col min="13581" max="13581" width="2.7109375" style="1414" customWidth="1"/>
    <col min="13582" max="13582" width="4.5703125" style="1414" customWidth="1"/>
    <col min="13583" max="13824" width="9.140625" style="1414"/>
    <col min="13825" max="13825" width="4.5703125" style="1414" customWidth="1"/>
    <col min="13826" max="13826" width="6.5703125" style="1414" customWidth="1"/>
    <col min="13827" max="13827" width="1.7109375" style="1414" customWidth="1"/>
    <col min="13828" max="13829" width="6.5703125" style="1414" customWidth="1"/>
    <col min="13830" max="13830" width="1.7109375" style="1414" customWidth="1"/>
    <col min="13831" max="13831" width="6.5703125" style="1414" customWidth="1"/>
    <col min="13832" max="13832" width="12.7109375" style="1414" customWidth="1"/>
    <col min="13833" max="13833" width="15.140625" style="1414" customWidth="1"/>
    <col min="13834" max="13835" width="9.5703125" style="1414" customWidth="1"/>
    <col min="13836" max="13836" width="16" style="1414" bestFit="1" customWidth="1"/>
    <col min="13837" max="13837" width="2.7109375" style="1414" customWidth="1"/>
    <col min="13838" max="13838" width="4.5703125" style="1414" customWidth="1"/>
    <col min="13839" max="14080" width="9.140625" style="1414"/>
    <col min="14081" max="14081" width="4.5703125" style="1414" customWidth="1"/>
    <col min="14082" max="14082" width="6.5703125" style="1414" customWidth="1"/>
    <col min="14083" max="14083" width="1.7109375" style="1414" customWidth="1"/>
    <col min="14084" max="14085" width="6.5703125" style="1414" customWidth="1"/>
    <col min="14086" max="14086" width="1.7109375" style="1414" customWidth="1"/>
    <col min="14087" max="14087" width="6.5703125" style="1414" customWidth="1"/>
    <col min="14088" max="14088" width="12.7109375" style="1414" customWidth="1"/>
    <col min="14089" max="14089" width="15.140625" style="1414" customWidth="1"/>
    <col min="14090" max="14091" width="9.5703125" style="1414" customWidth="1"/>
    <col min="14092" max="14092" width="16" style="1414" bestFit="1" customWidth="1"/>
    <col min="14093" max="14093" width="2.7109375" style="1414" customWidth="1"/>
    <col min="14094" max="14094" width="4.5703125" style="1414" customWidth="1"/>
    <col min="14095" max="14336" width="9.140625" style="1414"/>
    <col min="14337" max="14337" width="4.5703125" style="1414" customWidth="1"/>
    <col min="14338" max="14338" width="6.5703125" style="1414" customWidth="1"/>
    <col min="14339" max="14339" width="1.7109375" style="1414" customWidth="1"/>
    <col min="14340" max="14341" width="6.5703125" style="1414" customWidth="1"/>
    <col min="14342" max="14342" width="1.7109375" style="1414" customWidth="1"/>
    <col min="14343" max="14343" width="6.5703125" style="1414" customWidth="1"/>
    <col min="14344" max="14344" width="12.7109375" style="1414" customWidth="1"/>
    <col min="14345" max="14345" width="15.140625" style="1414" customWidth="1"/>
    <col min="14346" max="14347" width="9.5703125" style="1414" customWidth="1"/>
    <col min="14348" max="14348" width="16" style="1414" bestFit="1" customWidth="1"/>
    <col min="14349" max="14349" width="2.7109375" style="1414" customWidth="1"/>
    <col min="14350" max="14350" width="4.5703125" style="1414" customWidth="1"/>
    <col min="14351" max="14592" width="9.140625" style="1414"/>
    <col min="14593" max="14593" width="4.5703125" style="1414" customWidth="1"/>
    <col min="14594" max="14594" width="6.5703125" style="1414" customWidth="1"/>
    <col min="14595" max="14595" width="1.7109375" style="1414" customWidth="1"/>
    <col min="14596" max="14597" width="6.5703125" style="1414" customWidth="1"/>
    <col min="14598" max="14598" width="1.7109375" style="1414" customWidth="1"/>
    <col min="14599" max="14599" width="6.5703125" style="1414" customWidth="1"/>
    <col min="14600" max="14600" width="12.7109375" style="1414" customWidth="1"/>
    <col min="14601" max="14601" width="15.140625" style="1414" customWidth="1"/>
    <col min="14602" max="14603" width="9.5703125" style="1414" customWidth="1"/>
    <col min="14604" max="14604" width="16" style="1414" bestFit="1" customWidth="1"/>
    <col min="14605" max="14605" width="2.7109375" style="1414" customWidth="1"/>
    <col min="14606" max="14606" width="4.5703125" style="1414" customWidth="1"/>
    <col min="14607" max="14848" width="9.140625" style="1414"/>
    <col min="14849" max="14849" width="4.5703125" style="1414" customWidth="1"/>
    <col min="14850" max="14850" width="6.5703125" style="1414" customWidth="1"/>
    <col min="14851" max="14851" width="1.7109375" style="1414" customWidth="1"/>
    <col min="14852" max="14853" width="6.5703125" style="1414" customWidth="1"/>
    <col min="14854" max="14854" width="1.7109375" style="1414" customWidth="1"/>
    <col min="14855" max="14855" width="6.5703125" style="1414" customWidth="1"/>
    <col min="14856" max="14856" width="12.7109375" style="1414" customWidth="1"/>
    <col min="14857" max="14857" width="15.140625" style="1414" customWidth="1"/>
    <col min="14858" max="14859" width="9.5703125" style="1414" customWidth="1"/>
    <col min="14860" max="14860" width="16" style="1414" bestFit="1" customWidth="1"/>
    <col min="14861" max="14861" width="2.7109375" style="1414" customWidth="1"/>
    <col min="14862" max="14862" width="4.5703125" style="1414" customWidth="1"/>
    <col min="14863" max="15104" width="9.140625" style="1414"/>
    <col min="15105" max="15105" width="4.5703125" style="1414" customWidth="1"/>
    <col min="15106" max="15106" width="6.5703125" style="1414" customWidth="1"/>
    <col min="15107" max="15107" width="1.7109375" style="1414" customWidth="1"/>
    <col min="15108" max="15109" width="6.5703125" style="1414" customWidth="1"/>
    <col min="15110" max="15110" width="1.7109375" style="1414" customWidth="1"/>
    <col min="15111" max="15111" width="6.5703125" style="1414" customWidth="1"/>
    <col min="15112" max="15112" width="12.7109375" style="1414" customWidth="1"/>
    <col min="15113" max="15113" width="15.140625" style="1414" customWidth="1"/>
    <col min="15114" max="15115" width="9.5703125" style="1414" customWidth="1"/>
    <col min="15116" max="15116" width="16" style="1414" bestFit="1" customWidth="1"/>
    <col min="15117" max="15117" width="2.7109375" style="1414" customWidth="1"/>
    <col min="15118" max="15118" width="4.5703125" style="1414" customWidth="1"/>
    <col min="15119" max="15360" width="9.140625" style="1414"/>
    <col min="15361" max="15361" width="4.5703125" style="1414" customWidth="1"/>
    <col min="15362" max="15362" width="6.5703125" style="1414" customWidth="1"/>
    <col min="15363" max="15363" width="1.7109375" style="1414" customWidth="1"/>
    <col min="15364" max="15365" width="6.5703125" style="1414" customWidth="1"/>
    <col min="15366" max="15366" width="1.7109375" style="1414" customWidth="1"/>
    <col min="15367" max="15367" width="6.5703125" style="1414" customWidth="1"/>
    <col min="15368" max="15368" width="12.7109375" style="1414" customWidth="1"/>
    <col min="15369" max="15369" width="15.140625" style="1414" customWidth="1"/>
    <col min="15370" max="15371" width="9.5703125" style="1414" customWidth="1"/>
    <col min="15372" max="15372" width="16" style="1414" bestFit="1" customWidth="1"/>
    <col min="15373" max="15373" width="2.7109375" style="1414" customWidth="1"/>
    <col min="15374" max="15374" width="4.5703125" style="1414" customWidth="1"/>
    <col min="15375" max="15616" width="9.140625" style="1414"/>
    <col min="15617" max="15617" width="4.5703125" style="1414" customWidth="1"/>
    <col min="15618" max="15618" width="6.5703125" style="1414" customWidth="1"/>
    <col min="15619" max="15619" width="1.7109375" style="1414" customWidth="1"/>
    <col min="15620" max="15621" width="6.5703125" style="1414" customWidth="1"/>
    <col min="15622" max="15622" width="1.7109375" style="1414" customWidth="1"/>
    <col min="15623" max="15623" width="6.5703125" style="1414" customWidth="1"/>
    <col min="15624" max="15624" width="12.7109375" style="1414" customWidth="1"/>
    <col min="15625" max="15625" width="15.140625" style="1414" customWidth="1"/>
    <col min="15626" max="15627" width="9.5703125" style="1414" customWidth="1"/>
    <col min="15628" max="15628" width="16" style="1414" bestFit="1" customWidth="1"/>
    <col min="15629" max="15629" width="2.7109375" style="1414" customWidth="1"/>
    <col min="15630" max="15630" width="4.5703125" style="1414" customWidth="1"/>
    <col min="15631" max="15872" width="9.140625" style="1414"/>
    <col min="15873" max="15873" width="4.5703125" style="1414" customWidth="1"/>
    <col min="15874" max="15874" width="6.5703125" style="1414" customWidth="1"/>
    <col min="15875" max="15875" width="1.7109375" style="1414" customWidth="1"/>
    <col min="15876" max="15877" width="6.5703125" style="1414" customWidth="1"/>
    <col min="15878" max="15878" width="1.7109375" style="1414" customWidth="1"/>
    <col min="15879" max="15879" width="6.5703125" style="1414" customWidth="1"/>
    <col min="15880" max="15880" width="12.7109375" style="1414" customWidth="1"/>
    <col min="15881" max="15881" width="15.140625" style="1414" customWidth="1"/>
    <col min="15882" max="15883" width="9.5703125" style="1414" customWidth="1"/>
    <col min="15884" max="15884" width="16" style="1414" bestFit="1" customWidth="1"/>
    <col min="15885" max="15885" width="2.7109375" style="1414" customWidth="1"/>
    <col min="15886" max="15886" width="4.5703125" style="1414" customWidth="1"/>
    <col min="15887" max="16128" width="9.140625" style="1414"/>
    <col min="16129" max="16129" width="4.5703125" style="1414" customWidth="1"/>
    <col min="16130" max="16130" width="6.5703125" style="1414" customWidth="1"/>
    <col min="16131" max="16131" width="1.7109375" style="1414" customWidth="1"/>
    <col min="16132" max="16133" width="6.5703125" style="1414" customWidth="1"/>
    <col min="16134" max="16134" width="1.7109375" style="1414" customWidth="1"/>
    <col min="16135" max="16135" width="6.5703125" style="1414" customWidth="1"/>
    <col min="16136" max="16136" width="12.7109375" style="1414" customWidth="1"/>
    <col min="16137" max="16137" width="15.140625" style="1414" customWidth="1"/>
    <col min="16138" max="16139" width="9.5703125" style="1414" customWidth="1"/>
    <col min="16140" max="16140" width="16" style="1414" bestFit="1" customWidth="1"/>
    <col min="16141" max="16141" width="2.7109375" style="1414" customWidth="1"/>
    <col min="16142" max="16142" width="4.5703125" style="1414" customWidth="1"/>
    <col min="16143" max="16384" width="9.140625" style="1414"/>
  </cols>
  <sheetData>
    <row r="1" spans="1:14" ht="12.75" customHeight="1">
      <c r="A1" s="1483"/>
      <c r="B1" s="1484"/>
      <c r="C1" s="1485"/>
      <c r="D1" s="1486"/>
      <c r="E1" s="1484"/>
      <c r="F1" s="1485"/>
      <c r="G1" s="1486"/>
      <c r="H1" s="1485"/>
      <c r="I1" s="1485"/>
      <c r="J1" s="1485"/>
      <c r="K1" s="1485"/>
      <c r="L1" s="1487"/>
      <c r="M1" s="1487"/>
      <c r="N1" s="1488"/>
    </row>
    <row r="2" spans="1:14" ht="20.25" customHeight="1">
      <c r="A2" s="1415"/>
      <c r="B2" s="2338" t="s">
        <v>1337</v>
      </c>
      <c r="C2" s="2338"/>
      <c r="D2" s="2338"/>
      <c r="E2" s="2338"/>
      <c r="F2" s="2338"/>
      <c r="G2" s="2338"/>
      <c r="H2" s="2338"/>
      <c r="I2" s="2338"/>
      <c r="J2" s="2338"/>
      <c r="K2" s="2338"/>
      <c r="L2" s="2338"/>
      <c r="M2" s="2338"/>
      <c r="N2" s="1416"/>
    </row>
    <row r="3" spans="1:14" ht="9.9499999999999993" customHeight="1">
      <c r="A3" s="1415"/>
      <c r="B3" s="1417"/>
      <c r="C3" s="1417"/>
      <c r="D3" s="1417"/>
      <c r="E3" s="1417"/>
      <c r="F3" s="1417"/>
      <c r="G3" s="1417"/>
      <c r="H3" s="1417"/>
      <c r="I3" s="1417"/>
      <c r="J3" s="1417"/>
      <c r="K3" s="1417"/>
      <c r="L3" s="1417"/>
      <c r="M3" s="1418"/>
      <c r="N3" s="1416"/>
    </row>
    <row r="4" spans="1:14" ht="12.75" customHeight="1">
      <c r="A4" s="1415"/>
      <c r="B4" s="2339" t="s">
        <v>272</v>
      </c>
      <c r="C4" s="2340"/>
      <c r="D4" s="2340"/>
      <c r="E4" s="2340"/>
      <c r="F4" s="2340"/>
      <c r="G4" s="2340"/>
      <c r="H4" s="2341" t="s">
        <v>251</v>
      </c>
      <c r="I4" s="2343" t="s">
        <v>1338</v>
      </c>
      <c r="J4" s="2343"/>
      <c r="K4" s="2343"/>
      <c r="L4" s="1419" t="s">
        <v>1339</v>
      </c>
      <c r="M4" s="1420"/>
      <c r="N4" s="1416"/>
    </row>
    <row r="5" spans="1:14" ht="12.75" customHeight="1">
      <c r="A5" s="1415"/>
      <c r="B5" s="2344" t="s">
        <v>253</v>
      </c>
      <c r="C5" s="2345"/>
      <c r="D5" s="2345"/>
      <c r="E5" s="2345" t="s">
        <v>1340</v>
      </c>
      <c r="F5" s="2345"/>
      <c r="G5" s="2345"/>
      <c r="H5" s="2342"/>
      <c r="I5" s="1421" t="s">
        <v>1341</v>
      </c>
      <c r="J5" s="1421" t="s">
        <v>1342</v>
      </c>
      <c r="K5" s="1421" t="s">
        <v>1343</v>
      </c>
      <c r="L5" s="1422" t="s">
        <v>1344</v>
      </c>
      <c r="M5" s="1420"/>
      <c r="N5" s="1416"/>
    </row>
    <row r="6" spans="1:14" ht="15.75" customHeight="1">
      <c r="A6" s="1415"/>
      <c r="B6" s="2346" t="s">
        <v>1346</v>
      </c>
      <c r="C6" s="2347"/>
      <c r="D6" s="2347"/>
      <c r="E6" s="2347"/>
      <c r="F6" s="2347"/>
      <c r="G6" s="2347"/>
      <c r="H6" s="2347"/>
      <c r="I6" s="2347"/>
      <c r="J6" s="2347"/>
      <c r="K6" s="2347"/>
      <c r="L6" s="2348"/>
      <c r="M6" s="1423"/>
      <c r="N6" s="1416"/>
    </row>
    <row r="7" spans="1:14" ht="12.75" customHeight="1">
      <c r="A7" s="1415"/>
      <c r="B7" s="2349" t="s">
        <v>1352</v>
      </c>
      <c r="C7" s="2350"/>
      <c r="D7" s="2350"/>
      <c r="E7" s="2350"/>
      <c r="F7" s="2350"/>
      <c r="G7" s="2350"/>
      <c r="H7" s="2350"/>
      <c r="I7" s="2350"/>
      <c r="J7" s="2350"/>
      <c r="K7" s="2350"/>
      <c r="L7" s="2351"/>
      <c r="M7" s="1447"/>
      <c r="N7" s="1416"/>
    </row>
    <row r="8" spans="1:14" ht="12.75" customHeight="1">
      <c r="A8" s="1415"/>
      <c r="B8" s="1497">
        <v>0</v>
      </c>
      <c r="C8" s="1426" t="s">
        <v>605</v>
      </c>
      <c r="D8" s="1427">
        <v>0</v>
      </c>
      <c r="E8" s="1435">
        <v>6</v>
      </c>
      <c r="F8" s="1426" t="s">
        <v>605</v>
      </c>
      <c r="G8" s="1427">
        <v>0</v>
      </c>
      <c r="H8" s="1429" t="s">
        <v>260</v>
      </c>
      <c r="I8" s="1448">
        <f>((E8-B8)*20)+(G8-D8)</f>
        <v>120</v>
      </c>
      <c r="J8" s="1436">
        <f>IF(B8&lt;&gt;"",1.41,0)</f>
        <v>1.41</v>
      </c>
      <c r="K8" s="1436">
        <f>(L8/(I8*J8))</f>
        <v>0.25413711583924353</v>
      </c>
      <c r="L8" s="1498">
        <v>43</v>
      </c>
      <c r="M8" s="1447"/>
      <c r="N8" s="1416"/>
    </row>
    <row r="9" spans="1:14" ht="12.75" customHeight="1">
      <c r="A9" s="1415"/>
      <c r="B9" s="1497">
        <v>9</v>
      </c>
      <c r="C9" s="1426" t="s">
        <v>605</v>
      </c>
      <c r="D9" s="1427">
        <v>0</v>
      </c>
      <c r="E9" s="1435">
        <v>10</v>
      </c>
      <c r="F9" s="1426" t="s">
        <v>605</v>
      </c>
      <c r="G9" s="1434">
        <v>3.17</v>
      </c>
      <c r="H9" s="1429" t="s">
        <v>260</v>
      </c>
      <c r="I9" s="1448">
        <f>((E9-B9)*20)+(G9-D9)</f>
        <v>23.17</v>
      </c>
      <c r="J9" s="1431">
        <f>IF(B9&lt;&gt;"",1.41,0)</f>
        <v>1.41</v>
      </c>
      <c r="K9" s="1431">
        <f>(L9/(I9*J9))</f>
        <v>9.182820778886859E-2</v>
      </c>
      <c r="L9" s="1498">
        <v>3</v>
      </c>
      <c r="M9" s="1424"/>
      <c r="N9" s="1416"/>
    </row>
    <row r="10" spans="1:14" ht="12.75" customHeight="1">
      <c r="A10" s="1415"/>
      <c r="B10" s="1499">
        <v>18</v>
      </c>
      <c r="C10" s="1426" t="s">
        <v>605</v>
      </c>
      <c r="D10" s="1427">
        <v>0</v>
      </c>
      <c r="E10" s="1435">
        <v>20</v>
      </c>
      <c r="F10" s="1426" t="s">
        <v>605</v>
      </c>
      <c r="G10" s="1427">
        <v>0</v>
      </c>
      <c r="H10" s="1429" t="s">
        <v>260</v>
      </c>
      <c r="I10" s="1448">
        <f>((E10-B10)*20)+(G10-D10)</f>
        <v>40</v>
      </c>
      <c r="J10" s="1436">
        <f>IF(B10&lt;&gt;"",1.41,0)</f>
        <v>1.41</v>
      </c>
      <c r="K10" s="1436">
        <f>(L10/(I10*J10))</f>
        <v>8.8652482269503549E-2</v>
      </c>
      <c r="L10" s="1498">
        <v>5</v>
      </c>
      <c r="M10" s="1424"/>
      <c r="N10" s="1416"/>
    </row>
    <row r="11" spans="1:14" ht="12.75" customHeight="1">
      <c r="A11" s="1415"/>
      <c r="B11" s="1433">
        <v>23</v>
      </c>
      <c r="C11" s="1426" t="s">
        <v>605</v>
      </c>
      <c r="D11" s="1427">
        <v>0</v>
      </c>
      <c r="E11" s="1435">
        <v>25</v>
      </c>
      <c r="F11" s="1426" t="s">
        <v>605</v>
      </c>
      <c r="G11" s="1427">
        <v>0</v>
      </c>
      <c r="H11" s="1429" t="s">
        <v>260</v>
      </c>
      <c r="I11" s="1448">
        <f>((E11-B11)*20)+(G11-D11)</f>
        <v>40</v>
      </c>
      <c r="J11" s="1431">
        <f>IF(B11&lt;&gt;"",1.41,0)</f>
        <v>1.41</v>
      </c>
      <c r="K11" s="1431">
        <f>(L11/(I11*J11))</f>
        <v>0.14184397163120568</v>
      </c>
      <c r="L11" s="1438">
        <v>8</v>
      </c>
      <c r="M11" s="1424"/>
      <c r="N11" s="1416"/>
    </row>
    <row r="12" spans="1:14" ht="12.75" customHeight="1">
      <c r="A12" s="1415"/>
      <c r="B12" s="1433">
        <v>55</v>
      </c>
      <c r="C12" s="1426" t="s">
        <v>605</v>
      </c>
      <c r="D12" s="1427">
        <v>0</v>
      </c>
      <c r="E12" s="1435">
        <v>76</v>
      </c>
      <c r="F12" s="1426" t="s">
        <v>605</v>
      </c>
      <c r="G12" s="1434">
        <v>14.05</v>
      </c>
      <c r="H12" s="1429" t="s">
        <v>260</v>
      </c>
      <c r="I12" s="1448">
        <f>((E12-B12)*20)+(G12-D12)</f>
        <v>434.05</v>
      </c>
      <c r="J12" s="1436">
        <f>IF(B12&lt;&gt;"",1.41,0)</f>
        <v>1.41</v>
      </c>
      <c r="K12" s="1436">
        <f>(L12/(I12*J12))</f>
        <v>1.0130545145875764</v>
      </c>
      <c r="L12" s="1438">
        <v>620</v>
      </c>
      <c r="M12" s="1424"/>
      <c r="N12" s="1416"/>
    </row>
    <row r="13" spans="1:14" ht="12.75" customHeight="1">
      <c r="A13" s="1415"/>
      <c r="B13" s="1500"/>
      <c r="C13" s="1489"/>
      <c r="D13" s="1496"/>
      <c r="E13" s="1494"/>
      <c r="F13" s="1489"/>
      <c r="G13" s="1496"/>
      <c r="H13" s="1495"/>
      <c r="I13" s="1448"/>
      <c r="J13" s="1436"/>
      <c r="K13" s="1436"/>
      <c r="L13" s="1501"/>
      <c r="M13" s="1424"/>
      <c r="N13" s="1416"/>
    </row>
    <row r="14" spans="1:14" ht="12.75" customHeight="1">
      <c r="A14" s="1415"/>
      <c r="B14" s="1499"/>
      <c r="C14" s="1426"/>
      <c r="D14" s="1434"/>
      <c r="E14" s="1428"/>
      <c r="F14" s="1426"/>
      <c r="G14" s="1434"/>
      <c r="H14" s="1429"/>
      <c r="I14" s="1448"/>
      <c r="J14" s="1431"/>
      <c r="K14" s="1431"/>
      <c r="L14" s="1498"/>
      <c r="M14" s="1424"/>
      <c r="N14" s="1416"/>
    </row>
    <row r="15" spans="1:14" ht="12.75" customHeight="1">
      <c r="A15" s="1415"/>
      <c r="B15" s="2349" t="s">
        <v>1353</v>
      </c>
      <c r="C15" s="2350"/>
      <c r="D15" s="2350"/>
      <c r="E15" s="2350"/>
      <c r="F15" s="2350"/>
      <c r="G15" s="2350"/>
      <c r="H15" s="2350"/>
      <c r="I15" s="2350"/>
      <c r="J15" s="2350"/>
      <c r="K15" s="2350"/>
      <c r="L15" s="2351"/>
      <c r="M15" s="1424"/>
      <c r="N15" s="1416"/>
    </row>
    <row r="16" spans="1:14" ht="12.75" customHeight="1">
      <c r="A16" s="1415"/>
      <c r="B16" s="1490">
        <v>8</v>
      </c>
      <c r="C16" s="1426" t="s">
        <v>605</v>
      </c>
      <c r="D16" s="1427">
        <v>0</v>
      </c>
      <c r="E16" s="1435">
        <v>14</v>
      </c>
      <c r="F16" s="1426" t="s">
        <v>605</v>
      </c>
      <c r="G16" s="1427">
        <v>0</v>
      </c>
      <c r="H16" s="1429" t="s">
        <v>260</v>
      </c>
      <c r="I16" s="1448">
        <f>((E16-B16)*20)+(G16-D16)</f>
        <v>120</v>
      </c>
      <c r="J16" s="1431">
        <f>IF(B16&lt;&gt;"",1.41,0)</f>
        <v>1.41</v>
      </c>
      <c r="K16" s="1431">
        <f>(L16/(I16*J16))</f>
        <v>1.0579196217494091</v>
      </c>
      <c r="L16" s="1438">
        <v>179</v>
      </c>
      <c r="M16" s="1424"/>
      <c r="N16" s="1416"/>
    </row>
    <row r="17" spans="1:14" ht="12.75" customHeight="1">
      <c r="A17" s="1415"/>
      <c r="B17" s="1433">
        <v>15</v>
      </c>
      <c r="C17" s="1426" t="s">
        <v>605</v>
      </c>
      <c r="D17" s="1427">
        <v>0</v>
      </c>
      <c r="E17" s="1435">
        <v>19</v>
      </c>
      <c r="F17" s="1426" t="s">
        <v>605</v>
      </c>
      <c r="G17" s="1427">
        <v>0</v>
      </c>
      <c r="H17" s="1429" t="s">
        <v>260</v>
      </c>
      <c r="I17" s="1448">
        <f>((E17-B17)*20)+(G17-D17)</f>
        <v>80</v>
      </c>
      <c r="J17" s="1436">
        <f>IF(B17&lt;&gt;"",1.41,0)</f>
        <v>1.41</v>
      </c>
      <c r="K17" s="1436">
        <f>(L17/(I17*J17))</f>
        <v>1.3031914893617023</v>
      </c>
      <c r="L17" s="1438">
        <v>147</v>
      </c>
      <c r="M17" s="1447"/>
      <c r="N17" s="1416"/>
    </row>
    <row r="18" spans="1:14" ht="12.75" customHeight="1">
      <c r="A18" s="1415"/>
      <c r="B18" s="1433">
        <v>37</v>
      </c>
      <c r="C18" s="1426" t="s">
        <v>605</v>
      </c>
      <c r="D18" s="1427">
        <v>0</v>
      </c>
      <c r="E18" s="1435">
        <v>41</v>
      </c>
      <c r="F18" s="1426" t="s">
        <v>605</v>
      </c>
      <c r="G18" s="1427">
        <v>0</v>
      </c>
      <c r="H18" s="1429" t="s">
        <v>260</v>
      </c>
      <c r="I18" s="1448">
        <f>((E18-B18)*20)+(G18-D18)</f>
        <v>80</v>
      </c>
      <c r="J18" s="1431">
        <f>IF(B18&lt;&gt;"",1.41,0)</f>
        <v>1.41</v>
      </c>
      <c r="K18" s="1431">
        <f>(L18/(I18*J18))</f>
        <v>0.14184397163120568</v>
      </c>
      <c r="L18" s="1438">
        <v>16</v>
      </c>
      <c r="M18" s="1447"/>
      <c r="N18" s="1416"/>
    </row>
    <row r="19" spans="1:14" ht="12.75" customHeight="1">
      <c r="A19" s="1415"/>
      <c r="B19" s="1433">
        <v>42</v>
      </c>
      <c r="C19" s="1426" t="s">
        <v>605</v>
      </c>
      <c r="D19" s="1427">
        <v>0</v>
      </c>
      <c r="E19" s="1435">
        <v>45</v>
      </c>
      <c r="F19" s="1426" t="s">
        <v>605</v>
      </c>
      <c r="G19" s="1427">
        <v>0</v>
      </c>
      <c r="H19" s="1429" t="s">
        <v>260</v>
      </c>
      <c r="I19" s="1448">
        <f>((E19-B19)*20)+(G19-D19)</f>
        <v>60</v>
      </c>
      <c r="J19" s="1436">
        <f>IF(B19&lt;&gt;"",1.41,0)</f>
        <v>1.41</v>
      </c>
      <c r="K19" s="1436">
        <f>(L19/(I19*J19))</f>
        <v>0.10638297872340426</v>
      </c>
      <c r="L19" s="1438">
        <v>9</v>
      </c>
      <c r="M19" s="1447"/>
      <c r="N19" s="1416"/>
    </row>
    <row r="20" spans="1:14" ht="12.75" customHeight="1">
      <c r="A20" s="1415"/>
      <c r="B20" s="1433"/>
      <c r="C20" s="1426"/>
      <c r="D20" s="1434"/>
      <c r="E20" s="1435"/>
      <c r="F20" s="1426"/>
      <c r="G20" s="1434"/>
      <c r="H20" s="1429"/>
      <c r="I20" s="1448"/>
      <c r="J20" s="1436"/>
      <c r="K20" s="1436"/>
      <c r="L20" s="1438"/>
      <c r="M20" s="1447"/>
      <c r="N20" s="1416"/>
    </row>
    <row r="21" spans="1:14" ht="12.75" customHeight="1">
      <c r="A21" s="1415"/>
      <c r="B21" s="1433"/>
      <c r="C21" s="1426"/>
      <c r="D21" s="1434"/>
      <c r="E21" s="1435"/>
      <c r="F21" s="1426"/>
      <c r="G21" s="1434"/>
      <c r="H21" s="1429"/>
      <c r="I21" s="1448"/>
      <c r="J21" s="1431"/>
      <c r="K21" s="1431"/>
      <c r="L21" s="1438"/>
      <c r="M21" s="1447"/>
      <c r="N21" s="1416"/>
    </row>
    <row r="22" spans="1:14" ht="12.75" customHeight="1">
      <c r="A22" s="1415"/>
      <c r="B22" s="1433"/>
      <c r="C22" s="1426"/>
      <c r="D22" s="1434"/>
      <c r="E22" s="1435"/>
      <c r="F22" s="1426"/>
      <c r="G22" s="1434"/>
      <c r="H22" s="1429"/>
      <c r="I22" s="1448"/>
      <c r="J22" s="1431"/>
      <c r="K22" s="1431"/>
      <c r="L22" s="1438"/>
      <c r="M22" s="1447"/>
      <c r="N22" s="1416"/>
    </row>
    <row r="23" spans="1:14" ht="12.75" customHeight="1">
      <c r="A23" s="1415"/>
      <c r="B23" s="1433"/>
      <c r="C23" s="1426"/>
      <c r="D23" s="1434"/>
      <c r="E23" s="1502"/>
      <c r="F23" s="1426"/>
      <c r="G23" s="1434"/>
      <c r="H23" s="1429"/>
      <c r="I23" s="1448"/>
      <c r="J23" s="1436"/>
      <c r="K23" s="1436"/>
      <c r="L23" s="1438"/>
      <c r="M23" s="1447"/>
      <c r="N23" s="1416"/>
    </row>
    <row r="24" spans="1:14" ht="13.5" customHeight="1">
      <c r="A24" s="1415"/>
      <c r="B24" s="2352" t="s">
        <v>1349</v>
      </c>
      <c r="C24" s="2353"/>
      <c r="D24" s="2353"/>
      <c r="E24" s="2353"/>
      <c r="F24" s="2353"/>
      <c r="G24" s="2353"/>
      <c r="H24" s="2353"/>
      <c r="I24" s="2353"/>
      <c r="J24" s="2353"/>
      <c r="K24" s="2353"/>
      <c r="L24" s="1450">
        <f>SUM(L7:L23)</f>
        <v>1030</v>
      </c>
      <c r="M24" s="1447"/>
      <c r="N24" s="1416"/>
    </row>
    <row r="25" spans="1:14" ht="12.75" customHeight="1">
      <c r="A25" s="1415"/>
      <c r="B25" s="1451"/>
      <c r="C25" s="1452"/>
      <c r="D25" s="1453"/>
      <c r="E25" s="1451"/>
      <c r="F25" s="1452"/>
      <c r="G25" s="1453"/>
      <c r="H25" s="1452"/>
      <c r="I25" s="1454"/>
      <c r="J25" s="1455"/>
      <c r="K25" s="1456"/>
      <c r="L25" s="1457"/>
      <c r="M25" s="1458"/>
      <c r="N25" s="1416"/>
    </row>
    <row r="26" spans="1:14" ht="12.75" customHeight="1">
      <c r="A26" s="1415"/>
      <c r="M26" s="1458"/>
      <c r="N26" s="1416"/>
    </row>
    <row r="27" spans="1:14" ht="12.75" customHeight="1">
      <c r="A27" s="1415"/>
      <c r="B27" s="1467" t="s">
        <v>266</v>
      </c>
      <c r="N27" s="1416"/>
    </row>
    <row r="28" spans="1:14" ht="12.75" customHeight="1">
      <c r="A28" s="1468"/>
      <c r="B28" s="1469" t="s">
        <v>1350</v>
      </c>
      <c r="C28" s="1470"/>
      <c r="D28" s="1473" t="str">
        <f>CONCATENATE("Total das Áreas de Semeadura nos Cortes  (m²): ",TEXT(SUM(L24),"#.##0,00"))</f>
        <v>Total das Áreas de Semeadura nos Cortes  (m²): 1.030,00</v>
      </c>
      <c r="E28" s="1469"/>
      <c r="F28" s="1472"/>
      <c r="G28" s="1473"/>
      <c r="H28" s="1472"/>
      <c r="I28" s="1472"/>
      <c r="J28" s="1470"/>
      <c r="K28" s="1470"/>
      <c r="L28" s="1470"/>
      <c r="M28" s="1471"/>
      <c r="N28" s="1475"/>
    </row>
    <row r="29" spans="1:14" ht="12.75" customHeight="1">
      <c r="A29" s="1468"/>
      <c r="B29" s="1469"/>
      <c r="C29" s="1472"/>
      <c r="D29" s="1473"/>
      <c r="E29" s="1469"/>
      <c r="F29" s="1472"/>
      <c r="G29" s="1473"/>
      <c r="H29" s="1472"/>
      <c r="I29" s="1472"/>
      <c r="J29" s="1472"/>
      <c r="K29" s="1472"/>
      <c r="L29" s="1471"/>
      <c r="M29" s="1471"/>
      <c r="N29" s="1475"/>
    </row>
    <row r="30" spans="1:14" ht="12.75" customHeight="1">
      <c r="A30" s="1468"/>
      <c r="B30" s="1469"/>
      <c r="C30" s="1472"/>
      <c r="D30" s="1473"/>
      <c r="E30" s="1469"/>
      <c r="F30" s="1472"/>
      <c r="G30" s="1473"/>
      <c r="H30" s="1472"/>
      <c r="I30" s="1472"/>
      <c r="J30" s="1472"/>
      <c r="K30" s="1472"/>
      <c r="L30" s="1471"/>
      <c r="M30" s="1471"/>
      <c r="N30" s="1475"/>
    </row>
    <row r="31" spans="1:14" ht="12.75" customHeight="1" thickBot="1">
      <c r="A31" s="1476"/>
      <c r="B31" s="1477"/>
      <c r="C31" s="1478"/>
      <c r="D31" s="1479"/>
      <c r="E31" s="1477"/>
      <c r="F31" s="1478"/>
      <c r="G31" s="1479"/>
      <c r="H31" s="1478"/>
      <c r="I31" s="1478"/>
      <c r="J31" s="1478"/>
      <c r="K31" s="1478"/>
      <c r="L31" s="1480"/>
      <c r="M31" s="1480"/>
      <c r="N31" s="1482"/>
    </row>
    <row r="32" spans="1:14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</sheetData>
  <mergeCells count="10">
    <mergeCell ref="B6:L6"/>
    <mergeCell ref="B7:L7"/>
    <mergeCell ref="B15:L15"/>
    <mergeCell ref="B24:K24"/>
    <mergeCell ref="B2:M2"/>
    <mergeCell ref="B4:G4"/>
    <mergeCell ref="H4:H5"/>
    <mergeCell ref="I4:K4"/>
    <mergeCell ref="B5:D5"/>
    <mergeCell ref="E5:G5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14" max="63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4FC86-EC8B-43CC-86E6-107770547A9D}">
  <sheetPr>
    <tabColor rgb="FFFFFF00"/>
  </sheetPr>
  <dimension ref="A1:F2"/>
  <sheetViews>
    <sheetView topLeftCell="B1" workbookViewId="0">
      <selection activeCell="B1" sqref="B1:F1"/>
    </sheetView>
  </sheetViews>
  <sheetFormatPr defaultRowHeight="12.75"/>
  <cols>
    <col min="1" max="1" width="0" style="1204" hidden="1" customWidth="1"/>
    <col min="2" max="3" width="9.140625" style="1204"/>
    <col min="4" max="4" width="46" style="1204" customWidth="1"/>
    <col min="5" max="5" width="9.140625" style="1204"/>
    <col min="6" max="6" width="20.85546875" style="1204" customWidth="1"/>
    <col min="7" max="259" width="9.140625" style="1204"/>
    <col min="260" max="260" width="46" style="1204" customWidth="1"/>
    <col min="261" max="261" width="9.140625" style="1204"/>
    <col min="262" max="262" width="20.85546875" style="1204" customWidth="1"/>
    <col min="263" max="515" width="9.140625" style="1204"/>
    <col min="516" max="516" width="46" style="1204" customWidth="1"/>
    <col min="517" max="517" width="9.140625" style="1204"/>
    <col min="518" max="518" width="20.85546875" style="1204" customWidth="1"/>
    <col min="519" max="771" width="9.140625" style="1204"/>
    <col min="772" max="772" width="46" style="1204" customWidth="1"/>
    <col min="773" max="773" width="9.140625" style="1204"/>
    <col min="774" max="774" width="20.85546875" style="1204" customWidth="1"/>
    <col min="775" max="1027" width="9.140625" style="1204"/>
    <col min="1028" max="1028" width="46" style="1204" customWidth="1"/>
    <col min="1029" max="1029" width="9.140625" style="1204"/>
    <col min="1030" max="1030" width="20.85546875" style="1204" customWidth="1"/>
    <col min="1031" max="1283" width="9.140625" style="1204"/>
    <col min="1284" max="1284" width="46" style="1204" customWidth="1"/>
    <col min="1285" max="1285" width="9.140625" style="1204"/>
    <col min="1286" max="1286" width="20.85546875" style="1204" customWidth="1"/>
    <col min="1287" max="1539" width="9.140625" style="1204"/>
    <col min="1540" max="1540" width="46" style="1204" customWidth="1"/>
    <col min="1541" max="1541" width="9.140625" style="1204"/>
    <col min="1542" max="1542" width="20.85546875" style="1204" customWidth="1"/>
    <col min="1543" max="1795" width="9.140625" style="1204"/>
    <col min="1796" max="1796" width="46" style="1204" customWidth="1"/>
    <col min="1797" max="1797" width="9.140625" style="1204"/>
    <col min="1798" max="1798" width="20.85546875" style="1204" customWidth="1"/>
    <col min="1799" max="2051" width="9.140625" style="1204"/>
    <col min="2052" max="2052" width="46" style="1204" customWidth="1"/>
    <col min="2053" max="2053" width="9.140625" style="1204"/>
    <col min="2054" max="2054" width="20.85546875" style="1204" customWidth="1"/>
    <col min="2055" max="2307" width="9.140625" style="1204"/>
    <col min="2308" max="2308" width="46" style="1204" customWidth="1"/>
    <col min="2309" max="2309" width="9.140625" style="1204"/>
    <col min="2310" max="2310" width="20.85546875" style="1204" customWidth="1"/>
    <col min="2311" max="2563" width="9.140625" style="1204"/>
    <col min="2564" max="2564" width="46" style="1204" customWidth="1"/>
    <col min="2565" max="2565" width="9.140625" style="1204"/>
    <col min="2566" max="2566" width="20.85546875" style="1204" customWidth="1"/>
    <col min="2567" max="2819" width="9.140625" style="1204"/>
    <col min="2820" max="2820" width="46" style="1204" customWidth="1"/>
    <col min="2821" max="2821" width="9.140625" style="1204"/>
    <col min="2822" max="2822" width="20.85546875" style="1204" customWidth="1"/>
    <col min="2823" max="3075" width="9.140625" style="1204"/>
    <col min="3076" max="3076" width="46" style="1204" customWidth="1"/>
    <col min="3077" max="3077" width="9.140625" style="1204"/>
    <col min="3078" max="3078" width="20.85546875" style="1204" customWidth="1"/>
    <col min="3079" max="3331" width="9.140625" style="1204"/>
    <col min="3332" max="3332" width="46" style="1204" customWidth="1"/>
    <col min="3333" max="3333" width="9.140625" style="1204"/>
    <col min="3334" max="3334" width="20.85546875" style="1204" customWidth="1"/>
    <col min="3335" max="3587" width="9.140625" style="1204"/>
    <col min="3588" max="3588" width="46" style="1204" customWidth="1"/>
    <col min="3589" max="3589" width="9.140625" style="1204"/>
    <col min="3590" max="3590" width="20.85546875" style="1204" customWidth="1"/>
    <col min="3591" max="3843" width="9.140625" style="1204"/>
    <col min="3844" max="3844" width="46" style="1204" customWidth="1"/>
    <col min="3845" max="3845" width="9.140625" style="1204"/>
    <col min="3846" max="3846" width="20.85546875" style="1204" customWidth="1"/>
    <col min="3847" max="4099" width="9.140625" style="1204"/>
    <col min="4100" max="4100" width="46" style="1204" customWidth="1"/>
    <col min="4101" max="4101" width="9.140625" style="1204"/>
    <col min="4102" max="4102" width="20.85546875" style="1204" customWidth="1"/>
    <col min="4103" max="4355" width="9.140625" style="1204"/>
    <col min="4356" max="4356" width="46" style="1204" customWidth="1"/>
    <col min="4357" max="4357" width="9.140625" style="1204"/>
    <col min="4358" max="4358" width="20.85546875" style="1204" customWidth="1"/>
    <col min="4359" max="4611" width="9.140625" style="1204"/>
    <col min="4612" max="4612" width="46" style="1204" customWidth="1"/>
    <col min="4613" max="4613" width="9.140625" style="1204"/>
    <col min="4614" max="4614" width="20.85546875" style="1204" customWidth="1"/>
    <col min="4615" max="4867" width="9.140625" style="1204"/>
    <col min="4868" max="4868" width="46" style="1204" customWidth="1"/>
    <col min="4869" max="4869" width="9.140625" style="1204"/>
    <col min="4870" max="4870" width="20.85546875" style="1204" customWidth="1"/>
    <col min="4871" max="5123" width="9.140625" style="1204"/>
    <col min="5124" max="5124" width="46" style="1204" customWidth="1"/>
    <col min="5125" max="5125" width="9.140625" style="1204"/>
    <col min="5126" max="5126" width="20.85546875" style="1204" customWidth="1"/>
    <col min="5127" max="5379" width="9.140625" style="1204"/>
    <col min="5380" max="5380" width="46" style="1204" customWidth="1"/>
    <col min="5381" max="5381" width="9.140625" style="1204"/>
    <col min="5382" max="5382" width="20.85546875" style="1204" customWidth="1"/>
    <col min="5383" max="5635" width="9.140625" style="1204"/>
    <col min="5636" max="5636" width="46" style="1204" customWidth="1"/>
    <col min="5637" max="5637" width="9.140625" style="1204"/>
    <col min="5638" max="5638" width="20.85546875" style="1204" customWidth="1"/>
    <col min="5639" max="5891" width="9.140625" style="1204"/>
    <col min="5892" max="5892" width="46" style="1204" customWidth="1"/>
    <col min="5893" max="5893" width="9.140625" style="1204"/>
    <col min="5894" max="5894" width="20.85546875" style="1204" customWidth="1"/>
    <col min="5895" max="6147" width="9.140625" style="1204"/>
    <col min="6148" max="6148" width="46" style="1204" customWidth="1"/>
    <col min="6149" max="6149" width="9.140625" style="1204"/>
    <col min="6150" max="6150" width="20.85546875" style="1204" customWidth="1"/>
    <col min="6151" max="6403" width="9.140625" style="1204"/>
    <col min="6404" max="6404" width="46" style="1204" customWidth="1"/>
    <col min="6405" max="6405" width="9.140625" style="1204"/>
    <col min="6406" max="6406" width="20.85546875" style="1204" customWidth="1"/>
    <col min="6407" max="6659" width="9.140625" style="1204"/>
    <col min="6660" max="6660" width="46" style="1204" customWidth="1"/>
    <col min="6661" max="6661" width="9.140625" style="1204"/>
    <col min="6662" max="6662" width="20.85546875" style="1204" customWidth="1"/>
    <col min="6663" max="6915" width="9.140625" style="1204"/>
    <col min="6916" max="6916" width="46" style="1204" customWidth="1"/>
    <col min="6917" max="6917" width="9.140625" style="1204"/>
    <col min="6918" max="6918" width="20.85546875" style="1204" customWidth="1"/>
    <col min="6919" max="7171" width="9.140625" style="1204"/>
    <col min="7172" max="7172" width="46" style="1204" customWidth="1"/>
    <col min="7173" max="7173" width="9.140625" style="1204"/>
    <col min="7174" max="7174" width="20.85546875" style="1204" customWidth="1"/>
    <col min="7175" max="7427" width="9.140625" style="1204"/>
    <col min="7428" max="7428" width="46" style="1204" customWidth="1"/>
    <col min="7429" max="7429" width="9.140625" style="1204"/>
    <col min="7430" max="7430" width="20.85546875" style="1204" customWidth="1"/>
    <col min="7431" max="7683" width="9.140625" style="1204"/>
    <col min="7684" max="7684" width="46" style="1204" customWidth="1"/>
    <col min="7685" max="7685" width="9.140625" style="1204"/>
    <col min="7686" max="7686" width="20.85546875" style="1204" customWidth="1"/>
    <col min="7687" max="7939" width="9.140625" style="1204"/>
    <col min="7940" max="7940" width="46" style="1204" customWidth="1"/>
    <col min="7941" max="7941" width="9.140625" style="1204"/>
    <col min="7942" max="7942" width="20.85546875" style="1204" customWidth="1"/>
    <col min="7943" max="8195" width="9.140625" style="1204"/>
    <col min="8196" max="8196" width="46" style="1204" customWidth="1"/>
    <col min="8197" max="8197" width="9.140625" style="1204"/>
    <col min="8198" max="8198" width="20.85546875" style="1204" customWidth="1"/>
    <col min="8199" max="8451" width="9.140625" style="1204"/>
    <col min="8452" max="8452" width="46" style="1204" customWidth="1"/>
    <col min="8453" max="8453" width="9.140625" style="1204"/>
    <col min="8454" max="8454" width="20.85546875" style="1204" customWidth="1"/>
    <col min="8455" max="8707" width="9.140625" style="1204"/>
    <col min="8708" max="8708" width="46" style="1204" customWidth="1"/>
    <col min="8709" max="8709" width="9.140625" style="1204"/>
    <col min="8710" max="8710" width="20.85546875" style="1204" customWidth="1"/>
    <col min="8711" max="8963" width="9.140625" style="1204"/>
    <col min="8964" max="8964" width="46" style="1204" customWidth="1"/>
    <col min="8965" max="8965" width="9.140625" style="1204"/>
    <col min="8966" max="8966" width="20.85546875" style="1204" customWidth="1"/>
    <col min="8967" max="9219" width="9.140625" style="1204"/>
    <col min="9220" max="9220" width="46" style="1204" customWidth="1"/>
    <col min="9221" max="9221" width="9.140625" style="1204"/>
    <col min="9222" max="9222" width="20.85546875" style="1204" customWidth="1"/>
    <col min="9223" max="9475" width="9.140625" style="1204"/>
    <col min="9476" max="9476" width="46" style="1204" customWidth="1"/>
    <col min="9477" max="9477" width="9.140625" style="1204"/>
    <col min="9478" max="9478" width="20.85546875" style="1204" customWidth="1"/>
    <col min="9479" max="9731" width="9.140625" style="1204"/>
    <col min="9732" max="9732" width="46" style="1204" customWidth="1"/>
    <col min="9733" max="9733" width="9.140625" style="1204"/>
    <col min="9734" max="9734" width="20.85546875" style="1204" customWidth="1"/>
    <col min="9735" max="9987" width="9.140625" style="1204"/>
    <col min="9988" max="9988" width="46" style="1204" customWidth="1"/>
    <col min="9989" max="9989" width="9.140625" style="1204"/>
    <col min="9990" max="9990" width="20.85546875" style="1204" customWidth="1"/>
    <col min="9991" max="10243" width="9.140625" style="1204"/>
    <col min="10244" max="10244" width="46" style="1204" customWidth="1"/>
    <col min="10245" max="10245" width="9.140625" style="1204"/>
    <col min="10246" max="10246" width="20.85546875" style="1204" customWidth="1"/>
    <col min="10247" max="10499" width="9.140625" style="1204"/>
    <col min="10500" max="10500" width="46" style="1204" customWidth="1"/>
    <col min="10501" max="10501" width="9.140625" style="1204"/>
    <col min="10502" max="10502" width="20.85546875" style="1204" customWidth="1"/>
    <col min="10503" max="10755" width="9.140625" style="1204"/>
    <col min="10756" max="10756" width="46" style="1204" customWidth="1"/>
    <col min="10757" max="10757" width="9.140625" style="1204"/>
    <col min="10758" max="10758" width="20.85546875" style="1204" customWidth="1"/>
    <col min="10759" max="11011" width="9.140625" style="1204"/>
    <col min="11012" max="11012" width="46" style="1204" customWidth="1"/>
    <col min="11013" max="11013" width="9.140625" style="1204"/>
    <col min="11014" max="11014" width="20.85546875" style="1204" customWidth="1"/>
    <col min="11015" max="11267" width="9.140625" style="1204"/>
    <col min="11268" max="11268" width="46" style="1204" customWidth="1"/>
    <col min="11269" max="11269" width="9.140625" style="1204"/>
    <col min="11270" max="11270" width="20.85546875" style="1204" customWidth="1"/>
    <col min="11271" max="11523" width="9.140625" style="1204"/>
    <col min="11524" max="11524" width="46" style="1204" customWidth="1"/>
    <col min="11525" max="11525" width="9.140625" style="1204"/>
    <col min="11526" max="11526" width="20.85546875" style="1204" customWidth="1"/>
    <col min="11527" max="11779" width="9.140625" style="1204"/>
    <col min="11780" max="11780" width="46" style="1204" customWidth="1"/>
    <col min="11781" max="11781" width="9.140625" style="1204"/>
    <col min="11782" max="11782" width="20.85546875" style="1204" customWidth="1"/>
    <col min="11783" max="12035" width="9.140625" style="1204"/>
    <col min="12036" max="12036" width="46" style="1204" customWidth="1"/>
    <col min="12037" max="12037" width="9.140625" style="1204"/>
    <col min="12038" max="12038" width="20.85546875" style="1204" customWidth="1"/>
    <col min="12039" max="12291" width="9.140625" style="1204"/>
    <col min="12292" max="12292" width="46" style="1204" customWidth="1"/>
    <col min="12293" max="12293" width="9.140625" style="1204"/>
    <col min="12294" max="12294" width="20.85546875" style="1204" customWidth="1"/>
    <col min="12295" max="12547" width="9.140625" style="1204"/>
    <col min="12548" max="12548" width="46" style="1204" customWidth="1"/>
    <col min="12549" max="12549" width="9.140625" style="1204"/>
    <col min="12550" max="12550" width="20.85546875" style="1204" customWidth="1"/>
    <col min="12551" max="12803" width="9.140625" style="1204"/>
    <col min="12804" max="12804" width="46" style="1204" customWidth="1"/>
    <col min="12805" max="12805" width="9.140625" style="1204"/>
    <col min="12806" max="12806" width="20.85546875" style="1204" customWidth="1"/>
    <col min="12807" max="13059" width="9.140625" style="1204"/>
    <col min="13060" max="13060" width="46" style="1204" customWidth="1"/>
    <col min="13061" max="13061" width="9.140625" style="1204"/>
    <col min="13062" max="13062" width="20.85546875" style="1204" customWidth="1"/>
    <col min="13063" max="13315" width="9.140625" style="1204"/>
    <col min="13316" max="13316" width="46" style="1204" customWidth="1"/>
    <col min="13317" max="13317" width="9.140625" style="1204"/>
    <col min="13318" max="13318" width="20.85546875" style="1204" customWidth="1"/>
    <col min="13319" max="13571" width="9.140625" style="1204"/>
    <col min="13572" max="13572" width="46" style="1204" customWidth="1"/>
    <col min="13573" max="13573" width="9.140625" style="1204"/>
    <col min="13574" max="13574" width="20.85546875" style="1204" customWidth="1"/>
    <col min="13575" max="13827" width="9.140625" style="1204"/>
    <col min="13828" max="13828" width="46" style="1204" customWidth="1"/>
    <col min="13829" max="13829" width="9.140625" style="1204"/>
    <col min="13830" max="13830" width="20.85546875" style="1204" customWidth="1"/>
    <col min="13831" max="14083" width="9.140625" style="1204"/>
    <col min="14084" max="14084" width="46" style="1204" customWidth="1"/>
    <col min="14085" max="14085" width="9.140625" style="1204"/>
    <col min="14086" max="14086" width="20.85546875" style="1204" customWidth="1"/>
    <col min="14087" max="14339" width="9.140625" style="1204"/>
    <col min="14340" max="14340" width="46" style="1204" customWidth="1"/>
    <col min="14341" max="14341" width="9.140625" style="1204"/>
    <col min="14342" max="14342" width="20.85546875" style="1204" customWidth="1"/>
    <col min="14343" max="14595" width="9.140625" style="1204"/>
    <col min="14596" max="14596" width="46" style="1204" customWidth="1"/>
    <col min="14597" max="14597" width="9.140625" style="1204"/>
    <col min="14598" max="14598" width="20.85546875" style="1204" customWidth="1"/>
    <col min="14599" max="14851" width="9.140625" style="1204"/>
    <col min="14852" max="14852" width="46" style="1204" customWidth="1"/>
    <col min="14853" max="14853" width="9.140625" style="1204"/>
    <col min="14854" max="14854" width="20.85546875" style="1204" customWidth="1"/>
    <col min="14855" max="15107" width="9.140625" style="1204"/>
    <col min="15108" max="15108" width="46" style="1204" customWidth="1"/>
    <col min="15109" max="15109" width="9.140625" style="1204"/>
    <col min="15110" max="15110" width="20.85546875" style="1204" customWidth="1"/>
    <col min="15111" max="15363" width="9.140625" style="1204"/>
    <col min="15364" max="15364" width="46" style="1204" customWidth="1"/>
    <col min="15365" max="15365" width="9.140625" style="1204"/>
    <col min="15366" max="15366" width="20.85546875" style="1204" customWidth="1"/>
    <col min="15367" max="15619" width="9.140625" style="1204"/>
    <col min="15620" max="15620" width="46" style="1204" customWidth="1"/>
    <col min="15621" max="15621" width="9.140625" style="1204"/>
    <col min="15622" max="15622" width="20.85546875" style="1204" customWidth="1"/>
    <col min="15623" max="15875" width="9.140625" style="1204"/>
    <col min="15876" max="15876" width="46" style="1204" customWidth="1"/>
    <col min="15877" max="15877" width="9.140625" style="1204"/>
    <col min="15878" max="15878" width="20.85546875" style="1204" customWidth="1"/>
    <col min="15879" max="16131" width="9.140625" style="1204"/>
    <col min="16132" max="16132" width="46" style="1204" customWidth="1"/>
    <col min="16133" max="16133" width="9.140625" style="1204"/>
    <col min="16134" max="16134" width="20.85546875" style="1204" customWidth="1"/>
    <col min="16135" max="16384" width="9.140625" style="1204"/>
  </cols>
  <sheetData>
    <row r="1" spans="1:6">
      <c r="A1" s="1503">
        <v>7</v>
      </c>
      <c r="B1" s="2357" t="s">
        <v>1548</v>
      </c>
      <c r="C1" s="2358"/>
      <c r="D1" s="2358"/>
      <c r="E1" s="2358"/>
      <c r="F1" s="2358"/>
    </row>
    <row r="2" spans="1:6" ht="22.5">
      <c r="A2" s="1504" t="s">
        <v>1354</v>
      </c>
      <c r="B2" s="1504" t="s">
        <v>1355</v>
      </c>
      <c r="C2" s="1504" t="s">
        <v>356</v>
      </c>
      <c r="D2" s="1505" t="s">
        <v>1356</v>
      </c>
      <c r="E2" s="1504" t="s">
        <v>146</v>
      </c>
      <c r="F2" s="1506">
        <f>' PA-06 ATERRO E CORTE '!L14+' PA-06 ATERRO E CORTE '!X14+' PA-07  INTERSEÇOES ATERRO'!L35+' PA-08  INTERSEÇOES CORTE'!L24</f>
        <v>3820</v>
      </c>
    </row>
  </sheetData>
  <mergeCells count="1">
    <mergeCell ref="B1:F1"/>
  </mergeCells>
  <pageMargins left="0.511811024" right="0.511811024" top="0.78740157499999996" bottom="0.78740157499999996" header="0.31496062000000002" footer="0.3149606200000000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D024-C02A-4186-A2F3-F3462D796932}">
  <sheetPr>
    <tabColor theme="3" tint="0.39997558519241921"/>
  </sheetPr>
  <dimension ref="A1:V52"/>
  <sheetViews>
    <sheetView workbookViewId="0">
      <selection activeCell="J26" sqref="J26"/>
    </sheetView>
  </sheetViews>
  <sheetFormatPr defaultRowHeight="15"/>
  <cols>
    <col min="1" max="1" width="17.42578125" customWidth="1"/>
    <col min="2" max="2" width="12.42578125" bestFit="1" customWidth="1"/>
    <col min="3" max="3" width="12.85546875" bestFit="1" customWidth="1"/>
    <col min="4" max="4" width="12.85546875" customWidth="1"/>
    <col min="6" max="6" width="12.85546875" customWidth="1"/>
    <col min="7" max="7" width="18.42578125" customWidth="1"/>
    <col min="8" max="8" width="16.28515625" customWidth="1"/>
    <col min="9" max="9" width="14.5703125" customWidth="1"/>
    <col min="10" max="11" width="9.140625" style="447"/>
    <col min="12" max="12" width="51.42578125" customWidth="1"/>
    <col min="13" max="13" width="48.42578125" customWidth="1"/>
    <col min="14" max="14" width="18.42578125" bestFit="1" customWidth="1"/>
    <col min="15" max="22" width="9.140625" style="447"/>
  </cols>
  <sheetData>
    <row r="1" spans="1:18" ht="36" customHeight="1">
      <c r="A1" s="2359" t="s">
        <v>1460</v>
      </c>
      <c r="B1" s="2359" t="s">
        <v>346</v>
      </c>
      <c r="C1" s="2359" t="s">
        <v>345</v>
      </c>
      <c r="D1" s="1659"/>
      <c r="E1" s="2359" t="s">
        <v>1461</v>
      </c>
      <c r="F1" s="2359"/>
      <c r="G1" s="2360" t="s">
        <v>1462</v>
      </c>
      <c r="H1" s="2360" t="s">
        <v>1463</v>
      </c>
      <c r="I1" s="2360" t="s">
        <v>1464</v>
      </c>
      <c r="L1" s="447"/>
      <c r="M1" s="447"/>
      <c r="N1" s="447"/>
    </row>
    <row r="2" spans="1:18" ht="36" customHeight="1">
      <c r="A2" s="2359"/>
      <c r="B2" s="2359"/>
      <c r="C2" s="2359"/>
      <c r="D2" s="1659"/>
      <c r="E2" s="2359" t="s">
        <v>1465</v>
      </c>
      <c r="F2" s="2359"/>
      <c r="G2" s="2359"/>
      <c r="H2" s="2359"/>
      <c r="I2" s="2360"/>
      <c r="L2" s="447"/>
      <c r="M2" s="447"/>
      <c r="N2" s="447"/>
    </row>
    <row r="3" spans="1:18" s="447" customFormat="1" ht="63" customHeight="1">
      <c r="A3" s="1660"/>
      <c r="B3" s="1661" t="s">
        <v>1466</v>
      </c>
      <c r="C3" s="1662" t="s">
        <v>1467</v>
      </c>
      <c r="D3" s="1662" t="s">
        <v>1468</v>
      </c>
      <c r="E3" s="2361" t="s">
        <v>1469</v>
      </c>
      <c r="F3" s="2361"/>
      <c r="G3" s="1663">
        <f>0.6*0.6</f>
        <v>0.36</v>
      </c>
      <c r="H3" s="1664">
        <v>10</v>
      </c>
      <c r="I3" s="1665">
        <f>G3*H3</f>
        <v>3.5999999999999996</v>
      </c>
    </row>
    <row r="4" spans="1:18" s="447" customFormat="1" ht="63" customHeight="1">
      <c r="A4" s="1666"/>
      <c r="B4" s="1661" t="s">
        <v>1470</v>
      </c>
      <c r="C4" s="1662" t="s">
        <v>1471</v>
      </c>
      <c r="D4" s="1662" t="s">
        <v>1468</v>
      </c>
      <c r="E4" s="2361" t="s">
        <v>1472</v>
      </c>
      <c r="F4" s="2361"/>
      <c r="G4" s="1663">
        <v>0.503</v>
      </c>
      <c r="H4" s="1664">
        <v>12</v>
      </c>
      <c r="I4" s="1665">
        <f t="shared" ref="I4:I6" si="0">G4*H4</f>
        <v>6.0359999999999996</v>
      </c>
    </row>
    <row r="5" spans="1:18" s="447" customFormat="1" ht="63" customHeight="1">
      <c r="A5" s="1666"/>
      <c r="B5" s="2362" t="s">
        <v>1473</v>
      </c>
      <c r="C5" s="2363"/>
      <c r="D5" s="1662" t="s">
        <v>1468</v>
      </c>
      <c r="E5" s="2361" t="s">
        <v>1474</v>
      </c>
      <c r="F5" s="2361"/>
      <c r="G5" s="1663">
        <f>1.5*0.8</f>
        <v>1.2000000000000002</v>
      </c>
      <c r="H5" s="1664">
        <v>2</v>
      </c>
      <c r="I5" s="1665">
        <f t="shared" si="0"/>
        <v>2.4000000000000004</v>
      </c>
    </row>
    <row r="6" spans="1:18" s="447" customFormat="1" ht="63" customHeight="1">
      <c r="A6" s="1666"/>
      <c r="B6" s="2362" t="s">
        <v>1473</v>
      </c>
      <c r="C6" s="2363"/>
      <c r="D6" s="1662" t="s">
        <v>1468</v>
      </c>
      <c r="E6" s="2361" t="s">
        <v>1474</v>
      </c>
      <c r="F6" s="2361"/>
      <c r="G6" s="1663">
        <f>1.5*0.8</f>
        <v>1.2000000000000002</v>
      </c>
      <c r="H6" s="1664">
        <v>4</v>
      </c>
      <c r="I6" s="1665">
        <f t="shared" si="0"/>
        <v>4.8000000000000007</v>
      </c>
    </row>
    <row r="7" spans="1:18" s="447" customFormat="1" ht="63" customHeight="1">
      <c r="A7" s="1666"/>
      <c r="B7" s="2364" t="s">
        <v>1475</v>
      </c>
      <c r="C7" s="2365"/>
      <c r="D7" s="1662" t="s">
        <v>1468</v>
      </c>
      <c r="E7" s="2366" t="s">
        <v>68</v>
      </c>
      <c r="F7" s="2366"/>
      <c r="G7" s="1663" t="s">
        <v>68</v>
      </c>
      <c r="H7" s="1667">
        <f>N28</f>
        <v>23183.999999999996</v>
      </c>
      <c r="I7" s="1665"/>
    </row>
    <row r="8" spans="1:18" s="447" customFormat="1" ht="63" customHeight="1">
      <c r="A8" s="1666"/>
      <c r="B8" s="2362" t="s">
        <v>1476</v>
      </c>
      <c r="C8" s="2363"/>
      <c r="D8" s="1662" t="s">
        <v>1468</v>
      </c>
      <c r="E8" s="2361" t="s">
        <v>68</v>
      </c>
      <c r="F8" s="2361"/>
      <c r="G8" s="1663" t="s">
        <v>68</v>
      </c>
      <c r="H8" s="1667">
        <f>N52</f>
        <v>7020</v>
      </c>
      <c r="I8" s="1665"/>
    </row>
    <row r="9" spans="1:18" s="447" customFormat="1" ht="63" customHeight="1">
      <c r="A9" s="1666"/>
      <c r="B9" s="2362" t="s">
        <v>1559</v>
      </c>
      <c r="C9" s="2363"/>
      <c r="D9" s="1662" t="s">
        <v>1468</v>
      </c>
      <c r="E9" s="2369" t="s">
        <v>68</v>
      </c>
      <c r="F9" s="2370"/>
      <c r="G9" s="1663" t="s">
        <v>68</v>
      </c>
      <c r="H9" s="1664">
        <f>H25</f>
        <v>21252</v>
      </c>
      <c r="I9" s="1665"/>
    </row>
    <row r="10" spans="1:18" s="447" customFormat="1" ht="63" customHeight="1">
      <c r="A10" s="1666"/>
      <c r="B10" s="2362" t="s">
        <v>1477</v>
      </c>
      <c r="C10" s="2363"/>
      <c r="D10" s="1662" t="s">
        <v>1468</v>
      </c>
      <c r="E10" s="2361" t="s">
        <v>1478</v>
      </c>
      <c r="F10" s="2361"/>
      <c r="G10" s="1668">
        <f>0.5*0.6</f>
        <v>0.3</v>
      </c>
      <c r="H10" s="1664">
        <f>3220*0.3/10</f>
        <v>96.6</v>
      </c>
      <c r="I10" s="1665">
        <f t="shared" ref="I10:I13" si="1">G10*H10</f>
        <v>28.979999999999997</v>
      </c>
    </row>
    <row r="11" spans="1:18" s="447" customFormat="1" ht="63" customHeight="1">
      <c r="A11" s="1666"/>
      <c r="B11" s="1662" t="s">
        <v>1473</v>
      </c>
      <c r="C11" s="1662" t="s">
        <v>1479</v>
      </c>
      <c r="D11" s="1662" t="s">
        <v>1468</v>
      </c>
      <c r="E11" s="2361" t="s">
        <v>1480</v>
      </c>
      <c r="F11" s="2361" t="s">
        <v>1481</v>
      </c>
      <c r="G11" s="1663">
        <f>1.25*0.4</f>
        <v>0.5</v>
      </c>
      <c r="H11" s="1664">
        <v>4</v>
      </c>
      <c r="I11" s="1665">
        <f t="shared" si="1"/>
        <v>2</v>
      </c>
      <c r="O11" s="1669"/>
      <c r="P11" s="1669"/>
      <c r="Q11" s="1669"/>
      <c r="R11" s="1669"/>
    </row>
    <row r="12" spans="1:18" s="447" customFormat="1" ht="63" customHeight="1">
      <c r="A12" s="1660"/>
      <c r="B12" s="1662" t="s">
        <v>1473</v>
      </c>
      <c r="C12" s="1662" t="s">
        <v>1482</v>
      </c>
      <c r="D12" s="1662" t="s">
        <v>1468</v>
      </c>
      <c r="E12" s="2361" t="s">
        <v>1480</v>
      </c>
      <c r="F12" s="2361" t="s">
        <v>1481</v>
      </c>
      <c r="G12" s="1663">
        <f>1.25*0.4</f>
        <v>0.5</v>
      </c>
      <c r="H12" s="1664">
        <v>4</v>
      </c>
      <c r="I12" s="1665">
        <f t="shared" si="1"/>
        <v>2</v>
      </c>
      <c r="O12" s="1669"/>
      <c r="P12" s="1669"/>
      <c r="Q12" s="1669"/>
      <c r="R12" s="1669"/>
    </row>
    <row r="13" spans="1:18" s="447" customFormat="1" ht="63" customHeight="1">
      <c r="A13" s="1660"/>
      <c r="B13" s="1662" t="s">
        <v>1473</v>
      </c>
      <c r="C13" s="1662" t="s">
        <v>1483</v>
      </c>
      <c r="D13" s="1662" t="s">
        <v>1468</v>
      </c>
      <c r="E13" s="2371" t="s">
        <v>1484</v>
      </c>
      <c r="F13" s="2371" t="s">
        <v>1485</v>
      </c>
      <c r="G13" s="1670">
        <f>1.25*0.8</f>
        <v>1</v>
      </c>
      <c r="H13" s="1671">
        <v>4</v>
      </c>
      <c r="I13" s="1665">
        <f t="shared" si="1"/>
        <v>4</v>
      </c>
    </row>
    <row r="14" spans="1:18" s="447" customFormat="1">
      <c r="E14" s="2367" t="s">
        <v>1486</v>
      </c>
      <c r="F14" s="2367"/>
      <c r="G14" s="2367"/>
      <c r="H14" s="2368">
        <f>SUM(I3:I13)</f>
        <v>53.815999999999995</v>
      </c>
      <c r="I14" s="2368"/>
    </row>
    <row r="15" spans="1:18">
      <c r="A15" s="447"/>
      <c r="B15" s="447"/>
      <c r="C15" s="447"/>
      <c r="D15" s="447"/>
      <c r="E15" s="2367" t="s">
        <v>1487</v>
      </c>
      <c r="F15" s="2367"/>
      <c r="G15" s="2367"/>
      <c r="H15" s="2368">
        <f>H7</f>
        <v>23183.999999999996</v>
      </c>
      <c r="I15" s="2368"/>
      <c r="L15" s="447"/>
      <c r="M15" s="447"/>
      <c r="N15" s="447"/>
    </row>
    <row r="16" spans="1:18">
      <c r="A16" s="447"/>
      <c r="B16" s="447"/>
      <c r="C16" s="447"/>
      <c r="D16" s="447"/>
      <c r="E16" s="2367" t="s">
        <v>1488</v>
      </c>
      <c r="F16" s="2367"/>
      <c r="G16" s="2367"/>
      <c r="H16" s="2368">
        <f t="shared" ref="H16" si="2">H8</f>
        <v>7020</v>
      </c>
      <c r="I16" s="2368"/>
      <c r="L16" s="447"/>
      <c r="M16" s="447"/>
      <c r="N16" s="447"/>
    </row>
    <row r="17" spans="1:22" s="447" customFormat="1">
      <c r="E17" s="2367" t="s">
        <v>1489</v>
      </c>
      <c r="F17" s="2367"/>
      <c r="G17" s="2367"/>
      <c r="H17" s="2368">
        <f>H9</f>
        <v>21252</v>
      </c>
      <c r="I17" s="2368"/>
    </row>
    <row r="18" spans="1:22" s="447" customFormat="1"/>
    <row r="19" spans="1:22" s="447" customFormat="1"/>
    <row r="20" spans="1:22" ht="15" customHeight="1">
      <c r="J20"/>
      <c r="K20"/>
      <c r="O20"/>
      <c r="P20"/>
      <c r="Q20"/>
      <c r="R20"/>
      <c r="S20"/>
      <c r="T20"/>
      <c r="U20"/>
      <c r="V20"/>
    </row>
    <row r="21" spans="1:22" ht="39.950000000000003" customHeight="1">
      <c r="A21" s="2374" t="s">
        <v>1549</v>
      </c>
      <c r="B21" s="2374"/>
      <c r="C21" s="2374"/>
      <c r="D21" s="2374"/>
      <c r="E21" s="2374"/>
      <c r="F21" s="2374"/>
      <c r="G21" s="2374"/>
      <c r="H21" s="2374"/>
      <c r="J21"/>
      <c r="K21"/>
      <c r="L21" s="2359" t="s">
        <v>1490</v>
      </c>
      <c r="M21" s="2359"/>
      <c r="N21" s="2359"/>
      <c r="O21"/>
      <c r="P21"/>
      <c r="Q21"/>
      <c r="R21"/>
      <c r="S21"/>
      <c r="T21"/>
      <c r="U21"/>
      <c r="V21"/>
    </row>
    <row r="22" spans="1:22" ht="39.950000000000003" customHeight="1">
      <c r="A22" s="2375" t="s">
        <v>1550</v>
      </c>
      <c r="B22" s="2375" t="s">
        <v>88</v>
      </c>
      <c r="C22" s="2376" t="s">
        <v>89</v>
      </c>
      <c r="D22" s="2375" t="s">
        <v>1551</v>
      </c>
      <c r="E22" s="2375"/>
      <c r="F22" s="2375" t="s">
        <v>1552</v>
      </c>
      <c r="G22" s="2377" t="s">
        <v>1553</v>
      </c>
      <c r="H22" s="2375" t="s">
        <v>1554</v>
      </c>
      <c r="J22"/>
      <c r="K22"/>
      <c r="L22" s="1659" t="s">
        <v>249</v>
      </c>
      <c r="M22" s="1659" t="s">
        <v>1491</v>
      </c>
      <c r="N22" s="1659" t="s">
        <v>422</v>
      </c>
      <c r="O22"/>
      <c r="P22"/>
      <c r="Q22"/>
      <c r="R22"/>
      <c r="S22"/>
      <c r="T22"/>
      <c r="U22"/>
      <c r="V22"/>
    </row>
    <row r="23" spans="1:22" ht="39.950000000000003" customHeight="1">
      <c r="A23" s="2375"/>
      <c r="B23" s="2375"/>
      <c r="C23" s="2376"/>
      <c r="D23" s="1701" t="s">
        <v>1555</v>
      </c>
      <c r="E23" s="1701" t="s">
        <v>1556</v>
      </c>
      <c r="F23" s="2375"/>
      <c r="G23" s="2378"/>
      <c r="H23" s="2375"/>
      <c r="J23"/>
      <c r="K23"/>
      <c r="L23" s="1672" t="s">
        <v>1492</v>
      </c>
      <c r="M23" s="1672" t="s">
        <v>68</v>
      </c>
      <c r="N23" s="1672" t="s">
        <v>68</v>
      </c>
      <c r="O23" s="1673" t="s">
        <v>68</v>
      </c>
      <c r="P23" s="1673"/>
      <c r="Q23"/>
      <c r="R23"/>
      <c r="S23"/>
      <c r="T23"/>
      <c r="U23"/>
      <c r="V23"/>
    </row>
    <row r="24" spans="1:22" ht="39.950000000000003" customHeight="1">
      <c r="A24" s="2379" t="s">
        <v>1557</v>
      </c>
      <c r="B24" s="2379"/>
      <c r="C24" s="2379"/>
      <c r="D24" s="2379"/>
      <c r="E24" s="2379"/>
      <c r="F24" s="2379"/>
      <c r="G24" s="2379"/>
      <c r="H24" s="2379"/>
      <c r="J24"/>
      <c r="K24"/>
      <c r="L24" s="1672" t="s">
        <v>1493</v>
      </c>
      <c r="M24" s="1672" t="s">
        <v>68</v>
      </c>
      <c r="N24" s="1672" t="s">
        <v>68</v>
      </c>
      <c r="O24" s="1673" t="s">
        <v>68</v>
      </c>
      <c r="P24" s="1673" t="s">
        <v>68</v>
      </c>
      <c r="Q24"/>
      <c r="R24"/>
      <c r="S24"/>
      <c r="T24"/>
      <c r="U24"/>
      <c r="V24"/>
    </row>
    <row r="25" spans="1:22" ht="39.950000000000003" customHeight="1">
      <c r="A25" s="1702"/>
      <c r="B25" s="1702" t="s">
        <v>1558</v>
      </c>
      <c r="C25" s="1703" t="s">
        <v>1559</v>
      </c>
      <c r="D25" s="1704" t="s">
        <v>68</v>
      </c>
      <c r="E25" s="1705" t="s">
        <v>68</v>
      </c>
      <c r="F25" s="1706">
        <f>(3220*0.25)/5</f>
        <v>161</v>
      </c>
      <c r="G25" s="1706">
        <f>22*6</f>
        <v>132</v>
      </c>
      <c r="H25" s="1706">
        <f>F25*G25</f>
        <v>21252</v>
      </c>
      <c r="J25"/>
      <c r="K25"/>
      <c r="L25" s="1672" t="s">
        <v>1494</v>
      </c>
      <c r="M25" s="1674" t="s">
        <v>1495</v>
      </c>
      <c r="N25" s="1672" t="s">
        <v>1496</v>
      </c>
      <c r="O25" s="1673">
        <f>((3220*O28/3)*1)</f>
        <v>128.79999999999998</v>
      </c>
      <c r="P25" s="1673"/>
      <c r="Q25"/>
      <c r="R25"/>
      <c r="S25"/>
      <c r="T25"/>
      <c r="U25"/>
      <c r="V25"/>
    </row>
    <row r="26" spans="1:22" ht="39.950000000000003" customHeight="1">
      <c r="A26" s="2380" t="s">
        <v>1560</v>
      </c>
      <c r="B26" s="2381"/>
      <c r="C26" s="2381"/>
      <c r="D26" s="2381"/>
      <c r="E26" s="2381"/>
      <c r="F26" s="2381"/>
      <c r="G26" s="2382"/>
      <c r="H26" s="1707">
        <f>H25</f>
        <v>21252</v>
      </c>
      <c r="I26" s="1673"/>
      <c r="J26" t="s">
        <v>1497</v>
      </c>
      <c r="K26"/>
      <c r="L26" s="1672" t="s">
        <v>1498</v>
      </c>
      <c r="M26" s="1675" t="s">
        <v>68</v>
      </c>
      <c r="N26" s="1672" t="s">
        <v>68</v>
      </c>
      <c r="O26" s="1673" t="s">
        <v>68</v>
      </c>
      <c r="P26"/>
      <c r="Q26"/>
      <c r="R26"/>
      <c r="S26"/>
      <c r="T26"/>
      <c r="U26"/>
      <c r="V26"/>
    </row>
    <row r="27" spans="1:22" ht="41.45" customHeight="1">
      <c r="A27" s="447"/>
      <c r="B27" s="447"/>
      <c r="C27" s="447"/>
      <c r="D27" s="447"/>
      <c r="E27" s="447"/>
      <c r="F27" s="447"/>
      <c r="G27" s="447"/>
      <c r="H27" s="447"/>
      <c r="I27" s="1673"/>
      <c r="J27" s="2372">
        <f>6*30</f>
        <v>180</v>
      </c>
      <c r="K27" s="2373"/>
      <c r="L27" s="118" t="s">
        <v>1499</v>
      </c>
      <c r="O27"/>
      <c r="P27"/>
      <c r="Q27"/>
      <c r="R27"/>
      <c r="S27"/>
      <c r="T27"/>
      <c r="U27"/>
      <c r="V27"/>
    </row>
    <row r="28" spans="1:22" ht="15" customHeight="1">
      <c r="H28" s="1673"/>
      <c r="I28" s="1673"/>
      <c r="J28" s="2372"/>
      <c r="K28" s="2373"/>
      <c r="L28" s="118" t="s">
        <v>1500</v>
      </c>
      <c r="N28">
        <f>O25*J27</f>
        <v>23183.999999999996</v>
      </c>
      <c r="O28">
        <f>ROUND(400/3220,2)</f>
        <v>0.12</v>
      </c>
      <c r="P28" t="s">
        <v>1501</v>
      </c>
      <c r="Q28"/>
      <c r="R28"/>
      <c r="S28"/>
      <c r="T28"/>
      <c r="U28"/>
      <c r="V28"/>
    </row>
    <row r="29" spans="1:22" ht="15" customHeight="1">
      <c r="H29" s="1673"/>
      <c r="J29"/>
      <c r="K29"/>
      <c r="O29"/>
      <c r="P29"/>
      <c r="Q29"/>
      <c r="R29"/>
      <c r="S29"/>
      <c r="T29"/>
      <c r="U29"/>
      <c r="V29"/>
    </row>
    <row r="30" spans="1:22" s="447" customFormat="1">
      <c r="A30"/>
      <c r="B30"/>
      <c r="C30"/>
      <c r="D30"/>
      <c r="E30"/>
      <c r="F30"/>
      <c r="G30"/>
      <c r="H30" s="1673">
        <f>J27/600</f>
        <v>0.3</v>
      </c>
    </row>
    <row r="31" spans="1:22">
      <c r="I31" s="447"/>
    </row>
    <row r="32" spans="1:22" ht="39.950000000000003" customHeight="1">
      <c r="H32" s="1673"/>
      <c r="I32" s="1673"/>
      <c r="J32" s="1673"/>
      <c r="K32"/>
      <c r="L32" s="2383" t="s">
        <v>1490</v>
      </c>
      <c r="M32" s="2384"/>
      <c r="N32" s="2385"/>
      <c r="O32"/>
    </row>
    <row r="33" spans="8:15" ht="39.950000000000003" customHeight="1">
      <c r="H33" s="1673"/>
      <c r="I33" s="1673"/>
      <c r="J33" s="1673"/>
      <c r="K33"/>
      <c r="L33" s="1659" t="s">
        <v>249</v>
      </c>
      <c r="M33" s="1659" t="s">
        <v>1491</v>
      </c>
      <c r="N33" s="1659" t="s">
        <v>422</v>
      </c>
      <c r="O33"/>
    </row>
    <row r="34" spans="8:15" ht="45">
      <c r="H34" s="1673"/>
      <c r="I34" s="1673"/>
      <c r="J34" s="1673"/>
      <c r="K34"/>
      <c r="L34" s="1676" t="s">
        <v>1502</v>
      </c>
      <c r="M34" s="1672" t="s">
        <v>68</v>
      </c>
      <c r="N34" s="1672" t="s">
        <v>68</v>
      </c>
      <c r="O34" s="1673">
        <f>8*2</f>
        <v>16</v>
      </c>
    </row>
    <row r="35" spans="8:15">
      <c r="H35" s="1673"/>
      <c r="J35" s="1673"/>
      <c r="K35"/>
      <c r="L35" s="118" t="s">
        <v>1503</v>
      </c>
      <c r="O35"/>
    </row>
    <row r="36" spans="8:15">
      <c r="I36" s="1673"/>
      <c r="J36"/>
      <c r="K36"/>
      <c r="O36"/>
    </row>
    <row r="37" spans="8:15" ht="39.950000000000003" customHeight="1">
      <c r="I37" s="1673"/>
      <c r="J37" s="1673"/>
      <c r="K37"/>
      <c r="L37" s="2383" t="s">
        <v>1490</v>
      </c>
      <c r="M37" s="2384"/>
      <c r="N37" s="2385"/>
      <c r="O37"/>
    </row>
    <row r="38" spans="8:15" ht="39.950000000000003" customHeight="1">
      <c r="H38" s="1673"/>
      <c r="I38" s="1673"/>
      <c r="J38" s="1673"/>
      <c r="K38"/>
      <c r="L38" s="1659" t="s">
        <v>249</v>
      </c>
      <c r="M38" s="1659" t="s">
        <v>1491</v>
      </c>
      <c r="N38" s="1659" t="s">
        <v>422</v>
      </c>
      <c r="O38"/>
    </row>
    <row r="39" spans="8:15" ht="45">
      <c r="H39" s="1673"/>
      <c r="I39" s="1673"/>
      <c r="J39" s="1673"/>
      <c r="K39"/>
      <c r="L39" s="1676" t="s">
        <v>1504</v>
      </c>
      <c r="M39" s="1672" t="s">
        <v>68</v>
      </c>
      <c r="N39" s="1672" t="s">
        <v>68</v>
      </c>
      <c r="O39" s="1673">
        <f>1240*1</f>
        <v>1240</v>
      </c>
    </row>
    <row r="40" spans="8:15" ht="30">
      <c r="H40" s="1673">
        <f>J27/600</f>
        <v>0.3</v>
      </c>
      <c r="J40" s="1673"/>
      <c r="K40"/>
      <c r="L40" s="1676" t="s">
        <v>1505</v>
      </c>
      <c r="M40" s="1672" t="s">
        <v>68</v>
      </c>
      <c r="N40" s="1672" t="s">
        <v>68</v>
      </c>
      <c r="O40" s="1673">
        <f>(500*2)</f>
        <v>1000</v>
      </c>
    </row>
    <row r="41" spans="8:15">
      <c r="H41" s="1673"/>
    </row>
    <row r="42" spans="8:15" ht="39.950000000000003" customHeight="1">
      <c r="I42" s="1673"/>
      <c r="J42" s="1673"/>
      <c r="K42"/>
      <c r="L42" s="2359" t="s">
        <v>1490</v>
      </c>
      <c r="M42" s="2359"/>
      <c r="N42" s="2359"/>
      <c r="O42"/>
    </row>
    <row r="43" spans="8:15" ht="39.950000000000003" customHeight="1">
      <c r="I43" s="1673"/>
      <c r="J43" s="1673"/>
      <c r="K43"/>
      <c r="L43" s="1659" t="s">
        <v>249</v>
      </c>
      <c r="M43" s="1659" t="s">
        <v>1491</v>
      </c>
      <c r="N43" s="1659" t="s">
        <v>422</v>
      </c>
      <c r="O43"/>
    </row>
    <row r="44" spans="8:15" ht="30">
      <c r="I44" s="1673"/>
      <c r="J44" s="1673"/>
      <c r="K44"/>
      <c r="L44" s="1676" t="s">
        <v>1506</v>
      </c>
      <c r="M44" s="1672" t="s">
        <v>1507</v>
      </c>
      <c r="N44" s="1672" t="s">
        <v>1508</v>
      </c>
      <c r="O44" s="1673">
        <f>10*1</f>
        <v>10</v>
      </c>
    </row>
    <row r="45" spans="8:15">
      <c r="I45" s="1673"/>
      <c r="J45" s="1673"/>
      <c r="K45"/>
      <c r="L45" s="118" t="s">
        <v>1509</v>
      </c>
      <c r="O45"/>
    </row>
    <row r="48" spans="8:15">
      <c r="J48"/>
      <c r="K48"/>
      <c r="L48" s="1672" t="s">
        <v>1510</v>
      </c>
      <c r="M48" s="1674" t="s">
        <v>1511</v>
      </c>
      <c r="N48" s="1672" t="s">
        <v>1512</v>
      </c>
      <c r="O48" s="1673">
        <f>ROUND((3220*O51/5)*1,0)</f>
        <v>39</v>
      </c>
    </row>
    <row r="49" spans="10:16">
      <c r="J49" t="s">
        <v>1497</v>
      </c>
      <c r="K49"/>
      <c r="L49" s="1672"/>
      <c r="M49" s="1675" t="s">
        <v>68</v>
      </c>
      <c r="N49" s="1672" t="s">
        <v>68</v>
      </c>
      <c r="O49" s="1673" t="s">
        <v>68</v>
      </c>
    </row>
    <row r="50" spans="10:16">
      <c r="J50" s="2372">
        <f>6*30</f>
        <v>180</v>
      </c>
      <c r="K50" s="2373">
        <f>J50/600</f>
        <v>0.3</v>
      </c>
      <c r="L50" s="118" t="s">
        <v>1513</v>
      </c>
      <c r="O50"/>
    </row>
    <row r="51" spans="10:16">
      <c r="J51" s="2372"/>
      <c r="K51" s="2373"/>
      <c r="L51" s="118"/>
      <c r="O51">
        <f>ROUND(200/3220,2)</f>
        <v>0.06</v>
      </c>
      <c r="P51" t="s">
        <v>1514</v>
      </c>
    </row>
    <row r="52" spans="10:16">
      <c r="N52">
        <f>O48*180</f>
        <v>7020</v>
      </c>
    </row>
  </sheetData>
  <mergeCells count="51">
    <mergeCell ref="A26:G26"/>
    <mergeCell ref="L32:N32"/>
    <mergeCell ref="L37:N37"/>
    <mergeCell ref="L42:N42"/>
    <mergeCell ref="J50:J51"/>
    <mergeCell ref="K50:K51"/>
    <mergeCell ref="E17:G17"/>
    <mergeCell ref="H17:I17"/>
    <mergeCell ref="L21:N21"/>
    <mergeCell ref="J27:J28"/>
    <mergeCell ref="K27:K28"/>
    <mergeCell ref="A21:H21"/>
    <mergeCell ref="A22:A23"/>
    <mergeCell ref="B22:B23"/>
    <mergeCell ref="C22:C23"/>
    <mergeCell ref="D22:E22"/>
    <mergeCell ref="F22:F23"/>
    <mergeCell ref="G22:G23"/>
    <mergeCell ref="H22:H23"/>
    <mergeCell ref="A24:H24"/>
    <mergeCell ref="E16:G16"/>
    <mergeCell ref="H16:I16"/>
    <mergeCell ref="B9:C9"/>
    <mergeCell ref="E9:F9"/>
    <mergeCell ref="B10:C10"/>
    <mergeCell ref="E10:F10"/>
    <mergeCell ref="E11:F11"/>
    <mergeCell ref="E12:F12"/>
    <mergeCell ref="E13:F13"/>
    <mergeCell ref="E14:G14"/>
    <mergeCell ref="H14:I14"/>
    <mergeCell ref="E15:G15"/>
    <mergeCell ref="H15:I15"/>
    <mergeCell ref="B6:C6"/>
    <mergeCell ref="E6:F6"/>
    <mergeCell ref="B7:C7"/>
    <mergeCell ref="E7:F7"/>
    <mergeCell ref="B8:C8"/>
    <mergeCell ref="E8:F8"/>
    <mergeCell ref="I1:I2"/>
    <mergeCell ref="E2:F2"/>
    <mergeCell ref="E3:F3"/>
    <mergeCell ref="E4:F4"/>
    <mergeCell ref="B5:C5"/>
    <mergeCell ref="E5:F5"/>
    <mergeCell ref="H1:H2"/>
    <mergeCell ref="A1:A2"/>
    <mergeCell ref="B1:B2"/>
    <mergeCell ref="C1:C2"/>
    <mergeCell ref="E1:F1"/>
    <mergeCell ref="G1:G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3B2CE-4C91-48BA-978B-73ADE97A3E42}">
  <sheetPr>
    <tabColor rgb="FFFFFF00"/>
  </sheetPr>
  <dimension ref="A1:F6"/>
  <sheetViews>
    <sheetView tabSelected="1" zoomScaleNormal="100" workbookViewId="0">
      <selection activeCell="B4" sqref="B4"/>
    </sheetView>
  </sheetViews>
  <sheetFormatPr defaultRowHeight="15"/>
  <cols>
    <col min="1" max="1" width="10.7109375" customWidth="1"/>
    <col min="2" max="2" width="65" customWidth="1"/>
    <col min="4" max="4" width="13" customWidth="1"/>
    <col min="5" max="5" width="12.42578125" hidden="1" customWidth="1"/>
    <col min="6" max="6" width="0" hidden="1" customWidth="1"/>
  </cols>
  <sheetData>
    <row r="1" spans="1:6" ht="26.25" customHeight="1">
      <c r="A1" s="1677" t="s">
        <v>88</v>
      </c>
      <c r="B1" s="1677" t="s">
        <v>1515</v>
      </c>
      <c r="C1" s="1677" t="s">
        <v>1516</v>
      </c>
      <c r="D1" s="1678" t="s">
        <v>91</v>
      </c>
      <c r="E1" s="1679" t="s">
        <v>1517</v>
      </c>
      <c r="F1" s="1679" t="s">
        <v>1518</v>
      </c>
    </row>
    <row r="2" spans="1:6">
      <c r="A2" s="1697"/>
      <c r="B2" s="1698" t="s">
        <v>1547</v>
      </c>
      <c r="C2" s="1697"/>
      <c r="D2" s="1680"/>
      <c r="E2" s="1696"/>
      <c r="F2" s="1681"/>
    </row>
    <row r="3" spans="1:6">
      <c r="A3" s="1682">
        <v>40850</v>
      </c>
      <c r="B3" s="1683" t="s">
        <v>1520</v>
      </c>
      <c r="C3" s="1684" t="s">
        <v>105</v>
      </c>
      <c r="D3" s="1699">
        <f>Sinalização!H14</f>
        <v>53.815999999999995</v>
      </c>
      <c r="E3" s="1696">
        <v>467.82</v>
      </c>
      <c r="F3" s="1681">
        <f>D3*E3</f>
        <v>25176.201119999998</v>
      </c>
    </row>
    <row r="4" spans="1:6" ht="25.5">
      <c r="A4" s="1682" t="s">
        <v>1521</v>
      </c>
      <c r="B4" s="1683" t="s">
        <v>1535</v>
      </c>
      <c r="C4" s="1684" t="s">
        <v>1522</v>
      </c>
      <c r="D4" s="1700">
        <f>Sinalização!N28</f>
        <v>23183.999999999996</v>
      </c>
      <c r="E4" s="1696">
        <v>0.71</v>
      </c>
      <c r="F4" s="1681">
        <f t="shared" ref="F4:F6" si="0">D4*E4</f>
        <v>16460.639999999996</v>
      </c>
    </row>
    <row r="5" spans="1:6" ht="25.5">
      <c r="A5" s="1682" t="s">
        <v>1561</v>
      </c>
      <c r="B5" s="1683" t="s">
        <v>1562</v>
      </c>
      <c r="C5" s="1684" t="s">
        <v>1563</v>
      </c>
      <c r="D5" s="1700">
        <f>Sinalização!H25</f>
        <v>21252</v>
      </c>
      <c r="E5" s="1696">
        <v>55.75</v>
      </c>
      <c r="F5" s="1681">
        <f t="shared" si="0"/>
        <v>1184799</v>
      </c>
    </row>
    <row r="6" spans="1:6" ht="25.5">
      <c r="A6" s="1682">
        <v>5213838</v>
      </c>
      <c r="B6" s="1683" t="s">
        <v>1546</v>
      </c>
      <c r="C6" s="1684" t="s">
        <v>1522</v>
      </c>
      <c r="D6" s="1700">
        <f>Sinalização!N52</f>
        <v>7020</v>
      </c>
      <c r="E6" s="1696">
        <v>5.36</v>
      </c>
      <c r="F6" s="1681">
        <f t="shared" si="0"/>
        <v>37627.200000000004</v>
      </c>
    </row>
  </sheetData>
  <conditionalFormatting sqref="A2:B2">
    <cfRule type="expression" dxfId="14" priority="7">
      <formula>#REF!=0</formula>
    </cfRule>
    <cfRule type="expression" dxfId="13" priority="8">
      <formula>#REF!&lt;#REF!</formula>
    </cfRule>
    <cfRule type="expression" dxfId="12" priority="10">
      <formula>#REF!&lt;#REF!</formula>
    </cfRule>
    <cfRule type="expression" dxfId="11" priority="11">
      <formula>#REF!&gt;#REF!</formula>
    </cfRule>
  </conditionalFormatting>
  <conditionalFormatting sqref="A3:C5">
    <cfRule type="expression" dxfId="10" priority="1">
      <formula>#REF!=0</formula>
    </cfRule>
    <cfRule type="expression" dxfId="9" priority="5">
      <formula>#REF!&gt;#REF!</formula>
    </cfRule>
  </conditionalFormatting>
  <conditionalFormatting sqref="A3:C6">
    <cfRule type="expression" dxfId="8" priority="4">
      <formula>#REF!&lt;#REF!</formula>
    </cfRule>
  </conditionalFormatting>
  <conditionalFormatting sqref="A6:C6">
    <cfRule type="expression" dxfId="7" priority="2">
      <formula>#REF!&gt;#REF!</formula>
    </cfRule>
    <cfRule type="expression" dxfId="6" priority="3">
      <formula>#REF!=0</formula>
    </cfRule>
  </conditionalFormatting>
  <conditionalFormatting sqref="B2">
    <cfRule type="expression" dxfId="5" priority="9">
      <formula>#REF!=0</formula>
    </cfRule>
  </conditionalFormatting>
  <conditionalFormatting sqref="D2">
    <cfRule type="expression" dxfId="4" priority="12">
      <formula>#REF!&gt;#REF!</formula>
    </cfRule>
    <cfRule type="expression" dxfId="3" priority="13">
      <formula>#REF!&lt;#REF!</formula>
    </cfRule>
    <cfRule type="expression" dxfId="2" priority="14">
      <formula>#REF!&gt;#REF!</formula>
    </cfRule>
    <cfRule type="expression" dxfId="1" priority="15">
      <formula>#REF!&lt;#REF!</formula>
    </cfRule>
    <cfRule type="expression" dxfId="0" priority="16">
      <formula>#REF!=0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ignoredErrors>
    <ignoredError sqref="D3:D5 D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38</vt:i4>
      </vt:variant>
      <vt:variant>
        <vt:lpstr>Intervalos Nomeados</vt:lpstr>
      </vt:variant>
      <vt:variant>
        <vt:i4>23</vt:i4>
      </vt:variant>
    </vt:vector>
  </HeadingPairs>
  <TitlesOfParts>
    <vt:vector size="61" baseType="lpstr">
      <vt:lpstr>QUANT. GERAL - RODOVIA</vt:lpstr>
      <vt:lpstr>PV 17-LINEAR DE DISTR. MAT</vt:lpstr>
      <vt:lpstr>RESUMO</vt:lpstr>
      <vt:lpstr>MC Reg_Subleito</vt:lpstr>
      <vt:lpstr>MC BGTC</vt:lpstr>
      <vt:lpstr>MC IMPR</vt:lpstr>
      <vt:lpstr>MC CCP</vt:lpstr>
      <vt:lpstr>MCaço CA-50</vt:lpstr>
      <vt:lpstr>MCaço CA-25</vt:lpstr>
      <vt:lpstr>MCtreliça</vt:lpstr>
      <vt:lpstr>MCtela</vt:lpstr>
      <vt:lpstr>MC serragem</vt:lpstr>
      <vt:lpstr>Transportes</vt:lpstr>
      <vt:lpstr>MIX BRASIL-FORT-KAPIVARI</vt:lpstr>
      <vt:lpstr>Quant. Pav Rodovia</vt:lpstr>
      <vt:lpstr>Modelo 1.0 - NS</vt:lpstr>
      <vt:lpstr>Modelo 2.0 - Cubação</vt:lpstr>
      <vt:lpstr>Modelo 3.0 - Classificação</vt:lpstr>
      <vt:lpstr>4.0 - QDM OK</vt:lpstr>
      <vt:lpstr>Modelo 5.0 - Rebaixos</vt:lpstr>
      <vt:lpstr> 6.0 - Empréstimos </vt:lpstr>
      <vt:lpstr>Modelo 10.0 - Resumo e Quant.</vt:lpstr>
      <vt:lpstr>1 OAC Impressão</vt:lpstr>
      <vt:lpstr>DRENOS</vt:lpstr>
      <vt:lpstr>2 OAC ESCAV. E REATERRO</vt:lpstr>
      <vt:lpstr>VPA</vt:lpstr>
      <vt:lpstr>3 OAC REMOÇAO E DEMOLIÇÃO</vt:lpstr>
      <vt:lpstr>VPAS PISTA</vt:lpstr>
      <vt:lpstr>saidas e sarjetas</vt:lpstr>
      <vt:lpstr>Consumos Drenagem</vt:lpstr>
      <vt:lpstr>Transp. Dre Rodovia</vt:lpstr>
      <vt:lpstr>Quant. Dre Rodovia</vt:lpstr>
      <vt:lpstr> PA-06 ATERRO E CORTE </vt:lpstr>
      <vt:lpstr> PA-07  INTERSEÇOES ATERRO</vt:lpstr>
      <vt:lpstr> PA-08  INTERSEÇOES CORTE</vt:lpstr>
      <vt:lpstr>Quant. OC Rodovia</vt:lpstr>
      <vt:lpstr>Sinalização</vt:lpstr>
      <vt:lpstr>Quant. SIN RODOVIA</vt:lpstr>
      <vt:lpstr>' PA-06 ATERRO E CORTE '!Area_de_impressao</vt:lpstr>
      <vt:lpstr>' PA-07  INTERSEÇOES ATERRO'!Area_de_impressao</vt:lpstr>
      <vt:lpstr>' PA-08  INTERSEÇOES CORTE'!Area_de_impressao</vt:lpstr>
      <vt:lpstr>'1 OAC Impressão'!Area_de_impressao</vt:lpstr>
      <vt:lpstr>'2 OAC ESCAV. E REATERRO'!Area_de_impressao</vt:lpstr>
      <vt:lpstr>'3 OAC REMOÇAO E DEMOLIÇÃO'!Area_de_impressao</vt:lpstr>
      <vt:lpstr>'4.0 - QDM OK'!Area_de_impressao</vt:lpstr>
      <vt:lpstr>DRENOS!Area_de_impressao</vt:lpstr>
      <vt:lpstr>'MC BGTC'!Area_de_impressao</vt:lpstr>
      <vt:lpstr>'MC CCP'!Area_de_impressao</vt:lpstr>
      <vt:lpstr>'MC IMPR'!Area_de_impressao</vt:lpstr>
      <vt:lpstr>'MC Reg_Subleito'!Area_de_impressao</vt:lpstr>
      <vt:lpstr>'MC serragem'!Area_de_impressao</vt:lpstr>
      <vt:lpstr>'MCaço CA-25'!Area_de_impressao</vt:lpstr>
      <vt:lpstr>'MCaço CA-50'!Area_de_impressao</vt:lpstr>
      <vt:lpstr>MCtela!Area_de_impressao</vt:lpstr>
      <vt:lpstr>MCtreliça!Area_de_impressao</vt:lpstr>
      <vt:lpstr>'MIX BRASIL-FORT-KAPIVARI'!Area_de_impressao</vt:lpstr>
      <vt:lpstr>'Modelo 10.0 - Resumo e Quant.'!Area_de_impressao</vt:lpstr>
      <vt:lpstr>'Modelo 2.0 - Cubação'!Area_de_impressao</vt:lpstr>
      <vt:lpstr>'PV 17-LINEAR DE DISTR. MAT'!Area_de_impressao</vt:lpstr>
      <vt:lpstr>Transportes!Area_de_impressao</vt:lpstr>
      <vt:lpstr>'2 OAC ESCAV. E REATERRO'!Titulos_de_impressao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Flauber Lucas Resplandes de Oliveira</dc:creator>
  <cp:lastModifiedBy>Proj</cp:lastModifiedBy>
  <cp:lastPrinted>2023-04-27T19:57:08Z</cp:lastPrinted>
  <dcterms:created xsi:type="dcterms:W3CDTF">2020-10-16T13:16:58Z</dcterms:created>
  <dcterms:modified xsi:type="dcterms:W3CDTF">2026-02-10T20:42:06Z</dcterms:modified>
</cp:coreProperties>
</file>